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drawings/drawing6.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omments5.xml" ContentType="application/vnd.openxmlformats-officedocument.spreadsheetml.comments+xml"/>
  <Override PartName="/xl/drawings/drawing1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ucas Ed\Downloads\"/>
    </mc:Choice>
  </mc:AlternateContent>
  <xr:revisionPtr revIDLastSave="0" documentId="8_{77388D08-4EA8-485A-8779-46CB910F248C}" xr6:coauthVersionLast="47" xr6:coauthVersionMax="47" xr10:uidLastSave="{00000000-0000-0000-0000-000000000000}"/>
  <bookViews>
    <workbookView xWindow="-108" yWindow="-108" windowWidth="23256" windowHeight="13896" tabRatio="621" firstSheet="23" activeTab="23" xr2:uid="{00000000-000D-0000-FFFF-FFFF00000000}"/>
  </bookViews>
  <sheets>
    <sheet name="INSTRUÇÕES " sheetId="53" r:id="rId1"/>
    <sheet name="CAPA " sheetId="54" r:id="rId2"/>
    <sheet name="CLASSIFICAÇÃO" sheetId="55" r:id="rId3"/>
    <sheet name="JANEIRO" sheetId="56" r:id="rId4"/>
    <sheet name="SEMANA JANEIRO" sheetId="57" r:id="rId5"/>
    <sheet name="GRAFICO JANEIRO" sheetId="58" r:id="rId6"/>
    <sheet name="FEVEREIRO" sheetId="59" r:id="rId7"/>
    <sheet name="SEMANA FEVEREIRO" sheetId="60" r:id="rId8"/>
    <sheet name="GRAFICO FEVEREIRO" sheetId="61" r:id="rId9"/>
    <sheet name="MARÇO" sheetId="62" r:id="rId10"/>
    <sheet name="SEMANA MARÇO" sheetId="63" r:id="rId11"/>
    <sheet name="GRAFICO MARÇO" sheetId="64" r:id="rId12"/>
    <sheet name="ABRIL" sheetId="65" r:id="rId13"/>
    <sheet name="SEMANA ABRIL" sheetId="66" r:id="rId14"/>
    <sheet name="GRAFICO ABRIL" sheetId="67" r:id="rId15"/>
    <sheet name="MAIO" sheetId="68" r:id="rId16"/>
    <sheet name="SEMANA MAIO" sheetId="69" r:id="rId17"/>
    <sheet name="GRAFICO MAIO" sheetId="70" r:id="rId18"/>
    <sheet name="_BASE_GRAFICO_ABRIL" sheetId="105" state="hidden" r:id="rId19"/>
    <sheet name="JUNHO" sheetId="71" r:id="rId20"/>
    <sheet name="SEMANA JUNHO" sheetId="72" r:id="rId21"/>
    <sheet name="GRAFICO JUNHO" sheetId="73" r:id="rId22"/>
    <sheet name="JULHO" sheetId="74" r:id="rId23"/>
    <sheet name="SEMANA JULHO" sheetId="75" r:id="rId24"/>
    <sheet name="GRAFICO JULHO" sheetId="76" r:id="rId25"/>
    <sheet name="AGOSTO" sheetId="77" r:id="rId26"/>
    <sheet name="SEMANA AGOSTO" sheetId="78" r:id="rId27"/>
    <sheet name="GRAFICO AGOSTO" sheetId="79" r:id="rId28"/>
    <sheet name="SETEMBRO" sheetId="80" r:id="rId29"/>
    <sheet name="SEMANA SETEMBRO" sheetId="81" r:id="rId30"/>
    <sheet name="GRAFICO SETEMBRO" sheetId="82" r:id="rId31"/>
    <sheet name="OUTUBRO" sheetId="83" r:id="rId32"/>
    <sheet name="SEMANA OUTUBRO" sheetId="84" r:id="rId33"/>
    <sheet name="GRAFICO OUTUBRO" sheetId="85" r:id="rId34"/>
    <sheet name="NOVEMBRO" sheetId="86" r:id="rId35"/>
    <sheet name="SEMANA NOVEMBRO" sheetId="87" r:id="rId36"/>
    <sheet name="GRAFICO NOVEMBRO" sheetId="88" r:id="rId37"/>
    <sheet name="DEZEMBRO" sheetId="89" r:id="rId38"/>
    <sheet name="SEMANA DEZEMBRO" sheetId="90" r:id="rId39"/>
    <sheet name="GRAFICO DEZEMBRO" sheetId="91" r:id="rId40"/>
    <sheet name="CADASTRO PRODUTOS" sheetId="92" state="hidden" r:id="rId41"/>
    <sheet name="GÁS" sheetId="93" r:id="rId42"/>
    <sheet name="CONFIG" sheetId="94" r:id="rId43"/>
    <sheet name="BASE_DADOS" sheetId="95" state="hidden" r:id="rId44"/>
    <sheet name="RESUMO_MENSAL" sheetId="96" state="hidden" r:id="rId45"/>
    <sheet name="CONFIG_PALETES" sheetId="97" r:id="rId46"/>
    <sheet name="CONFIG_LISTAS" sheetId="98" state="hidden" r:id="rId47"/>
    <sheet name="PAINEL_EXEC" sheetId="99" state="hidden" r:id="rId48"/>
    <sheet name="PAINEL" sheetId="100" r:id="rId49"/>
    <sheet name="_AUTO_BASE" sheetId="101" state="hidden" r:id="rId50"/>
  </sheets>
  <definedNames>
    <definedName name="EMB_600" localSheetId="1">CONFIG_LISTAS!$D$2</definedName>
    <definedName name="EMB_600" localSheetId="2">CONFIG_LISTAS!$D$2</definedName>
    <definedName name="EMB_600" localSheetId="0">CONFIG_LISTAS!$D$2</definedName>
    <definedName name="EMB_600" localSheetId="48">CONFIG_LISTAS!$D$2</definedName>
    <definedName name="EMB_600">CONFIG_LISTAS!$D$2:$D$2</definedName>
    <definedName name="EMB_COCO" localSheetId="1">CONFIG_LISTAS!$C$2:$C$3</definedName>
    <definedName name="EMB_COCO" localSheetId="2">CONFIG_LISTAS!$C$2:$C$3</definedName>
    <definedName name="EMB_COCO" localSheetId="0">CONFIG_LISTAS!$C$2:$C$3</definedName>
    <definedName name="EMB_COCO" localSheetId="48">CONFIG_LISTAS!$C$2:$C$3</definedName>
    <definedName name="EMB_COCO">CONFIG_LISTAS!$C$2:$C$3</definedName>
    <definedName name="EMB_CORANTE" localSheetId="1">CONFIG_LISTAS!$B$2</definedName>
    <definedName name="EMB_CORANTE" localSheetId="2">CONFIG_LISTAS!$B$2</definedName>
    <definedName name="EMB_CORANTE" localSheetId="0">CONFIG_LISTAS!$B$2</definedName>
    <definedName name="EMB_CORANTE" localSheetId="48">CONFIG_LISTAS!$B$2</definedName>
    <definedName name="EMB_CORANTE">CONFIG_LISTAS!$B$2:$B$2</definedName>
    <definedName name="EMB_TODAS" localSheetId="1">CONFIG_LISTAS!$A$2:$A$9</definedName>
    <definedName name="EMB_TODAS" localSheetId="2">CONFIG_LISTAS!$A$2:$A$9</definedName>
    <definedName name="EMB_TODAS" localSheetId="0">CONFIG_LISTAS!$A$2:$A$9</definedName>
    <definedName name="EMB_TODAS" localSheetId="48">CONFIG_LISTAS!$A$2:$A$9</definedName>
    <definedName name="EMB_TODAS">CONFIG_LISTAS!$A$2:$A$9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83" i="75" l="1"/>
  <c r="D173" i="75"/>
  <c r="O150" i="93"/>
  <c r="O9" i="90"/>
  <c r="O17" i="90"/>
  <c r="O25" i="90"/>
  <c r="O33" i="90"/>
  <c r="O41" i="90"/>
  <c r="O49" i="90"/>
  <c r="O57" i="90"/>
  <c r="O65" i="90"/>
  <c r="O73" i="90"/>
  <c r="O81" i="90"/>
  <c r="O89" i="90"/>
  <c r="O97" i="90"/>
  <c r="O105" i="90"/>
  <c r="O113" i="90"/>
  <c r="O121" i="90"/>
  <c r="O129" i="90"/>
  <c r="O137" i="90"/>
  <c r="O145" i="90"/>
  <c r="O153" i="90"/>
  <c r="O161" i="90"/>
  <c r="O169" i="90"/>
  <c r="O177" i="90"/>
  <c r="O185" i="90"/>
  <c r="O193" i="90"/>
  <c r="O201" i="90"/>
  <c r="O209" i="90"/>
  <c r="O217" i="90"/>
  <c r="O9" i="87"/>
  <c r="O17" i="87"/>
  <c r="O25" i="87"/>
  <c r="O33" i="87"/>
  <c r="O41" i="87"/>
  <c r="O49" i="87"/>
  <c r="O57" i="87"/>
  <c r="O65" i="87"/>
  <c r="O73" i="87"/>
  <c r="O81" i="87"/>
  <c r="O89" i="87"/>
  <c r="O97" i="87"/>
  <c r="O105" i="87"/>
  <c r="O113" i="87"/>
  <c r="O121" i="87"/>
  <c r="O129" i="87"/>
  <c r="O137" i="87"/>
  <c r="O145" i="87"/>
  <c r="O153" i="87"/>
  <c r="O161" i="87"/>
  <c r="O169" i="87"/>
  <c r="O177" i="87"/>
  <c r="O185" i="87"/>
  <c r="O193" i="87"/>
  <c r="O201" i="87"/>
  <c r="O9" i="84"/>
  <c r="O17" i="84"/>
  <c r="O25" i="84"/>
  <c r="O33" i="84"/>
  <c r="O41" i="84"/>
  <c r="O49" i="84"/>
  <c r="O57" i="84"/>
  <c r="O65" i="84"/>
  <c r="O73" i="84"/>
  <c r="O81" i="84"/>
  <c r="O89" i="84"/>
  <c r="O97" i="84"/>
  <c r="O105" i="84"/>
  <c r="O113" i="84"/>
  <c r="O121" i="84"/>
  <c r="O129" i="84"/>
  <c r="O137" i="84"/>
  <c r="O145" i="84"/>
  <c r="O153" i="84"/>
  <c r="O161" i="84"/>
  <c r="O169" i="84"/>
  <c r="O177" i="84"/>
  <c r="O185" i="84"/>
  <c r="O193" i="84"/>
  <c r="O201" i="84"/>
  <c r="O209" i="84"/>
  <c r="O216" i="84"/>
  <c r="O9" i="81"/>
  <c r="O17" i="81"/>
  <c r="O25" i="81"/>
  <c r="O33" i="81"/>
  <c r="O41" i="81"/>
  <c r="O49" i="81"/>
  <c r="O57" i="81"/>
  <c r="O65" i="81"/>
  <c r="O73" i="81"/>
  <c r="O81" i="81"/>
  <c r="O89" i="81"/>
  <c r="O97" i="81"/>
  <c r="O105" i="81"/>
  <c r="O113" i="81"/>
  <c r="O121" i="81"/>
  <c r="O129" i="81"/>
  <c r="O137" i="81"/>
  <c r="O145" i="81"/>
  <c r="O153" i="81"/>
  <c r="O161" i="81"/>
  <c r="O169" i="81"/>
  <c r="O177" i="81"/>
  <c r="O185" i="81"/>
  <c r="O193" i="81"/>
  <c r="O201" i="81"/>
  <c r="O209" i="81"/>
  <c r="O9" i="78"/>
  <c r="O17" i="78"/>
  <c r="O25" i="78"/>
  <c r="O33" i="78"/>
  <c r="O41" i="78"/>
  <c r="O49" i="78"/>
  <c r="O57" i="78"/>
  <c r="O65" i="78"/>
  <c r="O73" i="78"/>
  <c r="O81" i="78"/>
  <c r="O89" i="78"/>
  <c r="O97" i="78"/>
  <c r="O105" i="78"/>
  <c r="O113" i="78"/>
  <c r="O121" i="78"/>
  <c r="O129" i="78"/>
  <c r="O137" i="78"/>
  <c r="O145" i="78"/>
  <c r="O153" i="78"/>
  <c r="O161" i="78"/>
  <c r="O169" i="78"/>
  <c r="O177" i="78"/>
  <c r="O185" i="78"/>
  <c r="O193" i="78"/>
  <c r="O201" i="78"/>
  <c r="O209" i="78"/>
  <c r="O9" i="75"/>
  <c r="O17" i="75"/>
  <c r="O25" i="75"/>
  <c r="O33" i="75"/>
  <c r="O41" i="75"/>
  <c r="O50" i="75"/>
  <c r="O59" i="75"/>
  <c r="O67" i="75"/>
  <c r="O75" i="75"/>
  <c r="O83" i="75"/>
  <c r="O92" i="75"/>
  <c r="O100" i="75"/>
  <c r="O108" i="75"/>
  <c r="O116" i="75"/>
  <c r="O125" i="75"/>
  <c r="O133" i="75"/>
  <c r="O142" i="75"/>
  <c r="O150" i="75"/>
  <c r="O160" i="75"/>
  <c r="O204" i="75"/>
  <c r="O212" i="75"/>
  <c r="O220" i="75"/>
  <c r="O228" i="75"/>
  <c r="O9" i="72"/>
  <c r="O17" i="72"/>
  <c r="O25" i="72"/>
  <c r="O33" i="72"/>
  <c r="O41" i="72"/>
  <c r="O49" i="72"/>
  <c r="O57" i="72"/>
  <c r="O66" i="72"/>
  <c r="O75" i="72"/>
  <c r="O83" i="72"/>
  <c r="O92" i="72"/>
  <c r="O103" i="72"/>
  <c r="O111" i="72"/>
  <c r="O122" i="72"/>
  <c r="O130" i="72"/>
  <c r="O138" i="72"/>
  <c r="O146" i="72"/>
  <c r="O154" i="72"/>
  <c r="O162" i="72"/>
  <c r="O170" i="72"/>
  <c r="O179" i="72"/>
  <c r="O187" i="72"/>
  <c r="O196" i="72"/>
  <c r="O204" i="72"/>
  <c r="O212" i="72"/>
  <c r="O220" i="72"/>
  <c r="O10" i="69"/>
  <c r="O18" i="69"/>
  <c r="O26" i="69"/>
  <c r="O35" i="69"/>
  <c r="O47" i="69"/>
  <c r="O57" i="69"/>
  <c r="O65" i="69"/>
  <c r="O73" i="69"/>
  <c r="O82" i="69"/>
  <c r="O90" i="69"/>
  <c r="O98" i="69"/>
  <c r="O106" i="69"/>
  <c r="O114" i="69"/>
  <c r="O121" i="69"/>
  <c r="O131" i="69"/>
  <c r="O139" i="69"/>
  <c r="O147" i="69"/>
  <c r="O155" i="69"/>
  <c r="O164" i="69"/>
  <c r="O172" i="69"/>
  <c r="O180" i="69"/>
  <c r="O190" i="69"/>
  <c r="O199" i="69"/>
  <c r="O207" i="69"/>
  <c r="O215" i="69"/>
  <c r="O225" i="69"/>
  <c r="O14" i="66"/>
  <c r="O22" i="66"/>
  <c r="O30" i="66"/>
  <c r="O42" i="66"/>
  <c r="O52" i="66"/>
  <c r="O60" i="66"/>
  <c r="O68" i="66"/>
  <c r="O76" i="66"/>
  <c r="O84" i="66"/>
  <c r="O92" i="66"/>
  <c r="O100" i="66"/>
  <c r="O108" i="66"/>
  <c r="O116" i="66"/>
  <c r="O124" i="66"/>
  <c r="O132" i="66"/>
  <c r="O140" i="66"/>
  <c r="O148" i="66"/>
  <c r="O157" i="66"/>
  <c r="O165" i="66"/>
  <c r="O173" i="66"/>
  <c r="O181" i="66"/>
  <c r="O189" i="66"/>
  <c r="O197" i="66"/>
  <c r="O205" i="66"/>
  <c r="Q10" i="63"/>
  <c r="Q19" i="63"/>
  <c r="Q28" i="63"/>
  <c r="Q37" i="63"/>
  <c r="Q46" i="63"/>
  <c r="Q55" i="63"/>
  <c r="Q64" i="63"/>
  <c r="Q73" i="63"/>
  <c r="Q82" i="63"/>
  <c r="Q91" i="63"/>
  <c r="Q100" i="63"/>
  <c r="Q109" i="63"/>
  <c r="Q118" i="63"/>
  <c r="Q127" i="63"/>
  <c r="Q136" i="63"/>
  <c r="Q145" i="63"/>
  <c r="Q154" i="63"/>
  <c r="Q163" i="63"/>
  <c r="Q172" i="63"/>
  <c r="Q181" i="63"/>
  <c r="Q190" i="63"/>
  <c r="Q199" i="63"/>
  <c r="R9" i="60"/>
  <c r="R17" i="60"/>
  <c r="R25" i="60"/>
  <c r="R35" i="60"/>
  <c r="R44" i="60"/>
  <c r="R53" i="60"/>
  <c r="R61" i="60"/>
  <c r="R69" i="60"/>
  <c r="R77" i="60"/>
  <c r="R89" i="60"/>
  <c r="R99" i="60"/>
  <c r="R109" i="60"/>
  <c r="R118" i="60"/>
  <c r="R126" i="60"/>
  <c r="R135" i="60"/>
  <c r="R147" i="60"/>
  <c r="R156" i="60"/>
  <c r="R164" i="60"/>
  <c r="R198" i="60"/>
  <c r="R9" i="57"/>
  <c r="R16" i="57"/>
  <c r="R24" i="57"/>
  <c r="R32" i="57"/>
  <c r="R41" i="57"/>
  <c r="R49" i="57"/>
  <c r="R57" i="57"/>
  <c r="R65" i="57"/>
  <c r="R74" i="57"/>
  <c r="R82" i="57"/>
  <c r="R92" i="57"/>
  <c r="R102" i="57"/>
  <c r="R110" i="57"/>
  <c r="R120" i="57"/>
  <c r="R132" i="57"/>
  <c r="R142" i="57"/>
  <c r="R150" i="57"/>
  <c r="R161" i="57"/>
  <c r="R169" i="57"/>
  <c r="R198" i="57"/>
  <c r="N9" i="90" a="1"/>
  <c r="N9" i="90"/>
  <c r="N17" i="90" a="1"/>
  <c r="N17" i="90"/>
  <c r="N25" i="90" a="1"/>
  <c r="N25" i="90"/>
  <c r="N33" i="90" a="1"/>
  <c r="N33" i="90"/>
  <c r="N41" i="90" a="1"/>
  <c r="N41" i="90"/>
  <c r="N49" i="90" a="1"/>
  <c r="N49" i="90"/>
  <c r="N57" i="90" a="1"/>
  <c r="N57" i="90"/>
  <c r="N65" i="90" a="1"/>
  <c r="N65" i="90"/>
  <c r="N73" i="90" a="1"/>
  <c r="N73" i="90"/>
  <c r="N81" i="90" a="1"/>
  <c r="N81" i="90"/>
  <c r="N89" i="90" a="1"/>
  <c r="N89" i="90"/>
  <c r="N97" i="90" a="1"/>
  <c r="N97" i="90"/>
  <c r="N105" i="90" a="1"/>
  <c r="N105" i="90"/>
  <c r="N113" i="90" a="1"/>
  <c r="N113" i="90"/>
  <c r="N121" i="90" a="1"/>
  <c r="N121" i="90"/>
  <c r="N129" i="90" a="1"/>
  <c r="N129" i="90"/>
  <c r="N137" i="90" a="1"/>
  <c r="N137" i="90"/>
  <c r="N145" i="90" a="1"/>
  <c r="N145" i="90"/>
  <c r="N153" i="90" a="1"/>
  <c r="N153" i="90"/>
  <c r="N161" i="90" a="1"/>
  <c r="N161" i="90"/>
  <c r="N169" i="90" a="1"/>
  <c r="N169" i="90"/>
  <c r="N177" i="90" a="1"/>
  <c r="N177" i="90"/>
  <c r="N185" i="90" a="1"/>
  <c r="N185" i="90"/>
  <c r="N193" i="90" a="1"/>
  <c r="N193" i="90"/>
  <c r="N201" i="90" a="1"/>
  <c r="N201" i="90"/>
  <c r="N209" i="90" a="1"/>
  <c r="N209" i="90"/>
  <c r="N217" i="90" a="1"/>
  <c r="N217" i="90"/>
  <c r="N9" i="87" a="1"/>
  <c r="N9" i="87"/>
  <c r="N17" i="87" a="1"/>
  <c r="N17" i="87"/>
  <c r="N25" i="87" a="1"/>
  <c r="N25" i="87"/>
  <c r="N33" i="87" a="1"/>
  <c r="N33" i="87"/>
  <c r="N41" i="87" a="1"/>
  <c r="N41" i="87"/>
  <c r="N49" i="87" a="1"/>
  <c r="N49" i="87"/>
  <c r="N57" i="87" a="1"/>
  <c r="N57" i="87"/>
  <c r="N65" i="87" a="1"/>
  <c r="N65" i="87"/>
  <c r="N73" i="87" a="1"/>
  <c r="N73" i="87"/>
  <c r="N81" i="87" a="1"/>
  <c r="N81" i="87"/>
  <c r="N89" i="87" a="1"/>
  <c r="N89" i="87"/>
  <c r="N97" i="87" a="1"/>
  <c r="N97" i="87"/>
  <c r="N105" i="87" a="1"/>
  <c r="N105" i="87"/>
  <c r="N113" i="87" a="1"/>
  <c r="N113" i="87"/>
  <c r="N121" i="87" a="1"/>
  <c r="N121" i="87"/>
  <c r="N129" i="87" a="1"/>
  <c r="N129" i="87"/>
  <c r="N137" i="87" a="1"/>
  <c r="N137" i="87"/>
  <c r="N145" i="87" a="1"/>
  <c r="N145" i="87"/>
  <c r="N153" i="87" a="1"/>
  <c r="N153" i="87"/>
  <c r="N161" i="87" a="1"/>
  <c r="N161" i="87"/>
  <c r="N169" i="87" a="1"/>
  <c r="N169" i="87"/>
  <c r="N177" i="87" a="1"/>
  <c r="N177" i="87"/>
  <c r="N185" i="87" a="1"/>
  <c r="N185" i="87"/>
  <c r="N193" i="87" a="1"/>
  <c r="N193" i="87"/>
  <c r="N201" i="87" a="1"/>
  <c r="N201" i="87"/>
  <c r="N9" i="84" a="1"/>
  <c r="N9" i="84"/>
  <c r="N17" i="84" a="1"/>
  <c r="N17" i="84"/>
  <c r="N25" i="84" a="1"/>
  <c r="N25" i="84"/>
  <c r="N33" i="84" a="1"/>
  <c r="N33" i="84" s="1"/>
  <c r="N41" i="84" a="1"/>
  <c r="N41" i="84"/>
  <c r="N49" i="84" a="1"/>
  <c r="N49" i="84"/>
  <c r="N57" i="84" a="1"/>
  <c r="N57" i="84"/>
  <c r="N65" i="84" a="1"/>
  <c r="N65" i="84" s="1"/>
  <c r="N73" i="84" a="1"/>
  <c r="N73" i="84"/>
  <c r="N81" i="84" a="1"/>
  <c r="N81" i="84"/>
  <c r="N89" i="84" a="1"/>
  <c r="N89" i="84"/>
  <c r="N97" i="84" a="1"/>
  <c r="N97" i="84" s="1"/>
  <c r="N105" i="84" a="1"/>
  <c r="N105" i="84"/>
  <c r="N113" i="84" a="1"/>
  <c r="N113" i="84"/>
  <c r="N121" i="84" a="1"/>
  <c r="N121" i="84"/>
  <c r="N129" i="84" a="1"/>
  <c r="N129" i="84" s="1"/>
  <c r="N137" i="84" a="1"/>
  <c r="N137" i="84"/>
  <c r="N145" i="84" a="1"/>
  <c r="N145" i="84"/>
  <c r="N153" i="84" a="1"/>
  <c r="N153" i="84"/>
  <c r="N161" i="84" a="1"/>
  <c r="N161" i="84" s="1"/>
  <c r="N169" i="84" a="1"/>
  <c r="N169" i="84"/>
  <c r="N177" i="84" a="1"/>
  <c r="N177" i="84"/>
  <c r="N185" i="84" a="1"/>
  <c r="N185" i="84"/>
  <c r="N193" i="84" a="1"/>
  <c r="N193" i="84" s="1"/>
  <c r="N201" i="84" a="1"/>
  <c r="N201" i="84"/>
  <c r="N209" i="84" a="1"/>
  <c r="N209" i="84"/>
  <c r="N216" i="84" a="1"/>
  <c r="N216" i="84"/>
  <c r="N9" i="81" a="1"/>
  <c r="N9" i="81" s="1"/>
  <c r="N17" i="81" a="1"/>
  <c r="N17" i="81"/>
  <c r="N25" i="81" a="1"/>
  <c r="N25" i="81"/>
  <c r="N33" i="81" a="1"/>
  <c r="N33" i="81"/>
  <c r="N41" i="81" a="1"/>
  <c r="N41" i="81" s="1"/>
  <c r="N49" i="81" a="1"/>
  <c r="N49" i="81"/>
  <c r="N57" i="81" a="1"/>
  <c r="N57" i="81"/>
  <c r="N65" i="81" a="1"/>
  <c r="N65" i="81"/>
  <c r="N73" i="81" a="1"/>
  <c r="N73" i="81" s="1"/>
  <c r="N81" i="81" a="1"/>
  <c r="N81" i="81"/>
  <c r="N89" i="81" a="1"/>
  <c r="N89" i="81"/>
  <c r="N97" i="81" a="1"/>
  <c r="N97" i="81"/>
  <c r="N105" i="81" a="1"/>
  <c r="N105" i="81" s="1"/>
  <c r="N113" i="81" a="1"/>
  <c r="N113" i="81"/>
  <c r="N121" i="81" a="1"/>
  <c r="N121" i="81"/>
  <c r="N129" i="81" a="1"/>
  <c r="N129" i="81"/>
  <c r="N137" i="81" a="1"/>
  <c r="N137" i="81" s="1"/>
  <c r="N145" i="81" a="1"/>
  <c r="N145" i="81"/>
  <c r="N153" i="81" a="1"/>
  <c r="N153" i="81"/>
  <c r="N161" i="81" a="1"/>
  <c r="N161" i="81"/>
  <c r="N169" i="81" a="1"/>
  <c r="N169" i="81" s="1"/>
  <c r="N177" i="81" a="1"/>
  <c r="N177" i="81"/>
  <c r="N185" i="81" a="1"/>
  <c r="N185" i="81"/>
  <c r="N193" i="81" a="1"/>
  <c r="N193" i="81"/>
  <c r="N201" i="81" a="1"/>
  <c r="N201" i="81" s="1"/>
  <c r="N209" i="81" a="1"/>
  <c r="N209" i="81"/>
  <c r="N9" i="78" a="1"/>
  <c r="N9" i="78" s="1"/>
  <c r="N17" i="78" a="1"/>
  <c r="N17" i="78"/>
  <c r="N25" i="78" a="1"/>
  <c r="N25" i="78"/>
  <c r="N33" i="78" a="1"/>
  <c r="N33" i="78"/>
  <c r="N41" i="78" a="1"/>
  <c r="N41" i="78" s="1"/>
  <c r="N49" i="78" a="1"/>
  <c r="N49" i="78"/>
  <c r="N57" i="78" a="1"/>
  <c r="N57" i="78"/>
  <c r="N65" i="78" a="1"/>
  <c r="N65" i="78"/>
  <c r="N73" i="78" a="1"/>
  <c r="N73" i="78" s="1"/>
  <c r="N81" i="78" a="1"/>
  <c r="N81" i="78"/>
  <c r="N89" i="78" a="1"/>
  <c r="N89" i="78"/>
  <c r="N97" i="78" a="1"/>
  <c r="N97" i="78"/>
  <c r="N105" i="78" a="1"/>
  <c r="N105" i="78" s="1"/>
  <c r="N113" i="78" a="1"/>
  <c r="N113" i="78"/>
  <c r="N121" i="78" a="1"/>
  <c r="N121" i="78"/>
  <c r="N129" i="78" a="1"/>
  <c r="N129" i="78"/>
  <c r="N137" i="78" a="1"/>
  <c r="N137" i="78" s="1"/>
  <c r="N145" i="78" a="1"/>
  <c r="N145" i="78"/>
  <c r="N153" i="78" a="1"/>
  <c r="N153" i="78"/>
  <c r="N161" i="78" a="1"/>
  <c r="N161" i="78"/>
  <c r="N169" i="78" a="1"/>
  <c r="N169" i="78" s="1"/>
  <c r="N177" i="78" a="1"/>
  <c r="N177" i="78"/>
  <c r="N185" i="78" a="1"/>
  <c r="N185" i="78"/>
  <c r="N193" i="78" a="1"/>
  <c r="N193" i="78"/>
  <c r="N201" i="78" a="1"/>
  <c r="N201" i="78" s="1"/>
  <c r="N209" i="78" a="1"/>
  <c r="N209" i="78"/>
  <c r="N9" i="75" a="1"/>
  <c r="N9" i="75" s="1"/>
  <c r="N17" i="75" a="1"/>
  <c r="N17" i="75"/>
  <c r="N25" i="75" a="1"/>
  <c r="N25" i="75"/>
  <c r="N33" i="75" a="1"/>
  <c r="N33" i="75"/>
  <c r="N41" i="75" a="1"/>
  <c r="N41" i="75" s="1"/>
  <c r="N50" i="75" a="1"/>
  <c r="N50" i="75"/>
  <c r="N59" i="75" a="1"/>
  <c r="N59" i="75"/>
  <c r="N67" i="75" a="1"/>
  <c r="N67" i="75"/>
  <c r="N75" i="75" a="1"/>
  <c r="N75" i="75" s="1"/>
  <c r="N83" i="75" a="1"/>
  <c r="N83" i="75"/>
  <c r="N92" i="75" a="1"/>
  <c r="N92" i="75"/>
  <c r="N100" i="75" a="1"/>
  <c r="N100" i="75"/>
  <c r="N108" i="75" a="1"/>
  <c r="N108" i="75" s="1"/>
  <c r="N116" i="75" a="1"/>
  <c r="N116" i="75"/>
  <c r="N125" i="75" a="1"/>
  <c r="N125" i="75"/>
  <c r="N133" i="75" a="1"/>
  <c r="N133" i="75"/>
  <c r="N142" i="75" a="1"/>
  <c r="N142" i="75" s="1"/>
  <c r="N150" i="75" a="1"/>
  <c r="N150" i="75"/>
  <c r="N160" i="75" a="1"/>
  <c r="N160" i="75"/>
  <c r="N180" i="75" a="1"/>
  <c r="N180" i="75" s="1"/>
  <c r="O180" i="75" s="1"/>
  <c r="N188" i="75" a="1"/>
  <c r="N188" i="75" s="1"/>
  <c r="O188" i="75" s="1"/>
  <c r="N196" i="75" a="1"/>
  <c r="N196" i="75" s="1"/>
  <c r="O196" i="75" s="1"/>
  <c r="N204" i="75" a="1"/>
  <c r="N204" i="75"/>
  <c r="N212" i="75" a="1"/>
  <c r="N212" i="75" s="1"/>
  <c r="N220" i="75" a="1"/>
  <c r="N220" i="75"/>
  <c r="N228" i="75" a="1"/>
  <c r="N228" i="75"/>
  <c r="N10" i="69" a="1"/>
  <c r="N10" i="69"/>
  <c r="N18" i="69" a="1"/>
  <c r="N18" i="69"/>
  <c r="N26" i="69" a="1"/>
  <c r="N26" i="69"/>
  <c r="N35" i="69" a="1"/>
  <c r="N35" i="69"/>
  <c r="N47" i="69" a="1"/>
  <c r="N47" i="69"/>
  <c r="N57" i="69" a="1"/>
  <c r="N57" i="69" s="1"/>
  <c r="N65" i="69" a="1"/>
  <c r="N65" i="69"/>
  <c r="N73" i="69" a="1"/>
  <c r="N73" i="69"/>
  <c r="N82" i="69" a="1"/>
  <c r="N82" i="69" s="1"/>
  <c r="N90" i="69" a="1"/>
  <c r="N90" i="69"/>
  <c r="N98" i="69" a="1"/>
  <c r="N98" i="69"/>
  <c r="N106" i="69" a="1"/>
  <c r="N106" i="69"/>
  <c r="N114" i="69" a="1"/>
  <c r="N114" i="69" s="1"/>
  <c r="N121" i="69" a="1"/>
  <c r="N121" i="69"/>
  <c r="N131" i="69" a="1"/>
  <c r="N131" i="69"/>
  <c r="N139" i="69" a="1"/>
  <c r="N139" i="69"/>
  <c r="N147" i="69" a="1"/>
  <c r="N147" i="69" s="1"/>
  <c r="N155" i="69" a="1"/>
  <c r="N155" i="69"/>
  <c r="N164" i="69" a="1"/>
  <c r="N164" i="69"/>
  <c r="N172" i="69" a="1"/>
  <c r="N172" i="69"/>
  <c r="N180" i="69" a="1"/>
  <c r="N180" i="69" s="1"/>
  <c r="N190" i="69" a="1"/>
  <c r="N190" i="69"/>
  <c r="N199" i="69" a="1"/>
  <c r="N199" i="69"/>
  <c r="N207" i="69" a="1"/>
  <c r="N207" i="69"/>
  <c r="N215" i="69" a="1"/>
  <c r="N215" i="69" s="1"/>
  <c r="N225" i="69" a="1"/>
  <c r="N225" i="69"/>
  <c r="N14" i="66" a="1"/>
  <c r="N14" i="66" s="1"/>
  <c r="N22" i="66" a="1"/>
  <c r="N22" i="66"/>
  <c r="N30" i="66" a="1"/>
  <c r="N30" i="66"/>
  <c r="N42" i="66" a="1"/>
  <c r="N42" i="66"/>
  <c r="N52" i="66" a="1"/>
  <c r="N52" i="66" s="1"/>
  <c r="N60" i="66" a="1"/>
  <c r="N60" i="66"/>
  <c r="N68" i="66" a="1"/>
  <c r="N68" i="66"/>
  <c r="N76" i="66" a="1"/>
  <c r="N76" i="66"/>
  <c r="N84" i="66" a="1"/>
  <c r="N84" i="66" s="1"/>
  <c r="N92" i="66" a="1"/>
  <c r="N92" i="66"/>
  <c r="N100" i="66" a="1"/>
  <c r="N100" i="66"/>
  <c r="N108" i="66" a="1"/>
  <c r="N108" i="66"/>
  <c r="N116" i="66" a="1"/>
  <c r="N116" i="66" s="1"/>
  <c r="N124" i="66" a="1"/>
  <c r="N124" i="66"/>
  <c r="N132" i="66" a="1"/>
  <c r="N132" i="66"/>
  <c r="N140" i="66" a="1"/>
  <c r="N140" i="66"/>
  <c r="N148" i="66" a="1"/>
  <c r="N148" i="66" s="1"/>
  <c r="N157" i="66" a="1"/>
  <c r="N157" i="66"/>
  <c r="N165" i="66" a="1"/>
  <c r="N165" i="66"/>
  <c r="N173" i="66" a="1"/>
  <c r="N173" i="66"/>
  <c r="N181" i="66" a="1"/>
  <c r="N181" i="66" s="1"/>
  <c r="N189" i="66" a="1"/>
  <c r="N189" i="66"/>
  <c r="N197" i="66" a="1"/>
  <c r="N197" i="66"/>
  <c r="N205" i="66" a="1"/>
  <c r="N205" i="66"/>
  <c r="P10" i="63" a="1"/>
  <c r="P10" i="63"/>
  <c r="P19" i="63" a="1"/>
  <c r="P19" i="63"/>
  <c r="P28" i="63" a="1"/>
  <c r="P28" i="63"/>
  <c r="P37" i="63" a="1"/>
  <c r="P37" i="63"/>
  <c r="P46" i="63" a="1"/>
  <c r="P46" i="63"/>
  <c r="P55" i="63" a="1"/>
  <c r="P55" i="63"/>
  <c r="P64" i="63" a="1"/>
  <c r="P64" i="63"/>
  <c r="P73" i="63" a="1"/>
  <c r="P73" i="63"/>
  <c r="P82" i="63" a="1"/>
  <c r="P82" i="63"/>
  <c r="P91" i="63" a="1"/>
  <c r="P91" i="63"/>
  <c r="P100" i="63" a="1"/>
  <c r="P100" i="63"/>
  <c r="P109" i="63" a="1"/>
  <c r="P109" i="63"/>
  <c r="P118" i="63" a="1"/>
  <c r="P118" i="63"/>
  <c r="P127" i="63" a="1"/>
  <c r="P127" i="63"/>
  <c r="P136" i="63" a="1"/>
  <c r="P136" i="63"/>
  <c r="P145" i="63" a="1"/>
  <c r="P145" i="63"/>
  <c r="P154" i="63" a="1"/>
  <c r="P154" i="63" s="1"/>
  <c r="P163" i="63" a="1"/>
  <c r="P163" i="63"/>
  <c r="P172" i="63" a="1"/>
  <c r="P172" i="63"/>
  <c r="P181" i="63" a="1"/>
  <c r="P181" i="63"/>
  <c r="P190" i="63" a="1"/>
  <c r="P190" i="63" s="1"/>
  <c r="P199" i="63" a="1"/>
  <c r="P199" i="63"/>
  <c r="Q9" i="60" a="1"/>
  <c r="Q9" i="60"/>
  <c r="Q17" i="60" a="1"/>
  <c r="Q17" i="60"/>
  <c r="Q25" i="60" a="1"/>
  <c r="Q25" i="60" s="1"/>
  <c r="Q35" i="60" a="1"/>
  <c r="Q35" i="60"/>
  <c r="Q44" i="60" a="1"/>
  <c r="Q44" i="60"/>
  <c r="Q53" i="60" a="1"/>
  <c r="Q53" i="60"/>
  <c r="Q61" i="60" a="1"/>
  <c r="Q61" i="60"/>
  <c r="Q69" i="60" a="1"/>
  <c r="Q69" i="60"/>
  <c r="Q77" i="60" a="1"/>
  <c r="Q77" i="60"/>
  <c r="Q89" i="60" a="1"/>
  <c r="Q89" i="60"/>
  <c r="Q99" i="60" a="1"/>
  <c r="Q99" i="60"/>
  <c r="Q109" i="60" a="1"/>
  <c r="Q109" i="60"/>
  <c r="Q118" i="60" a="1"/>
  <c r="Q118" i="60"/>
  <c r="Q126" i="60" a="1"/>
  <c r="Q126" i="60"/>
  <c r="Q135" i="60" a="1"/>
  <c r="Q135" i="60"/>
  <c r="Q147" i="60" a="1"/>
  <c r="Q147" i="60"/>
  <c r="Q156" i="60" a="1"/>
  <c r="Q156" i="60"/>
  <c r="Q164" i="60" a="1"/>
  <c r="Q164" i="60"/>
  <c r="Q9" i="57" a="1"/>
  <c r="Q9" i="57" s="1"/>
  <c r="Q16" i="57" a="1"/>
  <c r="Q16" i="57" s="1"/>
  <c r="Q24" i="57" a="1"/>
  <c r="Q24" i="57" s="1"/>
  <c r="Q32" i="57" a="1"/>
  <c r="Q32" i="57" s="1"/>
  <c r="Q41" i="57" a="1"/>
  <c r="Q41" i="57" s="1"/>
  <c r="Q49" i="57" a="1"/>
  <c r="Q49" i="57" s="1"/>
  <c r="Q57" i="57" a="1"/>
  <c r="Q57" i="57" s="1"/>
  <c r="Q65" i="57" a="1"/>
  <c r="Q65" i="57" s="1"/>
  <c r="Q74" i="57" a="1"/>
  <c r="Q74" i="57" s="1"/>
  <c r="Q82" i="57" a="1"/>
  <c r="Q82" i="57" s="1"/>
  <c r="Q92" i="57" a="1"/>
  <c r="Q92" i="57" s="1"/>
  <c r="Q102" i="57" a="1"/>
  <c r="Q102" i="57" s="1"/>
  <c r="Q110" i="57" a="1"/>
  <c r="Q110" i="57" s="1"/>
  <c r="Q120" i="57" a="1"/>
  <c r="Q120" i="57" s="1"/>
  <c r="Q132" i="57" a="1"/>
  <c r="Q132" i="57" s="1"/>
  <c r="Q142" i="57" a="1"/>
  <c r="Q142" i="57" s="1"/>
  <c r="Q150" i="57" a="1"/>
  <c r="Q150" i="57" s="1"/>
  <c r="Q161" i="57" a="1"/>
  <c r="Q161" i="57" s="1"/>
  <c r="Q169" i="57" a="1"/>
  <c r="Q169" i="57" s="1"/>
  <c r="Q198" i="57" a="1"/>
  <c r="Q198" i="57" s="1"/>
  <c r="N220" i="72" a="1"/>
  <c r="N220" i="72"/>
  <c r="N212" i="72" a="1"/>
  <c r="N212" i="72"/>
  <c r="N204" i="72" a="1"/>
  <c r="N204" i="72"/>
  <c r="N196" i="72" a="1"/>
  <c r="N196" i="72" s="1"/>
  <c r="N187" i="72" a="1"/>
  <c r="N187" i="72"/>
  <c r="N179" i="72" a="1"/>
  <c r="N179" i="72"/>
  <c r="N170" i="72" a="1"/>
  <c r="N170" i="72"/>
  <c r="N162" i="72" a="1"/>
  <c r="N162" i="72"/>
  <c r="N154" i="72" a="1"/>
  <c r="N154" i="72"/>
  <c r="N146" i="72" a="1"/>
  <c r="N146" i="72" s="1"/>
  <c r="N138" i="72" a="1"/>
  <c r="N138" i="72" s="1"/>
  <c r="N130" i="72" a="1"/>
  <c r="N130" i="72" s="1"/>
  <c r="N122" i="72" a="1"/>
  <c r="N122" i="72"/>
  <c r="N111" i="72" a="1"/>
  <c r="N111" i="72" s="1"/>
  <c r="N103" i="72" a="1"/>
  <c r="N103" i="72"/>
  <c r="N92" i="72" a="1"/>
  <c r="N92" i="72" s="1"/>
  <c r="N83" i="72" a="1"/>
  <c r="N83" i="72" s="1"/>
  <c r="N75" i="72" a="1"/>
  <c r="N75" i="72"/>
  <c r="N66" i="72" a="1"/>
  <c r="N66" i="72"/>
  <c r="N57" i="72" a="1"/>
  <c r="N57" i="72"/>
  <c r="N49" i="72" a="1"/>
  <c r="N49" i="72" s="1"/>
  <c r="N41" i="72" a="1"/>
  <c r="N41" i="72"/>
  <c r="N33" i="72" a="1"/>
  <c r="N33" i="72"/>
  <c r="N25" i="72" a="1"/>
  <c r="N25" i="72"/>
  <c r="N17" i="72" a="1"/>
  <c r="N17" i="72"/>
  <c r="N9" i="72" a="1"/>
  <c r="N9" i="72"/>
  <c r="D163" i="75" l="1"/>
  <c r="O149" i="93" l="1"/>
  <c r="P9" i="105" l="1"/>
  <c r="Q9" i="105"/>
  <c r="R9" i="105"/>
  <c r="S9" i="105"/>
  <c r="P10" i="105"/>
  <c r="Q10" i="105"/>
  <c r="R10" i="105"/>
  <c r="S10" i="105"/>
  <c r="P11" i="105"/>
  <c r="Q11" i="105"/>
  <c r="R11" i="105"/>
  <c r="S11" i="105"/>
  <c r="P12" i="105"/>
  <c r="Q12" i="105"/>
  <c r="R12" i="105"/>
  <c r="S12" i="105"/>
  <c r="P13" i="105"/>
  <c r="Q13" i="105"/>
  <c r="R13" i="105"/>
  <c r="S13" i="105"/>
  <c r="P14" i="105"/>
  <c r="Q14" i="105"/>
  <c r="R14" i="105"/>
  <c r="S14" i="105"/>
  <c r="P15" i="105"/>
  <c r="Q15" i="105"/>
  <c r="R15" i="105"/>
  <c r="S15" i="105"/>
  <c r="P16" i="105"/>
  <c r="Q16" i="105"/>
  <c r="R16" i="105"/>
  <c r="S16" i="105"/>
  <c r="P17" i="105"/>
  <c r="Q17" i="105"/>
  <c r="R17" i="105"/>
  <c r="S17" i="105"/>
  <c r="P18" i="105"/>
  <c r="Q18" i="105"/>
  <c r="R18" i="105"/>
  <c r="S18" i="105"/>
  <c r="P19" i="105"/>
  <c r="Q19" i="105"/>
  <c r="R19" i="105"/>
  <c r="S19" i="105"/>
  <c r="P20" i="105"/>
  <c r="Q20" i="105"/>
  <c r="R20" i="105"/>
  <c r="S20" i="105"/>
  <c r="P21" i="105"/>
  <c r="Q21" i="105"/>
  <c r="R21" i="105"/>
  <c r="S21" i="105"/>
  <c r="P22" i="105"/>
  <c r="Q22" i="105"/>
  <c r="R22" i="105"/>
  <c r="S22" i="105"/>
  <c r="P23" i="105"/>
  <c r="Q23" i="105"/>
  <c r="R23" i="105"/>
  <c r="S23" i="105"/>
  <c r="P24" i="105"/>
  <c r="Q24" i="105"/>
  <c r="R24" i="105"/>
  <c r="S24" i="105"/>
  <c r="P25" i="105"/>
  <c r="Q25" i="105"/>
  <c r="R25" i="105"/>
  <c r="S25" i="105"/>
  <c r="P26" i="105"/>
  <c r="Q26" i="105"/>
  <c r="R26" i="105"/>
  <c r="S26" i="105"/>
  <c r="P27" i="105"/>
  <c r="Q27" i="105"/>
  <c r="R27" i="105"/>
  <c r="S27" i="105"/>
  <c r="P28" i="105"/>
  <c r="Q28" i="105"/>
  <c r="R28" i="105"/>
  <c r="S28" i="105"/>
  <c r="P29" i="105"/>
  <c r="Q29" i="105"/>
  <c r="R29" i="105"/>
  <c r="S29" i="105"/>
  <c r="P30" i="105"/>
  <c r="Q30" i="105"/>
  <c r="R30" i="105"/>
  <c r="S30" i="105"/>
  <c r="T9" i="67"/>
  <c r="U9" i="67"/>
  <c r="V9" i="67"/>
  <c r="W9" i="67"/>
  <c r="T10" i="67"/>
  <c r="U10" i="67"/>
  <c r="V10" i="67"/>
  <c r="W10" i="67"/>
  <c r="T11" i="67"/>
  <c r="U11" i="67"/>
  <c r="V11" i="67"/>
  <c r="W11" i="67"/>
  <c r="T12" i="67"/>
  <c r="U12" i="67"/>
  <c r="V12" i="67"/>
  <c r="W12" i="67"/>
  <c r="T13" i="67"/>
  <c r="U13" i="67"/>
  <c r="V13" i="67"/>
  <c r="W13" i="67"/>
  <c r="T14" i="67"/>
  <c r="U14" i="67"/>
  <c r="V14" i="67"/>
  <c r="W14" i="67"/>
  <c r="T15" i="67"/>
  <c r="U15" i="67"/>
  <c r="V15" i="67"/>
  <c r="W15" i="67"/>
  <c r="T16" i="67"/>
  <c r="U16" i="67"/>
  <c r="V16" i="67"/>
  <c r="W16" i="67"/>
  <c r="T17" i="67"/>
  <c r="U17" i="67"/>
  <c r="V17" i="67"/>
  <c r="W17" i="67"/>
  <c r="T18" i="67"/>
  <c r="U18" i="67"/>
  <c r="V18" i="67"/>
  <c r="W18" i="67"/>
  <c r="T19" i="67"/>
  <c r="U19" i="67"/>
  <c r="V19" i="67"/>
  <c r="W19" i="67"/>
  <c r="T20" i="67"/>
  <c r="U20" i="67"/>
  <c r="V20" i="67"/>
  <c r="W20" i="67"/>
  <c r="T21" i="67"/>
  <c r="U21" i="67"/>
  <c r="V21" i="67"/>
  <c r="W21" i="67"/>
  <c r="T22" i="67"/>
  <c r="U22" i="67"/>
  <c r="V22" i="67"/>
  <c r="W22" i="67"/>
  <c r="T23" i="67"/>
  <c r="U23" i="67"/>
  <c r="V23" i="67"/>
  <c r="W23" i="67"/>
  <c r="T24" i="67"/>
  <c r="U24" i="67"/>
  <c r="V24" i="67"/>
  <c r="W24" i="67"/>
  <c r="T25" i="67"/>
  <c r="U25" i="67"/>
  <c r="V25" i="67"/>
  <c r="W25" i="67"/>
  <c r="T26" i="67"/>
  <c r="U26" i="67"/>
  <c r="V26" i="67"/>
  <c r="W26" i="67"/>
  <c r="T27" i="67"/>
  <c r="U27" i="67"/>
  <c r="V27" i="67"/>
  <c r="W27" i="67"/>
  <c r="T28" i="67"/>
  <c r="U28" i="67"/>
  <c r="V28" i="67"/>
  <c r="W28" i="67"/>
  <c r="T29" i="67"/>
  <c r="U29" i="67"/>
  <c r="V29" i="67"/>
  <c r="W29" i="67"/>
  <c r="T30" i="67"/>
  <c r="U30" i="67"/>
  <c r="V30" i="67"/>
  <c r="W30" i="67"/>
  <c r="C34" i="105"/>
  <c r="C33" i="105"/>
  <c r="D33" i="105" s="1"/>
  <c r="D32" i="105"/>
  <c r="C32" i="105"/>
  <c r="D31" i="105"/>
  <c r="C31" i="105"/>
  <c r="X30" i="105"/>
  <c r="E30" i="105"/>
  <c r="D30" i="105"/>
  <c r="C30" i="105"/>
  <c r="Y29" i="105"/>
  <c r="X29" i="105"/>
  <c r="C29" i="105"/>
  <c r="D29" i="105" s="1"/>
  <c r="Y28" i="105"/>
  <c r="X28" i="105"/>
  <c r="D28" i="105"/>
  <c r="C28" i="105"/>
  <c r="E28" i="105" s="1"/>
  <c r="E27" i="105"/>
  <c r="D27" i="105"/>
  <c r="C27" i="105"/>
  <c r="X26" i="105"/>
  <c r="D26" i="105"/>
  <c r="Y27" i="105" s="1"/>
  <c r="C26" i="105"/>
  <c r="X25" i="105"/>
  <c r="C25" i="105"/>
  <c r="X24" i="105"/>
  <c r="C24" i="105"/>
  <c r="X23" i="105"/>
  <c r="D23" i="105"/>
  <c r="C23" i="105"/>
  <c r="Y22" i="105"/>
  <c r="X22" i="105"/>
  <c r="C22" i="105"/>
  <c r="Y21" i="105"/>
  <c r="X21" i="105"/>
  <c r="E21" i="105"/>
  <c r="D21" i="105"/>
  <c r="C21" i="105"/>
  <c r="X20" i="105"/>
  <c r="D20" i="105"/>
  <c r="C20" i="105"/>
  <c r="Y19" i="105"/>
  <c r="X19" i="105"/>
  <c r="C19" i="105"/>
  <c r="D18" i="105"/>
  <c r="C18" i="105"/>
  <c r="X17" i="105"/>
  <c r="C17" i="105"/>
  <c r="C16" i="105"/>
  <c r="Y15" i="105"/>
  <c r="X15" i="105"/>
  <c r="C15" i="105"/>
  <c r="X16" i="105" s="1"/>
  <c r="X14" i="105"/>
  <c r="D14" i="105"/>
  <c r="E14" i="105" s="1"/>
  <c r="C14" i="105"/>
  <c r="Y13" i="105"/>
  <c r="X13" i="105"/>
  <c r="C13" i="105"/>
  <c r="D12" i="105"/>
  <c r="C12" i="105"/>
  <c r="X11" i="105"/>
  <c r="C11" i="105"/>
  <c r="D11" i="105" s="1"/>
  <c r="C10" i="105"/>
  <c r="Y9" i="105"/>
  <c r="X9" i="105"/>
  <c r="W9" i="105"/>
  <c r="E9" i="105"/>
  <c r="D9" i="105"/>
  <c r="C9" i="105"/>
  <c r="B9" i="105"/>
  <c r="F4" i="105"/>
  <c r="B4" i="105"/>
  <c r="D153" i="75"/>
  <c r="O148" i="93"/>
  <c r="E20" i="61"/>
  <c r="D20" i="61"/>
  <c r="B20" i="61" s="1"/>
  <c r="E19" i="61"/>
  <c r="D19" i="61"/>
  <c r="B19" i="61" s="1"/>
  <c r="I61" i="57"/>
  <c r="F61" i="57"/>
  <c r="I55" i="57"/>
  <c r="F55" i="57"/>
  <c r="E19" i="105" l="1"/>
  <c r="B11" i="105"/>
  <c r="Y12" i="105"/>
  <c r="E29" i="105"/>
  <c r="Y30" i="105"/>
  <c r="E33" i="105"/>
  <c r="E24" i="105"/>
  <c r="E12" i="105"/>
  <c r="E18" i="105"/>
  <c r="D17" i="105"/>
  <c r="H4" i="105"/>
  <c r="E11" i="105"/>
  <c r="E17" i="105"/>
  <c r="E23" i="105"/>
  <c r="D16" i="105"/>
  <c r="D10" i="105"/>
  <c r="B29" i="105" s="1"/>
  <c r="X12" i="105"/>
  <c r="B14" i="105"/>
  <c r="D15" i="105"/>
  <c r="X18" i="105"/>
  <c r="D22" i="105"/>
  <c r="E10" i="105"/>
  <c r="Y24" i="105"/>
  <c r="E32" i="105"/>
  <c r="E26" i="105"/>
  <c r="D13" i="105"/>
  <c r="D19" i="105"/>
  <c r="D25" i="105"/>
  <c r="D34" i="105"/>
  <c r="E20" i="105"/>
  <c r="E31" i="105"/>
  <c r="D24" i="105"/>
  <c r="X27" i="105"/>
  <c r="O147" i="93"/>
  <c r="B31" i="105" l="1"/>
  <c r="E16" i="105"/>
  <c r="E34" i="105"/>
  <c r="B34" i="105"/>
  <c r="B17" i="105"/>
  <c r="Y18" i="105"/>
  <c r="B24" i="105"/>
  <c r="Y25" i="105"/>
  <c r="B28" i="105"/>
  <c r="B30" i="105"/>
  <c r="Y17" i="105"/>
  <c r="B16" i="105"/>
  <c r="B13" i="105"/>
  <c r="Y14" i="105"/>
  <c r="E13" i="105"/>
  <c r="Y11" i="105"/>
  <c r="B27" i="105"/>
  <c r="B21" i="105"/>
  <c r="D4" i="105"/>
  <c r="J4" i="105" s="1"/>
  <c r="B32" i="105"/>
  <c r="B10" i="105"/>
  <c r="B12" i="105"/>
  <c r="B33" i="105"/>
  <c r="Y23" i="105"/>
  <c r="B22" i="105"/>
  <c r="B26" i="105"/>
  <c r="B23" i="105"/>
  <c r="B20" i="105"/>
  <c r="Y26" i="105"/>
  <c r="E25" i="105"/>
  <c r="B25" i="105"/>
  <c r="E22" i="105"/>
  <c r="B19" i="105"/>
  <c r="Y20" i="105"/>
  <c r="Y16" i="105"/>
  <c r="E15" i="105"/>
  <c r="B15" i="105"/>
  <c r="B18" i="105"/>
  <c r="D136" i="75"/>
  <c r="O146" i="93"/>
  <c r="P19" i="61"/>
  <c r="P20" i="61"/>
  <c r="D128" i="75"/>
  <c r="C28" i="58" l="1"/>
  <c r="C10" i="58"/>
  <c r="C9" i="58"/>
  <c r="A10" i="100"/>
  <c r="U9" i="100" s="1"/>
  <c r="A11" i="100"/>
  <c r="U10" i="100" s="1"/>
  <c r="A12" i="100"/>
  <c r="U11" i="100" s="1"/>
  <c r="A13" i="100"/>
  <c r="U12" i="100" s="1"/>
  <c r="A14" i="100"/>
  <c r="U13" i="100" s="1"/>
  <c r="A15" i="100"/>
  <c r="U14" i="100" s="1"/>
  <c r="A16" i="100"/>
  <c r="U15" i="100" s="1"/>
  <c r="A17" i="100"/>
  <c r="U16" i="100" s="1"/>
  <c r="A18" i="100"/>
  <c r="U17" i="100" s="1"/>
  <c r="A19" i="100"/>
  <c r="U18" i="100" s="1"/>
  <c r="A20" i="100"/>
  <c r="U19" i="100" s="1"/>
  <c r="A21" i="100"/>
  <c r="U20" i="100" s="1"/>
  <c r="A34" i="100"/>
  <c r="P34" i="100" s="1"/>
  <c r="A35" i="100"/>
  <c r="P35" i="100" s="1"/>
  <c r="A36" i="100"/>
  <c r="P36" i="100" s="1"/>
  <c r="A37" i="100"/>
  <c r="P37" i="100" s="1"/>
  <c r="A38" i="100"/>
  <c r="P38" i="100" s="1"/>
  <c r="A39" i="100"/>
  <c r="P39" i="100" s="1"/>
  <c r="A40" i="100"/>
  <c r="P40" i="100" s="1"/>
  <c r="A41" i="100"/>
  <c r="P41" i="100" s="1"/>
  <c r="A42" i="100"/>
  <c r="P42" i="100" s="1"/>
  <c r="A43" i="100"/>
  <c r="P43" i="100" s="1"/>
  <c r="A44" i="100"/>
  <c r="P44" i="100" s="1"/>
  <c r="A45" i="100"/>
  <c r="P45" i="100" s="1"/>
  <c r="B2" i="96"/>
  <c r="B4" i="99" s="1"/>
  <c r="J11" i="96"/>
  <c r="B41" i="100" s="1"/>
  <c r="J12" i="96"/>
  <c r="B42" i="100" s="1"/>
  <c r="J13" i="96"/>
  <c r="J14" i="96"/>
  <c r="J15" i="96"/>
  <c r="B45" i="100" s="1"/>
  <c r="O4" i="93"/>
  <c r="O6" i="93"/>
  <c r="O7" i="93"/>
  <c r="O8" i="93"/>
  <c r="O9" i="93"/>
  <c r="O10" i="93"/>
  <c r="O11" i="93"/>
  <c r="O13" i="93"/>
  <c r="O17" i="93"/>
  <c r="O18" i="93"/>
  <c r="O19" i="93"/>
  <c r="O21" i="93"/>
  <c r="J5" i="96" s="1"/>
  <c r="O22" i="93"/>
  <c r="O23" i="93"/>
  <c r="O24" i="93"/>
  <c r="O25" i="93"/>
  <c r="O27" i="93"/>
  <c r="O28" i="93"/>
  <c r="O29" i="93"/>
  <c r="O31" i="93"/>
  <c r="O34" i="93"/>
  <c r="O39" i="93"/>
  <c r="O40" i="93"/>
  <c r="O41" i="93"/>
  <c r="O42" i="93"/>
  <c r="O43" i="93"/>
  <c r="O44" i="93"/>
  <c r="O46" i="93"/>
  <c r="O48" i="93"/>
  <c r="O49" i="93"/>
  <c r="O50" i="93"/>
  <c r="O51" i="93"/>
  <c r="O52" i="93"/>
  <c r="O53" i="93"/>
  <c r="O55" i="93"/>
  <c r="O57" i="93"/>
  <c r="O58" i="93"/>
  <c r="O63" i="93"/>
  <c r="O64" i="93"/>
  <c r="O66" i="93"/>
  <c r="O67" i="93"/>
  <c r="O68" i="93"/>
  <c r="O71" i="93"/>
  <c r="O72" i="93"/>
  <c r="O73" i="93"/>
  <c r="O74" i="93"/>
  <c r="O75" i="93"/>
  <c r="O76" i="93"/>
  <c r="O77" i="93"/>
  <c r="O80" i="93"/>
  <c r="O81" i="93"/>
  <c r="O83" i="93"/>
  <c r="O84" i="93"/>
  <c r="O87" i="93"/>
  <c r="O88" i="93"/>
  <c r="O89" i="93"/>
  <c r="O90" i="93"/>
  <c r="O91" i="93"/>
  <c r="O92" i="93"/>
  <c r="O93" i="93"/>
  <c r="O94" i="93"/>
  <c r="O95" i="93"/>
  <c r="O96" i="93"/>
  <c r="O97" i="93"/>
  <c r="O98" i="93"/>
  <c r="O99" i="93"/>
  <c r="O100" i="93"/>
  <c r="O101" i="93"/>
  <c r="O102" i="93"/>
  <c r="O103" i="93"/>
  <c r="O104" i="93"/>
  <c r="O105" i="93"/>
  <c r="O106" i="93"/>
  <c r="O107" i="93"/>
  <c r="O108" i="93"/>
  <c r="O109" i="93"/>
  <c r="O110" i="93"/>
  <c r="O112" i="93"/>
  <c r="O113" i="93"/>
  <c r="O114" i="93"/>
  <c r="O115" i="93"/>
  <c r="O116" i="93"/>
  <c r="O117" i="93"/>
  <c r="O118" i="93"/>
  <c r="O119" i="93"/>
  <c r="O121" i="93"/>
  <c r="O122" i="93"/>
  <c r="O123" i="93"/>
  <c r="O124" i="93"/>
  <c r="O125" i="93"/>
  <c r="O126" i="93"/>
  <c r="O127" i="93"/>
  <c r="O128" i="93"/>
  <c r="O129" i="93"/>
  <c r="O130" i="93"/>
  <c r="O131" i="93"/>
  <c r="O132" i="93"/>
  <c r="O133" i="93"/>
  <c r="O134" i="93"/>
  <c r="O135" i="93"/>
  <c r="O136" i="93"/>
  <c r="O139" i="93"/>
  <c r="O140" i="93"/>
  <c r="O141" i="93"/>
  <c r="O142" i="93"/>
  <c r="O143" i="93"/>
  <c r="O144" i="93"/>
  <c r="O145" i="93"/>
  <c r="G6" i="92"/>
  <c r="G9" i="92"/>
  <c r="G16" i="92"/>
  <c r="H16" i="92"/>
  <c r="G17" i="92"/>
  <c r="H17" i="92"/>
  <c r="G18" i="92"/>
  <c r="H18" i="92"/>
  <c r="G19" i="92"/>
  <c r="H19" i="92" s="1"/>
  <c r="G20" i="92"/>
  <c r="H20" i="92" s="1"/>
  <c r="G21" i="92"/>
  <c r="H21" i="92" s="1"/>
  <c r="G22" i="92"/>
  <c r="H22" i="92" s="1"/>
  <c r="G23" i="92"/>
  <c r="H23" i="92" s="1"/>
  <c r="G24" i="92"/>
  <c r="H24" i="92"/>
  <c r="G25" i="92"/>
  <c r="H25" i="92"/>
  <c r="G33" i="92"/>
  <c r="S34" i="92"/>
  <c r="G36" i="92"/>
  <c r="S37" i="92"/>
  <c r="G45" i="92"/>
  <c r="F50" i="92"/>
  <c r="G60" i="92"/>
  <c r="G63" i="92"/>
  <c r="F68" i="92"/>
  <c r="R68" i="92"/>
  <c r="F71" i="92"/>
  <c r="R71" i="92"/>
  <c r="G79" i="92"/>
  <c r="G82" i="92"/>
  <c r="F87" i="92"/>
  <c r="F90" i="92"/>
  <c r="O93" i="92"/>
  <c r="N101" i="92"/>
  <c r="I106" i="92"/>
  <c r="G120" i="92"/>
  <c r="G122" i="92"/>
  <c r="F128" i="92"/>
  <c r="F130" i="92"/>
  <c r="G138" i="92"/>
  <c r="F143" i="92"/>
  <c r="X30" i="91"/>
  <c r="Y30" i="91"/>
  <c r="F4" i="90"/>
  <c r="G4" i="90" s="1"/>
  <c r="I4" i="90"/>
  <c r="F5" i="90"/>
  <c r="G5" i="90" s="1"/>
  <c r="I5" i="90"/>
  <c r="F6" i="90"/>
  <c r="G6" i="90" s="1"/>
  <c r="I6" i="90"/>
  <c r="F7" i="90"/>
  <c r="G7" i="90" s="1"/>
  <c r="I7" i="90"/>
  <c r="F8" i="90"/>
  <c r="G8" i="90" s="1"/>
  <c r="I8" i="90"/>
  <c r="D9" i="90"/>
  <c r="J9" i="90" s="1"/>
  <c r="H9" i="90"/>
  <c r="L9" i="90"/>
  <c r="F12" i="90"/>
  <c r="G12" i="90" s="1"/>
  <c r="I12" i="90"/>
  <c r="F13" i="90"/>
  <c r="G13" i="90" s="1"/>
  <c r="I13" i="90"/>
  <c r="F14" i="90"/>
  <c r="G14" i="90" s="1"/>
  <c r="I14" i="90"/>
  <c r="F15" i="90"/>
  <c r="G15" i="90" s="1"/>
  <c r="I15" i="90"/>
  <c r="F16" i="90"/>
  <c r="G16" i="90" s="1"/>
  <c r="I16" i="90"/>
  <c r="D17" i="90"/>
  <c r="H17" i="90"/>
  <c r="J17" i="90"/>
  <c r="L17" i="90"/>
  <c r="F20" i="90"/>
  <c r="G20" i="90" s="1"/>
  <c r="I20" i="90"/>
  <c r="F21" i="90"/>
  <c r="G21" i="90" s="1"/>
  <c r="I21" i="90"/>
  <c r="F22" i="90"/>
  <c r="G22" i="90" s="1"/>
  <c r="I22" i="90"/>
  <c r="F23" i="90"/>
  <c r="G23" i="90" s="1"/>
  <c r="I23" i="90"/>
  <c r="F24" i="90"/>
  <c r="G24" i="90" s="1"/>
  <c r="I24" i="90"/>
  <c r="D25" i="90"/>
  <c r="H25" i="90"/>
  <c r="L25" i="90" s="1"/>
  <c r="J25" i="90"/>
  <c r="F28" i="90"/>
  <c r="G28" i="90" s="1"/>
  <c r="I28" i="90"/>
  <c r="F29" i="90"/>
  <c r="G29" i="90" s="1"/>
  <c r="I29" i="90"/>
  <c r="F30" i="90"/>
  <c r="G30" i="90" s="1"/>
  <c r="I30" i="90"/>
  <c r="F31" i="90"/>
  <c r="G31" i="90" s="1"/>
  <c r="I31" i="90"/>
  <c r="F32" i="90"/>
  <c r="G32" i="90" s="1"/>
  <c r="I32" i="90"/>
  <c r="D33" i="90"/>
  <c r="H33" i="90"/>
  <c r="L33" i="90" s="1"/>
  <c r="J33" i="90"/>
  <c r="F36" i="90"/>
  <c r="G36" i="90" s="1"/>
  <c r="I36" i="90"/>
  <c r="F37" i="90"/>
  <c r="G37" i="90" s="1"/>
  <c r="I37" i="90"/>
  <c r="F38" i="90"/>
  <c r="G38" i="90" s="1"/>
  <c r="I38" i="90"/>
  <c r="F39" i="90"/>
  <c r="G39" i="90" s="1"/>
  <c r="I39" i="90"/>
  <c r="F40" i="90"/>
  <c r="G40" i="90" s="1"/>
  <c r="I40" i="90"/>
  <c r="D41" i="90"/>
  <c r="J41" i="90" s="1"/>
  <c r="H41" i="90"/>
  <c r="L41" i="90" s="1"/>
  <c r="F44" i="90"/>
  <c r="G44" i="90" s="1"/>
  <c r="I44" i="90"/>
  <c r="F45" i="90"/>
  <c r="G45" i="90"/>
  <c r="I45" i="90"/>
  <c r="F46" i="90"/>
  <c r="G46" i="90" s="1"/>
  <c r="I46" i="90"/>
  <c r="F47" i="90"/>
  <c r="G47" i="90" s="1"/>
  <c r="I47" i="90"/>
  <c r="F48" i="90"/>
  <c r="G48" i="90" s="1"/>
  <c r="I48" i="90"/>
  <c r="D49" i="90"/>
  <c r="J49" i="90" s="1"/>
  <c r="H49" i="90"/>
  <c r="L49" i="90" s="1"/>
  <c r="F52" i="90"/>
  <c r="G52" i="90"/>
  <c r="I52" i="90"/>
  <c r="F53" i="90"/>
  <c r="G53" i="90" s="1"/>
  <c r="I53" i="90"/>
  <c r="F54" i="90"/>
  <c r="G54" i="90" s="1"/>
  <c r="I54" i="90"/>
  <c r="F55" i="90"/>
  <c r="G55" i="90" s="1"/>
  <c r="I55" i="90"/>
  <c r="F56" i="90"/>
  <c r="G56" i="90" s="1"/>
  <c r="I56" i="90"/>
  <c r="D57" i="90"/>
  <c r="J57" i="90" s="1"/>
  <c r="H57" i="90"/>
  <c r="L57" i="90" s="1"/>
  <c r="F60" i="90"/>
  <c r="G60" i="90" s="1"/>
  <c r="I60" i="90"/>
  <c r="F61" i="90"/>
  <c r="G61" i="90" s="1"/>
  <c r="I61" i="90"/>
  <c r="F62" i="90"/>
  <c r="G62" i="90" s="1"/>
  <c r="I62" i="90"/>
  <c r="F63" i="90"/>
  <c r="G63" i="90" s="1"/>
  <c r="I63" i="90"/>
  <c r="F64" i="90"/>
  <c r="G64" i="90" s="1"/>
  <c r="I64" i="90"/>
  <c r="D65" i="90"/>
  <c r="J65" i="90" s="1"/>
  <c r="H65" i="90"/>
  <c r="L65" i="90" s="1"/>
  <c r="F68" i="90"/>
  <c r="G68" i="90" s="1"/>
  <c r="I68" i="90"/>
  <c r="F69" i="90"/>
  <c r="G69" i="90" s="1"/>
  <c r="I69" i="90"/>
  <c r="F70" i="90"/>
  <c r="G70" i="90" s="1"/>
  <c r="I70" i="90"/>
  <c r="F71" i="90"/>
  <c r="G71" i="90" s="1"/>
  <c r="I71" i="90"/>
  <c r="F72" i="90"/>
  <c r="G72" i="90" s="1"/>
  <c r="I72" i="90"/>
  <c r="D73" i="90"/>
  <c r="J73" i="90" s="1"/>
  <c r="H73" i="90"/>
  <c r="L73" i="90" s="1"/>
  <c r="F76" i="90"/>
  <c r="G76" i="90" s="1"/>
  <c r="I76" i="90"/>
  <c r="F77" i="90"/>
  <c r="G77" i="90" s="1"/>
  <c r="I77" i="90"/>
  <c r="F78" i="90"/>
  <c r="G78" i="90" s="1"/>
  <c r="I78" i="90"/>
  <c r="F79" i="90"/>
  <c r="G79" i="90" s="1"/>
  <c r="I79" i="90"/>
  <c r="F80" i="90"/>
  <c r="G80" i="90" s="1"/>
  <c r="I80" i="90"/>
  <c r="D81" i="90"/>
  <c r="J81" i="90" s="1"/>
  <c r="H81" i="90"/>
  <c r="L81" i="90" s="1"/>
  <c r="F84" i="90"/>
  <c r="G84" i="90" s="1"/>
  <c r="I84" i="90"/>
  <c r="F85" i="90"/>
  <c r="G85" i="90" s="1"/>
  <c r="I85" i="90"/>
  <c r="F86" i="90"/>
  <c r="G86" i="90" s="1"/>
  <c r="I86" i="90"/>
  <c r="F87" i="90"/>
  <c r="G87" i="90" s="1"/>
  <c r="I87" i="90"/>
  <c r="F88" i="90"/>
  <c r="G88" i="90" s="1"/>
  <c r="I88" i="90"/>
  <c r="D89" i="90"/>
  <c r="H89" i="90"/>
  <c r="L89" i="90" s="1"/>
  <c r="J89" i="90"/>
  <c r="F92" i="90"/>
  <c r="G92" i="90" s="1"/>
  <c r="I92" i="90"/>
  <c r="F93" i="90"/>
  <c r="G93" i="90" s="1"/>
  <c r="I93" i="90"/>
  <c r="F94" i="90"/>
  <c r="G94" i="90" s="1"/>
  <c r="I94" i="90"/>
  <c r="F95" i="90"/>
  <c r="G95" i="90" s="1"/>
  <c r="I95" i="90"/>
  <c r="F96" i="90"/>
  <c r="G96" i="90" s="1"/>
  <c r="I96" i="90"/>
  <c r="D97" i="90"/>
  <c r="J97" i="90" s="1"/>
  <c r="H97" i="90"/>
  <c r="L97" i="90"/>
  <c r="F100" i="90"/>
  <c r="G100" i="90" s="1"/>
  <c r="I100" i="90"/>
  <c r="F101" i="90"/>
  <c r="G101" i="90" s="1"/>
  <c r="I101" i="90"/>
  <c r="F102" i="90"/>
  <c r="G102" i="90" s="1"/>
  <c r="I102" i="90"/>
  <c r="F103" i="90"/>
  <c r="G103" i="90" s="1"/>
  <c r="I103" i="90"/>
  <c r="F104" i="90"/>
  <c r="G104" i="90" s="1"/>
  <c r="I104" i="90"/>
  <c r="D105" i="90"/>
  <c r="H105" i="90"/>
  <c r="L105" i="90" s="1"/>
  <c r="J105" i="90"/>
  <c r="F108" i="90"/>
  <c r="G108" i="90" s="1"/>
  <c r="I108" i="90"/>
  <c r="F109" i="90"/>
  <c r="G109" i="90" s="1"/>
  <c r="I109" i="90"/>
  <c r="F110" i="90"/>
  <c r="G110" i="90" s="1"/>
  <c r="I110" i="90"/>
  <c r="F111" i="90"/>
  <c r="G111" i="90" s="1"/>
  <c r="I111" i="90"/>
  <c r="F112" i="90"/>
  <c r="G112" i="90" s="1"/>
  <c r="I112" i="90"/>
  <c r="D113" i="90"/>
  <c r="H113" i="90"/>
  <c r="J113" i="90"/>
  <c r="L113" i="90"/>
  <c r="F116" i="90"/>
  <c r="G116" i="90" s="1"/>
  <c r="I116" i="90"/>
  <c r="F117" i="90"/>
  <c r="G117" i="90" s="1"/>
  <c r="I117" i="90"/>
  <c r="F118" i="90"/>
  <c r="G118" i="90" s="1"/>
  <c r="I118" i="90"/>
  <c r="F119" i="90"/>
  <c r="G119" i="90" s="1"/>
  <c r="I119" i="90"/>
  <c r="F120" i="90"/>
  <c r="G120" i="90" s="1"/>
  <c r="I120" i="90"/>
  <c r="D121" i="90"/>
  <c r="J121" i="90" s="1"/>
  <c r="H121" i="90"/>
  <c r="L121" i="90"/>
  <c r="F124" i="90"/>
  <c r="G124" i="90" s="1"/>
  <c r="I124" i="90"/>
  <c r="F125" i="90"/>
  <c r="G125" i="90" s="1"/>
  <c r="I125" i="90"/>
  <c r="F126" i="90"/>
  <c r="G126" i="90" s="1"/>
  <c r="I126" i="90"/>
  <c r="F127" i="90"/>
  <c r="G127" i="90" s="1"/>
  <c r="I127" i="90"/>
  <c r="F128" i="90"/>
  <c r="G128" i="90" s="1"/>
  <c r="I128" i="90"/>
  <c r="D129" i="90"/>
  <c r="J129" i="90" s="1"/>
  <c r="H129" i="90"/>
  <c r="L129" i="90" s="1"/>
  <c r="F132" i="90"/>
  <c r="G132" i="90" s="1"/>
  <c r="I132" i="90"/>
  <c r="F133" i="90"/>
  <c r="G133" i="90" s="1"/>
  <c r="I133" i="90"/>
  <c r="F134" i="90"/>
  <c r="G134" i="90" s="1"/>
  <c r="I134" i="90"/>
  <c r="F135" i="90"/>
  <c r="G135" i="90" s="1"/>
  <c r="I135" i="90"/>
  <c r="F136" i="90"/>
  <c r="G136" i="90" s="1"/>
  <c r="I136" i="90"/>
  <c r="D137" i="90"/>
  <c r="J137" i="90" s="1"/>
  <c r="H137" i="90"/>
  <c r="L137" i="90" s="1"/>
  <c r="F140" i="90"/>
  <c r="G140" i="90" s="1"/>
  <c r="I140" i="90"/>
  <c r="F141" i="90"/>
  <c r="G141" i="90" s="1"/>
  <c r="I141" i="90"/>
  <c r="F142" i="90"/>
  <c r="G142" i="90" s="1"/>
  <c r="I142" i="90"/>
  <c r="F143" i="90"/>
  <c r="G143" i="90" s="1"/>
  <c r="I143" i="90"/>
  <c r="F144" i="90"/>
  <c r="G144" i="90" s="1"/>
  <c r="I144" i="90"/>
  <c r="D145" i="90"/>
  <c r="J145" i="90" s="1"/>
  <c r="H145" i="90"/>
  <c r="L145" i="90" s="1"/>
  <c r="F148" i="90"/>
  <c r="G148" i="90" s="1"/>
  <c r="I148" i="90"/>
  <c r="F149" i="90"/>
  <c r="G149" i="90" s="1"/>
  <c r="I149" i="90"/>
  <c r="F150" i="90"/>
  <c r="G150" i="90" s="1"/>
  <c r="I150" i="90"/>
  <c r="F151" i="90"/>
  <c r="G151" i="90" s="1"/>
  <c r="I151" i="90"/>
  <c r="F152" i="90"/>
  <c r="G152" i="90" s="1"/>
  <c r="I152" i="90"/>
  <c r="D153" i="90"/>
  <c r="J153" i="90" s="1"/>
  <c r="H153" i="90"/>
  <c r="L153" i="90" s="1"/>
  <c r="F156" i="90"/>
  <c r="G156" i="90" s="1"/>
  <c r="I156" i="90"/>
  <c r="F157" i="90"/>
  <c r="G157" i="90" s="1"/>
  <c r="I157" i="90"/>
  <c r="F158" i="90"/>
  <c r="G158" i="90" s="1"/>
  <c r="I158" i="90"/>
  <c r="F159" i="90"/>
  <c r="G159" i="90" s="1"/>
  <c r="I159" i="90"/>
  <c r="F160" i="90"/>
  <c r="G160" i="90" s="1"/>
  <c r="I160" i="90"/>
  <c r="D161" i="90"/>
  <c r="J161" i="90" s="1"/>
  <c r="H161" i="90"/>
  <c r="L161" i="90" s="1"/>
  <c r="F164" i="90"/>
  <c r="G164" i="90" s="1"/>
  <c r="I164" i="90"/>
  <c r="F165" i="90"/>
  <c r="G165" i="90" s="1"/>
  <c r="I165" i="90"/>
  <c r="F166" i="90"/>
  <c r="G166" i="90" s="1"/>
  <c r="I166" i="90"/>
  <c r="F167" i="90"/>
  <c r="G167" i="90" s="1"/>
  <c r="I167" i="90"/>
  <c r="F168" i="90"/>
  <c r="G168" i="90" s="1"/>
  <c r="I168" i="90"/>
  <c r="D169" i="90"/>
  <c r="J169" i="90" s="1"/>
  <c r="H169" i="90"/>
  <c r="L169" i="90" s="1"/>
  <c r="F172" i="90"/>
  <c r="G172" i="90" s="1"/>
  <c r="I172" i="90"/>
  <c r="F173" i="90"/>
  <c r="G173" i="90" s="1"/>
  <c r="I173" i="90"/>
  <c r="F174" i="90"/>
  <c r="G174" i="90" s="1"/>
  <c r="I174" i="90"/>
  <c r="F175" i="90"/>
  <c r="G175" i="90" s="1"/>
  <c r="I175" i="90"/>
  <c r="F176" i="90"/>
  <c r="G176" i="90" s="1"/>
  <c r="I176" i="90"/>
  <c r="D177" i="90"/>
  <c r="H177" i="90"/>
  <c r="L177" i="90" s="1"/>
  <c r="J177" i="90"/>
  <c r="F180" i="90"/>
  <c r="G180" i="90" s="1"/>
  <c r="I180" i="90"/>
  <c r="F181" i="90"/>
  <c r="G181" i="90" s="1"/>
  <c r="I181" i="90"/>
  <c r="F182" i="90"/>
  <c r="G182" i="90" s="1"/>
  <c r="I182" i="90"/>
  <c r="F183" i="90"/>
  <c r="G183" i="90" s="1"/>
  <c r="I183" i="90"/>
  <c r="F184" i="90"/>
  <c r="G184" i="90" s="1"/>
  <c r="I184" i="90"/>
  <c r="D185" i="90"/>
  <c r="H185" i="90"/>
  <c r="L185" i="90" s="1"/>
  <c r="J185" i="90"/>
  <c r="F188" i="90"/>
  <c r="G188" i="90" s="1"/>
  <c r="I188" i="90"/>
  <c r="F189" i="90"/>
  <c r="G189" i="90" s="1"/>
  <c r="I189" i="90"/>
  <c r="F190" i="90"/>
  <c r="G190" i="90" s="1"/>
  <c r="I190" i="90"/>
  <c r="F191" i="90"/>
  <c r="G191" i="90" s="1"/>
  <c r="I191" i="90"/>
  <c r="F192" i="90"/>
  <c r="G192" i="90" s="1"/>
  <c r="I192" i="90"/>
  <c r="D193" i="90"/>
  <c r="J193" i="90" s="1"/>
  <c r="H193" i="90"/>
  <c r="L193" i="90"/>
  <c r="F196" i="90"/>
  <c r="G196" i="90" s="1"/>
  <c r="I196" i="90"/>
  <c r="F197" i="90"/>
  <c r="G197" i="90" s="1"/>
  <c r="I197" i="90"/>
  <c r="F198" i="90"/>
  <c r="G198" i="90" s="1"/>
  <c r="I198" i="90"/>
  <c r="F199" i="90"/>
  <c r="G199" i="90" s="1"/>
  <c r="I199" i="90"/>
  <c r="F200" i="90"/>
  <c r="G200" i="90" s="1"/>
  <c r="I200" i="90"/>
  <c r="D201" i="90"/>
  <c r="J201" i="90" s="1"/>
  <c r="H201" i="90"/>
  <c r="L201" i="90"/>
  <c r="F204" i="90"/>
  <c r="G204" i="90" s="1"/>
  <c r="I204" i="90"/>
  <c r="F205" i="90"/>
  <c r="G205" i="90" s="1"/>
  <c r="I205" i="90"/>
  <c r="F206" i="90"/>
  <c r="G206" i="90" s="1"/>
  <c r="I206" i="90"/>
  <c r="F207" i="90"/>
  <c r="G207" i="90" s="1"/>
  <c r="I207" i="90"/>
  <c r="F208" i="90"/>
  <c r="G208" i="90" s="1"/>
  <c r="I208" i="90"/>
  <c r="D209" i="90"/>
  <c r="H209" i="90"/>
  <c r="J209" i="90"/>
  <c r="L209" i="90"/>
  <c r="F212" i="90"/>
  <c r="G212" i="90" s="1"/>
  <c r="I212" i="90"/>
  <c r="F213" i="90"/>
  <c r="G213" i="90" s="1"/>
  <c r="I213" i="90"/>
  <c r="F214" i="90"/>
  <c r="G214" i="90" s="1"/>
  <c r="I214" i="90"/>
  <c r="F215" i="90"/>
  <c r="G215" i="90" s="1"/>
  <c r="I215" i="90"/>
  <c r="F216" i="90"/>
  <c r="G216" i="90"/>
  <c r="I216" i="90"/>
  <c r="D217" i="90"/>
  <c r="J217" i="90" s="1"/>
  <c r="H217" i="90"/>
  <c r="L217" i="90" s="1"/>
  <c r="X9" i="88"/>
  <c r="Y9" i="88"/>
  <c r="X25" i="88"/>
  <c r="Y25" i="88"/>
  <c r="F4" i="87"/>
  <c r="G4" i="87" s="1"/>
  <c r="I4" i="87"/>
  <c r="F5" i="87"/>
  <c r="G5" i="87" s="1"/>
  <c r="I5" i="87"/>
  <c r="F6" i="87"/>
  <c r="G6" i="87" s="1"/>
  <c r="I6" i="87"/>
  <c r="F7" i="87"/>
  <c r="G7" i="87" s="1"/>
  <c r="I7" i="87"/>
  <c r="F8" i="87"/>
  <c r="G8" i="87" s="1"/>
  <c r="I8" i="87"/>
  <c r="D9" i="87"/>
  <c r="H9" i="87"/>
  <c r="J9" i="87"/>
  <c r="L9" i="87"/>
  <c r="F12" i="87"/>
  <c r="G12" i="87" s="1"/>
  <c r="I12" i="87"/>
  <c r="F13" i="87"/>
  <c r="G13" i="87" s="1"/>
  <c r="I13" i="87"/>
  <c r="F14" i="87"/>
  <c r="G14" i="87" s="1"/>
  <c r="I14" i="87"/>
  <c r="F15" i="87"/>
  <c r="G15" i="87" s="1"/>
  <c r="I15" i="87"/>
  <c r="F16" i="87"/>
  <c r="G16" i="87" s="1"/>
  <c r="I16" i="87"/>
  <c r="D17" i="87"/>
  <c r="H17" i="87"/>
  <c r="L17" i="87" s="1"/>
  <c r="J17" i="87"/>
  <c r="F20" i="87"/>
  <c r="G20" i="87" s="1"/>
  <c r="I20" i="87"/>
  <c r="F21" i="87"/>
  <c r="G21" i="87" s="1"/>
  <c r="I21" i="87"/>
  <c r="F22" i="87"/>
  <c r="G22" i="87" s="1"/>
  <c r="I22" i="87"/>
  <c r="F23" i="87"/>
  <c r="G23" i="87" s="1"/>
  <c r="I23" i="87"/>
  <c r="F24" i="87"/>
  <c r="G24" i="87" s="1"/>
  <c r="I24" i="87"/>
  <c r="D25" i="87"/>
  <c r="J25" i="87" s="1"/>
  <c r="H25" i="87"/>
  <c r="L25" i="87" s="1"/>
  <c r="F28" i="87"/>
  <c r="G28" i="87" s="1"/>
  <c r="I28" i="87"/>
  <c r="F29" i="87"/>
  <c r="G29" i="87" s="1"/>
  <c r="I29" i="87"/>
  <c r="F30" i="87"/>
  <c r="G30" i="87" s="1"/>
  <c r="I30" i="87"/>
  <c r="F31" i="87"/>
  <c r="G31" i="87" s="1"/>
  <c r="I31" i="87"/>
  <c r="F32" i="87"/>
  <c r="G32" i="87" s="1"/>
  <c r="I32" i="87"/>
  <c r="D33" i="87"/>
  <c r="H33" i="87"/>
  <c r="J33" i="87"/>
  <c r="L33" i="87"/>
  <c r="F36" i="87"/>
  <c r="G36" i="87" s="1"/>
  <c r="I36" i="87"/>
  <c r="F37" i="87"/>
  <c r="G37" i="87" s="1"/>
  <c r="I37" i="87"/>
  <c r="F38" i="87"/>
  <c r="G38" i="87" s="1"/>
  <c r="I38" i="87"/>
  <c r="F39" i="87"/>
  <c r="G39" i="87" s="1"/>
  <c r="I39" i="87"/>
  <c r="F40" i="87"/>
  <c r="G40" i="87" s="1"/>
  <c r="I40" i="87"/>
  <c r="D41" i="87"/>
  <c r="J41" i="87" s="1"/>
  <c r="H41" i="87"/>
  <c r="L41" i="87" s="1"/>
  <c r="F44" i="87"/>
  <c r="G44" i="87" s="1"/>
  <c r="I44" i="87"/>
  <c r="F45" i="87"/>
  <c r="G45" i="87" s="1"/>
  <c r="I45" i="87"/>
  <c r="F46" i="87"/>
  <c r="G46" i="87" s="1"/>
  <c r="I46" i="87"/>
  <c r="F47" i="87"/>
  <c r="G47" i="87" s="1"/>
  <c r="I47" i="87"/>
  <c r="F48" i="87"/>
  <c r="G48" i="87" s="1"/>
  <c r="I48" i="87"/>
  <c r="D49" i="87"/>
  <c r="J49" i="87" s="1"/>
  <c r="H49" i="87"/>
  <c r="L49" i="87" s="1"/>
  <c r="F52" i="87"/>
  <c r="G52" i="87" s="1"/>
  <c r="I52" i="87"/>
  <c r="F53" i="87"/>
  <c r="G53" i="87" s="1"/>
  <c r="I53" i="87"/>
  <c r="F54" i="87"/>
  <c r="G54" i="87" s="1"/>
  <c r="I54" i="87"/>
  <c r="F55" i="87"/>
  <c r="G55" i="87" s="1"/>
  <c r="I55" i="87"/>
  <c r="F56" i="87"/>
  <c r="G56" i="87" s="1"/>
  <c r="I56" i="87"/>
  <c r="D57" i="87"/>
  <c r="J57" i="87" s="1"/>
  <c r="H57" i="87"/>
  <c r="L57" i="87" s="1"/>
  <c r="F60" i="87"/>
  <c r="G60" i="87" s="1"/>
  <c r="I60" i="87"/>
  <c r="F61" i="87"/>
  <c r="G61" i="87" s="1"/>
  <c r="I61" i="87"/>
  <c r="F62" i="87"/>
  <c r="G62" i="87" s="1"/>
  <c r="I62" i="87"/>
  <c r="F63" i="87"/>
  <c r="G63" i="87" s="1"/>
  <c r="I63" i="87"/>
  <c r="F64" i="87"/>
  <c r="G64" i="87" s="1"/>
  <c r="I64" i="87"/>
  <c r="D65" i="87"/>
  <c r="J65" i="87" s="1"/>
  <c r="H65" i="87"/>
  <c r="L65" i="87" s="1"/>
  <c r="F68" i="87"/>
  <c r="G68" i="87" s="1"/>
  <c r="I68" i="87"/>
  <c r="F69" i="87"/>
  <c r="G69" i="87" s="1"/>
  <c r="I69" i="87"/>
  <c r="F70" i="87"/>
  <c r="G70" i="87" s="1"/>
  <c r="I70" i="87"/>
  <c r="F71" i="87"/>
  <c r="G71" i="87" s="1"/>
  <c r="I71" i="87"/>
  <c r="F72" i="87"/>
  <c r="G72" i="87" s="1"/>
  <c r="I72" i="87"/>
  <c r="D73" i="87"/>
  <c r="J73" i="87" s="1"/>
  <c r="H73" i="87"/>
  <c r="L73" i="87" s="1"/>
  <c r="F76" i="87"/>
  <c r="G76" i="87" s="1"/>
  <c r="I76" i="87"/>
  <c r="F77" i="87"/>
  <c r="G77" i="87" s="1"/>
  <c r="I77" i="87"/>
  <c r="F78" i="87"/>
  <c r="G78" i="87" s="1"/>
  <c r="I78" i="87"/>
  <c r="F79" i="87"/>
  <c r="G79" i="87" s="1"/>
  <c r="I79" i="87"/>
  <c r="F80" i="87"/>
  <c r="G80" i="87" s="1"/>
  <c r="I80" i="87"/>
  <c r="D81" i="87"/>
  <c r="J81" i="87" s="1"/>
  <c r="H81" i="87"/>
  <c r="L81" i="87" s="1"/>
  <c r="F84" i="87"/>
  <c r="G84" i="87" s="1"/>
  <c r="I84" i="87"/>
  <c r="F85" i="87"/>
  <c r="G85" i="87" s="1"/>
  <c r="I85" i="87"/>
  <c r="F86" i="87"/>
  <c r="G86" i="87" s="1"/>
  <c r="I86" i="87"/>
  <c r="F87" i="87"/>
  <c r="G87" i="87" s="1"/>
  <c r="I87" i="87"/>
  <c r="F88" i="87"/>
  <c r="G88" i="87" s="1"/>
  <c r="I88" i="87"/>
  <c r="D89" i="87"/>
  <c r="J89" i="87" s="1"/>
  <c r="H89" i="87"/>
  <c r="L89" i="87"/>
  <c r="F92" i="87"/>
  <c r="G92" i="87" s="1"/>
  <c r="I92" i="87"/>
  <c r="F93" i="87"/>
  <c r="G93" i="87" s="1"/>
  <c r="I93" i="87"/>
  <c r="F94" i="87"/>
  <c r="G94" i="87" s="1"/>
  <c r="I94" i="87"/>
  <c r="F95" i="87"/>
  <c r="G95" i="87" s="1"/>
  <c r="I95" i="87"/>
  <c r="F96" i="87"/>
  <c r="G96" i="87" s="1"/>
  <c r="I96" i="87"/>
  <c r="D97" i="87"/>
  <c r="J97" i="87" s="1"/>
  <c r="H97" i="87"/>
  <c r="L97" i="87"/>
  <c r="F100" i="87"/>
  <c r="G100" i="87" s="1"/>
  <c r="I100" i="87"/>
  <c r="F101" i="87"/>
  <c r="G101" i="87" s="1"/>
  <c r="I101" i="87"/>
  <c r="F102" i="87"/>
  <c r="G102" i="87" s="1"/>
  <c r="I102" i="87"/>
  <c r="F103" i="87"/>
  <c r="G103" i="87" s="1"/>
  <c r="I103" i="87"/>
  <c r="F104" i="87"/>
  <c r="G104" i="87" s="1"/>
  <c r="I104" i="87"/>
  <c r="D105" i="87"/>
  <c r="J105" i="87" s="1"/>
  <c r="H105" i="87"/>
  <c r="L105" i="87" s="1"/>
  <c r="F108" i="87"/>
  <c r="G108" i="87" s="1"/>
  <c r="I108" i="87"/>
  <c r="F109" i="87"/>
  <c r="G109" i="87" s="1"/>
  <c r="I109" i="87"/>
  <c r="F110" i="87"/>
  <c r="G110" i="87" s="1"/>
  <c r="I110" i="87"/>
  <c r="F111" i="87"/>
  <c r="G111" i="87" s="1"/>
  <c r="I111" i="87"/>
  <c r="F112" i="87"/>
  <c r="G112" i="87" s="1"/>
  <c r="I112" i="87"/>
  <c r="D113" i="87"/>
  <c r="J113" i="87" s="1"/>
  <c r="H113" i="87"/>
  <c r="L113" i="87" s="1"/>
  <c r="F116" i="87"/>
  <c r="G116" i="87" s="1"/>
  <c r="I116" i="87"/>
  <c r="F117" i="87"/>
  <c r="G117" i="87" s="1"/>
  <c r="I117" i="87"/>
  <c r="F118" i="87"/>
  <c r="G118" i="87" s="1"/>
  <c r="I118" i="87"/>
  <c r="F119" i="87"/>
  <c r="G119" i="87" s="1"/>
  <c r="I119" i="87"/>
  <c r="F120" i="87"/>
  <c r="G120" i="87" s="1"/>
  <c r="I120" i="87"/>
  <c r="D121" i="87"/>
  <c r="H121" i="87"/>
  <c r="L121" i="87" s="1"/>
  <c r="J121" i="87"/>
  <c r="F124" i="87"/>
  <c r="G124" i="87" s="1"/>
  <c r="I124" i="87"/>
  <c r="F125" i="87"/>
  <c r="G125" i="87" s="1"/>
  <c r="I125" i="87"/>
  <c r="F126" i="87"/>
  <c r="G126" i="87" s="1"/>
  <c r="I126" i="87"/>
  <c r="F127" i="87"/>
  <c r="G127" i="87" s="1"/>
  <c r="I127" i="87"/>
  <c r="F128" i="87"/>
  <c r="G128" i="87" s="1"/>
  <c r="I128" i="87"/>
  <c r="D129" i="87"/>
  <c r="J129" i="87" s="1"/>
  <c r="H129" i="87"/>
  <c r="L129" i="87"/>
  <c r="F132" i="87"/>
  <c r="G132" i="87" s="1"/>
  <c r="I132" i="87"/>
  <c r="F133" i="87"/>
  <c r="G133" i="87" s="1"/>
  <c r="I133" i="87"/>
  <c r="F134" i="87"/>
  <c r="G134" i="87" s="1"/>
  <c r="I134" i="87"/>
  <c r="F135" i="87"/>
  <c r="G135" i="87" s="1"/>
  <c r="I135" i="87"/>
  <c r="F136" i="87"/>
  <c r="G136" i="87" s="1"/>
  <c r="I136" i="87"/>
  <c r="D137" i="87"/>
  <c r="J137" i="87" s="1"/>
  <c r="H137" i="87"/>
  <c r="L137" i="87" s="1"/>
  <c r="F140" i="87"/>
  <c r="G140" i="87" s="1"/>
  <c r="I140" i="87"/>
  <c r="F141" i="87"/>
  <c r="G141" i="87" s="1"/>
  <c r="I141" i="87"/>
  <c r="F142" i="87"/>
  <c r="G142" i="87" s="1"/>
  <c r="I142" i="87"/>
  <c r="F143" i="87"/>
  <c r="G143" i="87" s="1"/>
  <c r="I143" i="87"/>
  <c r="F144" i="87"/>
  <c r="G144" i="87" s="1"/>
  <c r="I144" i="87"/>
  <c r="D145" i="87"/>
  <c r="J145" i="87" s="1"/>
  <c r="H145" i="87"/>
  <c r="L145" i="87" s="1"/>
  <c r="F148" i="87"/>
  <c r="G148" i="87" s="1"/>
  <c r="I148" i="87"/>
  <c r="F149" i="87"/>
  <c r="G149" i="87" s="1"/>
  <c r="I149" i="87"/>
  <c r="F150" i="87"/>
  <c r="G150" i="87" s="1"/>
  <c r="I150" i="87"/>
  <c r="F151" i="87"/>
  <c r="G151" i="87" s="1"/>
  <c r="I151" i="87"/>
  <c r="F152" i="87"/>
  <c r="G152" i="87" s="1"/>
  <c r="I152" i="87"/>
  <c r="D153" i="87"/>
  <c r="J153" i="87" s="1"/>
  <c r="H153" i="87"/>
  <c r="L153" i="87" s="1"/>
  <c r="F156" i="87"/>
  <c r="G156" i="87" s="1"/>
  <c r="I156" i="87"/>
  <c r="F157" i="87"/>
  <c r="G157" i="87" s="1"/>
  <c r="I157" i="87"/>
  <c r="F158" i="87"/>
  <c r="G158" i="87" s="1"/>
  <c r="I158" i="87"/>
  <c r="F159" i="87"/>
  <c r="G159" i="87" s="1"/>
  <c r="I159" i="87"/>
  <c r="F160" i="87"/>
  <c r="G160" i="87" s="1"/>
  <c r="I160" i="87"/>
  <c r="D161" i="87"/>
  <c r="J161" i="87" s="1"/>
  <c r="H161" i="87"/>
  <c r="L161" i="87" s="1"/>
  <c r="F164" i="87"/>
  <c r="G164" i="87" s="1"/>
  <c r="I164" i="87"/>
  <c r="F165" i="87"/>
  <c r="G165" i="87" s="1"/>
  <c r="I165" i="87"/>
  <c r="F166" i="87"/>
  <c r="G166" i="87" s="1"/>
  <c r="I166" i="87"/>
  <c r="F167" i="87"/>
  <c r="G167" i="87" s="1"/>
  <c r="I167" i="87"/>
  <c r="F168" i="87"/>
  <c r="G168" i="87" s="1"/>
  <c r="I168" i="87"/>
  <c r="D169" i="87"/>
  <c r="J169" i="87" s="1"/>
  <c r="H169" i="87"/>
  <c r="L169" i="87" s="1"/>
  <c r="F172" i="87"/>
  <c r="G172" i="87" s="1"/>
  <c r="I172" i="87"/>
  <c r="F173" i="87"/>
  <c r="G173" i="87" s="1"/>
  <c r="I173" i="87"/>
  <c r="F174" i="87"/>
  <c r="G174" i="87" s="1"/>
  <c r="I174" i="87"/>
  <c r="F175" i="87"/>
  <c r="G175" i="87" s="1"/>
  <c r="I175" i="87"/>
  <c r="F176" i="87"/>
  <c r="G176" i="87" s="1"/>
  <c r="I176" i="87"/>
  <c r="D177" i="87"/>
  <c r="H177" i="87"/>
  <c r="L177" i="87" s="1"/>
  <c r="J177" i="87"/>
  <c r="F180" i="87"/>
  <c r="G180" i="87" s="1"/>
  <c r="I180" i="87"/>
  <c r="F181" i="87"/>
  <c r="G181" i="87" s="1"/>
  <c r="I181" i="87"/>
  <c r="F182" i="87"/>
  <c r="G182" i="87" s="1"/>
  <c r="I182" i="87"/>
  <c r="F183" i="87"/>
  <c r="G183" i="87" s="1"/>
  <c r="I183" i="87"/>
  <c r="F184" i="87"/>
  <c r="G184" i="87" s="1"/>
  <c r="I184" i="87"/>
  <c r="D185" i="87"/>
  <c r="H185" i="87"/>
  <c r="L185" i="87" s="1"/>
  <c r="J185" i="87"/>
  <c r="F188" i="87"/>
  <c r="G188" i="87" s="1"/>
  <c r="I188" i="87"/>
  <c r="F189" i="87"/>
  <c r="G189" i="87" s="1"/>
  <c r="I189" i="87"/>
  <c r="F190" i="87"/>
  <c r="G190" i="87" s="1"/>
  <c r="I190" i="87"/>
  <c r="F191" i="87"/>
  <c r="G191" i="87" s="1"/>
  <c r="I191" i="87"/>
  <c r="F192" i="87"/>
  <c r="G192" i="87" s="1"/>
  <c r="I192" i="87"/>
  <c r="D193" i="87"/>
  <c r="J193" i="87" s="1"/>
  <c r="H193" i="87"/>
  <c r="L193" i="87" s="1"/>
  <c r="F196" i="87"/>
  <c r="G196" i="87" s="1"/>
  <c r="I196" i="87"/>
  <c r="F197" i="87"/>
  <c r="G197" i="87" s="1"/>
  <c r="I197" i="87"/>
  <c r="F198" i="87"/>
  <c r="G198" i="87" s="1"/>
  <c r="I198" i="87"/>
  <c r="F199" i="87"/>
  <c r="G199" i="87" s="1"/>
  <c r="I199" i="87"/>
  <c r="F200" i="87"/>
  <c r="G200" i="87" s="1"/>
  <c r="I200" i="87"/>
  <c r="D201" i="87"/>
  <c r="J201" i="87" s="1"/>
  <c r="H201" i="87"/>
  <c r="L201" i="87" s="1"/>
  <c r="X18" i="85"/>
  <c r="Y18" i="85"/>
  <c r="F4" i="84"/>
  <c r="G4" i="84" s="1"/>
  <c r="I4" i="84"/>
  <c r="F5" i="84"/>
  <c r="G5" i="84" s="1"/>
  <c r="I5" i="84"/>
  <c r="F6" i="84"/>
  <c r="G6" i="84" s="1"/>
  <c r="I6" i="84"/>
  <c r="F7" i="84"/>
  <c r="G7" i="84" s="1"/>
  <c r="I7" i="84"/>
  <c r="F8" i="84"/>
  <c r="G8" i="84" s="1"/>
  <c r="I8" i="84"/>
  <c r="D9" i="84"/>
  <c r="H9" i="84"/>
  <c r="J9" i="84"/>
  <c r="L9" i="84"/>
  <c r="F12" i="84"/>
  <c r="G12" i="84" s="1"/>
  <c r="I12" i="84"/>
  <c r="F13" i="84"/>
  <c r="G13" i="84" s="1"/>
  <c r="I13" i="84"/>
  <c r="F14" i="84"/>
  <c r="G14" i="84" s="1"/>
  <c r="I14" i="84"/>
  <c r="F15" i="84"/>
  <c r="G15" i="84" s="1"/>
  <c r="I15" i="84"/>
  <c r="F16" i="84"/>
  <c r="G16" i="84" s="1"/>
  <c r="I16" i="84"/>
  <c r="D17" i="84"/>
  <c r="J17" i="84" s="1"/>
  <c r="H17" i="84"/>
  <c r="L17" i="84" s="1"/>
  <c r="F20" i="84"/>
  <c r="G20" i="84" s="1"/>
  <c r="I20" i="84"/>
  <c r="F21" i="84"/>
  <c r="G21" i="84" s="1"/>
  <c r="I21" i="84"/>
  <c r="F22" i="84"/>
  <c r="G22" i="84" s="1"/>
  <c r="I22" i="84"/>
  <c r="F23" i="84"/>
  <c r="G23" i="84" s="1"/>
  <c r="I23" i="84"/>
  <c r="F24" i="84"/>
  <c r="G24" i="84" s="1"/>
  <c r="I24" i="84"/>
  <c r="D25" i="84"/>
  <c r="H25" i="84"/>
  <c r="J25" i="84"/>
  <c r="L25" i="84"/>
  <c r="F28" i="84"/>
  <c r="G28" i="84" s="1"/>
  <c r="I28" i="84"/>
  <c r="F29" i="84"/>
  <c r="G29" i="84" s="1"/>
  <c r="I29" i="84"/>
  <c r="F30" i="84"/>
  <c r="G30" i="84" s="1"/>
  <c r="I30" i="84"/>
  <c r="F31" i="84"/>
  <c r="G31" i="84" s="1"/>
  <c r="I31" i="84"/>
  <c r="F32" i="84"/>
  <c r="G32" i="84" s="1"/>
  <c r="I32" i="84"/>
  <c r="D33" i="84"/>
  <c r="J33" i="84" s="1"/>
  <c r="H33" i="84"/>
  <c r="L33" i="84" s="1"/>
  <c r="F36" i="84"/>
  <c r="G36" i="84" s="1"/>
  <c r="I36" i="84"/>
  <c r="F37" i="84"/>
  <c r="G37" i="84" s="1"/>
  <c r="I37" i="84"/>
  <c r="F38" i="84"/>
  <c r="G38" i="84" s="1"/>
  <c r="I38" i="84"/>
  <c r="F39" i="84"/>
  <c r="G39" i="84" s="1"/>
  <c r="I39" i="84"/>
  <c r="F40" i="84"/>
  <c r="G40" i="84" s="1"/>
  <c r="I40" i="84"/>
  <c r="D41" i="84"/>
  <c r="J41" i="84" s="1"/>
  <c r="H41" i="84"/>
  <c r="L41" i="84"/>
  <c r="F44" i="84"/>
  <c r="G44" i="84" s="1"/>
  <c r="I44" i="84"/>
  <c r="F45" i="84"/>
  <c r="G45" i="84" s="1"/>
  <c r="I45" i="84"/>
  <c r="F46" i="84"/>
  <c r="G46" i="84" s="1"/>
  <c r="I46" i="84"/>
  <c r="F47" i="84"/>
  <c r="G47" i="84" s="1"/>
  <c r="I47" i="84"/>
  <c r="F48" i="84"/>
  <c r="G48" i="84" s="1"/>
  <c r="I48" i="84"/>
  <c r="D49" i="84"/>
  <c r="J49" i="84" s="1"/>
  <c r="H49" i="84"/>
  <c r="L49" i="84" s="1"/>
  <c r="F52" i="84"/>
  <c r="G52" i="84" s="1"/>
  <c r="I52" i="84"/>
  <c r="F53" i="84"/>
  <c r="G53" i="84" s="1"/>
  <c r="I53" i="84"/>
  <c r="F54" i="84"/>
  <c r="G54" i="84" s="1"/>
  <c r="I54" i="84"/>
  <c r="F55" i="84"/>
  <c r="G55" i="84" s="1"/>
  <c r="I55" i="84"/>
  <c r="F56" i="84"/>
  <c r="G56" i="84" s="1"/>
  <c r="I56" i="84"/>
  <c r="D57" i="84"/>
  <c r="J57" i="84" s="1"/>
  <c r="H57" i="84"/>
  <c r="L57" i="84" s="1"/>
  <c r="F60" i="84"/>
  <c r="G60" i="84" s="1"/>
  <c r="I60" i="84"/>
  <c r="F61" i="84"/>
  <c r="G61" i="84" s="1"/>
  <c r="I61" i="84"/>
  <c r="F62" i="84"/>
  <c r="G62" i="84" s="1"/>
  <c r="I62" i="84"/>
  <c r="F63" i="84"/>
  <c r="G63" i="84" s="1"/>
  <c r="I63" i="84"/>
  <c r="F64" i="84"/>
  <c r="G64" i="84" s="1"/>
  <c r="I64" i="84"/>
  <c r="D65" i="84"/>
  <c r="J65" i="84" s="1"/>
  <c r="H65" i="84"/>
  <c r="L65" i="84" s="1"/>
  <c r="F68" i="84"/>
  <c r="G68" i="84" s="1"/>
  <c r="I68" i="84"/>
  <c r="F69" i="84"/>
  <c r="G69" i="84" s="1"/>
  <c r="I69" i="84"/>
  <c r="F70" i="84"/>
  <c r="G70" i="84" s="1"/>
  <c r="I70" i="84"/>
  <c r="F71" i="84"/>
  <c r="G71" i="84" s="1"/>
  <c r="I71" i="84"/>
  <c r="F72" i="84"/>
  <c r="G72" i="84" s="1"/>
  <c r="I72" i="84"/>
  <c r="D73" i="84"/>
  <c r="J73" i="84" s="1"/>
  <c r="H73" i="84"/>
  <c r="L73" i="84" s="1"/>
  <c r="F76" i="84"/>
  <c r="G76" i="84" s="1"/>
  <c r="I76" i="84"/>
  <c r="F77" i="84"/>
  <c r="G77" i="84" s="1"/>
  <c r="I77" i="84"/>
  <c r="F78" i="84"/>
  <c r="G78" i="84" s="1"/>
  <c r="I78" i="84"/>
  <c r="F79" i="84"/>
  <c r="G79" i="84" s="1"/>
  <c r="I79" i="84"/>
  <c r="F80" i="84"/>
  <c r="G80" i="84" s="1"/>
  <c r="I80" i="84"/>
  <c r="D81" i="84"/>
  <c r="H81" i="84"/>
  <c r="L81" i="84" s="1"/>
  <c r="J81" i="84"/>
  <c r="F84" i="84"/>
  <c r="G84" i="84" s="1"/>
  <c r="I84" i="84"/>
  <c r="F85" i="84"/>
  <c r="G85" i="84" s="1"/>
  <c r="I85" i="84"/>
  <c r="F86" i="84"/>
  <c r="G86" i="84" s="1"/>
  <c r="I86" i="84"/>
  <c r="F87" i="84"/>
  <c r="G87" i="84" s="1"/>
  <c r="I87" i="84"/>
  <c r="F88" i="84"/>
  <c r="G88" i="84" s="1"/>
  <c r="I88" i="84"/>
  <c r="D89" i="84"/>
  <c r="H89" i="84"/>
  <c r="L89" i="84" s="1"/>
  <c r="J89" i="84"/>
  <c r="F92" i="84"/>
  <c r="G92" i="84" s="1"/>
  <c r="I92" i="84"/>
  <c r="F93" i="84"/>
  <c r="G93" i="84" s="1"/>
  <c r="I93" i="84"/>
  <c r="F94" i="84"/>
  <c r="G94" i="84" s="1"/>
  <c r="I94" i="84"/>
  <c r="F95" i="84"/>
  <c r="G95" i="84" s="1"/>
  <c r="I95" i="84"/>
  <c r="F96" i="84"/>
  <c r="G96" i="84" s="1"/>
  <c r="I96" i="84"/>
  <c r="D97" i="84"/>
  <c r="J97" i="84" s="1"/>
  <c r="H97" i="84"/>
  <c r="L97" i="84" s="1"/>
  <c r="F100" i="84"/>
  <c r="G100" i="84" s="1"/>
  <c r="I100" i="84"/>
  <c r="F101" i="84"/>
  <c r="G101" i="84" s="1"/>
  <c r="I101" i="84"/>
  <c r="F102" i="84"/>
  <c r="G102" i="84" s="1"/>
  <c r="I102" i="84"/>
  <c r="F103" i="84"/>
  <c r="G103" i="84" s="1"/>
  <c r="I103" i="84"/>
  <c r="F104" i="84"/>
  <c r="G104" i="84" s="1"/>
  <c r="I104" i="84"/>
  <c r="D105" i="84"/>
  <c r="J105" i="84" s="1"/>
  <c r="H105" i="84"/>
  <c r="L105" i="84" s="1"/>
  <c r="F108" i="84"/>
  <c r="G108" i="84" s="1"/>
  <c r="I108" i="84"/>
  <c r="F109" i="84"/>
  <c r="G109" i="84" s="1"/>
  <c r="I109" i="84"/>
  <c r="F110" i="84"/>
  <c r="G110" i="84" s="1"/>
  <c r="I110" i="84"/>
  <c r="F111" i="84"/>
  <c r="G111" i="84" s="1"/>
  <c r="I111" i="84"/>
  <c r="F112" i="84"/>
  <c r="G112" i="84" s="1"/>
  <c r="I112" i="84"/>
  <c r="D113" i="84"/>
  <c r="J113" i="84" s="1"/>
  <c r="H113" i="84"/>
  <c r="L113" i="84"/>
  <c r="F116" i="84"/>
  <c r="G116" i="84" s="1"/>
  <c r="I116" i="84"/>
  <c r="F117" i="84"/>
  <c r="G117" i="84" s="1"/>
  <c r="I117" i="84"/>
  <c r="F118" i="84"/>
  <c r="G118" i="84" s="1"/>
  <c r="I118" i="84"/>
  <c r="F119" i="84"/>
  <c r="G119" i="84" s="1"/>
  <c r="I119" i="84"/>
  <c r="F120" i="84"/>
  <c r="G120" i="84" s="1"/>
  <c r="I120" i="84"/>
  <c r="D121" i="84"/>
  <c r="J121" i="84" s="1"/>
  <c r="H121" i="84"/>
  <c r="L121" i="84"/>
  <c r="F124" i="84"/>
  <c r="G124" i="84" s="1"/>
  <c r="I124" i="84"/>
  <c r="F125" i="84"/>
  <c r="G125" i="84" s="1"/>
  <c r="I125" i="84"/>
  <c r="F126" i="84"/>
  <c r="G126" i="84" s="1"/>
  <c r="I126" i="84"/>
  <c r="F127" i="84"/>
  <c r="G127" i="84" s="1"/>
  <c r="I127" i="84"/>
  <c r="F128" i="84"/>
  <c r="G128" i="84" s="1"/>
  <c r="I128" i="84"/>
  <c r="D129" i="84"/>
  <c r="J129" i="84" s="1"/>
  <c r="H129" i="84"/>
  <c r="L129" i="84" s="1"/>
  <c r="F132" i="84"/>
  <c r="G132" i="84" s="1"/>
  <c r="I132" i="84"/>
  <c r="F133" i="84"/>
  <c r="G133" i="84" s="1"/>
  <c r="I133" i="84"/>
  <c r="F134" i="84"/>
  <c r="G134" i="84" s="1"/>
  <c r="I134" i="84"/>
  <c r="F135" i="84"/>
  <c r="G135" i="84" s="1"/>
  <c r="I135" i="84"/>
  <c r="F136" i="84"/>
  <c r="G136" i="84" s="1"/>
  <c r="I136" i="84"/>
  <c r="D137" i="84"/>
  <c r="J137" i="84" s="1"/>
  <c r="H137" i="84"/>
  <c r="L137" i="84" s="1"/>
  <c r="F140" i="84"/>
  <c r="G140" i="84" s="1"/>
  <c r="I140" i="84"/>
  <c r="F141" i="84"/>
  <c r="G141" i="84" s="1"/>
  <c r="I141" i="84"/>
  <c r="F142" i="84"/>
  <c r="G142" i="84" s="1"/>
  <c r="I142" i="84"/>
  <c r="F143" i="84"/>
  <c r="G143" i="84" s="1"/>
  <c r="I143" i="84"/>
  <c r="F144" i="84"/>
  <c r="G144" i="84" s="1"/>
  <c r="I144" i="84"/>
  <c r="D145" i="84"/>
  <c r="J145" i="84" s="1"/>
  <c r="H145" i="84"/>
  <c r="L145" i="84"/>
  <c r="F148" i="84"/>
  <c r="G148" i="84" s="1"/>
  <c r="I148" i="84"/>
  <c r="F149" i="84"/>
  <c r="G149" i="84" s="1"/>
  <c r="I149" i="84"/>
  <c r="F150" i="84"/>
  <c r="G150" i="84" s="1"/>
  <c r="I150" i="84"/>
  <c r="F151" i="84"/>
  <c r="G151" i="84" s="1"/>
  <c r="I151" i="84"/>
  <c r="F152" i="84"/>
  <c r="G152" i="84" s="1"/>
  <c r="I152" i="84"/>
  <c r="D153" i="84"/>
  <c r="J153" i="84" s="1"/>
  <c r="H153" i="84"/>
  <c r="L153" i="84" s="1"/>
  <c r="F156" i="84"/>
  <c r="G156" i="84" s="1"/>
  <c r="I156" i="84"/>
  <c r="F157" i="84"/>
  <c r="G157" i="84" s="1"/>
  <c r="I157" i="84"/>
  <c r="F158" i="84"/>
  <c r="G158" i="84" s="1"/>
  <c r="I158" i="84"/>
  <c r="F159" i="84"/>
  <c r="G159" i="84" s="1"/>
  <c r="I159" i="84"/>
  <c r="F160" i="84"/>
  <c r="G160" i="84" s="1"/>
  <c r="I160" i="84"/>
  <c r="D161" i="84"/>
  <c r="J161" i="84" s="1"/>
  <c r="H161" i="84"/>
  <c r="L161" i="84" s="1"/>
  <c r="F164" i="84"/>
  <c r="G164" i="84" s="1"/>
  <c r="I164" i="84"/>
  <c r="F165" i="84"/>
  <c r="G165" i="84" s="1"/>
  <c r="I165" i="84"/>
  <c r="F166" i="84"/>
  <c r="G166" i="84" s="1"/>
  <c r="I166" i="84"/>
  <c r="F167" i="84"/>
  <c r="G167" i="84" s="1"/>
  <c r="I167" i="84"/>
  <c r="F168" i="84"/>
  <c r="G168" i="84" s="1"/>
  <c r="I168" i="84"/>
  <c r="D169" i="84"/>
  <c r="H169" i="84"/>
  <c r="L169" i="84" s="1"/>
  <c r="J169" i="84"/>
  <c r="F172" i="84"/>
  <c r="G172" i="84" s="1"/>
  <c r="I172" i="84"/>
  <c r="F173" i="84"/>
  <c r="G173" i="84" s="1"/>
  <c r="I173" i="84"/>
  <c r="F174" i="84"/>
  <c r="G174" i="84" s="1"/>
  <c r="I174" i="84"/>
  <c r="F175" i="84"/>
  <c r="G175" i="84" s="1"/>
  <c r="I175" i="84"/>
  <c r="F176" i="84"/>
  <c r="G176" i="84" s="1"/>
  <c r="I176" i="84"/>
  <c r="D177" i="84"/>
  <c r="H177" i="84"/>
  <c r="L177" i="84" s="1"/>
  <c r="J177" i="84"/>
  <c r="F180" i="84"/>
  <c r="G180" i="84" s="1"/>
  <c r="I180" i="84"/>
  <c r="F181" i="84"/>
  <c r="G181" i="84" s="1"/>
  <c r="I181" i="84"/>
  <c r="F182" i="84"/>
  <c r="G182" i="84" s="1"/>
  <c r="I182" i="84"/>
  <c r="F183" i="84"/>
  <c r="G183" i="84" s="1"/>
  <c r="I183" i="84"/>
  <c r="F184" i="84"/>
  <c r="G184" i="84" s="1"/>
  <c r="I184" i="84"/>
  <c r="D185" i="84"/>
  <c r="J185" i="84" s="1"/>
  <c r="H185" i="84"/>
  <c r="L185" i="84"/>
  <c r="F188" i="84"/>
  <c r="G188" i="84" s="1"/>
  <c r="I188" i="84"/>
  <c r="F189" i="84"/>
  <c r="G189" i="84" s="1"/>
  <c r="I189" i="84"/>
  <c r="F190" i="84"/>
  <c r="G190" i="84" s="1"/>
  <c r="I190" i="84"/>
  <c r="F191" i="84"/>
  <c r="G191" i="84" s="1"/>
  <c r="I191" i="84"/>
  <c r="F192" i="84"/>
  <c r="G192" i="84" s="1"/>
  <c r="I192" i="84"/>
  <c r="D193" i="84"/>
  <c r="J193" i="84" s="1"/>
  <c r="H193" i="84"/>
  <c r="L193" i="84" s="1"/>
  <c r="F196" i="84"/>
  <c r="G196" i="84" s="1"/>
  <c r="I196" i="84"/>
  <c r="F197" i="84"/>
  <c r="G197" i="84" s="1"/>
  <c r="I197" i="84"/>
  <c r="F198" i="84"/>
  <c r="G198" i="84" s="1"/>
  <c r="I198" i="84"/>
  <c r="F199" i="84"/>
  <c r="G199" i="84" s="1"/>
  <c r="I199" i="84"/>
  <c r="F200" i="84"/>
  <c r="G200" i="84" s="1"/>
  <c r="I200" i="84"/>
  <c r="D201" i="84"/>
  <c r="J201" i="84" s="1"/>
  <c r="H201" i="84"/>
  <c r="L201" i="84" s="1"/>
  <c r="F204" i="84"/>
  <c r="G204" i="84" s="1"/>
  <c r="I204" i="84"/>
  <c r="F205" i="84"/>
  <c r="G205" i="84" s="1"/>
  <c r="I205" i="84"/>
  <c r="F206" i="84"/>
  <c r="G206" i="84" s="1"/>
  <c r="I206" i="84"/>
  <c r="F207" i="84"/>
  <c r="G207" i="84" s="1"/>
  <c r="I207" i="84"/>
  <c r="F208" i="84"/>
  <c r="G208" i="84" s="1"/>
  <c r="I208" i="84"/>
  <c r="D209" i="84"/>
  <c r="D216" i="84" s="1"/>
  <c r="J216" i="84" s="1"/>
  <c r="H209" i="84"/>
  <c r="J209" i="84"/>
  <c r="F211" i="84"/>
  <c r="G211" i="84" s="1"/>
  <c r="I211" i="84"/>
  <c r="F212" i="84"/>
  <c r="G212" i="84" s="1"/>
  <c r="I212" i="84"/>
  <c r="F213" i="84"/>
  <c r="G213" i="84" s="1"/>
  <c r="I213" i="84"/>
  <c r="F214" i="84"/>
  <c r="G214" i="84" s="1"/>
  <c r="I214" i="84"/>
  <c r="F215" i="84"/>
  <c r="G215" i="84" s="1"/>
  <c r="I215" i="84"/>
  <c r="X14" i="82"/>
  <c r="Y14" i="82"/>
  <c r="F4" i="81"/>
  <c r="G4" i="81" s="1"/>
  <c r="I4" i="81"/>
  <c r="F5" i="81"/>
  <c r="G5" i="81" s="1"/>
  <c r="I5" i="81"/>
  <c r="F6" i="81"/>
  <c r="G6" i="81" s="1"/>
  <c r="I6" i="81"/>
  <c r="F7" i="81"/>
  <c r="G7" i="81" s="1"/>
  <c r="I7" i="81"/>
  <c r="F8" i="81"/>
  <c r="G8" i="81" s="1"/>
  <c r="I8" i="81"/>
  <c r="D9" i="81"/>
  <c r="J9" i="81" s="1"/>
  <c r="H9" i="81"/>
  <c r="L9" i="81"/>
  <c r="F12" i="81"/>
  <c r="G12" i="81" s="1"/>
  <c r="I12" i="81"/>
  <c r="F13" i="81"/>
  <c r="G13" i="81" s="1"/>
  <c r="I13" i="81"/>
  <c r="F14" i="81"/>
  <c r="G14" i="81" s="1"/>
  <c r="I14" i="81"/>
  <c r="F15" i="81"/>
  <c r="G15" i="81" s="1"/>
  <c r="I15" i="81"/>
  <c r="F16" i="81"/>
  <c r="G16" i="81" s="1"/>
  <c r="I16" i="81"/>
  <c r="D17" i="81"/>
  <c r="H17" i="81"/>
  <c r="L17" i="81" s="1"/>
  <c r="J17" i="81"/>
  <c r="F20" i="81"/>
  <c r="G20" i="81" s="1"/>
  <c r="I20" i="81"/>
  <c r="F21" i="81"/>
  <c r="G21" i="81" s="1"/>
  <c r="I21" i="81"/>
  <c r="F22" i="81"/>
  <c r="G22" i="81" s="1"/>
  <c r="I22" i="81"/>
  <c r="F23" i="81"/>
  <c r="G23" i="81" s="1"/>
  <c r="I23" i="81"/>
  <c r="F24" i="81"/>
  <c r="G24" i="81" s="1"/>
  <c r="I24" i="81"/>
  <c r="D25" i="81"/>
  <c r="J25" i="81" s="1"/>
  <c r="H25" i="81"/>
  <c r="L25" i="81"/>
  <c r="F28" i="81"/>
  <c r="G28" i="81" s="1"/>
  <c r="I28" i="81"/>
  <c r="F29" i="81"/>
  <c r="G29" i="81" s="1"/>
  <c r="I29" i="81"/>
  <c r="F30" i="81"/>
  <c r="G30" i="81" s="1"/>
  <c r="I30" i="81"/>
  <c r="F31" i="81"/>
  <c r="G31" i="81" s="1"/>
  <c r="I31" i="81"/>
  <c r="F32" i="81"/>
  <c r="G32" i="81" s="1"/>
  <c r="I32" i="81"/>
  <c r="D33" i="81"/>
  <c r="H33" i="81"/>
  <c r="L33" i="81" s="1"/>
  <c r="J33" i="81"/>
  <c r="F36" i="81"/>
  <c r="G36" i="81" s="1"/>
  <c r="I36" i="81"/>
  <c r="F37" i="81"/>
  <c r="G37" i="81" s="1"/>
  <c r="I37" i="81"/>
  <c r="F38" i="81"/>
  <c r="G38" i="81" s="1"/>
  <c r="I38" i="81"/>
  <c r="F39" i="81"/>
  <c r="G39" i="81" s="1"/>
  <c r="I39" i="81"/>
  <c r="F40" i="81"/>
  <c r="G40" i="81" s="1"/>
  <c r="I40" i="81"/>
  <c r="D41" i="81"/>
  <c r="J41" i="81" s="1"/>
  <c r="H41" i="81"/>
  <c r="L41" i="81" s="1"/>
  <c r="F44" i="81"/>
  <c r="G44" i="81" s="1"/>
  <c r="I44" i="81"/>
  <c r="F45" i="81"/>
  <c r="G45" i="81" s="1"/>
  <c r="I45" i="81"/>
  <c r="F46" i="81"/>
  <c r="G46" i="81" s="1"/>
  <c r="I46" i="81"/>
  <c r="F47" i="81"/>
  <c r="G47" i="81" s="1"/>
  <c r="I47" i="81"/>
  <c r="F48" i="81"/>
  <c r="G48" i="81" s="1"/>
  <c r="I48" i="81"/>
  <c r="D49" i="81"/>
  <c r="J49" i="81" s="1"/>
  <c r="H49" i="81"/>
  <c r="L49" i="81" s="1"/>
  <c r="F52" i="81"/>
  <c r="G52" i="81" s="1"/>
  <c r="I52" i="81"/>
  <c r="F53" i="81"/>
  <c r="G53" i="81" s="1"/>
  <c r="I53" i="81"/>
  <c r="F54" i="81"/>
  <c r="G54" i="81" s="1"/>
  <c r="I54" i="81"/>
  <c r="F55" i="81"/>
  <c r="G55" i="81" s="1"/>
  <c r="I55" i="81"/>
  <c r="F56" i="81"/>
  <c r="G56" i="81" s="1"/>
  <c r="I56" i="81"/>
  <c r="D57" i="81"/>
  <c r="J57" i="81" s="1"/>
  <c r="H57" i="81"/>
  <c r="L57" i="81" s="1"/>
  <c r="F60" i="81"/>
  <c r="G60" i="81" s="1"/>
  <c r="I60" i="81"/>
  <c r="F61" i="81"/>
  <c r="G61" i="81" s="1"/>
  <c r="I61" i="81"/>
  <c r="F62" i="81"/>
  <c r="G62" i="81" s="1"/>
  <c r="I62" i="81"/>
  <c r="F63" i="81"/>
  <c r="G63" i="81" s="1"/>
  <c r="I63" i="81"/>
  <c r="F64" i="81"/>
  <c r="G64" i="81" s="1"/>
  <c r="I64" i="81"/>
  <c r="D65" i="81"/>
  <c r="J65" i="81" s="1"/>
  <c r="H65" i="81"/>
  <c r="L65" i="81" s="1"/>
  <c r="F68" i="81"/>
  <c r="G68" i="81" s="1"/>
  <c r="I68" i="81"/>
  <c r="F69" i="81"/>
  <c r="G69" i="81" s="1"/>
  <c r="I69" i="81"/>
  <c r="F70" i="81"/>
  <c r="G70" i="81" s="1"/>
  <c r="I70" i="81"/>
  <c r="F71" i="81"/>
  <c r="G71" i="81" s="1"/>
  <c r="I71" i="81"/>
  <c r="F72" i="81"/>
  <c r="G72" i="81" s="1"/>
  <c r="I72" i="81"/>
  <c r="D73" i="81"/>
  <c r="J73" i="81" s="1"/>
  <c r="H73" i="81"/>
  <c r="L73" i="81" s="1"/>
  <c r="F76" i="81"/>
  <c r="G76" i="81" s="1"/>
  <c r="I76" i="81"/>
  <c r="F77" i="81"/>
  <c r="G77" i="81" s="1"/>
  <c r="I77" i="81"/>
  <c r="F78" i="81"/>
  <c r="G78" i="81" s="1"/>
  <c r="I78" i="81"/>
  <c r="F79" i="81"/>
  <c r="G79" i="81" s="1"/>
  <c r="I79" i="81"/>
  <c r="F80" i="81"/>
  <c r="G80" i="81" s="1"/>
  <c r="I80" i="81"/>
  <c r="D81" i="81"/>
  <c r="H81" i="81"/>
  <c r="L81" i="81" s="1"/>
  <c r="J81" i="81"/>
  <c r="F84" i="81"/>
  <c r="G84" i="81" s="1"/>
  <c r="I84" i="81"/>
  <c r="F85" i="81"/>
  <c r="G85" i="81" s="1"/>
  <c r="I85" i="81"/>
  <c r="F86" i="81"/>
  <c r="G86" i="81" s="1"/>
  <c r="I86" i="81"/>
  <c r="F87" i="81"/>
  <c r="G87" i="81" s="1"/>
  <c r="I87" i="81"/>
  <c r="F88" i="81"/>
  <c r="G88" i="81" s="1"/>
  <c r="I88" i="81"/>
  <c r="D89" i="81"/>
  <c r="J89" i="81" s="1"/>
  <c r="H89" i="81"/>
  <c r="L89" i="81"/>
  <c r="F92" i="81"/>
  <c r="G92" i="81" s="1"/>
  <c r="I92" i="81"/>
  <c r="F93" i="81"/>
  <c r="G93" i="81" s="1"/>
  <c r="I93" i="81"/>
  <c r="F94" i="81"/>
  <c r="G94" i="81" s="1"/>
  <c r="I94" i="81"/>
  <c r="F95" i="81"/>
  <c r="G95" i="81" s="1"/>
  <c r="I95" i="81"/>
  <c r="F96" i="81"/>
  <c r="G96" i="81" s="1"/>
  <c r="I96" i="81"/>
  <c r="D97" i="81"/>
  <c r="J97" i="81" s="1"/>
  <c r="H97" i="81"/>
  <c r="L97" i="81" s="1"/>
  <c r="F100" i="81"/>
  <c r="G100" i="81" s="1"/>
  <c r="I100" i="81"/>
  <c r="F101" i="81"/>
  <c r="G101" i="81" s="1"/>
  <c r="I101" i="81"/>
  <c r="F102" i="81"/>
  <c r="G102" i="81" s="1"/>
  <c r="I102" i="81"/>
  <c r="F103" i="81"/>
  <c r="G103" i="81" s="1"/>
  <c r="I103" i="81"/>
  <c r="F104" i="81"/>
  <c r="G104" i="81" s="1"/>
  <c r="I104" i="81"/>
  <c r="D105" i="81"/>
  <c r="J105" i="81" s="1"/>
  <c r="H105" i="81"/>
  <c r="L105" i="81"/>
  <c r="F108" i="81"/>
  <c r="G108" i="81" s="1"/>
  <c r="I108" i="81"/>
  <c r="F109" i="81"/>
  <c r="G109" i="81" s="1"/>
  <c r="I109" i="81"/>
  <c r="F110" i="81"/>
  <c r="G110" i="81" s="1"/>
  <c r="I110" i="81"/>
  <c r="F111" i="81"/>
  <c r="G111" i="81" s="1"/>
  <c r="I111" i="81"/>
  <c r="F112" i="81"/>
  <c r="G112" i="81" s="1"/>
  <c r="I112" i="81"/>
  <c r="D113" i="81"/>
  <c r="J113" i="81" s="1"/>
  <c r="H113" i="81"/>
  <c r="L113" i="81"/>
  <c r="F116" i="81"/>
  <c r="G116" i="81" s="1"/>
  <c r="I116" i="81"/>
  <c r="F117" i="81"/>
  <c r="G117" i="81" s="1"/>
  <c r="I117" i="81"/>
  <c r="F118" i="81"/>
  <c r="G118" i="81" s="1"/>
  <c r="I118" i="81"/>
  <c r="F119" i="81"/>
  <c r="G119" i="81" s="1"/>
  <c r="I119" i="81"/>
  <c r="F120" i="81"/>
  <c r="G120" i="81" s="1"/>
  <c r="I120" i="81"/>
  <c r="D121" i="81"/>
  <c r="J121" i="81" s="1"/>
  <c r="H121" i="81"/>
  <c r="L121" i="81" s="1"/>
  <c r="F124" i="81"/>
  <c r="G124" i="81" s="1"/>
  <c r="I124" i="81"/>
  <c r="F125" i="81"/>
  <c r="G125" i="81" s="1"/>
  <c r="I125" i="81"/>
  <c r="F126" i="81"/>
  <c r="G126" i="81" s="1"/>
  <c r="I126" i="81"/>
  <c r="F127" i="81"/>
  <c r="G127" i="81" s="1"/>
  <c r="I127" i="81"/>
  <c r="F128" i="81"/>
  <c r="G128" i="81" s="1"/>
  <c r="I128" i="81"/>
  <c r="D129" i="81"/>
  <c r="J129" i="81" s="1"/>
  <c r="H129" i="81"/>
  <c r="L129" i="81" s="1"/>
  <c r="F132" i="81"/>
  <c r="G132" i="81" s="1"/>
  <c r="I132" i="81"/>
  <c r="F133" i="81"/>
  <c r="G133" i="81" s="1"/>
  <c r="I133" i="81"/>
  <c r="F134" i="81"/>
  <c r="G134" i="81" s="1"/>
  <c r="I134" i="81"/>
  <c r="F135" i="81"/>
  <c r="G135" i="81" s="1"/>
  <c r="I135" i="81"/>
  <c r="F136" i="81"/>
  <c r="G136" i="81" s="1"/>
  <c r="I136" i="81"/>
  <c r="D137" i="81"/>
  <c r="J137" i="81" s="1"/>
  <c r="H137" i="81"/>
  <c r="L137" i="81" s="1"/>
  <c r="F140" i="81"/>
  <c r="G140" i="81" s="1"/>
  <c r="I140" i="81"/>
  <c r="F141" i="81"/>
  <c r="G141" i="81" s="1"/>
  <c r="I141" i="81"/>
  <c r="F142" i="81"/>
  <c r="G142" i="81" s="1"/>
  <c r="I142" i="81"/>
  <c r="F143" i="81"/>
  <c r="G143" i="81" s="1"/>
  <c r="I143" i="81"/>
  <c r="F144" i="81"/>
  <c r="G144" i="81" s="1"/>
  <c r="I144" i="81"/>
  <c r="D145" i="81"/>
  <c r="J145" i="81" s="1"/>
  <c r="H145" i="81"/>
  <c r="L145" i="81" s="1"/>
  <c r="F148" i="81"/>
  <c r="G148" i="81" s="1"/>
  <c r="I148" i="81"/>
  <c r="F149" i="81"/>
  <c r="G149" i="81" s="1"/>
  <c r="I149" i="81"/>
  <c r="F150" i="81"/>
  <c r="G150" i="81" s="1"/>
  <c r="I150" i="81"/>
  <c r="F151" i="81"/>
  <c r="G151" i="81" s="1"/>
  <c r="I151" i="81"/>
  <c r="F152" i="81"/>
  <c r="G152" i="81" s="1"/>
  <c r="I152" i="81"/>
  <c r="D153" i="81"/>
  <c r="J153" i="81" s="1"/>
  <c r="H153" i="81"/>
  <c r="L153" i="81" s="1"/>
  <c r="F156" i="81"/>
  <c r="G156" i="81" s="1"/>
  <c r="I156" i="81"/>
  <c r="F157" i="81"/>
  <c r="G157" i="81" s="1"/>
  <c r="I157" i="81"/>
  <c r="F158" i="81"/>
  <c r="G158" i="81" s="1"/>
  <c r="I158" i="81"/>
  <c r="F159" i="81"/>
  <c r="G159" i="81" s="1"/>
  <c r="I159" i="81"/>
  <c r="F160" i="81"/>
  <c r="G160" i="81" s="1"/>
  <c r="I160" i="81"/>
  <c r="D161" i="81"/>
  <c r="J161" i="81" s="1"/>
  <c r="H161" i="81"/>
  <c r="L161" i="81" s="1"/>
  <c r="F164" i="81"/>
  <c r="G164" i="81" s="1"/>
  <c r="I164" i="81"/>
  <c r="F165" i="81"/>
  <c r="G165" i="81" s="1"/>
  <c r="I165" i="81"/>
  <c r="F166" i="81"/>
  <c r="G166" i="81" s="1"/>
  <c r="I166" i="81"/>
  <c r="F167" i="81"/>
  <c r="G167" i="81" s="1"/>
  <c r="I167" i="81"/>
  <c r="F168" i="81"/>
  <c r="G168" i="81" s="1"/>
  <c r="I168" i="81"/>
  <c r="D169" i="81"/>
  <c r="H169" i="81"/>
  <c r="L169" i="81" s="1"/>
  <c r="J169" i="81"/>
  <c r="F172" i="81"/>
  <c r="G172" i="81" s="1"/>
  <c r="I172" i="81"/>
  <c r="F173" i="81"/>
  <c r="G173" i="81" s="1"/>
  <c r="I173" i="81"/>
  <c r="F174" i="81"/>
  <c r="G174" i="81" s="1"/>
  <c r="I174" i="81"/>
  <c r="F175" i="81"/>
  <c r="G175" i="81" s="1"/>
  <c r="I175" i="81"/>
  <c r="F176" i="81"/>
  <c r="G176" i="81" s="1"/>
  <c r="I176" i="81"/>
  <c r="D177" i="81"/>
  <c r="H177" i="81"/>
  <c r="L177" i="81" s="1"/>
  <c r="J177" i="81"/>
  <c r="F180" i="81"/>
  <c r="G180" i="81" s="1"/>
  <c r="I180" i="81"/>
  <c r="F181" i="81"/>
  <c r="G181" i="81" s="1"/>
  <c r="I181" i="81"/>
  <c r="F182" i="81"/>
  <c r="G182" i="81" s="1"/>
  <c r="I182" i="81"/>
  <c r="F183" i="81"/>
  <c r="G183" i="81" s="1"/>
  <c r="I183" i="81"/>
  <c r="F184" i="81"/>
  <c r="G184" i="81" s="1"/>
  <c r="I184" i="81"/>
  <c r="D185" i="81"/>
  <c r="J185" i="81" s="1"/>
  <c r="H185" i="81"/>
  <c r="L185" i="81" s="1"/>
  <c r="F188" i="81"/>
  <c r="G188" i="81" s="1"/>
  <c r="I188" i="81"/>
  <c r="F189" i="81"/>
  <c r="G189" i="81" s="1"/>
  <c r="I189" i="81"/>
  <c r="F190" i="81"/>
  <c r="G190" i="81" s="1"/>
  <c r="I190" i="81"/>
  <c r="F191" i="81"/>
  <c r="G191" i="81" s="1"/>
  <c r="I191" i="81"/>
  <c r="F192" i="81"/>
  <c r="G192" i="81" s="1"/>
  <c r="I192" i="81"/>
  <c r="D193" i="81"/>
  <c r="J193" i="81" s="1"/>
  <c r="H193" i="81"/>
  <c r="L193" i="81"/>
  <c r="F196" i="81"/>
  <c r="G196" i="81" s="1"/>
  <c r="I196" i="81"/>
  <c r="F197" i="81"/>
  <c r="G197" i="81" s="1"/>
  <c r="I197" i="81"/>
  <c r="F198" i="81"/>
  <c r="G198" i="81" s="1"/>
  <c r="I198" i="81"/>
  <c r="F199" i="81"/>
  <c r="G199" i="81" s="1"/>
  <c r="I199" i="81"/>
  <c r="F200" i="81"/>
  <c r="G200" i="81" s="1"/>
  <c r="I200" i="81"/>
  <c r="D201" i="81"/>
  <c r="H201" i="81"/>
  <c r="J201" i="81"/>
  <c r="L201" i="81"/>
  <c r="F204" i="81"/>
  <c r="G204" i="81" s="1"/>
  <c r="I204" i="81"/>
  <c r="F205" i="81"/>
  <c r="G205" i="81" s="1"/>
  <c r="I205" i="81"/>
  <c r="F206" i="81"/>
  <c r="G206" i="81" s="1"/>
  <c r="I206" i="81"/>
  <c r="F207" i="81"/>
  <c r="G207" i="81" s="1"/>
  <c r="I207" i="81"/>
  <c r="F208" i="81"/>
  <c r="G208" i="81" s="1"/>
  <c r="I208" i="81"/>
  <c r="D209" i="81"/>
  <c r="J209" i="81" s="1"/>
  <c r="H209" i="81"/>
  <c r="L209" i="81" s="1"/>
  <c r="F4" i="78"/>
  <c r="G4" i="78" s="1"/>
  <c r="I4" i="78"/>
  <c r="F5" i="78"/>
  <c r="G5" i="78" s="1"/>
  <c r="I5" i="78"/>
  <c r="F6" i="78"/>
  <c r="G6" i="78" s="1"/>
  <c r="I6" i="78"/>
  <c r="F7" i="78"/>
  <c r="G7" i="78" s="1"/>
  <c r="I7" i="78"/>
  <c r="F8" i="78"/>
  <c r="G8" i="78" s="1"/>
  <c r="I8" i="78"/>
  <c r="D9" i="78"/>
  <c r="H9" i="78"/>
  <c r="J9" i="78"/>
  <c r="L9" i="78"/>
  <c r="F12" i="78"/>
  <c r="G12" i="78" s="1"/>
  <c r="I12" i="78"/>
  <c r="F13" i="78"/>
  <c r="G13" i="78" s="1"/>
  <c r="I13" i="78"/>
  <c r="F14" i="78"/>
  <c r="G14" i="78" s="1"/>
  <c r="I14" i="78"/>
  <c r="F15" i="78"/>
  <c r="G15" i="78" s="1"/>
  <c r="I15" i="78"/>
  <c r="F16" i="78"/>
  <c r="G16" i="78" s="1"/>
  <c r="I16" i="78"/>
  <c r="D17" i="78"/>
  <c r="J17" i="78" s="1"/>
  <c r="H17" i="78"/>
  <c r="L17" i="78" s="1"/>
  <c r="F20" i="78"/>
  <c r="G20" i="78" s="1"/>
  <c r="I20" i="78"/>
  <c r="F21" i="78"/>
  <c r="G21" i="78" s="1"/>
  <c r="I21" i="78"/>
  <c r="F22" i="78"/>
  <c r="G22" i="78" s="1"/>
  <c r="I22" i="78"/>
  <c r="F23" i="78"/>
  <c r="G23" i="78" s="1"/>
  <c r="I23" i="78"/>
  <c r="F24" i="78"/>
  <c r="G24" i="78" s="1"/>
  <c r="I24" i="78"/>
  <c r="D25" i="78"/>
  <c r="H25" i="78"/>
  <c r="J25" i="78"/>
  <c r="L25" i="78"/>
  <c r="F28" i="78"/>
  <c r="G28" i="78" s="1"/>
  <c r="I28" i="78"/>
  <c r="F29" i="78"/>
  <c r="G29" i="78" s="1"/>
  <c r="I29" i="78"/>
  <c r="F30" i="78"/>
  <c r="G30" i="78" s="1"/>
  <c r="I30" i="78"/>
  <c r="F31" i="78"/>
  <c r="G31" i="78" s="1"/>
  <c r="I31" i="78"/>
  <c r="F32" i="78"/>
  <c r="G32" i="78" s="1"/>
  <c r="I32" i="78"/>
  <c r="D33" i="78"/>
  <c r="J33" i="78" s="1"/>
  <c r="H33" i="78"/>
  <c r="L33" i="78" s="1"/>
  <c r="F36" i="78"/>
  <c r="G36" i="78" s="1"/>
  <c r="I36" i="78"/>
  <c r="F37" i="78"/>
  <c r="G37" i="78" s="1"/>
  <c r="I37" i="78"/>
  <c r="F38" i="78"/>
  <c r="G38" i="78" s="1"/>
  <c r="I38" i="78"/>
  <c r="F39" i="78"/>
  <c r="G39" i="78" s="1"/>
  <c r="I39" i="78"/>
  <c r="F40" i="78"/>
  <c r="G40" i="78" s="1"/>
  <c r="I40" i="78"/>
  <c r="D41" i="78"/>
  <c r="J41" i="78" s="1"/>
  <c r="H41" i="78"/>
  <c r="L41" i="78" s="1"/>
  <c r="F44" i="78"/>
  <c r="G44" i="78" s="1"/>
  <c r="I44" i="78"/>
  <c r="F45" i="78"/>
  <c r="G45" i="78" s="1"/>
  <c r="I45" i="78"/>
  <c r="F46" i="78"/>
  <c r="G46" i="78" s="1"/>
  <c r="I46" i="78"/>
  <c r="F47" i="78"/>
  <c r="G47" i="78" s="1"/>
  <c r="I47" i="78"/>
  <c r="F48" i="78"/>
  <c r="G48" i="78" s="1"/>
  <c r="I48" i="78"/>
  <c r="D49" i="78"/>
  <c r="J49" i="78" s="1"/>
  <c r="H49" i="78"/>
  <c r="L49" i="78"/>
  <c r="F52" i="78"/>
  <c r="G52" i="78" s="1"/>
  <c r="I52" i="78"/>
  <c r="F53" i="78"/>
  <c r="G53" i="78" s="1"/>
  <c r="I53" i="78"/>
  <c r="F54" i="78"/>
  <c r="G54" i="78" s="1"/>
  <c r="I54" i="78"/>
  <c r="F55" i="78"/>
  <c r="G55" i="78" s="1"/>
  <c r="I55" i="78"/>
  <c r="F56" i="78"/>
  <c r="G56" i="78" s="1"/>
  <c r="I56" i="78"/>
  <c r="D57" i="78"/>
  <c r="J57" i="78" s="1"/>
  <c r="H57" i="78"/>
  <c r="L57" i="78" s="1"/>
  <c r="F60" i="78"/>
  <c r="G60" i="78" s="1"/>
  <c r="I60" i="78"/>
  <c r="F61" i="78"/>
  <c r="G61" i="78" s="1"/>
  <c r="I61" i="78"/>
  <c r="F62" i="78"/>
  <c r="G62" i="78" s="1"/>
  <c r="I62" i="78"/>
  <c r="F63" i="78"/>
  <c r="G63" i="78" s="1"/>
  <c r="I63" i="78"/>
  <c r="F64" i="78"/>
  <c r="G64" i="78" s="1"/>
  <c r="I64" i="78"/>
  <c r="D65" i="78"/>
  <c r="J65" i="78" s="1"/>
  <c r="H65" i="78"/>
  <c r="L65" i="78" s="1"/>
  <c r="F68" i="78"/>
  <c r="G68" i="78" s="1"/>
  <c r="I68" i="78"/>
  <c r="F69" i="78"/>
  <c r="G69" i="78" s="1"/>
  <c r="I69" i="78"/>
  <c r="F70" i="78"/>
  <c r="G70" i="78" s="1"/>
  <c r="I70" i="78"/>
  <c r="F71" i="78"/>
  <c r="G71" i="78" s="1"/>
  <c r="I71" i="78"/>
  <c r="F72" i="78"/>
  <c r="G72" i="78" s="1"/>
  <c r="I72" i="78"/>
  <c r="D73" i="78"/>
  <c r="H73" i="78"/>
  <c r="L73" i="78" s="1"/>
  <c r="J73" i="78"/>
  <c r="F76" i="78"/>
  <c r="G76" i="78" s="1"/>
  <c r="I76" i="78"/>
  <c r="F77" i="78"/>
  <c r="G77" i="78" s="1"/>
  <c r="I77" i="78"/>
  <c r="F78" i="78"/>
  <c r="G78" i="78" s="1"/>
  <c r="I78" i="78"/>
  <c r="F79" i="78"/>
  <c r="G79" i="78" s="1"/>
  <c r="I79" i="78"/>
  <c r="F80" i="78"/>
  <c r="G80" i="78" s="1"/>
  <c r="I80" i="78"/>
  <c r="D81" i="78"/>
  <c r="J81" i="78" s="1"/>
  <c r="H81" i="78"/>
  <c r="L81" i="78" s="1"/>
  <c r="F84" i="78"/>
  <c r="G84" i="78" s="1"/>
  <c r="I84" i="78"/>
  <c r="F85" i="78"/>
  <c r="G85" i="78" s="1"/>
  <c r="I85" i="78"/>
  <c r="F86" i="78"/>
  <c r="G86" i="78" s="1"/>
  <c r="I86" i="78"/>
  <c r="F87" i="78"/>
  <c r="G87" i="78" s="1"/>
  <c r="I87" i="78"/>
  <c r="F88" i="78"/>
  <c r="G88" i="78" s="1"/>
  <c r="I88" i="78"/>
  <c r="D89" i="78"/>
  <c r="H89" i="78"/>
  <c r="J89" i="78"/>
  <c r="L89" i="78"/>
  <c r="F92" i="78"/>
  <c r="G92" i="78" s="1"/>
  <c r="I92" i="78"/>
  <c r="F93" i="78"/>
  <c r="G93" i="78" s="1"/>
  <c r="I93" i="78"/>
  <c r="F94" i="78"/>
  <c r="G94" i="78" s="1"/>
  <c r="I94" i="78"/>
  <c r="F95" i="78"/>
  <c r="G95" i="78" s="1"/>
  <c r="I95" i="78"/>
  <c r="F96" i="78"/>
  <c r="G96" i="78" s="1"/>
  <c r="I96" i="78"/>
  <c r="D97" i="78"/>
  <c r="H97" i="78"/>
  <c r="L97" i="78" s="1"/>
  <c r="J97" i="78"/>
  <c r="F100" i="78"/>
  <c r="G100" i="78" s="1"/>
  <c r="I100" i="78"/>
  <c r="F101" i="78"/>
  <c r="G101" i="78" s="1"/>
  <c r="I101" i="78"/>
  <c r="F102" i="78"/>
  <c r="G102" i="78" s="1"/>
  <c r="I102" i="78"/>
  <c r="F103" i="78"/>
  <c r="G103" i="78" s="1"/>
  <c r="I103" i="78"/>
  <c r="F104" i="78"/>
  <c r="G104" i="78" s="1"/>
  <c r="I104" i="78"/>
  <c r="D105" i="78"/>
  <c r="J105" i="78" s="1"/>
  <c r="H105" i="78"/>
  <c r="L105" i="78" s="1"/>
  <c r="F108" i="78"/>
  <c r="G108" i="78" s="1"/>
  <c r="I108" i="78"/>
  <c r="F109" i="78"/>
  <c r="G109" i="78" s="1"/>
  <c r="I109" i="78"/>
  <c r="F110" i="78"/>
  <c r="G110" i="78" s="1"/>
  <c r="I110" i="78"/>
  <c r="F111" i="78"/>
  <c r="G111" i="78" s="1"/>
  <c r="I111" i="78"/>
  <c r="F112" i="78"/>
  <c r="G112" i="78" s="1"/>
  <c r="I112" i="78"/>
  <c r="D113" i="78"/>
  <c r="H113" i="78"/>
  <c r="J113" i="78"/>
  <c r="L113" i="78"/>
  <c r="F116" i="78"/>
  <c r="G116" i="78" s="1"/>
  <c r="I116" i="78"/>
  <c r="F117" i="78"/>
  <c r="G117" i="78" s="1"/>
  <c r="I117" i="78"/>
  <c r="F118" i="78"/>
  <c r="G118" i="78" s="1"/>
  <c r="I118" i="78"/>
  <c r="F119" i="78"/>
  <c r="G119" i="78" s="1"/>
  <c r="I119" i="78"/>
  <c r="F120" i="78"/>
  <c r="G120" i="78" s="1"/>
  <c r="I120" i="78"/>
  <c r="D121" i="78"/>
  <c r="J121" i="78" s="1"/>
  <c r="H121" i="78"/>
  <c r="L121" i="78"/>
  <c r="F124" i="78"/>
  <c r="G124" i="78" s="1"/>
  <c r="I124" i="78"/>
  <c r="F125" i="78"/>
  <c r="G125" i="78" s="1"/>
  <c r="I125" i="78"/>
  <c r="F126" i="78"/>
  <c r="G126" i="78" s="1"/>
  <c r="I126" i="78"/>
  <c r="F127" i="78"/>
  <c r="G127" i="78" s="1"/>
  <c r="I127" i="78"/>
  <c r="F128" i="78"/>
  <c r="G128" i="78" s="1"/>
  <c r="I128" i="78"/>
  <c r="D129" i="78"/>
  <c r="J129" i="78" s="1"/>
  <c r="H129" i="78"/>
  <c r="L129" i="78" s="1"/>
  <c r="F132" i="78"/>
  <c r="G132" i="78" s="1"/>
  <c r="I132" i="78"/>
  <c r="F133" i="78"/>
  <c r="G133" i="78" s="1"/>
  <c r="I133" i="78"/>
  <c r="F134" i="78"/>
  <c r="G134" i="78" s="1"/>
  <c r="I134" i="78"/>
  <c r="F135" i="78"/>
  <c r="G135" i="78" s="1"/>
  <c r="I135" i="78"/>
  <c r="F136" i="78"/>
  <c r="G136" i="78" s="1"/>
  <c r="I136" i="78"/>
  <c r="D137" i="78"/>
  <c r="J137" i="78" s="1"/>
  <c r="H137" i="78"/>
  <c r="L137" i="78" s="1"/>
  <c r="F140" i="78"/>
  <c r="G140" i="78" s="1"/>
  <c r="I140" i="78"/>
  <c r="F141" i="78"/>
  <c r="G141" i="78" s="1"/>
  <c r="I141" i="78"/>
  <c r="F142" i="78"/>
  <c r="G142" i="78" s="1"/>
  <c r="I142" i="78"/>
  <c r="F143" i="78"/>
  <c r="G143" i="78" s="1"/>
  <c r="I143" i="78"/>
  <c r="F144" i="78"/>
  <c r="G144" i="78" s="1"/>
  <c r="I144" i="78"/>
  <c r="D145" i="78"/>
  <c r="J145" i="78" s="1"/>
  <c r="H145" i="78"/>
  <c r="L145" i="78"/>
  <c r="F148" i="78"/>
  <c r="G148" i="78" s="1"/>
  <c r="I148" i="78"/>
  <c r="F149" i="78"/>
  <c r="G149" i="78" s="1"/>
  <c r="I149" i="78"/>
  <c r="F150" i="78"/>
  <c r="G150" i="78" s="1"/>
  <c r="I150" i="78"/>
  <c r="F151" i="78"/>
  <c r="G151" i="78" s="1"/>
  <c r="I151" i="78"/>
  <c r="F152" i="78"/>
  <c r="G152" i="78" s="1"/>
  <c r="I152" i="78"/>
  <c r="D153" i="78"/>
  <c r="J153" i="78" s="1"/>
  <c r="H153" i="78"/>
  <c r="L153" i="78" s="1"/>
  <c r="F156" i="78"/>
  <c r="G156" i="78" s="1"/>
  <c r="I156" i="78"/>
  <c r="F157" i="78"/>
  <c r="G157" i="78" s="1"/>
  <c r="I157" i="78"/>
  <c r="F158" i="78"/>
  <c r="G158" i="78" s="1"/>
  <c r="I158" i="78"/>
  <c r="F159" i="78"/>
  <c r="G159" i="78" s="1"/>
  <c r="I159" i="78"/>
  <c r="F160" i="78"/>
  <c r="G160" i="78" s="1"/>
  <c r="I160" i="78"/>
  <c r="D161" i="78"/>
  <c r="J161" i="78" s="1"/>
  <c r="H161" i="78"/>
  <c r="L161" i="78" s="1"/>
  <c r="F164" i="78"/>
  <c r="G164" i="78" s="1"/>
  <c r="I164" i="78"/>
  <c r="F165" i="78"/>
  <c r="G165" i="78" s="1"/>
  <c r="I165" i="78"/>
  <c r="F166" i="78"/>
  <c r="G166" i="78" s="1"/>
  <c r="I166" i="78"/>
  <c r="F167" i="78"/>
  <c r="G167" i="78" s="1"/>
  <c r="I167" i="78"/>
  <c r="F168" i="78"/>
  <c r="G168" i="78" s="1"/>
  <c r="I168" i="78"/>
  <c r="D169" i="78"/>
  <c r="J169" i="78" s="1"/>
  <c r="H169" i="78"/>
  <c r="L169" i="78" s="1"/>
  <c r="F172" i="78"/>
  <c r="G172" i="78" s="1"/>
  <c r="I172" i="78"/>
  <c r="F173" i="78"/>
  <c r="G173" i="78" s="1"/>
  <c r="I173" i="78"/>
  <c r="F174" i="78"/>
  <c r="G174" i="78" s="1"/>
  <c r="I174" i="78"/>
  <c r="F175" i="78"/>
  <c r="G175" i="78" s="1"/>
  <c r="I175" i="78"/>
  <c r="F176" i="78"/>
  <c r="G176" i="78" s="1"/>
  <c r="I176" i="78"/>
  <c r="D177" i="78"/>
  <c r="J177" i="78" s="1"/>
  <c r="H177" i="78"/>
  <c r="L177" i="78" s="1"/>
  <c r="F180" i="78"/>
  <c r="G180" i="78" s="1"/>
  <c r="I180" i="78"/>
  <c r="F181" i="78"/>
  <c r="G181" i="78" s="1"/>
  <c r="I181" i="78"/>
  <c r="F182" i="78"/>
  <c r="G182" i="78" s="1"/>
  <c r="I182" i="78"/>
  <c r="F183" i="78"/>
  <c r="G183" i="78" s="1"/>
  <c r="I183" i="78"/>
  <c r="F184" i="78"/>
  <c r="G184" i="78" s="1"/>
  <c r="I184" i="78"/>
  <c r="D185" i="78"/>
  <c r="J185" i="78" s="1"/>
  <c r="H185" i="78"/>
  <c r="L185" i="78" s="1"/>
  <c r="F188" i="78"/>
  <c r="G188" i="78" s="1"/>
  <c r="I188" i="78"/>
  <c r="F189" i="78"/>
  <c r="G189" i="78" s="1"/>
  <c r="I189" i="78"/>
  <c r="F190" i="78"/>
  <c r="G190" i="78" s="1"/>
  <c r="I190" i="78"/>
  <c r="F191" i="78"/>
  <c r="G191" i="78" s="1"/>
  <c r="I191" i="78"/>
  <c r="F192" i="78"/>
  <c r="G192" i="78" s="1"/>
  <c r="I192" i="78"/>
  <c r="D193" i="78"/>
  <c r="H193" i="78"/>
  <c r="J193" i="78"/>
  <c r="L193" i="78"/>
  <c r="F196" i="78"/>
  <c r="G196" i="78" s="1"/>
  <c r="I196" i="78"/>
  <c r="F197" i="78"/>
  <c r="G197" i="78" s="1"/>
  <c r="I197" i="78"/>
  <c r="F198" i="78"/>
  <c r="G198" i="78" s="1"/>
  <c r="I198" i="78"/>
  <c r="F199" i="78"/>
  <c r="G199" i="78" s="1"/>
  <c r="I199" i="78"/>
  <c r="F200" i="78"/>
  <c r="G200" i="78" s="1"/>
  <c r="I200" i="78"/>
  <c r="D201" i="78"/>
  <c r="H201" i="78"/>
  <c r="L201" i="78" s="1"/>
  <c r="J201" i="78"/>
  <c r="F204" i="78"/>
  <c r="G204" i="78" s="1"/>
  <c r="I204" i="78"/>
  <c r="F205" i="78"/>
  <c r="G205" i="78" s="1"/>
  <c r="I205" i="78"/>
  <c r="F206" i="78"/>
  <c r="G206" i="78" s="1"/>
  <c r="I206" i="78"/>
  <c r="F207" i="78"/>
  <c r="G207" i="78" s="1"/>
  <c r="I207" i="78"/>
  <c r="F208" i="78"/>
  <c r="G208" i="78" s="1"/>
  <c r="I208" i="78"/>
  <c r="D209" i="78"/>
  <c r="J209" i="78" s="1"/>
  <c r="H209" i="78"/>
  <c r="L209" i="78" s="1"/>
  <c r="F4" i="75"/>
  <c r="I4" i="75"/>
  <c r="F5" i="75"/>
  <c r="G5" i="75" s="1"/>
  <c r="I5" i="75"/>
  <c r="F6" i="75"/>
  <c r="G6" i="75" s="1"/>
  <c r="I6" i="75"/>
  <c r="F7" i="75"/>
  <c r="G7" i="75" s="1"/>
  <c r="I7" i="75"/>
  <c r="F8" i="75"/>
  <c r="G8" i="75" s="1"/>
  <c r="I8" i="75"/>
  <c r="H9" i="75"/>
  <c r="L9" i="75"/>
  <c r="D12" i="75"/>
  <c r="D17" i="75" s="1"/>
  <c r="J17" i="75" s="1"/>
  <c r="F12" i="75"/>
  <c r="I12" i="75"/>
  <c r="F13" i="75"/>
  <c r="G13" i="75" s="1"/>
  <c r="I13" i="75"/>
  <c r="F14" i="75"/>
  <c r="G14" i="75" s="1"/>
  <c r="I14" i="75"/>
  <c r="F15" i="75"/>
  <c r="G15" i="75" s="1"/>
  <c r="I15" i="75"/>
  <c r="F16" i="75"/>
  <c r="G16" i="75" s="1"/>
  <c r="I16" i="75"/>
  <c r="H17" i="75"/>
  <c r="L17" i="75" s="1"/>
  <c r="D20" i="75"/>
  <c r="D25" i="75" s="1"/>
  <c r="J25" i="75" s="1"/>
  <c r="F20" i="75"/>
  <c r="I20" i="75"/>
  <c r="F21" i="75"/>
  <c r="G21" i="75" s="1"/>
  <c r="I21" i="75"/>
  <c r="F22" i="75"/>
  <c r="G22" i="75" s="1"/>
  <c r="I22" i="75"/>
  <c r="F23" i="75"/>
  <c r="G23" i="75" s="1"/>
  <c r="I23" i="75"/>
  <c r="F24" i="75"/>
  <c r="G24" i="75" s="1"/>
  <c r="I24" i="75"/>
  <c r="H25" i="75"/>
  <c r="L25" i="75"/>
  <c r="D28" i="75"/>
  <c r="D36" i="75" s="1"/>
  <c r="D41" i="75" s="1"/>
  <c r="J41" i="75" s="1"/>
  <c r="F28" i="75"/>
  <c r="I28" i="75"/>
  <c r="F29" i="75"/>
  <c r="G29" i="75" s="1"/>
  <c r="I29" i="75"/>
  <c r="F30" i="75"/>
  <c r="G30" i="75" s="1"/>
  <c r="I30" i="75"/>
  <c r="F31" i="75"/>
  <c r="G31" i="75" s="1"/>
  <c r="I31" i="75"/>
  <c r="F32" i="75"/>
  <c r="G32" i="75" s="1"/>
  <c r="I32" i="75"/>
  <c r="H33" i="75"/>
  <c r="L33" i="75" s="1"/>
  <c r="F36" i="75"/>
  <c r="I36" i="75"/>
  <c r="F37" i="75"/>
  <c r="G37" i="75" s="1"/>
  <c r="I37" i="75"/>
  <c r="F38" i="75"/>
  <c r="G38" i="75" s="1"/>
  <c r="I38" i="75"/>
  <c r="F39" i="75"/>
  <c r="G39" i="75" s="1"/>
  <c r="I39" i="75"/>
  <c r="F40" i="75"/>
  <c r="G40" i="75" s="1"/>
  <c r="I40" i="75"/>
  <c r="H41" i="75"/>
  <c r="L41" i="75" s="1"/>
  <c r="F44" i="75"/>
  <c r="I44" i="75"/>
  <c r="F45" i="75"/>
  <c r="G45" i="75" s="1"/>
  <c r="I45" i="75"/>
  <c r="F46" i="75"/>
  <c r="G46" i="75" s="1"/>
  <c r="I46" i="75"/>
  <c r="F47" i="75"/>
  <c r="G47" i="75" s="1"/>
  <c r="I47" i="75"/>
  <c r="F48" i="75"/>
  <c r="G48" i="75" s="1"/>
  <c r="I48" i="75"/>
  <c r="F49" i="75"/>
  <c r="G49" i="75" s="1"/>
  <c r="I49" i="75"/>
  <c r="H50" i="75"/>
  <c r="L50" i="75" s="1"/>
  <c r="F53" i="75"/>
  <c r="G53" i="75" s="1"/>
  <c r="I53" i="75"/>
  <c r="F54" i="75"/>
  <c r="G54" i="75" s="1"/>
  <c r="I54" i="75"/>
  <c r="F55" i="75"/>
  <c r="G55" i="75" s="1"/>
  <c r="I55" i="75"/>
  <c r="F56" i="75"/>
  <c r="G56" i="75" s="1"/>
  <c r="I56" i="75"/>
  <c r="F57" i="75"/>
  <c r="G57" i="75" s="1"/>
  <c r="I57" i="75"/>
  <c r="F58" i="75"/>
  <c r="G58" i="75" s="1"/>
  <c r="I58" i="75"/>
  <c r="D59" i="75"/>
  <c r="J59" i="75" s="1"/>
  <c r="H59" i="75"/>
  <c r="L59" i="75" s="1"/>
  <c r="F62" i="75"/>
  <c r="G62" i="75" s="1"/>
  <c r="I62" i="75"/>
  <c r="F63" i="75"/>
  <c r="G63" i="75" s="1"/>
  <c r="I63" i="75"/>
  <c r="F64" i="75"/>
  <c r="G64" i="75" s="1"/>
  <c r="I64" i="75"/>
  <c r="F65" i="75"/>
  <c r="G65" i="75" s="1"/>
  <c r="I65" i="75"/>
  <c r="F66" i="75"/>
  <c r="G66" i="75" s="1"/>
  <c r="I66" i="75"/>
  <c r="D67" i="75"/>
  <c r="J67" i="75" s="1"/>
  <c r="H67" i="75"/>
  <c r="L67" i="75" s="1"/>
  <c r="D70" i="75"/>
  <c r="F70" i="75"/>
  <c r="I70" i="75"/>
  <c r="F71" i="75"/>
  <c r="G71" i="75" s="1"/>
  <c r="I71" i="75"/>
  <c r="F72" i="75"/>
  <c r="G72" i="75" s="1"/>
  <c r="I72" i="75"/>
  <c r="F73" i="75"/>
  <c r="G73" i="75" s="1"/>
  <c r="I73" i="75"/>
  <c r="F74" i="75"/>
  <c r="G74" i="75" s="1"/>
  <c r="I74" i="75"/>
  <c r="H75" i="75"/>
  <c r="L75" i="75" s="1"/>
  <c r="D78" i="75"/>
  <c r="D83" i="75" s="1"/>
  <c r="J83" i="75" s="1"/>
  <c r="F78" i="75"/>
  <c r="G78" i="75" s="1"/>
  <c r="I78" i="75"/>
  <c r="F79" i="75"/>
  <c r="G79" i="75" s="1"/>
  <c r="I79" i="75"/>
  <c r="F80" i="75"/>
  <c r="G80" i="75" s="1"/>
  <c r="I80" i="75"/>
  <c r="F81" i="75"/>
  <c r="G81" i="75" s="1"/>
  <c r="I81" i="75"/>
  <c r="F82" i="75"/>
  <c r="G82" i="75" s="1"/>
  <c r="I82" i="75"/>
  <c r="H83" i="75"/>
  <c r="L83" i="75" s="1"/>
  <c r="D86" i="75"/>
  <c r="F86" i="75"/>
  <c r="G86" i="75" s="1"/>
  <c r="I86" i="75"/>
  <c r="F87" i="75"/>
  <c r="G87" i="75" s="1"/>
  <c r="I87" i="75"/>
  <c r="F88" i="75"/>
  <c r="G88" i="75" s="1"/>
  <c r="I88" i="75"/>
  <c r="F89" i="75"/>
  <c r="G89" i="75" s="1"/>
  <c r="I89" i="75"/>
  <c r="F90" i="75"/>
  <c r="G90" i="75" s="1"/>
  <c r="I90" i="75"/>
  <c r="F91" i="75"/>
  <c r="G91" i="75" s="1"/>
  <c r="I91" i="75"/>
  <c r="D92" i="75"/>
  <c r="J92" i="75" s="1"/>
  <c r="H92" i="75"/>
  <c r="L92" i="75" s="1"/>
  <c r="D95" i="75"/>
  <c r="F95" i="75"/>
  <c r="I95" i="75"/>
  <c r="F96" i="75"/>
  <c r="G96" i="75" s="1"/>
  <c r="I96" i="75"/>
  <c r="F97" i="75"/>
  <c r="G97" i="75" s="1"/>
  <c r="I97" i="75"/>
  <c r="F98" i="75"/>
  <c r="G98" i="75" s="1"/>
  <c r="I98" i="75"/>
  <c r="F99" i="75"/>
  <c r="G99" i="75" s="1"/>
  <c r="I99" i="75"/>
  <c r="H100" i="75"/>
  <c r="L100" i="75" s="1"/>
  <c r="D103" i="75"/>
  <c r="F103" i="75"/>
  <c r="I103" i="75"/>
  <c r="F104" i="75"/>
  <c r="G104" i="75" s="1"/>
  <c r="I104" i="75"/>
  <c r="F105" i="75"/>
  <c r="G105" i="75" s="1"/>
  <c r="I105" i="75"/>
  <c r="F106" i="75"/>
  <c r="G106" i="75" s="1"/>
  <c r="I106" i="75"/>
  <c r="F107" i="75"/>
  <c r="G107" i="75" s="1"/>
  <c r="I107" i="75"/>
  <c r="H108" i="75"/>
  <c r="L108" i="75"/>
  <c r="D111" i="75"/>
  <c r="F111" i="75"/>
  <c r="I111" i="75"/>
  <c r="F112" i="75"/>
  <c r="G112" i="75" s="1"/>
  <c r="I112" i="75"/>
  <c r="F113" i="75"/>
  <c r="G113" i="75" s="1"/>
  <c r="I113" i="75"/>
  <c r="F114" i="75"/>
  <c r="G114" i="75" s="1"/>
  <c r="I114" i="75"/>
  <c r="F115" i="75"/>
  <c r="G115" i="75" s="1"/>
  <c r="I115" i="75"/>
  <c r="H116" i="75"/>
  <c r="L116" i="75"/>
  <c r="F119" i="75"/>
  <c r="I119" i="75"/>
  <c r="F120" i="75"/>
  <c r="G120" i="75" s="1"/>
  <c r="I120" i="75"/>
  <c r="F121" i="75"/>
  <c r="G121" i="75" s="1"/>
  <c r="I121" i="75"/>
  <c r="F122" i="75"/>
  <c r="G122" i="75" s="1"/>
  <c r="I122" i="75"/>
  <c r="F123" i="75"/>
  <c r="G123" i="75" s="1"/>
  <c r="I123" i="75"/>
  <c r="F124" i="75"/>
  <c r="G124" i="75" s="1"/>
  <c r="I124" i="75"/>
  <c r="H125" i="75"/>
  <c r="L125" i="75" s="1"/>
  <c r="F128" i="75"/>
  <c r="G128" i="75" s="1"/>
  <c r="I128" i="75"/>
  <c r="F129" i="75"/>
  <c r="G129" i="75" s="1"/>
  <c r="I129" i="75"/>
  <c r="F130" i="75"/>
  <c r="G130" i="75" s="1"/>
  <c r="I130" i="75"/>
  <c r="F131" i="75"/>
  <c r="G131" i="75" s="1"/>
  <c r="I131" i="75"/>
  <c r="F132" i="75"/>
  <c r="G132" i="75" s="1"/>
  <c r="I132" i="75"/>
  <c r="D133" i="75"/>
  <c r="J133" i="75" s="1"/>
  <c r="H133" i="75"/>
  <c r="L133" i="75"/>
  <c r="F136" i="75"/>
  <c r="G136" i="75" s="1"/>
  <c r="I136" i="75"/>
  <c r="F137" i="75"/>
  <c r="G137" i="75" s="1"/>
  <c r="I137" i="75"/>
  <c r="F138" i="75"/>
  <c r="G138" i="75" s="1"/>
  <c r="I138" i="75"/>
  <c r="F139" i="75"/>
  <c r="G139" i="75" s="1"/>
  <c r="I139" i="75"/>
  <c r="F140" i="75"/>
  <c r="G140" i="75" s="1"/>
  <c r="I140" i="75"/>
  <c r="F141" i="75"/>
  <c r="G141" i="75" s="1"/>
  <c r="I141" i="75"/>
  <c r="D142" i="75"/>
  <c r="J142" i="75" s="1"/>
  <c r="H142" i="75"/>
  <c r="L142" i="75" s="1"/>
  <c r="F145" i="75"/>
  <c r="G145" i="75" s="1"/>
  <c r="I145" i="75"/>
  <c r="F146" i="75"/>
  <c r="G146" i="75" s="1"/>
  <c r="I146" i="75"/>
  <c r="F147" i="75"/>
  <c r="G147" i="75" s="1"/>
  <c r="I147" i="75"/>
  <c r="F148" i="75"/>
  <c r="G148" i="75" s="1"/>
  <c r="I148" i="75"/>
  <c r="F149" i="75"/>
  <c r="G149" i="75" s="1"/>
  <c r="I149" i="75"/>
  <c r="D150" i="75"/>
  <c r="J150" i="75" s="1"/>
  <c r="H150" i="75"/>
  <c r="L150" i="75" s="1"/>
  <c r="F153" i="75"/>
  <c r="G153" i="75" s="1"/>
  <c r="I153" i="75"/>
  <c r="F154" i="75"/>
  <c r="G154" i="75" s="1"/>
  <c r="I154" i="75"/>
  <c r="F155" i="75"/>
  <c r="G155" i="75" s="1"/>
  <c r="I155" i="75"/>
  <c r="F156" i="75"/>
  <c r="G156" i="75" s="1"/>
  <c r="I156" i="75"/>
  <c r="F157" i="75"/>
  <c r="G157" i="75" s="1"/>
  <c r="I157" i="75"/>
  <c r="F158" i="75"/>
  <c r="G158" i="75" s="1"/>
  <c r="I158" i="75"/>
  <c r="F159" i="75"/>
  <c r="G159" i="75" s="1"/>
  <c r="I159" i="75"/>
  <c r="D160" i="75"/>
  <c r="J160" i="75" s="1"/>
  <c r="H160" i="75"/>
  <c r="L160" i="75" s="1"/>
  <c r="F163" i="75"/>
  <c r="G163" i="75" s="1"/>
  <c r="I163" i="75"/>
  <c r="F164" i="75"/>
  <c r="G164" i="75" s="1"/>
  <c r="I164" i="75"/>
  <c r="F165" i="75"/>
  <c r="G165" i="75" s="1"/>
  <c r="I165" i="75"/>
  <c r="F166" i="75"/>
  <c r="G166" i="75" s="1"/>
  <c r="I166" i="75"/>
  <c r="F167" i="75"/>
  <c r="G167" i="75" s="1"/>
  <c r="I167" i="75"/>
  <c r="F168" i="75"/>
  <c r="G168" i="75" s="1"/>
  <c r="I168" i="75"/>
  <c r="F169" i="75"/>
  <c r="G169" i="75" s="1"/>
  <c r="I169" i="75"/>
  <c r="D170" i="75"/>
  <c r="J170" i="75" s="1"/>
  <c r="H170" i="75"/>
  <c r="F173" i="75"/>
  <c r="G173" i="75" s="1"/>
  <c r="I173" i="75"/>
  <c r="F174" i="75"/>
  <c r="G174" i="75" s="1"/>
  <c r="I174" i="75"/>
  <c r="F175" i="75"/>
  <c r="G175" i="75" s="1"/>
  <c r="I175" i="75"/>
  <c r="F176" i="75"/>
  <c r="G176" i="75" s="1"/>
  <c r="I176" i="75"/>
  <c r="F177" i="75"/>
  <c r="G177" i="75" s="1"/>
  <c r="I177" i="75"/>
  <c r="F178" i="75"/>
  <c r="G178" i="75" s="1"/>
  <c r="I178" i="75"/>
  <c r="F179" i="75"/>
  <c r="G179" i="75" s="1"/>
  <c r="I179" i="75"/>
  <c r="D180" i="75"/>
  <c r="J180" i="75" s="1"/>
  <c r="H180" i="75"/>
  <c r="L180" i="75" s="1"/>
  <c r="F183" i="75"/>
  <c r="G183" i="75" s="1"/>
  <c r="I183" i="75"/>
  <c r="F184" i="75"/>
  <c r="G184" i="75" s="1"/>
  <c r="I184" i="75"/>
  <c r="F185" i="75"/>
  <c r="G185" i="75" s="1"/>
  <c r="I185" i="75"/>
  <c r="F186" i="75"/>
  <c r="G186" i="75" s="1"/>
  <c r="I186" i="75"/>
  <c r="F187" i="75"/>
  <c r="G187" i="75" s="1"/>
  <c r="I187" i="75"/>
  <c r="D188" i="75"/>
  <c r="J188" i="75" s="1"/>
  <c r="H188" i="75"/>
  <c r="L188" i="75" s="1"/>
  <c r="F191" i="75"/>
  <c r="G191" i="75" s="1"/>
  <c r="I191" i="75"/>
  <c r="F192" i="75"/>
  <c r="G192" i="75" s="1"/>
  <c r="I192" i="75"/>
  <c r="F193" i="75"/>
  <c r="G193" i="75" s="1"/>
  <c r="I193" i="75"/>
  <c r="F194" i="75"/>
  <c r="G194" i="75" s="1"/>
  <c r="I194" i="75"/>
  <c r="F195" i="75"/>
  <c r="G195" i="75" s="1"/>
  <c r="I195" i="75"/>
  <c r="D196" i="75"/>
  <c r="J196" i="75" s="1"/>
  <c r="H196" i="75"/>
  <c r="L196" i="75" s="1"/>
  <c r="F199" i="75"/>
  <c r="G199" i="75" s="1"/>
  <c r="I199" i="75"/>
  <c r="F200" i="75"/>
  <c r="G200" i="75" s="1"/>
  <c r="I200" i="75"/>
  <c r="F201" i="75"/>
  <c r="G201" i="75" s="1"/>
  <c r="I201" i="75"/>
  <c r="F202" i="75"/>
  <c r="G202" i="75" s="1"/>
  <c r="I202" i="75"/>
  <c r="F203" i="75"/>
  <c r="G203" i="75" s="1"/>
  <c r="I203" i="75"/>
  <c r="D204" i="75"/>
  <c r="J204" i="75" s="1"/>
  <c r="H204" i="75"/>
  <c r="L204" i="75"/>
  <c r="F207" i="75"/>
  <c r="G207" i="75" s="1"/>
  <c r="I207" i="75"/>
  <c r="F208" i="75"/>
  <c r="G208" i="75" s="1"/>
  <c r="I208" i="75"/>
  <c r="F209" i="75"/>
  <c r="G209" i="75" s="1"/>
  <c r="I209" i="75"/>
  <c r="F210" i="75"/>
  <c r="G210" i="75" s="1"/>
  <c r="I210" i="75"/>
  <c r="F211" i="75"/>
  <c r="G211" i="75" s="1"/>
  <c r="I211" i="75"/>
  <c r="D212" i="75"/>
  <c r="J212" i="75" s="1"/>
  <c r="H212" i="75"/>
  <c r="L212" i="75" s="1"/>
  <c r="F215" i="75"/>
  <c r="G215" i="75" s="1"/>
  <c r="I215" i="75"/>
  <c r="F216" i="75"/>
  <c r="G216" i="75" s="1"/>
  <c r="I216" i="75"/>
  <c r="F217" i="75"/>
  <c r="G217" i="75" s="1"/>
  <c r="I217" i="75"/>
  <c r="F218" i="75"/>
  <c r="G218" i="75" s="1"/>
  <c r="I218" i="75"/>
  <c r="F219" i="75"/>
  <c r="G219" i="75" s="1"/>
  <c r="I219" i="75"/>
  <c r="D220" i="75"/>
  <c r="H220" i="75"/>
  <c r="J220" i="75"/>
  <c r="L220" i="75"/>
  <c r="F223" i="75"/>
  <c r="G223" i="75" s="1"/>
  <c r="I223" i="75"/>
  <c r="F224" i="75"/>
  <c r="G224" i="75" s="1"/>
  <c r="I224" i="75"/>
  <c r="F225" i="75"/>
  <c r="G225" i="75" s="1"/>
  <c r="I225" i="75"/>
  <c r="F226" i="75"/>
  <c r="G226" i="75" s="1"/>
  <c r="I226" i="75"/>
  <c r="F227" i="75"/>
  <c r="G227" i="75" s="1"/>
  <c r="I227" i="75"/>
  <c r="D228" i="75"/>
  <c r="J228" i="75" s="1"/>
  <c r="H228" i="75"/>
  <c r="L228" i="75" s="1"/>
  <c r="F4" i="72"/>
  <c r="G4" i="72" s="1"/>
  <c r="I4" i="72"/>
  <c r="F5" i="72"/>
  <c r="G5" i="72" s="1"/>
  <c r="I5" i="72"/>
  <c r="F6" i="72"/>
  <c r="G6" i="72" s="1"/>
  <c r="I6" i="72"/>
  <c r="F7" i="72"/>
  <c r="G7" i="72" s="1"/>
  <c r="I7" i="72"/>
  <c r="F8" i="72"/>
  <c r="G8" i="72" s="1"/>
  <c r="I8" i="72"/>
  <c r="D9" i="72"/>
  <c r="H9" i="72"/>
  <c r="J9" i="72"/>
  <c r="L9" i="72"/>
  <c r="D12" i="72"/>
  <c r="D17" i="72" s="1"/>
  <c r="J17" i="72" s="1"/>
  <c r="F12" i="72"/>
  <c r="I12" i="72"/>
  <c r="F13" i="72"/>
  <c r="G13" i="72" s="1"/>
  <c r="I13" i="72"/>
  <c r="F14" i="72"/>
  <c r="G14" i="72" s="1"/>
  <c r="I14" i="72"/>
  <c r="F15" i="72"/>
  <c r="G15" i="72" s="1"/>
  <c r="I15" i="72"/>
  <c r="F16" i="72"/>
  <c r="G16" i="72" s="1"/>
  <c r="I16" i="72"/>
  <c r="H17" i="72"/>
  <c r="L17" i="72" s="1"/>
  <c r="F20" i="72"/>
  <c r="I20" i="72"/>
  <c r="F21" i="72"/>
  <c r="G21" i="72" s="1"/>
  <c r="I21" i="72"/>
  <c r="F22" i="72"/>
  <c r="G22" i="72" s="1"/>
  <c r="I22" i="72"/>
  <c r="F23" i="72"/>
  <c r="G23" i="72" s="1"/>
  <c r="I23" i="72"/>
  <c r="F24" i="72"/>
  <c r="G24" i="72" s="1"/>
  <c r="I24" i="72"/>
  <c r="H25" i="72"/>
  <c r="L25" i="72" s="1"/>
  <c r="D28" i="72"/>
  <c r="D33" i="72" s="1"/>
  <c r="J33" i="72" s="1"/>
  <c r="F28" i="72"/>
  <c r="I28" i="72"/>
  <c r="F29" i="72"/>
  <c r="G29" i="72" s="1"/>
  <c r="I29" i="72"/>
  <c r="F30" i="72"/>
  <c r="G30" i="72" s="1"/>
  <c r="I30" i="72"/>
  <c r="F31" i="72"/>
  <c r="G31" i="72" s="1"/>
  <c r="I31" i="72"/>
  <c r="F32" i="72"/>
  <c r="G32" i="72" s="1"/>
  <c r="I32" i="72"/>
  <c r="H33" i="72"/>
  <c r="L33" i="72" s="1"/>
  <c r="D41" i="72"/>
  <c r="J41" i="72" s="1"/>
  <c r="G41" i="72"/>
  <c r="K41" i="72" s="1"/>
  <c r="H41" i="72"/>
  <c r="L41" i="72" s="1"/>
  <c r="I41" i="72"/>
  <c r="M41" i="72"/>
  <c r="C13" i="73" s="1"/>
  <c r="D49" i="72"/>
  <c r="G49" i="72"/>
  <c r="K49" i="72" s="1"/>
  <c r="H49" i="72"/>
  <c r="L49" i="72" s="1"/>
  <c r="I49" i="72"/>
  <c r="M49" i="72" s="1"/>
  <c r="C14" i="73" s="1"/>
  <c r="J49" i="72"/>
  <c r="F52" i="72"/>
  <c r="I52" i="72"/>
  <c r="F53" i="72"/>
  <c r="G53" i="72" s="1"/>
  <c r="I53" i="72"/>
  <c r="F54" i="72"/>
  <c r="G54" i="72" s="1"/>
  <c r="I54" i="72"/>
  <c r="F55" i="72"/>
  <c r="G55" i="72" s="1"/>
  <c r="I55" i="72"/>
  <c r="F56" i="72"/>
  <c r="G56" i="72" s="1"/>
  <c r="I56" i="72"/>
  <c r="H57" i="72"/>
  <c r="L57" i="72" s="1"/>
  <c r="F60" i="72"/>
  <c r="I60" i="72"/>
  <c r="F61" i="72"/>
  <c r="G61" i="72" s="1"/>
  <c r="I61" i="72"/>
  <c r="F62" i="72"/>
  <c r="G62" i="72" s="1"/>
  <c r="I62" i="72"/>
  <c r="F63" i="72"/>
  <c r="G63" i="72" s="1"/>
  <c r="I63" i="72"/>
  <c r="F64" i="72"/>
  <c r="G64" i="72" s="1"/>
  <c r="I64" i="72"/>
  <c r="F65" i="72"/>
  <c r="G65" i="72" s="1"/>
  <c r="I65" i="72"/>
  <c r="H66" i="72"/>
  <c r="L66" i="72" s="1"/>
  <c r="D69" i="72"/>
  <c r="D75" i="72" s="1"/>
  <c r="J75" i="72" s="1"/>
  <c r="F69" i="72"/>
  <c r="I69" i="72"/>
  <c r="F70" i="72"/>
  <c r="G70" i="72" s="1"/>
  <c r="I70" i="72"/>
  <c r="F71" i="72"/>
  <c r="G71" i="72" s="1"/>
  <c r="I71" i="72"/>
  <c r="F72" i="72"/>
  <c r="G72" i="72" s="1"/>
  <c r="I72" i="72"/>
  <c r="F73" i="72"/>
  <c r="G73" i="72"/>
  <c r="I73" i="72"/>
  <c r="F74" i="72"/>
  <c r="G74" i="72" s="1"/>
  <c r="I74" i="72"/>
  <c r="H75" i="72"/>
  <c r="L75" i="72" s="1"/>
  <c r="D78" i="72"/>
  <c r="D83" i="72" s="1"/>
  <c r="J83" i="72" s="1"/>
  <c r="F78" i="72"/>
  <c r="I78" i="72"/>
  <c r="F79" i="72"/>
  <c r="G79" i="72" s="1"/>
  <c r="I79" i="72"/>
  <c r="F80" i="72"/>
  <c r="G80" i="72" s="1"/>
  <c r="I80" i="72"/>
  <c r="F81" i="72"/>
  <c r="G81" i="72" s="1"/>
  <c r="I81" i="72"/>
  <c r="F82" i="72"/>
  <c r="G82" i="72" s="1"/>
  <c r="I82" i="72"/>
  <c r="H83" i="72"/>
  <c r="L83" i="72" s="1"/>
  <c r="D86" i="72"/>
  <c r="D92" i="72" s="1"/>
  <c r="J92" i="72" s="1"/>
  <c r="F86" i="72"/>
  <c r="I86" i="72"/>
  <c r="F87" i="72"/>
  <c r="G87" i="72"/>
  <c r="I87" i="72"/>
  <c r="F88" i="72"/>
  <c r="G88" i="72" s="1"/>
  <c r="I88" i="72"/>
  <c r="F89" i="72"/>
  <c r="G89" i="72" s="1"/>
  <c r="I89" i="72"/>
  <c r="F90" i="72"/>
  <c r="G90" i="72" s="1"/>
  <c r="I90" i="72"/>
  <c r="F91" i="72"/>
  <c r="G91" i="72" s="1"/>
  <c r="I91" i="72"/>
  <c r="H92" i="72"/>
  <c r="L92" i="72" s="1"/>
  <c r="D95" i="72"/>
  <c r="D103" i="72" s="1"/>
  <c r="J103" i="72" s="1"/>
  <c r="F95" i="72"/>
  <c r="G95" i="72" s="1"/>
  <c r="I95" i="72"/>
  <c r="F96" i="72"/>
  <c r="G96" i="72" s="1"/>
  <c r="I96" i="72"/>
  <c r="F97" i="72"/>
  <c r="G97" i="72" s="1"/>
  <c r="I97" i="72"/>
  <c r="F98" i="72"/>
  <c r="G98" i="72" s="1"/>
  <c r="I98" i="72"/>
  <c r="F99" i="72"/>
  <c r="G99" i="72" s="1"/>
  <c r="I99" i="72"/>
  <c r="F100" i="72"/>
  <c r="G100" i="72" s="1"/>
  <c r="I100" i="72"/>
  <c r="F101" i="72"/>
  <c r="G101" i="72" s="1"/>
  <c r="I101" i="72"/>
  <c r="F102" i="72"/>
  <c r="G102" i="72" s="1"/>
  <c r="I102" i="72"/>
  <c r="H103" i="72"/>
  <c r="L103" i="72" s="1"/>
  <c r="D106" i="72"/>
  <c r="D111" i="72" s="1"/>
  <c r="J111" i="72" s="1"/>
  <c r="F106" i="72"/>
  <c r="I106" i="72"/>
  <c r="F107" i="72"/>
  <c r="G107" i="72" s="1"/>
  <c r="I107" i="72"/>
  <c r="F108" i="72"/>
  <c r="G108" i="72" s="1"/>
  <c r="I108" i="72"/>
  <c r="F109" i="72"/>
  <c r="G109" i="72" s="1"/>
  <c r="I109" i="72"/>
  <c r="F110" i="72"/>
  <c r="G110" i="72" s="1"/>
  <c r="I110" i="72"/>
  <c r="H111" i="72"/>
  <c r="L111" i="72" s="1"/>
  <c r="D114" i="72"/>
  <c r="F114" i="72"/>
  <c r="I114" i="72"/>
  <c r="F115" i="72"/>
  <c r="G115" i="72" s="1"/>
  <c r="I115" i="72"/>
  <c r="F116" i="72"/>
  <c r="G116" i="72" s="1"/>
  <c r="I116" i="72"/>
  <c r="F117" i="72"/>
  <c r="G117" i="72" s="1"/>
  <c r="I117" i="72"/>
  <c r="F118" i="72"/>
  <c r="G118" i="72" s="1"/>
  <c r="I118" i="72"/>
  <c r="F119" i="72"/>
  <c r="G119" i="72" s="1"/>
  <c r="I119" i="72"/>
  <c r="F120" i="72"/>
  <c r="G120" i="72" s="1"/>
  <c r="I120" i="72"/>
  <c r="F121" i="72"/>
  <c r="G121" i="72" s="1"/>
  <c r="I121" i="72"/>
  <c r="D122" i="72"/>
  <c r="J122" i="72" s="1"/>
  <c r="H122" i="72"/>
  <c r="L122" i="72" s="1"/>
  <c r="D125" i="72"/>
  <c r="D130" i="72" s="1"/>
  <c r="J130" i="72" s="1"/>
  <c r="F125" i="72"/>
  <c r="I125" i="72"/>
  <c r="F126" i="72"/>
  <c r="G126" i="72" s="1"/>
  <c r="I126" i="72"/>
  <c r="F127" i="72"/>
  <c r="G127" i="72" s="1"/>
  <c r="I127" i="72"/>
  <c r="F128" i="72"/>
  <c r="G128" i="72" s="1"/>
  <c r="I128" i="72"/>
  <c r="F129" i="72"/>
  <c r="G129" i="72" s="1"/>
  <c r="I129" i="72"/>
  <c r="H130" i="72"/>
  <c r="L130" i="72" s="1"/>
  <c r="D133" i="72"/>
  <c r="D138" i="72" s="1"/>
  <c r="J138" i="72" s="1"/>
  <c r="F133" i="72"/>
  <c r="I133" i="72"/>
  <c r="F134" i="72"/>
  <c r="G134" i="72" s="1"/>
  <c r="I134" i="72"/>
  <c r="F135" i="72"/>
  <c r="G135" i="72" s="1"/>
  <c r="I135" i="72"/>
  <c r="F136" i="72"/>
  <c r="G136" i="72" s="1"/>
  <c r="I136" i="72"/>
  <c r="F137" i="72"/>
  <c r="G137" i="72" s="1"/>
  <c r="I137" i="72"/>
  <c r="H138" i="72"/>
  <c r="L138" i="72" s="1"/>
  <c r="D141" i="72"/>
  <c r="D146" i="72" s="1"/>
  <c r="J146" i="72" s="1"/>
  <c r="F141" i="72"/>
  <c r="I141" i="72"/>
  <c r="F142" i="72"/>
  <c r="G142" i="72" s="1"/>
  <c r="I142" i="72"/>
  <c r="F143" i="72"/>
  <c r="G143" i="72" s="1"/>
  <c r="I143" i="72"/>
  <c r="F144" i="72"/>
  <c r="G144" i="72" s="1"/>
  <c r="I144" i="72"/>
  <c r="F145" i="72"/>
  <c r="G145" i="72" s="1"/>
  <c r="I145" i="72"/>
  <c r="H146" i="72"/>
  <c r="L146" i="72" s="1"/>
  <c r="D149" i="72"/>
  <c r="D154" i="72" s="1"/>
  <c r="J154" i="72" s="1"/>
  <c r="F149" i="72"/>
  <c r="I149" i="72"/>
  <c r="F150" i="72"/>
  <c r="G150" i="72" s="1"/>
  <c r="I150" i="72"/>
  <c r="F151" i="72"/>
  <c r="G151" i="72" s="1"/>
  <c r="I151" i="72"/>
  <c r="F152" i="72"/>
  <c r="G152" i="72" s="1"/>
  <c r="I152" i="72"/>
  <c r="F153" i="72"/>
  <c r="G153" i="72" s="1"/>
  <c r="I153" i="72"/>
  <c r="H154" i="72"/>
  <c r="L154" i="72"/>
  <c r="D157" i="72"/>
  <c r="F157" i="72"/>
  <c r="G157" i="72" s="1"/>
  <c r="I157" i="72"/>
  <c r="F158" i="72"/>
  <c r="G158" i="72" s="1"/>
  <c r="I158" i="72"/>
  <c r="F159" i="72"/>
  <c r="G159" i="72" s="1"/>
  <c r="I159" i="72"/>
  <c r="F160" i="72"/>
  <c r="G160" i="72" s="1"/>
  <c r="I160" i="72"/>
  <c r="F161" i="72"/>
  <c r="G161" i="72" s="1"/>
  <c r="I161" i="72"/>
  <c r="D162" i="72"/>
  <c r="J162" i="72" s="1"/>
  <c r="H162" i="72"/>
  <c r="L162" i="72" s="1"/>
  <c r="D165" i="72"/>
  <c r="D170" i="72" s="1"/>
  <c r="J170" i="72" s="1"/>
  <c r="F165" i="72"/>
  <c r="I165" i="72"/>
  <c r="F166" i="72"/>
  <c r="G166" i="72" s="1"/>
  <c r="I166" i="72"/>
  <c r="F167" i="72"/>
  <c r="G167" i="72" s="1"/>
  <c r="I167" i="72"/>
  <c r="F168" i="72"/>
  <c r="G168" i="72" s="1"/>
  <c r="I168" i="72"/>
  <c r="F169" i="72"/>
  <c r="G169" i="72" s="1"/>
  <c r="I169" i="72"/>
  <c r="H170" i="72"/>
  <c r="L170" i="72"/>
  <c r="F173" i="72"/>
  <c r="I173" i="72"/>
  <c r="F174" i="72"/>
  <c r="G174" i="72" s="1"/>
  <c r="I174" i="72"/>
  <c r="F175" i="72"/>
  <c r="G175" i="72" s="1"/>
  <c r="I175" i="72"/>
  <c r="F176" i="72"/>
  <c r="G176" i="72" s="1"/>
  <c r="I176" i="72"/>
  <c r="F177" i="72"/>
  <c r="G177" i="72" s="1"/>
  <c r="I177" i="72"/>
  <c r="F178" i="72"/>
  <c r="G178" i="72" s="1"/>
  <c r="I178" i="72"/>
  <c r="H179" i="72"/>
  <c r="L179" i="72" s="1"/>
  <c r="D182" i="72"/>
  <c r="D187" i="72" s="1"/>
  <c r="J187" i="72" s="1"/>
  <c r="F182" i="72"/>
  <c r="I182" i="72"/>
  <c r="F183" i="72"/>
  <c r="G183" i="72" s="1"/>
  <c r="I183" i="72"/>
  <c r="F184" i="72"/>
  <c r="G184" i="72" s="1"/>
  <c r="I184" i="72"/>
  <c r="F185" i="72"/>
  <c r="G185" i="72" s="1"/>
  <c r="I185" i="72"/>
  <c r="F186" i="72"/>
  <c r="G186" i="72" s="1"/>
  <c r="I186" i="72"/>
  <c r="H187" i="72"/>
  <c r="L187" i="72" s="1"/>
  <c r="D190" i="72"/>
  <c r="D196" i="72" s="1"/>
  <c r="J196" i="72" s="1"/>
  <c r="F190" i="72"/>
  <c r="G190" i="72" s="1"/>
  <c r="I190" i="72"/>
  <c r="F191" i="72"/>
  <c r="G191" i="72" s="1"/>
  <c r="I191" i="72"/>
  <c r="F192" i="72"/>
  <c r="G192" i="72" s="1"/>
  <c r="I192" i="72"/>
  <c r="F193" i="72"/>
  <c r="G193" i="72" s="1"/>
  <c r="I193" i="72"/>
  <c r="F194" i="72"/>
  <c r="G194" i="72" s="1"/>
  <c r="I194" i="72"/>
  <c r="F195" i="72"/>
  <c r="G195" i="72" s="1"/>
  <c r="I195" i="72"/>
  <c r="H196" i="72"/>
  <c r="L196" i="72" s="1"/>
  <c r="D199" i="72"/>
  <c r="D204" i="72" s="1"/>
  <c r="J204" i="72" s="1"/>
  <c r="F199" i="72"/>
  <c r="I199" i="72"/>
  <c r="F200" i="72"/>
  <c r="G200" i="72" s="1"/>
  <c r="I200" i="72"/>
  <c r="F201" i="72"/>
  <c r="G201" i="72" s="1"/>
  <c r="I201" i="72"/>
  <c r="F202" i="72"/>
  <c r="G202" i="72" s="1"/>
  <c r="I202" i="72"/>
  <c r="F203" i="72"/>
  <c r="G203" i="72" s="1"/>
  <c r="I203" i="72"/>
  <c r="H204" i="72"/>
  <c r="L204" i="72" s="1"/>
  <c r="D207" i="72"/>
  <c r="F207" i="72"/>
  <c r="I207" i="72"/>
  <c r="F208" i="72"/>
  <c r="G208" i="72" s="1"/>
  <c r="I208" i="72"/>
  <c r="F209" i="72"/>
  <c r="G209" i="72" s="1"/>
  <c r="I209" i="72"/>
  <c r="F210" i="72"/>
  <c r="G210" i="72" s="1"/>
  <c r="I210" i="72"/>
  <c r="F211" i="72"/>
  <c r="G211" i="72" s="1"/>
  <c r="I211" i="72"/>
  <c r="D212" i="72"/>
  <c r="J212" i="72" s="1"/>
  <c r="H212" i="72"/>
  <c r="L212" i="72"/>
  <c r="D215" i="72"/>
  <c r="D4" i="75" s="1"/>
  <c r="D9" i="75" s="1"/>
  <c r="J9" i="75" s="1"/>
  <c r="F215" i="72"/>
  <c r="I215" i="72"/>
  <c r="F216" i="72"/>
  <c r="G216" i="72" s="1"/>
  <c r="I216" i="72"/>
  <c r="F217" i="72"/>
  <c r="G217" i="72" s="1"/>
  <c r="I217" i="72"/>
  <c r="F218" i="72"/>
  <c r="G218" i="72" s="1"/>
  <c r="I218" i="72"/>
  <c r="F219" i="72"/>
  <c r="G219" i="72" s="1"/>
  <c r="I219" i="72"/>
  <c r="D220" i="72"/>
  <c r="J220" i="72" s="1"/>
  <c r="H220" i="72"/>
  <c r="L220" i="72" s="1"/>
  <c r="W9" i="70"/>
  <c r="X9" i="70"/>
  <c r="Y9" i="70"/>
  <c r="D4" i="69"/>
  <c r="D10" i="69" s="1"/>
  <c r="J10" i="69" s="1"/>
  <c r="F4" i="69"/>
  <c r="I4" i="69"/>
  <c r="F5" i="69"/>
  <c r="G5" i="69" s="1"/>
  <c r="I5" i="69"/>
  <c r="F6" i="69"/>
  <c r="G6" i="69" s="1"/>
  <c r="I6" i="69"/>
  <c r="F7" i="69"/>
  <c r="G7" i="69" s="1"/>
  <c r="I7" i="69"/>
  <c r="F8" i="69"/>
  <c r="G8" i="69" s="1"/>
  <c r="I8" i="69"/>
  <c r="F9" i="69"/>
  <c r="G9" i="69" s="1"/>
  <c r="I9" i="69"/>
  <c r="H10" i="69"/>
  <c r="L10" i="69" s="1"/>
  <c r="F13" i="69"/>
  <c r="G13" i="69"/>
  <c r="I13" i="69"/>
  <c r="F14" i="69"/>
  <c r="G14" i="69" s="1"/>
  <c r="I14" i="69"/>
  <c r="F15" i="69"/>
  <c r="G15" i="69" s="1"/>
  <c r="I15" i="69"/>
  <c r="F16" i="69"/>
  <c r="G16" i="69" s="1"/>
  <c r="I16" i="69"/>
  <c r="F17" i="69"/>
  <c r="G17" i="69" s="1"/>
  <c r="I17" i="69"/>
  <c r="D18" i="69"/>
  <c r="J18" i="69" s="1"/>
  <c r="H18" i="69"/>
  <c r="L18" i="69" s="1"/>
  <c r="D21" i="69"/>
  <c r="D26" i="69" s="1"/>
  <c r="J26" i="69" s="1"/>
  <c r="F21" i="69"/>
  <c r="I21" i="69"/>
  <c r="C11" i="70" s="1"/>
  <c r="F22" i="69"/>
  <c r="G22" i="69" s="1"/>
  <c r="I22" i="69"/>
  <c r="F23" i="69"/>
  <c r="G23" i="69" s="1"/>
  <c r="I23" i="69"/>
  <c r="F24" i="69"/>
  <c r="G24" i="69" s="1"/>
  <c r="I24" i="69"/>
  <c r="F25" i="69"/>
  <c r="G25" i="69" s="1"/>
  <c r="I25" i="69"/>
  <c r="H26" i="69"/>
  <c r="L26" i="69" s="1"/>
  <c r="F29" i="69"/>
  <c r="G29" i="69" s="1"/>
  <c r="I29" i="69"/>
  <c r="F30" i="69"/>
  <c r="G30" i="69" s="1"/>
  <c r="I30" i="69"/>
  <c r="F31" i="69"/>
  <c r="G31" i="69" s="1"/>
  <c r="I31" i="69"/>
  <c r="F32" i="69"/>
  <c r="G32" i="69" s="1"/>
  <c r="I32" i="69"/>
  <c r="F33" i="69"/>
  <c r="G33" i="69" s="1"/>
  <c r="I33" i="69"/>
  <c r="F34" i="69"/>
  <c r="G34" i="69" s="1"/>
  <c r="I34" i="69"/>
  <c r="D35" i="69"/>
  <c r="J35" i="69" s="1"/>
  <c r="H35" i="69"/>
  <c r="L35" i="69" s="1"/>
  <c r="D38" i="69"/>
  <c r="F38" i="69"/>
  <c r="I38" i="69"/>
  <c r="F39" i="69"/>
  <c r="G39" i="69" s="1"/>
  <c r="I39" i="69"/>
  <c r="F40" i="69"/>
  <c r="G40" i="69" s="1"/>
  <c r="I40" i="69"/>
  <c r="F41" i="69"/>
  <c r="G41" i="69" s="1"/>
  <c r="I41" i="69"/>
  <c r="F42" i="69"/>
  <c r="G42" i="69" s="1"/>
  <c r="I42" i="69"/>
  <c r="F43" i="69"/>
  <c r="G43" i="69" s="1"/>
  <c r="I43" i="69"/>
  <c r="F44" i="69"/>
  <c r="G44" i="69" s="1"/>
  <c r="I44" i="69"/>
  <c r="F45" i="69"/>
  <c r="G45" i="69" s="1"/>
  <c r="I45" i="69"/>
  <c r="F46" i="69"/>
  <c r="G46" i="69" s="1"/>
  <c r="I46" i="69"/>
  <c r="D47" i="69"/>
  <c r="J47" i="69" s="1"/>
  <c r="H47" i="69"/>
  <c r="L47" i="69" s="1"/>
  <c r="D50" i="69"/>
  <c r="F50" i="69"/>
  <c r="G50" i="69" s="1"/>
  <c r="I50" i="69"/>
  <c r="D51" i="69"/>
  <c r="F51" i="69"/>
  <c r="I51" i="69"/>
  <c r="F52" i="69"/>
  <c r="G52" i="69" s="1"/>
  <c r="I52" i="69"/>
  <c r="F53" i="69"/>
  <c r="G53" i="69" s="1"/>
  <c r="I53" i="69"/>
  <c r="F54" i="69"/>
  <c r="G54" i="69" s="1"/>
  <c r="I54" i="69"/>
  <c r="F55" i="69"/>
  <c r="G55" i="69" s="1"/>
  <c r="I55" i="69"/>
  <c r="F56" i="69"/>
  <c r="G56" i="69" s="1"/>
  <c r="I56" i="69"/>
  <c r="H57" i="69"/>
  <c r="L57" i="69" s="1"/>
  <c r="D60" i="69"/>
  <c r="F60" i="69"/>
  <c r="I60" i="69"/>
  <c r="C15" i="70" s="1"/>
  <c r="F61" i="69"/>
  <c r="G61" i="69" s="1"/>
  <c r="I61" i="69"/>
  <c r="F62" i="69"/>
  <c r="G62" i="69" s="1"/>
  <c r="I62" i="69"/>
  <c r="F63" i="69"/>
  <c r="G63" i="69" s="1"/>
  <c r="I63" i="69"/>
  <c r="F64" i="69"/>
  <c r="G64" i="69" s="1"/>
  <c r="I64" i="69"/>
  <c r="H65" i="69"/>
  <c r="L65" i="69" s="1"/>
  <c r="D68" i="69"/>
  <c r="F68" i="69"/>
  <c r="I68" i="69"/>
  <c r="F69" i="69"/>
  <c r="G69" i="69" s="1"/>
  <c r="I69" i="69"/>
  <c r="F70" i="69"/>
  <c r="G70" i="69" s="1"/>
  <c r="I70" i="69"/>
  <c r="F71" i="69"/>
  <c r="G71" i="69" s="1"/>
  <c r="I71" i="69"/>
  <c r="F72" i="69"/>
  <c r="G72" i="69" s="1"/>
  <c r="I72" i="69"/>
  <c r="H73" i="69"/>
  <c r="L73" i="69"/>
  <c r="F76" i="69"/>
  <c r="G76" i="69" s="1"/>
  <c r="I76" i="69"/>
  <c r="F77" i="69"/>
  <c r="G77" i="69" s="1"/>
  <c r="I77" i="69"/>
  <c r="F78" i="69"/>
  <c r="G78" i="69" s="1"/>
  <c r="I78" i="69"/>
  <c r="F79" i="69"/>
  <c r="G79" i="69" s="1"/>
  <c r="I79" i="69"/>
  <c r="F80" i="69"/>
  <c r="G80" i="69" s="1"/>
  <c r="I80" i="69"/>
  <c r="F81" i="69"/>
  <c r="G81" i="69" s="1"/>
  <c r="I81" i="69"/>
  <c r="D82" i="69"/>
  <c r="J82" i="69" s="1"/>
  <c r="H82" i="69"/>
  <c r="L82" i="69" s="1"/>
  <c r="D85" i="69"/>
  <c r="D90" i="69" s="1"/>
  <c r="J90" i="69" s="1"/>
  <c r="F85" i="69"/>
  <c r="I85" i="69"/>
  <c r="F86" i="69"/>
  <c r="G86" i="69" s="1"/>
  <c r="I86" i="69"/>
  <c r="F87" i="69"/>
  <c r="G87" i="69" s="1"/>
  <c r="I87" i="69"/>
  <c r="F88" i="69"/>
  <c r="G88" i="69" s="1"/>
  <c r="I88" i="69"/>
  <c r="F89" i="69"/>
  <c r="G89" i="69" s="1"/>
  <c r="I89" i="69"/>
  <c r="H90" i="69"/>
  <c r="L90" i="69" s="1"/>
  <c r="D93" i="69"/>
  <c r="D98" i="69" s="1"/>
  <c r="J98" i="69" s="1"/>
  <c r="F93" i="69"/>
  <c r="I93" i="69"/>
  <c r="F94" i="69"/>
  <c r="G94" i="69" s="1"/>
  <c r="I94" i="69"/>
  <c r="F95" i="69"/>
  <c r="G95" i="69" s="1"/>
  <c r="I95" i="69"/>
  <c r="F96" i="69"/>
  <c r="G96" i="69" s="1"/>
  <c r="I96" i="69"/>
  <c r="F97" i="69"/>
  <c r="G97" i="69" s="1"/>
  <c r="I97" i="69"/>
  <c r="H98" i="69"/>
  <c r="L98" i="69"/>
  <c r="D101" i="69"/>
  <c r="D106" i="69" s="1"/>
  <c r="J106" i="69" s="1"/>
  <c r="F101" i="69"/>
  <c r="I101" i="69"/>
  <c r="F102" i="69"/>
  <c r="G102" i="69" s="1"/>
  <c r="I102" i="69"/>
  <c r="F103" i="69"/>
  <c r="G103" i="69" s="1"/>
  <c r="I103" i="69"/>
  <c r="F104" i="69"/>
  <c r="G104" i="69" s="1"/>
  <c r="I104" i="69"/>
  <c r="F105" i="69"/>
  <c r="G105" i="69" s="1"/>
  <c r="I105" i="69"/>
  <c r="H106" i="69"/>
  <c r="L106" i="69" s="1"/>
  <c r="D109" i="69"/>
  <c r="D114" i="69" s="1"/>
  <c r="J114" i="69" s="1"/>
  <c r="F109" i="69"/>
  <c r="G109" i="69" s="1"/>
  <c r="I109" i="69"/>
  <c r="F110" i="69"/>
  <c r="G110" i="69" s="1"/>
  <c r="I110" i="69"/>
  <c r="F111" i="69"/>
  <c r="G111" i="69" s="1"/>
  <c r="I111" i="69"/>
  <c r="F112" i="69"/>
  <c r="G112" i="69" s="1"/>
  <c r="I112" i="69"/>
  <c r="F113" i="69"/>
  <c r="G113" i="69" s="1"/>
  <c r="I113" i="69"/>
  <c r="H114" i="69"/>
  <c r="L114" i="69" s="1"/>
  <c r="D117" i="69"/>
  <c r="D121" i="69" s="1"/>
  <c r="J121" i="69" s="1"/>
  <c r="F117" i="69"/>
  <c r="I117" i="69"/>
  <c r="C22" i="70" s="1"/>
  <c r="F118" i="69"/>
  <c r="G118" i="69" s="1"/>
  <c r="I118" i="69"/>
  <c r="F119" i="69"/>
  <c r="G119" i="69" s="1"/>
  <c r="I119" i="69"/>
  <c r="F120" i="69"/>
  <c r="G120" i="69" s="1"/>
  <c r="I120" i="69"/>
  <c r="H121" i="69"/>
  <c r="L121" i="69" s="1"/>
  <c r="F124" i="69"/>
  <c r="G124" i="69" s="1"/>
  <c r="I124" i="69"/>
  <c r="F125" i="69"/>
  <c r="G125" i="69" s="1"/>
  <c r="I125" i="69"/>
  <c r="F126" i="69"/>
  <c r="G126" i="69" s="1"/>
  <c r="I126" i="69"/>
  <c r="F127" i="69"/>
  <c r="G127" i="69" s="1"/>
  <c r="I127" i="69"/>
  <c r="F128" i="69"/>
  <c r="G128" i="69" s="1"/>
  <c r="I128" i="69"/>
  <c r="F129" i="69"/>
  <c r="G129" i="69" s="1"/>
  <c r="I129" i="69"/>
  <c r="F130" i="69"/>
  <c r="G130" i="69" s="1"/>
  <c r="I130" i="69"/>
  <c r="D131" i="69"/>
  <c r="J131" i="69" s="1"/>
  <c r="H131" i="69"/>
  <c r="L131" i="69" s="1"/>
  <c r="F134" i="69"/>
  <c r="G134" i="69" s="1"/>
  <c r="I134" i="69"/>
  <c r="F135" i="69"/>
  <c r="G135" i="69" s="1"/>
  <c r="I135" i="69"/>
  <c r="F136" i="69"/>
  <c r="G136" i="69" s="1"/>
  <c r="I136" i="69"/>
  <c r="F137" i="69"/>
  <c r="G137" i="69" s="1"/>
  <c r="I137" i="69"/>
  <c r="F138" i="69"/>
  <c r="G138" i="69" s="1"/>
  <c r="I138" i="69"/>
  <c r="D139" i="69"/>
  <c r="J139" i="69" s="1"/>
  <c r="H139" i="69"/>
  <c r="L139" i="69" s="1"/>
  <c r="D142" i="69"/>
  <c r="D147" i="69" s="1"/>
  <c r="J147" i="69" s="1"/>
  <c r="F142" i="69"/>
  <c r="G142" i="69" s="1"/>
  <c r="I142" i="69"/>
  <c r="F143" i="69"/>
  <c r="G143" i="69" s="1"/>
  <c r="I143" i="69"/>
  <c r="F144" i="69"/>
  <c r="G144" i="69" s="1"/>
  <c r="I144" i="69"/>
  <c r="F145" i="69"/>
  <c r="G145" i="69" s="1"/>
  <c r="I145" i="69"/>
  <c r="F146" i="69"/>
  <c r="G146" i="69" s="1"/>
  <c r="I146" i="69"/>
  <c r="H147" i="69"/>
  <c r="L147" i="69" s="1"/>
  <c r="D150" i="69"/>
  <c r="D155" i="69" s="1"/>
  <c r="J155" i="69" s="1"/>
  <c r="F150" i="69"/>
  <c r="I150" i="69"/>
  <c r="F151" i="69"/>
  <c r="G151" i="69" s="1"/>
  <c r="I151" i="69"/>
  <c r="F152" i="69"/>
  <c r="G152" i="69" s="1"/>
  <c r="I152" i="69"/>
  <c r="F153" i="69"/>
  <c r="G153" i="69" s="1"/>
  <c r="I153" i="69"/>
  <c r="F154" i="69"/>
  <c r="G154" i="69" s="1"/>
  <c r="I154" i="69"/>
  <c r="H155" i="69"/>
  <c r="L155" i="69" s="1"/>
  <c r="D158" i="69"/>
  <c r="D164" i="69" s="1"/>
  <c r="J164" i="69" s="1"/>
  <c r="F158" i="69"/>
  <c r="I158" i="69"/>
  <c r="C27" i="70" s="1"/>
  <c r="F159" i="69"/>
  <c r="G159" i="69" s="1"/>
  <c r="I159" i="69"/>
  <c r="F160" i="69"/>
  <c r="G160" i="69" s="1"/>
  <c r="I160" i="69"/>
  <c r="F161" i="69"/>
  <c r="G161" i="69" s="1"/>
  <c r="I161" i="69"/>
  <c r="F162" i="69"/>
  <c r="G162" i="69" s="1"/>
  <c r="I162" i="69"/>
  <c r="F163" i="69"/>
  <c r="G163" i="69" s="1"/>
  <c r="I163" i="69"/>
  <c r="H164" i="69"/>
  <c r="L164" i="69" s="1"/>
  <c r="F167" i="69"/>
  <c r="G167" i="69" s="1"/>
  <c r="I167" i="69"/>
  <c r="C28" i="70" s="1"/>
  <c r="F168" i="69"/>
  <c r="G168" i="69" s="1"/>
  <c r="I168" i="69"/>
  <c r="F169" i="69"/>
  <c r="G169" i="69" s="1"/>
  <c r="I169" i="69"/>
  <c r="F170" i="69"/>
  <c r="G170" i="69" s="1"/>
  <c r="I170" i="69"/>
  <c r="F171" i="69"/>
  <c r="G171" i="69" s="1"/>
  <c r="I171" i="69"/>
  <c r="D172" i="69"/>
  <c r="J172" i="69" s="1"/>
  <c r="H172" i="69"/>
  <c r="L172" i="69" s="1"/>
  <c r="D175" i="69"/>
  <c r="D180" i="69" s="1"/>
  <c r="J180" i="69" s="1"/>
  <c r="F175" i="69"/>
  <c r="I175" i="69"/>
  <c r="F176" i="69"/>
  <c r="G176" i="69" s="1"/>
  <c r="I176" i="69"/>
  <c r="F177" i="69"/>
  <c r="G177" i="69" s="1"/>
  <c r="I177" i="69"/>
  <c r="F178" i="69"/>
  <c r="G178" i="69" s="1"/>
  <c r="I178" i="69"/>
  <c r="F179" i="69"/>
  <c r="G179" i="69" s="1"/>
  <c r="I179" i="69"/>
  <c r="H180" i="69"/>
  <c r="L180" i="69" s="1"/>
  <c r="D183" i="69"/>
  <c r="D190" i="69" s="1"/>
  <c r="J190" i="69" s="1"/>
  <c r="F183" i="69"/>
  <c r="I183" i="69"/>
  <c r="F184" i="69"/>
  <c r="G184" i="69" s="1"/>
  <c r="I184" i="69"/>
  <c r="F185" i="69"/>
  <c r="G185" i="69" s="1"/>
  <c r="I185" i="69"/>
  <c r="F186" i="69"/>
  <c r="G186" i="69" s="1"/>
  <c r="I186" i="69"/>
  <c r="F187" i="69"/>
  <c r="G187" i="69" s="1"/>
  <c r="I187" i="69"/>
  <c r="F188" i="69"/>
  <c r="G188" i="69" s="1"/>
  <c r="I188" i="69"/>
  <c r="F189" i="69"/>
  <c r="G189" i="69" s="1"/>
  <c r="I189" i="69"/>
  <c r="H190" i="69"/>
  <c r="L190" i="69" s="1"/>
  <c r="F193" i="69"/>
  <c r="G193" i="69" s="1"/>
  <c r="I193" i="69"/>
  <c r="F194" i="69"/>
  <c r="G194" i="69" s="1"/>
  <c r="I194" i="69"/>
  <c r="F195" i="69"/>
  <c r="G195" i="69" s="1"/>
  <c r="I195" i="69"/>
  <c r="F196" i="69"/>
  <c r="G196" i="69" s="1"/>
  <c r="I196" i="69"/>
  <c r="F197" i="69"/>
  <c r="G197" i="69" s="1"/>
  <c r="I197" i="69"/>
  <c r="F198" i="69"/>
  <c r="G198" i="69" s="1"/>
  <c r="I198" i="69"/>
  <c r="D199" i="69"/>
  <c r="J199" i="69" s="1"/>
  <c r="H199" i="69"/>
  <c r="L199" i="69" s="1"/>
  <c r="D202" i="69"/>
  <c r="D207" i="69" s="1"/>
  <c r="J207" i="69" s="1"/>
  <c r="F202" i="69"/>
  <c r="G202" i="69" s="1"/>
  <c r="I202" i="69"/>
  <c r="F203" i="69"/>
  <c r="G203" i="69" s="1"/>
  <c r="I203" i="69"/>
  <c r="F204" i="69"/>
  <c r="G204" i="69" s="1"/>
  <c r="I204" i="69"/>
  <c r="F205" i="69"/>
  <c r="G205" i="69" s="1"/>
  <c r="I205" i="69"/>
  <c r="F206" i="69"/>
  <c r="G206" i="69" s="1"/>
  <c r="I206" i="69"/>
  <c r="H207" i="69"/>
  <c r="L207" i="69"/>
  <c r="D210" i="69"/>
  <c r="D215" i="69" s="1"/>
  <c r="J215" i="69" s="1"/>
  <c r="F210" i="69"/>
  <c r="I210" i="69"/>
  <c r="F211" i="69"/>
  <c r="G211" i="69" s="1"/>
  <c r="I211" i="69"/>
  <c r="F212" i="69"/>
  <c r="G212" i="69" s="1"/>
  <c r="I212" i="69"/>
  <c r="F213" i="69"/>
  <c r="G213" i="69" s="1"/>
  <c r="I213" i="69"/>
  <c r="F214" i="69"/>
  <c r="G214" i="69" s="1"/>
  <c r="I214" i="69"/>
  <c r="H215" i="69"/>
  <c r="L215" i="69" s="1"/>
  <c r="F218" i="69"/>
  <c r="G218" i="69" s="1"/>
  <c r="I218" i="69"/>
  <c r="F219" i="69"/>
  <c r="G219" i="69" s="1"/>
  <c r="I219" i="69"/>
  <c r="F220" i="69"/>
  <c r="G220" i="69" s="1"/>
  <c r="I220" i="69"/>
  <c r="F221" i="69"/>
  <c r="G221" i="69" s="1"/>
  <c r="I221" i="69"/>
  <c r="F222" i="69"/>
  <c r="G222" i="69" s="1"/>
  <c r="I222" i="69"/>
  <c r="F223" i="69"/>
  <c r="G223" i="69" s="1"/>
  <c r="I223" i="69"/>
  <c r="F224" i="69"/>
  <c r="G224" i="69" s="1"/>
  <c r="I224" i="69"/>
  <c r="D225" i="69"/>
  <c r="J225" i="69" s="1"/>
  <c r="H225" i="69"/>
  <c r="L225" i="69" s="1"/>
  <c r="Y11" i="67"/>
  <c r="Z11" i="67"/>
  <c r="F4" i="66"/>
  <c r="G4" i="66" s="1"/>
  <c r="I4" i="66"/>
  <c r="F5" i="66"/>
  <c r="G5" i="66" s="1"/>
  <c r="I5" i="66"/>
  <c r="F6" i="66"/>
  <c r="G6" i="66" s="1"/>
  <c r="I6" i="66"/>
  <c r="F7" i="66"/>
  <c r="G7" i="66" s="1"/>
  <c r="I7" i="66"/>
  <c r="F8" i="66"/>
  <c r="G8" i="66" s="1"/>
  <c r="I8" i="66"/>
  <c r="F9" i="66"/>
  <c r="G9" i="66" s="1"/>
  <c r="I9" i="66"/>
  <c r="F10" i="66"/>
  <c r="G10" i="66" s="1"/>
  <c r="I10" i="66"/>
  <c r="F11" i="66"/>
  <c r="G11" i="66" s="1"/>
  <c r="I11" i="66"/>
  <c r="G12" i="66"/>
  <c r="I12" i="66"/>
  <c r="G13" i="66"/>
  <c r="I13" i="66"/>
  <c r="D14" i="66"/>
  <c r="J14" i="66" s="1"/>
  <c r="H14" i="66"/>
  <c r="L14" i="66" s="1"/>
  <c r="F17" i="66"/>
  <c r="G17" i="66" s="1"/>
  <c r="I17" i="66"/>
  <c r="F18" i="66"/>
  <c r="G18" i="66" s="1"/>
  <c r="I18" i="66"/>
  <c r="F19" i="66"/>
  <c r="G19" i="66" s="1"/>
  <c r="I19" i="66"/>
  <c r="F20" i="66"/>
  <c r="G20" i="66" s="1"/>
  <c r="I20" i="66"/>
  <c r="F21" i="66"/>
  <c r="G21" i="66" s="1"/>
  <c r="I21" i="66"/>
  <c r="D22" i="66"/>
  <c r="J22" i="66" s="1"/>
  <c r="H22" i="66"/>
  <c r="L22" i="66"/>
  <c r="D30" i="66"/>
  <c r="J30" i="66" s="1"/>
  <c r="H30" i="66"/>
  <c r="L30" i="66" s="1"/>
  <c r="F33" i="66"/>
  <c r="G33" i="66" s="1"/>
  <c r="I33" i="66"/>
  <c r="F34" i="66"/>
  <c r="G34" i="66" s="1"/>
  <c r="I34" i="66"/>
  <c r="F35" i="66"/>
  <c r="G35" i="66" s="1"/>
  <c r="I35" i="66"/>
  <c r="F36" i="66"/>
  <c r="G36" i="66" s="1"/>
  <c r="I36" i="66"/>
  <c r="F37" i="66"/>
  <c r="G37" i="66" s="1"/>
  <c r="I37" i="66"/>
  <c r="F38" i="66"/>
  <c r="G38" i="66" s="1"/>
  <c r="I38" i="66"/>
  <c r="F39" i="66"/>
  <c r="G39" i="66" s="1"/>
  <c r="I39" i="66"/>
  <c r="F40" i="66"/>
  <c r="G40" i="66" s="1"/>
  <c r="I40" i="66"/>
  <c r="F41" i="66"/>
  <c r="G41" i="66" s="1"/>
  <c r="D42" i="66"/>
  <c r="J42" i="66" s="1"/>
  <c r="H42" i="66"/>
  <c r="L42" i="66" s="1"/>
  <c r="F45" i="66"/>
  <c r="G45" i="66" s="1"/>
  <c r="I45" i="66"/>
  <c r="F46" i="66"/>
  <c r="G46" i="66" s="1"/>
  <c r="I46" i="66"/>
  <c r="F47" i="66"/>
  <c r="G47" i="66" s="1"/>
  <c r="I47" i="66"/>
  <c r="F48" i="66"/>
  <c r="G48" i="66" s="1"/>
  <c r="I48" i="66"/>
  <c r="F49" i="66"/>
  <c r="G49" i="66" s="1"/>
  <c r="I49" i="66"/>
  <c r="F50" i="66"/>
  <c r="G50" i="66" s="1"/>
  <c r="I50" i="66"/>
  <c r="F51" i="66"/>
  <c r="G51" i="66" s="1"/>
  <c r="I51" i="66"/>
  <c r="D52" i="66"/>
  <c r="H52" i="66"/>
  <c r="L52" i="66" s="1"/>
  <c r="J52" i="66"/>
  <c r="D55" i="66"/>
  <c r="D63" i="66" s="1"/>
  <c r="D68" i="66" s="1"/>
  <c r="J68" i="66" s="1"/>
  <c r="F55" i="66"/>
  <c r="I55" i="66"/>
  <c r="D14" i="67" s="1"/>
  <c r="F56" i="66"/>
  <c r="G56" i="66" s="1"/>
  <c r="I56" i="66"/>
  <c r="F57" i="66"/>
  <c r="G57" i="66" s="1"/>
  <c r="I57" i="66"/>
  <c r="F58" i="66"/>
  <c r="G58" i="66" s="1"/>
  <c r="I58" i="66"/>
  <c r="F59" i="66"/>
  <c r="G59" i="66" s="1"/>
  <c r="I59" i="66"/>
  <c r="H60" i="66"/>
  <c r="L60" i="66"/>
  <c r="F63" i="66"/>
  <c r="I63" i="66"/>
  <c r="D15" i="67" s="1"/>
  <c r="F65" i="66"/>
  <c r="G65" i="66" s="1"/>
  <c r="I65" i="66"/>
  <c r="F66" i="66"/>
  <c r="G66" i="66" s="1"/>
  <c r="I66" i="66"/>
  <c r="F67" i="66"/>
  <c r="G67" i="66" s="1"/>
  <c r="I67" i="66"/>
  <c r="H68" i="66"/>
  <c r="L68" i="66" s="1"/>
  <c r="G71" i="66"/>
  <c r="I71" i="66"/>
  <c r="D16" i="67" s="1"/>
  <c r="F72" i="66"/>
  <c r="G72" i="66" s="1"/>
  <c r="I72" i="66"/>
  <c r="F73" i="66"/>
  <c r="G73" i="66" s="1"/>
  <c r="I73" i="66"/>
  <c r="F74" i="66"/>
  <c r="G74" i="66" s="1"/>
  <c r="I74" i="66"/>
  <c r="F75" i="66"/>
  <c r="G75" i="66" s="1"/>
  <c r="I75" i="66"/>
  <c r="D76" i="66"/>
  <c r="J76" i="66" s="1"/>
  <c r="H76" i="66"/>
  <c r="L76" i="66"/>
  <c r="D79" i="66"/>
  <c r="D84" i="66" s="1"/>
  <c r="J84" i="66" s="1"/>
  <c r="I79" i="66"/>
  <c r="D17" i="67" s="1"/>
  <c r="F80" i="66"/>
  <c r="G80" i="66" s="1"/>
  <c r="I80" i="66"/>
  <c r="F81" i="66"/>
  <c r="G81" i="66" s="1"/>
  <c r="I81" i="66"/>
  <c r="F82" i="66"/>
  <c r="G82" i="66" s="1"/>
  <c r="I82" i="66"/>
  <c r="F83" i="66"/>
  <c r="G83" i="66" s="1"/>
  <c r="I83" i="66"/>
  <c r="H84" i="66"/>
  <c r="L84" i="66" s="1"/>
  <c r="G87" i="66"/>
  <c r="I87" i="66"/>
  <c r="F88" i="66"/>
  <c r="G88" i="66" s="1"/>
  <c r="I88" i="66"/>
  <c r="F89" i="66"/>
  <c r="G89" i="66" s="1"/>
  <c r="I89" i="66"/>
  <c r="F90" i="66"/>
  <c r="G90" i="66" s="1"/>
  <c r="I90" i="66"/>
  <c r="F91" i="66"/>
  <c r="G91" i="66" s="1"/>
  <c r="I91" i="66"/>
  <c r="D92" i="66"/>
  <c r="J92" i="66" s="1"/>
  <c r="H92" i="66"/>
  <c r="L92" i="66" s="1"/>
  <c r="F95" i="66"/>
  <c r="G95" i="66" s="1"/>
  <c r="I95" i="66"/>
  <c r="F96" i="66"/>
  <c r="G96" i="66" s="1"/>
  <c r="I96" i="66"/>
  <c r="F97" i="66"/>
  <c r="G97" i="66" s="1"/>
  <c r="I97" i="66"/>
  <c r="F98" i="66"/>
  <c r="G98" i="66" s="1"/>
  <c r="I98" i="66"/>
  <c r="F99" i="66"/>
  <c r="G99" i="66" s="1"/>
  <c r="I99" i="66"/>
  <c r="D100" i="66"/>
  <c r="J100" i="66" s="1"/>
  <c r="H100" i="66"/>
  <c r="L100" i="66" s="1"/>
  <c r="D103" i="66"/>
  <c r="D108" i="66" s="1"/>
  <c r="J108" i="66" s="1"/>
  <c r="F103" i="66"/>
  <c r="G103" i="66" s="1"/>
  <c r="I103" i="66"/>
  <c r="F104" i="66"/>
  <c r="G104" i="66" s="1"/>
  <c r="I104" i="66"/>
  <c r="F105" i="66"/>
  <c r="G105" i="66" s="1"/>
  <c r="I105" i="66"/>
  <c r="F106" i="66"/>
  <c r="G106" i="66" s="1"/>
  <c r="I106" i="66"/>
  <c r="F107" i="66"/>
  <c r="G107" i="66" s="1"/>
  <c r="I107" i="66"/>
  <c r="H108" i="66"/>
  <c r="L108" i="66" s="1"/>
  <c r="D116" i="66"/>
  <c r="J116" i="66" s="1"/>
  <c r="H116" i="66"/>
  <c r="L116" i="66" s="1"/>
  <c r="F119" i="66"/>
  <c r="G119" i="66" s="1"/>
  <c r="I119" i="66"/>
  <c r="F120" i="66"/>
  <c r="G120" i="66" s="1"/>
  <c r="I120" i="66"/>
  <c r="F121" i="66"/>
  <c r="G121" i="66" s="1"/>
  <c r="I121" i="66"/>
  <c r="F122" i="66"/>
  <c r="G122" i="66" s="1"/>
  <c r="I122" i="66"/>
  <c r="F123" i="66"/>
  <c r="G123" i="66" s="1"/>
  <c r="I123" i="66"/>
  <c r="D124" i="66"/>
  <c r="J124" i="66" s="1"/>
  <c r="H124" i="66"/>
  <c r="L124" i="66" s="1"/>
  <c r="D127" i="66"/>
  <c r="F127" i="66"/>
  <c r="I127" i="66"/>
  <c r="F128" i="66"/>
  <c r="G128" i="66" s="1"/>
  <c r="I128" i="66"/>
  <c r="F129" i="66"/>
  <c r="I129" i="66"/>
  <c r="F130" i="66"/>
  <c r="G130" i="66" s="1"/>
  <c r="I130" i="66"/>
  <c r="F131" i="66"/>
  <c r="G131" i="66" s="1"/>
  <c r="I131" i="66"/>
  <c r="D132" i="66"/>
  <c r="H132" i="66"/>
  <c r="L132" i="66" s="1"/>
  <c r="J132" i="66"/>
  <c r="F135" i="66"/>
  <c r="G135" i="66" s="1"/>
  <c r="I135" i="66"/>
  <c r="F136" i="66"/>
  <c r="G136" i="66" s="1"/>
  <c r="I136" i="66"/>
  <c r="F137" i="66"/>
  <c r="G137" i="66" s="1"/>
  <c r="I137" i="66"/>
  <c r="F138" i="66"/>
  <c r="G138" i="66" s="1"/>
  <c r="I138" i="66"/>
  <c r="F139" i="66"/>
  <c r="G139" i="66" s="1"/>
  <c r="I139" i="66"/>
  <c r="D140" i="66"/>
  <c r="J140" i="66" s="1"/>
  <c r="H140" i="66"/>
  <c r="L140" i="66"/>
  <c r="D143" i="66"/>
  <c r="F143" i="66"/>
  <c r="H143" i="66"/>
  <c r="F144" i="66"/>
  <c r="G144" i="66" s="1"/>
  <c r="I144" i="66"/>
  <c r="F145" i="66"/>
  <c r="G145" i="66" s="1"/>
  <c r="I145" i="66"/>
  <c r="F146" i="66"/>
  <c r="G146" i="66" s="1"/>
  <c r="I146" i="66"/>
  <c r="F147" i="66"/>
  <c r="G147" i="66" s="1"/>
  <c r="I147" i="66"/>
  <c r="F151" i="66"/>
  <c r="I151" i="66"/>
  <c r="F152" i="66"/>
  <c r="G152" i="66" s="1"/>
  <c r="I152" i="66"/>
  <c r="F153" i="66"/>
  <c r="G153" i="66" s="1"/>
  <c r="I153" i="66"/>
  <c r="F154" i="66"/>
  <c r="G154" i="66" s="1"/>
  <c r="I154" i="66"/>
  <c r="F155" i="66"/>
  <c r="G155" i="66" s="1"/>
  <c r="I155" i="66"/>
  <c r="F156" i="66"/>
  <c r="G156" i="66" s="1"/>
  <c r="I156" i="66"/>
  <c r="H157" i="66"/>
  <c r="L157" i="66" s="1"/>
  <c r="F160" i="66"/>
  <c r="G160" i="66" s="1"/>
  <c r="I160" i="66"/>
  <c r="F161" i="66"/>
  <c r="G161" i="66" s="1"/>
  <c r="I161" i="66"/>
  <c r="F162" i="66"/>
  <c r="G162" i="66" s="1"/>
  <c r="I162" i="66"/>
  <c r="F163" i="66"/>
  <c r="G163" i="66" s="1"/>
  <c r="I163" i="66"/>
  <c r="F164" i="66"/>
  <c r="G164" i="66" s="1"/>
  <c r="I164" i="66"/>
  <c r="D165" i="66"/>
  <c r="J165" i="66" s="1"/>
  <c r="H165" i="66"/>
  <c r="L165" i="66" s="1"/>
  <c r="D168" i="66"/>
  <c r="F168" i="66"/>
  <c r="I168" i="66"/>
  <c r="D28" i="67" s="1"/>
  <c r="F169" i="66"/>
  <c r="G169" i="66" s="1"/>
  <c r="I169" i="66"/>
  <c r="F170" i="66"/>
  <c r="G170" i="66" s="1"/>
  <c r="I170" i="66"/>
  <c r="F171" i="66"/>
  <c r="G171" i="66" s="1"/>
  <c r="I171" i="66"/>
  <c r="F172" i="66"/>
  <c r="G172" i="66" s="1"/>
  <c r="I172" i="66"/>
  <c r="D173" i="66"/>
  <c r="J173" i="66" s="1"/>
  <c r="H173" i="66"/>
  <c r="L173" i="66" s="1"/>
  <c r="F176" i="66"/>
  <c r="G176" i="66" s="1"/>
  <c r="I176" i="66"/>
  <c r="D29" i="67" s="1"/>
  <c r="F177" i="66"/>
  <c r="G177" i="66" s="1"/>
  <c r="I177" i="66"/>
  <c r="F178" i="66"/>
  <c r="G178" i="66" s="1"/>
  <c r="I178" i="66"/>
  <c r="F179" i="66"/>
  <c r="G179" i="66" s="1"/>
  <c r="I179" i="66"/>
  <c r="F180" i="66"/>
  <c r="G180" i="66" s="1"/>
  <c r="I180" i="66"/>
  <c r="D181" i="66"/>
  <c r="J181" i="66" s="1"/>
  <c r="H181" i="66"/>
  <c r="L181" i="66" s="1"/>
  <c r="F184" i="66"/>
  <c r="G184" i="66" s="1"/>
  <c r="I184" i="66"/>
  <c r="F185" i="66"/>
  <c r="G185" i="66" s="1"/>
  <c r="I185" i="66"/>
  <c r="F186" i="66"/>
  <c r="G186" i="66" s="1"/>
  <c r="I186" i="66"/>
  <c r="F187" i="66"/>
  <c r="G187" i="66" s="1"/>
  <c r="I187" i="66"/>
  <c r="F188" i="66"/>
  <c r="G188" i="66" s="1"/>
  <c r="I188" i="66"/>
  <c r="D189" i="66"/>
  <c r="J189" i="66" s="1"/>
  <c r="H189" i="66"/>
  <c r="L189" i="66" s="1"/>
  <c r="D192" i="66"/>
  <c r="D200" i="66" s="1"/>
  <c r="D205" i="66" s="1"/>
  <c r="J205" i="66" s="1"/>
  <c r="F192" i="66"/>
  <c r="I192" i="66"/>
  <c r="D31" i="67" s="1"/>
  <c r="F193" i="66"/>
  <c r="G193" i="66" s="1"/>
  <c r="I193" i="66"/>
  <c r="F194" i="66"/>
  <c r="G194" i="66" s="1"/>
  <c r="I194" i="66"/>
  <c r="F195" i="66"/>
  <c r="G195" i="66" s="1"/>
  <c r="I195" i="66"/>
  <c r="F196" i="66"/>
  <c r="G196" i="66" s="1"/>
  <c r="I196" i="66"/>
  <c r="H197" i="66"/>
  <c r="L197" i="66" s="1"/>
  <c r="F200" i="66"/>
  <c r="I200" i="66"/>
  <c r="F201" i="66"/>
  <c r="G201" i="66" s="1"/>
  <c r="I201" i="66"/>
  <c r="F202" i="66"/>
  <c r="G202" i="66" s="1"/>
  <c r="I202" i="66"/>
  <c r="F203" i="66"/>
  <c r="G203" i="66" s="1"/>
  <c r="I203" i="66"/>
  <c r="F204" i="66"/>
  <c r="G204" i="66" s="1"/>
  <c r="I204" i="66"/>
  <c r="H205" i="66"/>
  <c r="L205" i="66"/>
  <c r="F4" i="63"/>
  <c r="I4" i="63"/>
  <c r="F5" i="63"/>
  <c r="G5" i="63" s="1"/>
  <c r="I5" i="63"/>
  <c r="F6" i="63"/>
  <c r="G6" i="63" s="1"/>
  <c r="I6" i="63"/>
  <c r="F7" i="63"/>
  <c r="G7" i="63" s="1"/>
  <c r="I7" i="63"/>
  <c r="F8" i="63"/>
  <c r="G8" i="63" s="1"/>
  <c r="I8" i="63"/>
  <c r="F9" i="63"/>
  <c r="G9" i="63" s="1"/>
  <c r="I9" i="63"/>
  <c r="H10" i="63"/>
  <c r="L10" i="63"/>
  <c r="D13" i="63"/>
  <c r="J19" i="63" s="1"/>
  <c r="F13" i="63"/>
  <c r="G13" i="63" s="1"/>
  <c r="I13" i="63"/>
  <c r="F14" i="63"/>
  <c r="G14" i="63" s="1"/>
  <c r="I14" i="63"/>
  <c r="F15" i="63"/>
  <c r="G15" i="63" s="1"/>
  <c r="I15" i="63"/>
  <c r="F16" i="63"/>
  <c r="G16" i="63" s="1"/>
  <c r="I16" i="63"/>
  <c r="F17" i="63"/>
  <c r="G17" i="63" s="1"/>
  <c r="I17" i="63"/>
  <c r="F18" i="63"/>
  <c r="G18" i="63" s="1"/>
  <c r="I18" i="63"/>
  <c r="D19" i="63"/>
  <c r="H19" i="63"/>
  <c r="L19" i="63"/>
  <c r="D22" i="63"/>
  <c r="J28" i="63" s="1"/>
  <c r="F22" i="63"/>
  <c r="I22" i="63"/>
  <c r="F23" i="63"/>
  <c r="G23" i="63" s="1"/>
  <c r="I23" i="63"/>
  <c r="F24" i="63"/>
  <c r="G24" i="63" s="1"/>
  <c r="I24" i="63"/>
  <c r="F25" i="63"/>
  <c r="G25" i="63" s="1"/>
  <c r="I25" i="63"/>
  <c r="F26" i="63"/>
  <c r="G26" i="63" s="1"/>
  <c r="I26" i="63"/>
  <c r="F27" i="63"/>
  <c r="G27" i="63" s="1"/>
  <c r="I27" i="63"/>
  <c r="H28" i="63"/>
  <c r="L28" i="63"/>
  <c r="D31" i="63"/>
  <c r="D37" i="63" s="1"/>
  <c r="F31" i="63"/>
  <c r="G31" i="63" s="1"/>
  <c r="I31" i="63"/>
  <c r="F32" i="63"/>
  <c r="G32" i="63" s="1"/>
  <c r="I32" i="63"/>
  <c r="F33" i="63"/>
  <c r="G33" i="63" s="1"/>
  <c r="I33" i="63"/>
  <c r="F34" i="63"/>
  <c r="G34" i="63" s="1"/>
  <c r="I34" i="63"/>
  <c r="F35" i="63"/>
  <c r="G35" i="63" s="1"/>
  <c r="I35" i="63"/>
  <c r="F36" i="63"/>
  <c r="G36" i="63" s="1"/>
  <c r="I36" i="63"/>
  <c r="H37" i="63"/>
  <c r="L37" i="63"/>
  <c r="F40" i="63"/>
  <c r="G40" i="63" s="1"/>
  <c r="I40" i="63"/>
  <c r="F41" i="63"/>
  <c r="G41" i="63" s="1"/>
  <c r="I41" i="63"/>
  <c r="F42" i="63"/>
  <c r="G42" i="63" s="1"/>
  <c r="I42" i="63"/>
  <c r="F43" i="63"/>
  <c r="G43" i="63" s="1"/>
  <c r="I43" i="63"/>
  <c r="F44" i="63"/>
  <c r="G44" i="63" s="1"/>
  <c r="I44" i="63"/>
  <c r="F45" i="63"/>
  <c r="G45" i="63" s="1"/>
  <c r="I45" i="63"/>
  <c r="D46" i="63"/>
  <c r="H46" i="63"/>
  <c r="J46" i="63"/>
  <c r="L46" i="63"/>
  <c r="F49" i="63"/>
  <c r="G49" i="63" s="1"/>
  <c r="I49" i="63"/>
  <c r="F50" i="63"/>
  <c r="G50" i="63" s="1"/>
  <c r="I50" i="63"/>
  <c r="F51" i="63"/>
  <c r="G51" i="63" s="1"/>
  <c r="I51" i="63"/>
  <c r="F52" i="63"/>
  <c r="G52" i="63" s="1"/>
  <c r="I52" i="63"/>
  <c r="F53" i="63"/>
  <c r="G53" i="63" s="1"/>
  <c r="I53" i="63"/>
  <c r="F54" i="63"/>
  <c r="G54" i="63" s="1"/>
  <c r="I54" i="63"/>
  <c r="D55" i="63"/>
  <c r="H55" i="63"/>
  <c r="J55" i="63"/>
  <c r="L55" i="63"/>
  <c r="F58" i="63"/>
  <c r="G58" i="63" s="1"/>
  <c r="I58" i="63"/>
  <c r="F59" i="63"/>
  <c r="G59" i="63" s="1"/>
  <c r="I59" i="63"/>
  <c r="F60" i="63"/>
  <c r="G60" i="63" s="1"/>
  <c r="I60" i="63"/>
  <c r="F61" i="63"/>
  <c r="G61" i="63" s="1"/>
  <c r="I61" i="63"/>
  <c r="F62" i="63"/>
  <c r="G62" i="63" s="1"/>
  <c r="I62" i="63"/>
  <c r="F63" i="63"/>
  <c r="G63" i="63" s="1"/>
  <c r="I63" i="63"/>
  <c r="D64" i="63"/>
  <c r="H64" i="63"/>
  <c r="J64" i="63"/>
  <c r="L64" i="63"/>
  <c r="D67" i="63"/>
  <c r="J73" i="63" s="1"/>
  <c r="F67" i="63"/>
  <c r="I67" i="63"/>
  <c r="F68" i="63"/>
  <c r="G68" i="63" s="1"/>
  <c r="I68" i="63"/>
  <c r="F69" i="63"/>
  <c r="G69" i="63" s="1"/>
  <c r="I69" i="63"/>
  <c r="F70" i="63"/>
  <c r="G70" i="63" s="1"/>
  <c r="I70" i="63"/>
  <c r="F71" i="63"/>
  <c r="G71" i="63" s="1"/>
  <c r="I71" i="63"/>
  <c r="F72" i="63"/>
  <c r="G72" i="63" s="1"/>
  <c r="I72" i="63"/>
  <c r="H73" i="63"/>
  <c r="L73" i="63"/>
  <c r="F76" i="63"/>
  <c r="I76" i="63"/>
  <c r="F77" i="63"/>
  <c r="G77" i="63" s="1"/>
  <c r="I77" i="63"/>
  <c r="F78" i="63"/>
  <c r="G78" i="63" s="1"/>
  <c r="I78" i="63"/>
  <c r="F79" i="63"/>
  <c r="G79" i="63" s="1"/>
  <c r="I79" i="63"/>
  <c r="F80" i="63"/>
  <c r="G80" i="63" s="1"/>
  <c r="I80" i="63"/>
  <c r="F81" i="63"/>
  <c r="G81" i="63" s="1"/>
  <c r="I81" i="63"/>
  <c r="H82" i="63"/>
  <c r="L82" i="63"/>
  <c r="D85" i="63"/>
  <c r="J91" i="63" s="1"/>
  <c r="F85" i="63"/>
  <c r="G85" i="63" s="1"/>
  <c r="I85" i="63"/>
  <c r="F86" i="63"/>
  <c r="G86" i="63" s="1"/>
  <c r="I86" i="63"/>
  <c r="F87" i="63"/>
  <c r="G87" i="63" s="1"/>
  <c r="I87" i="63"/>
  <c r="F88" i="63"/>
  <c r="G88" i="63" s="1"/>
  <c r="I88" i="63"/>
  <c r="F89" i="63"/>
  <c r="G89" i="63" s="1"/>
  <c r="I89" i="63"/>
  <c r="F90" i="63"/>
  <c r="G90" i="63" s="1"/>
  <c r="I90" i="63"/>
  <c r="D91" i="63"/>
  <c r="H91" i="63"/>
  <c r="L91" i="63"/>
  <c r="D94" i="63"/>
  <c r="J100" i="63" s="1"/>
  <c r="F94" i="63"/>
  <c r="G94" i="63" s="1"/>
  <c r="I94" i="63"/>
  <c r="F95" i="63"/>
  <c r="G95" i="63" s="1"/>
  <c r="I95" i="63"/>
  <c r="F96" i="63"/>
  <c r="G96" i="63" s="1"/>
  <c r="I96" i="63"/>
  <c r="F97" i="63"/>
  <c r="G97" i="63" s="1"/>
  <c r="I97" i="63"/>
  <c r="F98" i="63"/>
  <c r="G98" i="63" s="1"/>
  <c r="I98" i="63"/>
  <c r="F99" i="63"/>
  <c r="G99" i="63" s="1"/>
  <c r="I99" i="63"/>
  <c r="D100" i="63"/>
  <c r="H100" i="63"/>
  <c r="L100" i="63"/>
  <c r="D103" i="63"/>
  <c r="J109" i="63" s="1"/>
  <c r="F103" i="63"/>
  <c r="I103" i="63"/>
  <c r="F104" i="63"/>
  <c r="G104" i="63" s="1"/>
  <c r="I104" i="63"/>
  <c r="F105" i="63"/>
  <c r="G105" i="63" s="1"/>
  <c r="I105" i="63"/>
  <c r="F106" i="63"/>
  <c r="G106" i="63" s="1"/>
  <c r="I106" i="63"/>
  <c r="F107" i="63"/>
  <c r="G107" i="63" s="1"/>
  <c r="I107" i="63"/>
  <c r="F108" i="63"/>
  <c r="G108" i="63" s="1"/>
  <c r="I108" i="63"/>
  <c r="H109" i="63"/>
  <c r="L109" i="63"/>
  <c r="D112" i="63"/>
  <c r="F112" i="63"/>
  <c r="I112" i="63"/>
  <c r="F113" i="63"/>
  <c r="G113" i="63" s="1"/>
  <c r="I113" i="63"/>
  <c r="F114" i="63"/>
  <c r="G114" i="63" s="1"/>
  <c r="I114" i="63"/>
  <c r="F115" i="63"/>
  <c r="G115" i="63" s="1"/>
  <c r="I115" i="63"/>
  <c r="F116" i="63"/>
  <c r="G116" i="63" s="1"/>
  <c r="I116" i="63"/>
  <c r="F117" i="63"/>
  <c r="G117" i="63" s="1"/>
  <c r="I117" i="63"/>
  <c r="H118" i="63"/>
  <c r="L118" i="63"/>
  <c r="D121" i="63"/>
  <c r="J127" i="63" s="1"/>
  <c r="F121" i="63"/>
  <c r="I121" i="63"/>
  <c r="F122" i="63"/>
  <c r="G122" i="63" s="1"/>
  <c r="I122" i="63"/>
  <c r="F123" i="63"/>
  <c r="G123" i="63" s="1"/>
  <c r="I123" i="63"/>
  <c r="F124" i="63"/>
  <c r="G124" i="63" s="1"/>
  <c r="I124" i="63"/>
  <c r="F125" i="63"/>
  <c r="G125" i="63" s="1"/>
  <c r="I125" i="63"/>
  <c r="F126" i="63"/>
  <c r="G126" i="63" s="1"/>
  <c r="I126" i="63"/>
  <c r="H127" i="63"/>
  <c r="L127" i="63"/>
  <c r="F130" i="63"/>
  <c r="G130" i="63" s="1"/>
  <c r="I130" i="63"/>
  <c r="F131" i="63"/>
  <c r="G131" i="63" s="1"/>
  <c r="I131" i="63"/>
  <c r="F132" i="63"/>
  <c r="G132" i="63" s="1"/>
  <c r="I132" i="63"/>
  <c r="F133" i="63"/>
  <c r="G133" i="63" s="1"/>
  <c r="I133" i="63"/>
  <c r="F134" i="63"/>
  <c r="G134" i="63" s="1"/>
  <c r="I134" i="63"/>
  <c r="F135" i="63"/>
  <c r="G135" i="63" s="1"/>
  <c r="I135" i="63"/>
  <c r="D136" i="63"/>
  <c r="H136" i="63"/>
  <c r="J136" i="63"/>
  <c r="L136" i="63"/>
  <c r="F139" i="63"/>
  <c r="G139" i="63" s="1"/>
  <c r="I139" i="63"/>
  <c r="F140" i="63"/>
  <c r="G140" i="63" s="1"/>
  <c r="I140" i="63"/>
  <c r="F141" i="63"/>
  <c r="G141" i="63" s="1"/>
  <c r="I141" i="63"/>
  <c r="F142" i="63"/>
  <c r="G142" i="63" s="1"/>
  <c r="I142" i="63"/>
  <c r="F143" i="63"/>
  <c r="G143" i="63" s="1"/>
  <c r="I143" i="63"/>
  <c r="F144" i="63"/>
  <c r="G144" i="63" s="1"/>
  <c r="I144" i="63"/>
  <c r="D145" i="63"/>
  <c r="H145" i="63"/>
  <c r="J145" i="63"/>
  <c r="L145" i="63"/>
  <c r="F148" i="63"/>
  <c r="G148" i="63" s="1"/>
  <c r="I148" i="63"/>
  <c r="F149" i="63"/>
  <c r="G149" i="63" s="1"/>
  <c r="I149" i="63"/>
  <c r="F150" i="63"/>
  <c r="G150" i="63" s="1"/>
  <c r="I150" i="63"/>
  <c r="F151" i="63"/>
  <c r="G151" i="63" s="1"/>
  <c r="I151" i="63"/>
  <c r="F152" i="63"/>
  <c r="G152" i="63" s="1"/>
  <c r="I152" i="63"/>
  <c r="F153" i="63"/>
  <c r="G153" i="63" s="1"/>
  <c r="I153" i="63"/>
  <c r="D154" i="63"/>
  <c r="H154" i="63"/>
  <c r="J154" i="63"/>
  <c r="L154" i="63"/>
  <c r="F157" i="63"/>
  <c r="G157" i="63" s="1"/>
  <c r="I157" i="63"/>
  <c r="F158" i="63"/>
  <c r="G158" i="63" s="1"/>
  <c r="I158" i="63"/>
  <c r="F159" i="63"/>
  <c r="G159" i="63" s="1"/>
  <c r="I159" i="63"/>
  <c r="F160" i="63"/>
  <c r="G160" i="63" s="1"/>
  <c r="I160" i="63"/>
  <c r="F161" i="63"/>
  <c r="G161" i="63" s="1"/>
  <c r="I161" i="63"/>
  <c r="F162" i="63"/>
  <c r="G162" i="63" s="1"/>
  <c r="I162" i="63"/>
  <c r="D163" i="63"/>
  <c r="H163" i="63"/>
  <c r="J163" i="63"/>
  <c r="L163" i="63"/>
  <c r="F166" i="63"/>
  <c r="G166" i="63" s="1"/>
  <c r="I166" i="63"/>
  <c r="F167" i="63"/>
  <c r="G167" i="63" s="1"/>
  <c r="I167" i="63"/>
  <c r="F168" i="63"/>
  <c r="G168" i="63" s="1"/>
  <c r="I168" i="63"/>
  <c r="F169" i="63"/>
  <c r="G169" i="63" s="1"/>
  <c r="I169" i="63"/>
  <c r="F170" i="63"/>
  <c r="G170" i="63" s="1"/>
  <c r="I170" i="63"/>
  <c r="F171" i="63"/>
  <c r="G171" i="63" s="1"/>
  <c r="I171" i="63"/>
  <c r="D172" i="63"/>
  <c r="H172" i="63"/>
  <c r="J172" i="63"/>
  <c r="L172" i="63"/>
  <c r="F175" i="63"/>
  <c r="G175" i="63" s="1"/>
  <c r="I175" i="63"/>
  <c r="F176" i="63"/>
  <c r="G176" i="63" s="1"/>
  <c r="I176" i="63"/>
  <c r="F177" i="63"/>
  <c r="G177" i="63" s="1"/>
  <c r="I177" i="63"/>
  <c r="F178" i="63"/>
  <c r="G178" i="63" s="1"/>
  <c r="I178" i="63"/>
  <c r="F179" i="63"/>
  <c r="G179" i="63" s="1"/>
  <c r="I179" i="63"/>
  <c r="F180" i="63"/>
  <c r="G180" i="63" s="1"/>
  <c r="I180" i="63"/>
  <c r="D181" i="63"/>
  <c r="H181" i="63"/>
  <c r="J181" i="63"/>
  <c r="L181" i="63"/>
  <c r="F184" i="63"/>
  <c r="G184" i="63" s="1"/>
  <c r="I184" i="63"/>
  <c r="F185" i="63"/>
  <c r="G185" i="63" s="1"/>
  <c r="I185" i="63"/>
  <c r="F186" i="63"/>
  <c r="G186" i="63" s="1"/>
  <c r="I186" i="63"/>
  <c r="F187" i="63"/>
  <c r="G187" i="63" s="1"/>
  <c r="I187" i="63"/>
  <c r="F188" i="63"/>
  <c r="G188" i="63" s="1"/>
  <c r="I188" i="63"/>
  <c r="F189" i="63"/>
  <c r="G189" i="63" s="1"/>
  <c r="I189" i="63"/>
  <c r="D190" i="63"/>
  <c r="H190" i="63"/>
  <c r="J190" i="63"/>
  <c r="L190" i="63"/>
  <c r="F193" i="63"/>
  <c r="G193" i="63" s="1"/>
  <c r="I193" i="63"/>
  <c r="F194" i="63"/>
  <c r="G194" i="63" s="1"/>
  <c r="I194" i="63"/>
  <c r="F195" i="63"/>
  <c r="G195" i="63" s="1"/>
  <c r="I195" i="63"/>
  <c r="F196" i="63"/>
  <c r="G196" i="63" s="1"/>
  <c r="I196" i="63"/>
  <c r="G197" i="63"/>
  <c r="I197" i="63"/>
  <c r="G198" i="63"/>
  <c r="I198" i="63"/>
  <c r="D199" i="63"/>
  <c r="H199" i="63"/>
  <c r="J199" i="63"/>
  <c r="L199" i="63"/>
  <c r="X19" i="61"/>
  <c r="X20" i="61"/>
  <c r="L4" i="60"/>
  <c r="N4" i="60"/>
  <c r="F5" i="60"/>
  <c r="I5" i="60"/>
  <c r="L5" i="60"/>
  <c r="F6" i="60"/>
  <c r="G6" i="60" s="1"/>
  <c r="I6" i="60"/>
  <c r="J6" i="60"/>
  <c r="L6" i="60"/>
  <c r="F7" i="60"/>
  <c r="G7" i="60" s="1"/>
  <c r="I7" i="60"/>
  <c r="N7" i="60" s="1"/>
  <c r="J7" i="60"/>
  <c r="L7" i="60"/>
  <c r="J8" i="60"/>
  <c r="L8" i="60"/>
  <c r="N8" i="60"/>
  <c r="H9" i="60"/>
  <c r="L9" i="60"/>
  <c r="J10" i="60"/>
  <c r="L10" i="60"/>
  <c r="N10" i="60"/>
  <c r="J12" i="60"/>
  <c r="L12" i="60"/>
  <c r="N12" i="60"/>
  <c r="D13" i="60"/>
  <c r="D17" i="60" s="1"/>
  <c r="F13" i="60"/>
  <c r="I13" i="60"/>
  <c r="N13" i="60" s="1"/>
  <c r="L13" i="60"/>
  <c r="F14" i="60"/>
  <c r="G14" i="60" s="1"/>
  <c r="I14" i="60"/>
  <c r="N14" i="60" s="1"/>
  <c r="J14" i="60"/>
  <c r="L14" i="60"/>
  <c r="F15" i="60"/>
  <c r="G15" i="60" s="1"/>
  <c r="I15" i="60"/>
  <c r="N15" i="60" s="1"/>
  <c r="J15" i="60"/>
  <c r="L15" i="60"/>
  <c r="J16" i="60"/>
  <c r="L16" i="60"/>
  <c r="N16" i="60"/>
  <c r="H17" i="60"/>
  <c r="L17" i="60"/>
  <c r="J18" i="60"/>
  <c r="L18" i="60"/>
  <c r="N18" i="60"/>
  <c r="J20" i="60"/>
  <c r="L20" i="60"/>
  <c r="N20" i="60"/>
  <c r="F21" i="60"/>
  <c r="I21" i="60"/>
  <c r="L21" i="60"/>
  <c r="F22" i="60"/>
  <c r="G22" i="60" s="1"/>
  <c r="I22" i="60"/>
  <c r="N22" i="60" s="1"/>
  <c r="J22" i="60"/>
  <c r="L22" i="60"/>
  <c r="F23" i="60"/>
  <c r="G23" i="60" s="1"/>
  <c r="I23" i="60"/>
  <c r="N23" i="60" s="1"/>
  <c r="J23" i="60"/>
  <c r="L23" i="60"/>
  <c r="J24" i="60"/>
  <c r="L24" i="60"/>
  <c r="N24" i="60"/>
  <c r="H25" i="60"/>
  <c r="L25" i="60"/>
  <c r="J26" i="60"/>
  <c r="L26" i="60"/>
  <c r="N26" i="60"/>
  <c r="J28" i="60"/>
  <c r="L28" i="60"/>
  <c r="N28" i="60"/>
  <c r="D29" i="60"/>
  <c r="J29" i="60" s="1"/>
  <c r="F29" i="60"/>
  <c r="I29" i="60"/>
  <c r="L29" i="60"/>
  <c r="F30" i="60"/>
  <c r="G30" i="60" s="1"/>
  <c r="I30" i="60"/>
  <c r="N30" i="60" s="1"/>
  <c r="J30" i="60"/>
  <c r="L30" i="60"/>
  <c r="F31" i="60"/>
  <c r="G31" i="60" s="1"/>
  <c r="I31" i="60"/>
  <c r="J31" i="60"/>
  <c r="L31" i="60"/>
  <c r="F32" i="60"/>
  <c r="G32" i="60" s="1"/>
  <c r="I32" i="60"/>
  <c r="N32" i="60" s="1"/>
  <c r="J32" i="60"/>
  <c r="L32" i="60"/>
  <c r="F33" i="60"/>
  <c r="G33" i="60" s="1"/>
  <c r="I33" i="60"/>
  <c r="N33" i="60" s="1"/>
  <c r="J33" i="60"/>
  <c r="L33" i="60"/>
  <c r="J34" i="60"/>
  <c r="L34" i="60"/>
  <c r="N34" i="60"/>
  <c r="H35" i="60"/>
  <c r="J35" i="60"/>
  <c r="L35" i="60"/>
  <c r="J36" i="60"/>
  <c r="L36" i="60"/>
  <c r="N36" i="60"/>
  <c r="J38" i="60"/>
  <c r="L38" i="60"/>
  <c r="N38" i="60"/>
  <c r="J39" i="60"/>
  <c r="L39" i="60"/>
  <c r="N40" i="60"/>
  <c r="J40" i="60"/>
  <c r="L40" i="60"/>
  <c r="N41" i="60"/>
  <c r="J41" i="60"/>
  <c r="L41" i="60"/>
  <c r="N42" i="60"/>
  <c r="J42" i="60"/>
  <c r="L42" i="60"/>
  <c r="J43" i="60"/>
  <c r="L43" i="60"/>
  <c r="N43" i="60"/>
  <c r="D44" i="60"/>
  <c r="H44" i="60"/>
  <c r="J44" i="60"/>
  <c r="L44" i="60"/>
  <c r="J45" i="60"/>
  <c r="L45" i="60"/>
  <c r="N45" i="60"/>
  <c r="J47" i="60"/>
  <c r="L47" i="60"/>
  <c r="N47" i="60"/>
  <c r="F48" i="60"/>
  <c r="G48" i="60" s="1"/>
  <c r="I48" i="60"/>
  <c r="J48" i="60"/>
  <c r="L48" i="60"/>
  <c r="F49" i="60"/>
  <c r="G49" i="60" s="1"/>
  <c r="I49" i="60"/>
  <c r="N49" i="60" s="1"/>
  <c r="J49" i="60"/>
  <c r="L49" i="60"/>
  <c r="F50" i="60"/>
  <c r="G50" i="60" s="1"/>
  <c r="I50" i="60"/>
  <c r="N50" i="60" s="1"/>
  <c r="J50" i="60"/>
  <c r="L50" i="60"/>
  <c r="D57" i="60" s="1"/>
  <c r="F51" i="60"/>
  <c r="G51" i="60" s="1"/>
  <c r="I51" i="60"/>
  <c r="N51" i="60" s="1"/>
  <c r="J51" i="60"/>
  <c r="L51" i="60"/>
  <c r="J52" i="60"/>
  <c r="L52" i="60"/>
  <c r="N52" i="60"/>
  <c r="D53" i="60"/>
  <c r="H53" i="60"/>
  <c r="J53" i="60"/>
  <c r="L53" i="60"/>
  <c r="J54" i="60"/>
  <c r="L54" i="60"/>
  <c r="N54" i="60"/>
  <c r="J56" i="60"/>
  <c r="L56" i="60"/>
  <c r="N56" i="60"/>
  <c r="F57" i="60"/>
  <c r="I57" i="60"/>
  <c r="N57" i="60" s="1"/>
  <c r="L57" i="60"/>
  <c r="F58" i="60"/>
  <c r="G58" i="60" s="1"/>
  <c r="I58" i="60"/>
  <c r="N58" i="60" s="1"/>
  <c r="J58" i="60"/>
  <c r="L58" i="60"/>
  <c r="F59" i="60"/>
  <c r="G59" i="60" s="1"/>
  <c r="I59" i="60"/>
  <c r="N59" i="60" s="1"/>
  <c r="J59" i="60"/>
  <c r="L59" i="60"/>
  <c r="J60" i="60"/>
  <c r="L60" i="60"/>
  <c r="N60" i="60"/>
  <c r="H61" i="60"/>
  <c r="L61" i="60"/>
  <c r="J62" i="60"/>
  <c r="L62" i="60"/>
  <c r="N62" i="60"/>
  <c r="J64" i="60"/>
  <c r="L64" i="60"/>
  <c r="N64" i="60"/>
  <c r="F65" i="60"/>
  <c r="I65" i="60"/>
  <c r="N65" i="60" s="1"/>
  <c r="L65" i="60"/>
  <c r="F66" i="60"/>
  <c r="G66" i="60" s="1"/>
  <c r="I66" i="60"/>
  <c r="J66" i="60"/>
  <c r="L66" i="60"/>
  <c r="D73" i="60" s="1"/>
  <c r="F67" i="60"/>
  <c r="G67" i="60" s="1"/>
  <c r="I67" i="60"/>
  <c r="N67" i="60" s="1"/>
  <c r="J67" i="60"/>
  <c r="L67" i="60"/>
  <c r="J68" i="60"/>
  <c r="L68" i="60"/>
  <c r="N68" i="60"/>
  <c r="H69" i="60"/>
  <c r="L69" i="60"/>
  <c r="J70" i="60"/>
  <c r="L70" i="60"/>
  <c r="N70" i="60"/>
  <c r="J72" i="60"/>
  <c r="L72" i="60"/>
  <c r="N72" i="60"/>
  <c r="F73" i="60"/>
  <c r="I73" i="60"/>
  <c r="N73" i="60" s="1"/>
  <c r="L73" i="60"/>
  <c r="F74" i="60"/>
  <c r="G74" i="60" s="1"/>
  <c r="I74" i="60"/>
  <c r="N74" i="60" s="1"/>
  <c r="J74" i="60"/>
  <c r="L74" i="60"/>
  <c r="F75" i="60"/>
  <c r="G75" i="60" s="1"/>
  <c r="I75" i="60"/>
  <c r="N75" i="60" s="1"/>
  <c r="J75" i="60"/>
  <c r="L75" i="60"/>
  <c r="J76" i="60"/>
  <c r="L76" i="60"/>
  <c r="N76" i="60"/>
  <c r="H77" i="60"/>
  <c r="L77" i="60"/>
  <c r="J78" i="60"/>
  <c r="L78" i="60"/>
  <c r="N78" i="60"/>
  <c r="J80" i="60"/>
  <c r="L80" i="60"/>
  <c r="N80" i="60"/>
  <c r="F81" i="60"/>
  <c r="I81" i="60"/>
  <c r="L81" i="60"/>
  <c r="F82" i="60"/>
  <c r="G82" i="60" s="1"/>
  <c r="I82" i="60"/>
  <c r="N82" i="60" s="1"/>
  <c r="J82" i="60"/>
  <c r="L82" i="60"/>
  <c r="F83" i="60"/>
  <c r="G83" i="60" s="1"/>
  <c r="I83" i="60"/>
  <c r="J83" i="60"/>
  <c r="L83" i="60"/>
  <c r="F84" i="60"/>
  <c r="G84" i="60" s="1"/>
  <c r="I84" i="60"/>
  <c r="J84" i="60"/>
  <c r="L84" i="60"/>
  <c r="F85" i="60"/>
  <c r="G85" i="60" s="1"/>
  <c r="I85" i="60"/>
  <c r="N85" i="60" s="1"/>
  <c r="J85" i="60"/>
  <c r="L85" i="60"/>
  <c r="F86" i="60"/>
  <c r="G86" i="60" s="1"/>
  <c r="I86" i="60"/>
  <c r="N86" i="60" s="1"/>
  <c r="J86" i="60"/>
  <c r="L86" i="60"/>
  <c r="F87" i="60"/>
  <c r="G87" i="60" s="1"/>
  <c r="I87" i="60"/>
  <c r="N87" i="60" s="1"/>
  <c r="J87" i="60"/>
  <c r="L87" i="60"/>
  <c r="J88" i="60"/>
  <c r="L88" i="60"/>
  <c r="N88" i="60"/>
  <c r="D89" i="60"/>
  <c r="H89" i="60"/>
  <c r="L89" i="60"/>
  <c r="J90" i="60"/>
  <c r="L90" i="60"/>
  <c r="N90" i="60"/>
  <c r="J92" i="60"/>
  <c r="L92" i="60"/>
  <c r="N92" i="60"/>
  <c r="D93" i="60"/>
  <c r="J93" i="60" s="1"/>
  <c r="F93" i="60"/>
  <c r="G93" i="60" s="1"/>
  <c r="I93" i="60"/>
  <c r="L93" i="60"/>
  <c r="F94" i="60"/>
  <c r="G94" i="60" s="1"/>
  <c r="I94" i="60"/>
  <c r="N94" i="60" s="1"/>
  <c r="J94" i="60"/>
  <c r="L94" i="60"/>
  <c r="F95" i="60"/>
  <c r="G95" i="60" s="1"/>
  <c r="I95" i="60"/>
  <c r="J95" i="60"/>
  <c r="L95" i="60"/>
  <c r="F96" i="60"/>
  <c r="G96" i="60" s="1"/>
  <c r="I96" i="60"/>
  <c r="N96" i="60" s="1"/>
  <c r="J96" i="60"/>
  <c r="L96" i="60"/>
  <c r="F97" i="60"/>
  <c r="G97" i="60" s="1"/>
  <c r="I97" i="60"/>
  <c r="N97" i="60" s="1"/>
  <c r="J97" i="60"/>
  <c r="L97" i="60"/>
  <c r="J98" i="60"/>
  <c r="L98" i="60"/>
  <c r="N98" i="60"/>
  <c r="H99" i="60"/>
  <c r="J99" i="60"/>
  <c r="L99" i="60"/>
  <c r="J100" i="60"/>
  <c r="L100" i="60"/>
  <c r="N100" i="60"/>
  <c r="J102" i="60"/>
  <c r="L102" i="60"/>
  <c r="N102" i="60"/>
  <c r="D103" i="60"/>
  <c r="F103" i="60"/>
  <c r="I103" i="60"/>
  <c r="L103" i="60"/>
  <c r="F104" i="60"/>
  <c r="G104" i="60" s="1"/>
  <c r="I104" i="60"/>
  <c r="N104" i="60" s="1"/>
  <c r="J104" i="60"/>
  <c r="L104" i="60"/>
  <c r="F105" i="60"/>
  <c r="G105" i="60" s="1"/>
  <c r="I105" i="60"/>
  <c r="J105" i="60"/>
  <c r="L105" i="60"/>
  <c r="F106" i="60"/>
  <c r="G106" i="60" s="1"/>
  <c r="I106" i="60"/>
  <c r="N106" i="60" s="1"/>
  <c r="J106" i="60"/>
  <c r="L106" i="60"/>
  <c r="D113" i="60" s="1"/>
  <c r="F107" i="60"/>
  <c r="G107" i="60" s="1"/>
  <c r="I107" i="60"/>
  <c r="N107" i="60" s="1"/>
  <c r="J107" i="60"/>
  <c r="L107" i="60"/>
  <c r="J108" i="60"/>
  <c r="L108" i="60"/>
  <c r="N108" i="60"/>
  <c r="H109" i="60"/>
  <c r="L109" i="60"/>
  <c r="J110" i="60"/>
  <c r="L110" i="60"/>
  <c r="N110" i="60"/>
  <c r="J112" i="60"/>
  <c r="L112" i="60"/>
  <c r="N112" i="60"/>
  <c r="F113" i="60"/>
  <c r="I113" i="60"/>
  <c r="L113" i="60"/>
  <c r="F114" i="60"/>
  <c r="G114" i="60" s="1"/>
  <c r="I114" i="60"/>
  <c r="J114" i="60"/>
  <c r="L114" i="60"/>
  <c r="F115" i="60"/>
  <c r="G115" i="60" s="1"/>
  <c r="I115" i="60"/>
  <c r="J115" i="60"/>
  <c r="L115" i="60"/>
  <c r="D122" i="60" s="1"/>
  <c r="F116" i="60"/>
  <c r="G116" i="60" s="1"/>
  <c r="I116" i="60"/>
  <c r="N116" i="60" s="1"/>
  <c r="J116" i="60"/>
  <c r="L116" i="60"/>
  <c r="J117" i="60"/>
  <c r="L117" i="60"/>
  <c r="N117" i="60"/>
  <c r="H118" i="60"/>
  <c r="L118" i="60"/>
  <c r="J119" i="60"/>
  <c r="L119" i="60"/>
  <c r="N119" i="60"/>
  <c r="J121" i="60"/>
  <c r="L121" i="60"/>
  <c r="N121" i="60"/>
  <c r="F122" i="60"/>
  <c r="I122" i="60"/>
  <c r="L122" i="60"/>
  <c r="F123" i="60"/>
  <c r="G123" i="60" s="1"/>
  <c r="I123" i="60"/>
  <c r="N123" i="60" s="1"/>
  <c r="J123" i="60"/>
  <c r="L123" i="60"/>
  <c r="F124" i="60"/>
  <c r="G124" i="60" s="1"/>
  <c r="I124" i="60"/>
  <c r="J124" i="60"/>
  <c r="L124" i="60"/>
  <c r="D130" i="60" s="1"/>
  <c r="J125" i="60"/>
  <c r="L125" i="60"/>
  <c r="N125" i="60"/>
  <c r="H126" i="60"/>
  <c r="L126" i="60"/>
  <c r="J127" i="60"/>
  <c r="L127" i="60"/>
  <c r="N127" i="60"/>
  <c r="J129" i="60"/>
  <c r="L129" i="60"/>
  <c r="N129" i="60"/>
  <c r="F130" i="60"/>
  <c r="I130" i="60"/>
  <c r="N130" i="60" s="1"/>
  <c r="L130" i="60"/>
  <c r="F131" i="60"/>
  <c r="G131" i="60" s="1"/>
  <c r="I131" i="60"/>
  <c r="N131" i="60" s="1"/>
  <c r="J131" i="60"/>
  <c r="L131" i="60"/>
  <c r="F132" i="60"/>
  <c r="G132" i="60" s="1"/>
  <c r="I132" i="60"/>
  <c r="J132" i="60"/>
  <c r="L132" i="60"/>
  <c r="F133" i="60"/>
  <c r="G133" i="60" s="1"/>
  <c r="I133" i="60"/>
  <c r="N133" i="60" s="1"/>
  <c r="J133" i="60"/>
  <c r="L133" i="60"/>
  <c r="J134" i="60"/>
  <c r="L134" i="60"/>
  <c r="N134" i="60"/>
  <c r="H135" i="60"/>
  <c r="L135" i="60"/>
  <c r="J136" i="60"/>
  <c r="L136" i="60"/>
  <c r="N136" i="60"/>
  <c r="J138" i="60"/>
  <c r="L138" i="60"/>
  <c r="N138" i="60"/>
  <c r="F139" i="60"/>
  <c r="G139" i="60" s="1"/>
  <c r="I139" i="60"/>
  <c r="N139" i="60" s="1"/>
  <c r="J139" i="60"/>
  <c r="L139" i="60"/>
  <c r="F140" i="60"/>
  <c r="G140" i="60" s="1"/>
  <c r="I140" i="60"/>
  <c r="J140" i="60"/>
  <c r="L140" i="60"/>
  <c r="F141" i="60"/>
  <c r="G141" i="60" s="1"/>
  <c r="I141" i="60"/>
  <c r="N141" i="60" s="1"/>
  <c r="J141" i="60"/>
  <c r="L141" i="60"/>
  <c r="F142" i="60"/>
  <c r="G142" i="60" s="1"/>
  <c r="I142" i="60"/>
  <c r="J142" i="60"/>
  <c r="L142" i="60"/>
  <c r="F143" i="60"/>
  <c r="G143" i="60" s="1"/>
  <c r="I143" i="60"/>
  <c r="N143" i="60" s="1"/>
  <c r="J143" i="60"/>
  <c r="L143" i="60"/>
  <c r="F144" i="60"/>
  <c r="G144" i="60" s="1"/>
  <c r="I144" i="60"/>
  <c r="J144" i="60"/>
  <c r="L144" i="60"/>
  <c r="F145" i="60"/>
  <c r="G145" i="60" s="1"/>
  <c r="I145" i="60"/>
  <c r="N145" i="60" s="1"/>
  <c r="J145" i="60"/>
  <c r="L145" i="60"/>
  <c r="J146" i="60"/>
  <c r="L146" i="60"/>
  <c r="N146" i="60"/>
  <c r="D147" i="60"/>
  <c r="H147" i="60"/>
  <c r="J147" i="60"/>
  <c r="L147" i="60"/>
  <c r="J148" i="60"/>
  <c r="L148" i="60"/>
  <c r="N148" i="60"/>
  <c r="J150" i="60"/>
  <c r="L150" i="60"/>
  <c r="N150" i="60"/>
  <c r="F151" i="60"/>
  <c r="G151" i="60" s="1"/>
  <c r="I151" i="60"/>
  <c r="J151" i="60"/>
  <c r="L151" i="60"/>
  <c r="F152" i="60"/>
  <c r="G152" i="60" s="1"/>
  <c r="I152" i="60"/>
  <c r="N152" i="60" s="1"/>
  <c r="J152" i="60"/>
  <c r="L152" i="60"/>
  <c r="F153" i="60"/>
  <c r="G153" i="60" s="1"/>
  <c r="I153" i="60"/>
  <c r="N153" i="60" s="1"/>
  <c r="J153" i="60"/>
  <c r="L153" i="60"/>
  <c r="F154" i="60"/>
  <c r="G154" i="60" s="1"/>
  <c r="I154" i="60"/>
  <c r="N154" i="60" s="1"/>
  <c r="J154" i="60"/>
  <c r="L154" i="60"/>
  <c r="J155" i="60"/>
  <c r="L155" i="60"/>
  <c r="N155" i="60"/>
  <c r="D156" i="60"/>
  <c r="H156" i="60"/>
  <c r="J156" i="60"/>
  <c r="L156" i="60"/>
  <c r="J157" i="60"/>
  <c r="L157" i="60"/>
  <c r="N157" i="60"/>
  <c r="J159" i="60"/>
  <c r="L159" i="60"/>
  <c r="N159" i="60"/>
  <c r="F160" i="60"/>
  <c r="G160" i="60" s="1"/>
  <c r="I160" i="60"/>
  <c r="N160" i="60" s="1"/>
  <c r="J160" i="60"/>
  <c r="L160" i="60"/>
  <c r="D4" i="63" s="1"/>
  <c r="J10" i="63" s="1"/>
  <c r="F161" i="60"/>
  <c r="G161" i="60" s="1"/>
  <c r="I161" i="60"/>
  <c r="J161" i="60"/>
  <c r="L161" i="60"/>
  <c r="F162" i="60"/>
  <c r="G162" i="60" s="1"/>
  <c r="I162" i="60"/>
  <c r="N162" i="60" s="1"/>
  <c r="J162" i="60"/>
  <c r="L162" i="60"/>
  <c r="J163" i="60"/>
  <c r="L163" i="60"/>
  <c r="N163" i="60"/>
  <c r="D164" i="60"/>
  <c r="J198" i="60" s="1"/>
  <c r="H164" i="60"/>
  <c r="L198" i="60" s="1"/>
  <c r="J164" i="60"/>
  <c r="L164" i="60"/>
  <c r="J165" i="60"/>
  <c r="L165" i="60"/>
  <c r="N165" i="60"/>
  <c r="J166" i="60"/>
  <c r="L166" i="60"/>
  <c r="N166" i="60"/>
  <c r="J167" i="60"/>
  <c r="L167" i="60"/>
  <c r="N167" i="60"/>
  <c r="F168" i="60"/>
  <c r="G168" i="60" s="1"/>
  <c r="I168" i="60"/>
  <c r="N168" i="60" s="1"/>
  <c r="J168" i="60"/>
  <c r="L168" i="60"/>
  <c r="F169" i="60"/>
  <c r="G169" i="60" s="1"/>
  <c r="I169" i="60"/>
  <c r="N169" i="60" s="1"/>
  <c r="J169" i="60"/>
  <c r="L169" i="60"/>
  <c r="F170" i="60"/>
  <c r="G170" i="60" s="1"/>
  <c r="I170" i="60"/>
  <c r="N170" i="60" s="1"/>
  <c r="J170" i="60"/>
  <c r="L170" i="60"/>
  <c r="J171" i="60"/>
  <c r="L171" i="60"/>
  <c r="N171" i="60"/>
  <c r="J172" i="60"/>
  <c r="L172" i="60"/>
  <c r="N172" i="60"/>
  <c r="J173" i="60"/>
  <c r="L173" i="60"/>
  <c r="N173" i="60"/>
  <c r="J174" i="60"/>
  <c r="L174" i="60"/>
  <c r="N174" i="60"/>
  <c r="J175" i="60"/>
  <c r="L175" i="60"/>
  <c r="N175" i="60"/>
  <c r="F176" i="60"/>
  <c r="G176" i="60" s="1"/>
  <c r="I176" i="60"/>
  <c r="N176" i="60" s="1"/>
  <c r="J176" i="60"/>
  <c r="L176" i="60"/>
  <c r="F177" i="60"/>
  <c r="G177" i="60" s="1"/>
  <c r="I177" i="60"/>
  <c r="N177" i="60" s="1"/>
  <c r="J177" i="60"/>
  <c r="L177" i="60"/>
  <c r="F178" i="60"/>
  <c r="G178" i="60" s="1"/>
  <c r="I178" i="60"/>
  <c r="N178" i="60" s="1"/>
  <c r="J178" i="60"/>
  <c r="L178" i="60"/>
  <c r="J179" i="60"/>
  <c r="L179" i="60"/>
  <c r="N179" i="60"/>
  <c r="J180" i="60"/>
  <c r="L180" i="60"/>
  <c r="N180" i="60"/>
  <c r="J181" i="60"/>
  <c r="L181" i="60"/>
  <c r="N181" i="60"/>
  <c r="J182" i="60"/>
  <c r="L182" i="60"/>
  <c r="N182" i="60"/>
  <c r="J183" i="60"/>
  <c r="L183" i="60"/>
  <c r="N183" i="60"/>
  <c r="J184" i="60"/>
  <c r="L184" i="60"/>
  <c r="N184" i="60"/>
  <c r="J185" i="60"/>
  <c r="L185" i="60"/>
  <c r="N185" i="60"/>
  <c r="J186" i="60"/>
  <c r="L186" i="60"/>
  <c r="N186" i="60"/>
  <c r="J187" i="60"/>
  <c r="L187" i="60"/>
  <c r="N187" i="60"/>
  <c r="J188" i="60"/>
  <c r="L188" i="60"/>
  <c r="N188" i="60"/>
  <c r="J189" i="60"/>
  <c r="L189" i="60"/>
  <c r="N189" i="60"/>
  <c r="J190" i="60"/>
  <c r="L190" i="60"/>
  <c r="N190" i="60"/>
  <c r="J191" i="60"/>
  <c r="L191" i="60"/>
  <c r="N191" i="60"/>
  <c r="J192" i="60"/>
  <c r="L192" i="60"/>
  <c r="N192" i="60"/>
  <c r="J193" i="60"/>
  <c r="L193" i="60"/>
  <c r="N193" i="60"/>
  <c r="J194" i="60"/>
  <c r="L194" i="60"/>
  <c r="N194" i="60"/>
  <c r="J195" i="60"/>
  <c r="L195" i="60"/>
  <c r="N195" i="60"/>
  <c r="J196" i="60"/>
  <c r="L196" i="60"/>
  <c r="N196" i="60"/>
  <c r="J197" i="60"/>
  <c r="L197" i="60"/>
  <c r="N197" i="60"/>
  <c r="D198" i="60"/>
  <c r="G198" i="60"/>
  <c r="H198" i="60"/>
  <c r="I198" i="60"/>
  <c r="N198" i="60" s="1"/>
  <c r="J199" i="60"/>
  <c r="L199" i="60"/>
  <c r="N199" i="60"/>
  <c r="X9" i="58"/>
  <c r="Y9" i="58"/>
  <c r="X10" i="58"/>
  <c r="L4" i="57"/>
  <c r="N4" i="57"/>
  <c r="F5" i="57"/>
  <c r="G5" i="57" s="1"/>
  <c r="I5" i="57"/>
  <c r="J5" i="57"/>
  <c r="L5" i="57"/>
  <c r="F6" i="57"/>
  <c r="G6" i="57" s="1"/>
  <c r="I6" i="57"/>
  <c r="J6" i="57"/>
  <c r="L6" i="57"/>
  <c r="F7" i="57"/>
  <c r="G7" i="57" s="1"/>
  <c r="I7" i="57"/>
  <c r="N7" i="57" s="1"/>
  <c r="J7" i="57"/>
  <c r="L7" i="57"/>
  <c r="J8" i="57"/>
  <c r="L8" i="57"/>
  <c r="N8" i="57"/>
  <c r="D9" i="57"/>
  <c r="H9" i="57"/>
  <c r="H16" i="57" s="1"/>
  <c r="J9" i="57"/>
  <c r="L9" i="57"/>
  <c r="J10" i="57"/>
  <c r="L10" i="57"/>
  <c r="N10" i="57"/>
  <c r="J12" i="57"/>
  <c r="L12" i="57"/>
  <c r="N12" i="57"/>
  <c r="D13" i="57"/>
  <c r="J13" i="57" s="1"/>
  <c r="F13" i="57"/>
  <c r="I13" i="57"/>
  <c r="C12" i="58" s="1"/>
  <c r="L13" i="57"/>
  <c r="F14" i="57"/>
  <c r="G14" i="57" s="1"/>
  <c r="I14" i="57"/>
  <c r="N14" i="57" s="1"/>
  <c r="J14" i="57"/>
  <c r="L14" i="57"/>
  <c r="J15" i="57"/>
  <c r="L15" i="57"/>
  <c r="N15" i="57"/>
  <c r="L16" i="57"/>
  <c r="J17" i="57"/>
  <c r="L17" i="57"/>
  <c r="N17" i="57"/>
  <c r="J19" i="57"/>
  <c r="L19" i="57"/>
  <c r="N19" i="57"/>
  <c r="F20" i="57"/>
  <c r="I20" i="57"/>
  <c r="N20" i="57" s="1"/>
  <c r="L20" i="57"/>
  <c r="F21" i="57"/>
  <c r="G21" i="57" s="1"/>
  <c r="I21" i="57"/>
  <c r="J21" i="57"/>
  <c r="L21" i="57"/>
  <c r="D28" i="57" s="1"/>
  <c r="F22" i="57"/>
  <c r="G22" i="57" s="1"/>
  <c r="I22" i="57"/>
  <c r="N22" i="57" s="1"/>
  <c r="J22" i="57"/>
  <c r="L22" i="57"/>
  <c r="J23" i="57"/>
  <c r="L23" i="57"/>
  <c r="N23" i="57"/>
  <c r="H24" i="57"/>
  <c r="L24" i="57"/>
  <c r="J25" i="57"/>
  <c r="L25" i="57"/>
  <c r="N25" i="57"/>
  <c r="J27" i="57"/>
  <c r="L27" i="57"/>
  <c r="N27" i="57"/>
  <c r="F28" i="57"/>
  <c r="I28" i="57"/>
  <c r="C14" i="58" s="1"/>
  <c r="L28" i="57"/>
  <c r="F29" i="57"/>
  <c r="G29" i="57" s="1"/>
  <c r="I29" i="57"/>
  <c r="J29" i="57"/>
  <c r="L29" i="57"/>
  <c r="F30" i="57"/>
  <c r="G30" i="57" s="1"/>
  <c r="I30" i="57"/>
  <c r="N30" i="57" s="1"/>
  <c r="J30" i="57"/>
  <c r="L30" i="57"/>
  <c r="J31" i="57"/>
  <c r="L31" i="57"/>
  <c r="N31" i="57"/>
  <c r="H32" i="57"/>
  <c r="L32" i="57"/>
  <c r="J33" i="57"/>
  <c r="L33" i="57"/>
  <c r="N33" i="57"/>
  <c r="J35" i="57"/>
  <c r="L35" i="57"/>
  <c r="N35" i="57"/>
  <c r="F36" i="57"/>
  <c r="I36" i="57"/>
  <c r="N36" i="57" s="1"/>
  <c r="L36" i="57"/>
  <c r="F37" i="57"/>
  <c r="G37" i="57" s="1"/>
  <c r="I37" i="57"/>
  <c r="N37" i="57" s="1"/>
  <c r="J37" i="57"/>
  <c r="L37" i="57"/>
  <c r="D45" i="57" s="1"/>
  <c r="D49" i="57" s="1"/>
  <c r="F38" i="57"/>
  <c r="G38" i="57" s="1"/>
  <c r="I38" i="57"/>
  <c r="N38" i="57" s="1"/>
  <c r="J38" i="57"/>
  <c r="L38" i="57"/>
  <c r="F39" i="57"/>
  <c r="G39" i="57" s="1"/>
  <c r="I39" i="57"/>
  <c r="N39" i="57" s="1"/>
  <c r="J39" i="57"/>
  <c r="L39" i="57"/>
  <c r="J40" i="57"/>
  <c r="L40" i="57"/>
  <c r="N40" i="57"/>
  <c r="H41" i="57"/>
  <c r="L41" i="57"/>
  <c r="J42" i="57"/>
  <c r="L42" i="57"/>
  <c r="N42" i="57"/>
  <c r="J44" i="57"/>
  <c r="L44" i="57"/>
  <c r="N44" i="57"/>
  <c r="F45" i="57"/>
  <c r="I45" i="57"/>
  <c r="C16" i="58" s="1"/>
  <c r="L45" i="57"/>
  <c r="F46" i="57"/>
  <c r="G46" i="57" s="1"/>
  <c r="I46" i="57"/>
  <c r="J46" i="57"/>
  <c r="L46" i="57"/>
  <c r="F47" i="57"/>
  <c r="G47" i="57" s="1"/>
  <c r="I47" i="57"/>
  <c r="N47" i="57" s="1"/>
  <c r="J47" i="57"/>
  <c r="L47" i="57"/>
  <c r="J48" i="57"/>
  <c r="L48" i="57"/>
  <c r="N48" i="57"/>
  <c r="H49" i="57"/>
  <c r="L49" i="57"/>
  <c r="J50" i="57"/>
  <c r="L50" i="57"/>
  <c r="N50" i="57"/>
  <c r="J52" i="57"/>
  <c r="L52" i="57"/>
  <c r="N52" i="57"/>
  <c r="F53" i="57"/>
  <c r="I53" i="57"/>
  <c r="L53" i="57"/>
  <c r="F54" i="57"/>
  <c r="G54" i="57" s="1"/>
  <c r="I54" i="57"/>
  <c r="J54" i="57"/>
  <c r="L54" i="57"/>
  <c r="G55" i="57"/>
  <c r="J55" i="57"/>
  <c r="L55" i="57"/>
  <c r="D61" i="57" s="1"/>
  <c r="J61" i="57" s="1"/>
  <c r="J56" i="57"/>
  <c r="L56" i="57"/>
  <c r="N56" i="57"/>
  <c r="H57" i="57"/>
  <c r="L57" i="57"/>
  <c r="J58" i="57"/>
  <c r="L58" i="57"/>
  <c r="N58" i="57"/>
  <c r="J60" i="57"/>
  <c r="L60" i="57"/>
  <c r="N60" i="57"/>
  <c r="C18" i="58"/>
  <c r="L61" i="57"/>
  <c r="F62" i="57"/>
  <c r="G62" i="57" s="1"/>
  <c r="I62" i="57"/>
  <c r="N62" i="57" s="1"/>
  <c r="J62" i="57"/>
  <c r="L62" i="57"/>
  <c r="F63" i="57"/>
  <c r="G63" i="57" s="1"/>
  <c r="I63" i="57"/>
  <c r="N63" i="57" s="1"/>
  <c r="J63" i="57"/>
  <c r="L63" i="57"/>
  <c r="J64" i="57"/>
  <c r="L64" i="57"/>
  <c r="N64" i="57"/>
  <c r="H65" i="57"/>
  <c r="L65" i="57"/>
  <c r="J66" i="57"/>
  <c r="L66" i="57"/>
  <c r="N66" i="57"/>
  <c r="J68" i="57"/>
  <c r="L68" i="57"/>
  <c r="N68" i="57"/>
  <c r="F69" i="57"/>
  <c r="G69" i="57" s="1"/>
  <c r="I69" i="57"/>
  <c r="J69" i="57"/>
  <c r="L69" i="57"/>
  <c r="F70" i="57"/>
  <c r="G70" i="57" s="1"/>
  <c r="I70" i="57"/>
  <c r="J70" i="57"/>
  <c r="L70" i="57"/>
  <c r="D78" i="57" s="1"/>
  <c r="D82" i="57" s="1"/>
  <c r="F71" i="57"/>
  <c r="G71" i="57" s="1"/>
  <c r="I71" i="57"/>
  <c r="N71" i="57" s="1"/>
  <c r="J71" i="57"/>
  <c r="L71" i="57"/>
  <c r="F72" i="57"/>
  <c r="G72" i="57" s="1"/>
  <c r="I72" i="57"/>
  <c r="N72" i="57" s="1"/>
  <c r="J72" i="57"/>
  <c r="L72" i="57"/>
  <c r="J73" i="57"/>
  <c r="L73" i="57"/>
  <c r="N73" i="57"/>
  <c r="D74" i="57"/>
  <c r="H74" i="57"/>
  <c r="J74" i="57"/>
  <c r="L74" i="57"/>
  <c r="J75" i="57"/>
  <c r="L75" i="57"/>
  <c r="N75" i="57"/>
  <c r="J77" i="57"/>
  <c r="L77" i="57"/>
  <c r="N77" i="57"/>
  <c r="F78" i="57"/>
  <c r="I78" i="57"/>
  <c r="N78" i="57" s="1"/>
  <c r="L78" i="57"/>
  <c r="F79" i="57"/>
  <c r="G79" i="57" s="1"/>
  <c r="I79" i="57"/>
  <c r="J79" i="57"/>
  <c r="L79" i="57"/>
  <c r="D86" i="57" s="1"/>
  <c r="F80" i="57"/>
  <c r="G80" i="57" s="1"/>
  <c r="I80" i="57"/>
  <c r="N80" i="57" s="1"/>
  <c r="J80" i="57"/>
  <c r="L80" i="57"/>
  <c r="J81" i="57"/>
  <c r="L81" i="57"/>
  <c r="N81" i="57"/>
  <c r="H82" i="57"/>
  <c r="L82" i="57"/>
  <c r="J83" i="57"/>
  <c r="L83" i="57"/>
  <c r="N83" i="57"/>
  <c r="J85" i="57"/>
  <c r="L85" i="57"/>
  <c r="N85" i="57"/>
  <c r="F86" i="57"/>
  <c r="I86" i="57"/>
  <c r="N86" i="57" s="1"/>
  <c r="L86" i="57"/>
  <c r="F87" i="57"/>
  <c r="G87" i="57" s="1"/>
  <c r="I87" i="57"/>
  <c r="J87" i="57"/>
  <c r="L87" i="57"/>
  <c r="F88" i="57"/>
  <c r="G88" i="57" s="1"/>
  <c r="I88" i="57"/>
  <c r="N88" i="57" s="1"/>
  <c r="J88" i="57"/>
  <c r="L88" i="57"/>
  <c r="D96" i="57" s="1"/>
  <c r="J96" i="57" s="1"/>
  <c r="F89" i="57"/>
  <c r="G89" i="57" s="1"/>
  <c r="I89" i="57"/>
  <c r="N89" i="57" s="1"/>
  <c r="J89" i="57"/>
  <c r="L89" i="57"/>
  <c r="F90" i="57"/>
  <c r="G90" i="57" s="1"/>
  <c r="I90" i="57"/>
  <c r="N90" i="57" s="1"/>
  <c r="J90" i="57"/>
  <c r="L90" i="57"/>
  <c r="J91" i="57"/>
  <c r="L91" i="57"/>
  <c r="N91" i="57"/>
  <c r="H92" i="57"/>
  <c r="L92" i="57"/>
  <c r="J93" i="57"/>
  <c r="L93" i="57"/>
  <c r="N93" i="57"/>
  <c r="J95" i="57"/>
  <c r="L95" i="57"/>
  <c r="N95" i="57"/>
  <c r="F96" i="57"/>
  <c r="I96" i="57"/>
  <c r="N96" i="57" s="1"/>
  <c r="L96" i="57"/>
  <c r="F97" i="57"/>
  <c r="G97" i="57" s="1"/>
  <c r="I97" i="57"/>
  <c r="N97" i="57" s="1"/>
  <c r="J97" i="57"/>
  <c r="L97" i="57"/>
  <c r="F98" i="57"/>
  <c r="G98" i="57" s="1"/>
  <c r="I98" i="57"/>
  <c r="N98" i="57" s="1"/>
  <c r="J98" i="57"/>
  <c r="L98" i="57"/>
  <c r="F99" i="57"/>
  <c r="G99" i="57" s="1"/>
  <c r="I99" i="57"/>
  <c r="N99" i="57" s="1"/>
  <c r="J99" i="57"/>
  <c r="L99" i="57"/>
  <c r="F100" i="57"/>
  <c r="G100" i="57" s="1"/>
  <c r="I100" i="57"/>
  <c r="N100" i="57" s="1"/>
  <c r="J100" i="57"/>
  <c r="L100" i="57"/>
  <c r="J101" i="57"/>
  <c r="L101" i="57"/>
  <c r="N101" i="57"/>
  <c r="H102" i="57"/>
  <c r="L102" i="57"/>
  <c r="J103" i="57"/>
  <c r="L103" i="57"/>
  <c r="N103" i="57"/>
  <c r="J105" i="57"/>
  <c r="L105" i="57"/>
  <c r="N105" i="57"/>
  <c r="F106" i="57"/>
  <c r="G106" i="57" s="1"/>
  <c r="I106" i="57"/>
  <c r="J106" i="57"/>
  <c r="L106" i="57"/>
  <c r="F107" i="57"/>
  <c r="G107" i="57" s="1"/>
  <c r="I107" i="57"/>
  <c r="N107" i="57" s="1"/>
  <c r="J107" i="57"/>
  <c r="L107" i="57"/>
  <c r="F108" i="57"/>
  <c r="G108" i="57" s="1"/>
  <c r="I108" i="57"/>
  <c r="N108" i="57" s="1"/>
  <c r="J108" i="57"/>
  <c r="L108" i="57"/>
  <c r="J109" i="57"/>
  <c r="L109" i="57"/>
  <c r="N109" i="57"/>
  <c r="D110" i="57"/>
  <c r="H110" i="57"/>
  <c r="J110" i="57"/>
  <c r="L110" i="57"/>
  <c r="J111" i="57"/>
  <c r="L111" i="57"/>
  <c r="N111" i="57"/>
  <c r="J113" i="57"/>
  <c r="L113" i="57"/>
  <c r="N113" i="57"/>
  <c r="D114" i="57"/>
  <c r="D120" i="57" s="1"/>
  <c r="F114" i="57"/>
  <c r="I114" i="57"/>
  <c r="L114" i="57"/>
  <c r="F115" i="57"/>
  <c r="G115" i="57" s="1"/>
  <c r="I115" i="57"/>
  <c r="J115" i="57"/>
  <c r="L115" i="57"/>
  <c r="F116" i="57"/>
  <c r="G116" i="57" s="1"/>
  <c r="I116" i="57"/>
  <c r="J116" i="57"/>
  <c r="L116" i="57"/>
  <c r="D124" i="57" s="1"/>
  <c r="F117" i="57"/>
  <c r="G117" i="57" s="1"/>
  <c r="I117" i="57"/>
  <c r="N117" i="57" s="1"/>
  <c r="J117" i="57"/>
  <c r="L117" i="57"/>
  <c r="F118" i="57"/>
  <c r="G118" i="57" s="1"/>
  <c r="I118" i="57"/>
  <c r="N118" i="57" s="1"/>
  <c r="J118" i="57"/>
  <c r="L118" i="57"/>
  <c r="J119" i="57"/>
  <c r="L119" i="57"/>
  <c r="N119" i="57"/>
  <c r="H120" i="57"/>
  <c r="L120" i="57"/>
  <c r="J121" i="57"/>
  <c r="L121" i="57"/>
  <c r="N121" i="57"/>
  <c r="J123" i="57"/>
  <c r="L123" i="57"/>
  <c r="N123" i="57"/>
  <c r="F124" i="57"/>
  <c r="I124" i="57"/>
  <c r="L124" i="57"/>
  <c r="F125" i="57"/>
  <c r="G125" i="57" s="1"/>
  <c r="I125" i="57"/>
  <c r="N125" i="57" s="1"/>
  <c r="J125" i="57"/>
  <c r="L125" i="57"/>
  <c r="F126" i="57"/>
  <c r="G126" i="57" s="1"/>
  <c r="I126" i="57"/>
  <c r="N126" i="57" s="1"/>
  <c r="J126" i="57"/>
  <c r="L126" i="57"/>
  <c r="F127" i="57"/>
  <c r="G127" i="57" s="1"/>
  <c r="I127" i="57"/>
  <c r="N127" i="57" s="1"/>
  <c r="J127" i="57"/>
  <c r="L127" i="57"/>
  <c r="F128" i="57"/>
  <c r="G128" i="57" s="1"/>
  <c r="I128" i="57"/>
  <c r="J128" i="57"/>
  <c r="L128" i="57"/>
  <c r="F129" i="57"/>
  <c r="G129" i="57" s="1"/>
  <c r="I129" i="57"/>
  <c r="N129" i="57" s="1"/>
  <c r="J129" i="57"/>
  <c r="L129" i="57"/>
  <c r="F130" i="57"/>
  <c r="G130" i="57" s="1"/>
  <c r="I130" i="57"/>
  <c r="N130" i="57" s="1"/>
  <c r="J130" i="57"/>
  <c r="L130" i="57"/>
  <c r="J131" i="57"/>
  <c r="L131" i="57"/>
  <c r="N131" i="57"/>
  <c r="D132" i="57"/>
  <c r="H132" i="57"/>
  <c r="L132" i="57"/>
  <c r="J133" i="57"/>
  <c r="L133" i="57"/>
  <c r="N133" i="57"/>
  <c r="J135" i="57"/>
  <c r="L135" i="57"/>
  <c r="N135" i="57"/>
  <c r="F136" i="57"/>
  <c r="G136" i="57" s="1"/>
  <c r="I136" i="57"/>
  <c r="N136" i="57" s="1"/>
  <c r="J136" i="57"/>
  <c r="L136" i="57"/>
  <c r="F137" i="57"/>
  <c r="G137" i="57" s="1"/>
  <c r="I137" i="57"/>
  <c r="J137" i="57"/>
  <c r="L137" i="57"/>
  <c r="F138" i="57"/>
  <c r="G138" i="57" s="1"/>
  <c r="I138" i="57"/>
  <c r="N138" i="57" s="1"/>
  <c r="J138" i="57"/>
  <c r="L138" i="57"/>
  <c r="F139" i="57"/>
  <c r="G139" i="57" s="1"/>
  <c r="I139" i="57"/>
  <c r="J139" i="57"/>
  <c r="L139" i="57"/>
  <c r="D146" i="57" s="1"/>
  <c r="F140" i="57"/>
  <c r="G140" i="57" s="1"/>
  <c r="I140" i="57"/>
  <c r="N140" i="57" s="1"/>
  <c r="J140" i="57"/>
  <c r="L140" i="57"/>
  <c r="J141" i="57"/>
  <c r="L141" i="57"/>
  <c r="N141" i="57"/>
  <c r="D142" i="57"/>
  <c r="H142" i="57"/>
  <c r="J142" i="57"/>
  <c r="L142" i="57"/>
  <c r="J143" i="57"/>
  <c r="L143" i="57"/>
  <c r="N143" i="57"/>
  <c r="J145" i="57"/>
  <c r="L145" i="57"/>
  <c r="N145" i="57"/>
  <c r="F146" i="57"/>
  <c r="I146" i="57"/>
  <c r="N146" i="57" s="1"/>
  <c r="L146" i="57"/>
  <c r="F147" i="57"/>
  <c r="G147" i="57" s="1"/>
  <c r="I147" i="57"/>
  <c r="J147" i="57"/>
  <c r="L147" i="57"/>
  <c r="F148" i="57"/>
  <c r="G148" i="57" s="1"/>
  <c r="I148" i="57"/>
  <c r="N148" i="57" s="1"/>
  <c r="J148" i="57"/>
  <c r="L148" i="57"/>
  <c r="J149" i="57"/>
  <c r="L149" i="57"/>
  <c r="N149" i="57"/>
  <c r="H150" i="57"/>
  <c r="L150" i="57"/>
  <c r="J151" i="57"/>
  <c r="L151" i="57"/>
  <c r="N151" i="57"/>
  <c r="J153" i="57"/>
  <c r="L153" i="57"/>
  <c r="N153" i="57"/>
  <c r="N154" i="57"/>
  <c r="J154" i="57"/>
  <c r="L154" i="57"/>
  <c r="N155" i="57"/>
  <c r="J155" i="57"/>
  <c r="L155" i="57"/>
  <c r="N156" i="57"/>
  <c r="J156" i="57"/>
  <c r="L156" i="57"/>
  <c r="N157" i="57"/>
  <c r="J157" i="57"/>
  <c r="L157" i="57"/>
  <c r="N158" i="57"/>
  <c r="J158" i="57"/>
  <c r="L158" i="57"/>
  <c r="N159" i="57"/>
  <c r="J159" i="57"/>
  <c r="L159" i="57"/>
  <c r="J160" i="57"/>
  <c r="L160" i="57"/>
  <c r="N160" i="57"/>
  <c r="D161" i="57"/>
  <c r="H161" i="57"/>
  <c r="J161" i="57"/>
  <c r="L161" i="57"/>
  <c r="J162" i="57"/>
  <c r="L162" i="57"/>
  <c r="N162" i="57"/>
  <c r="F164" i="57"/>
  <c r="G164" i="57" s="1"/>
  <c r="I164" i="57"/>
  <c r="J164" i="57"/>
  <c r="L164" i="57"/>
  <c r="F165" i="57"/>
  <c r="G165" i="57" s="1"/>
  <c r="I165" i="57"/>
  <c r="J165" i="57"/>
  <c r="L165" i="57"/>
  <c r="F166" i="57"/>
  <c r="G166" i="57" s="1"/>
  <c r="I166" i="57"/>
  <c r="J166" i="57"/>
  <c r="L166" i="57"/>
  <c r="F167" i="57"/>
  <c r="G167" i="57" s="1"/>
  <c r="I167" i="57"/>
  <c r="N167" i="57" s="1"/>
  <c r="J167" i="57"/>
  <c r="L167" i="57"/>
  <c r="D173" i="57" s="1"/>
  <c r="F168" i="57"/>
  <c r="G168" i="57" s="1"/>
  <c r="I168" i="57"/>
  <c r="N168" i="57" s="1"/>
  <c r="J168" i="57"/>
  <c r="L168" i="57"/>
  <c r="D169" i="57"/>
  <c r="H169" i="57"/>
  <c r="J169" i="57"/>
  <c r="L169" i="57"/>
  <c r="J170" i="57"/>
  <c r="L170" i="57"/>
  <c r="N170" i="57"/>
  <c r="J172" i="57"/>
  <c r="L172" i="57"/>
  <c r="N172" i="57"/>
  <c r="F173" i="57"/>
  <c r="I173" i="57"/>
  <c r="N173" i="57" s="1"/>
  <c r="L173" i="57"/>
  <c r="F174" i="57"/>
  <c r="G174" i="57" s="1"/>
  <c r="I174" i="57"/>
  <c r="J174" i="57"/>
  <c r="L174" i="57"/>
  <c r="D5" i="60" s="1"/>
  <c r="F175" i="57"/>
  <c r="G175" i="57" s="1"/>
  <c r="I175" i="57"/>
  <c r="N175" i="57" s="1"/>
  <c r="J175" i="57"/>
  <c r="L175" i="57"/>
  <c r="F176" i="57"/>
  <c r="G176" i="57" s="1"/>
  <c r="I176" i="57"/>
  <c r="N176" i="57" s="1"/>
  <c r="J176" i="57"/>
  <c r="L176" i="57"/>
  <c r="J177" i="57"/>
  <c r="L177" i="57"/>
  <c r="N177" i="57"/>
  <c r="J178" i="57"/>
  <c r="L178" i="57"/>
  <c r="N178" i="57"/>
  <c r="J179" i="57"/>
  <c r="L179" i="57"/>
  <c r="N179" i="57"/>
  <c r="J180" i="57"/>
  <c r="L180" i="57"/>
  <c r="N180" i="57"/>
  <c r="J181" i="57"/>
  <c r="L181" i="57"/>
  <c r="N181" i="57"/>
  <c r="J182" i="57"/>
  <c r="L182" i="57"/>
  <c r="N182" i="57"/>
  <c r="J183" i="57"/>
  <c r="L183" i="57"/>
  <c r="N183" i="57"/>
  <c r="J184" i="57"/>
  <c r="L184" i="57"/>
  <c r="N184" i="57"/>
  <c r="J185" i="57"/>
  <c r="L185" i="57"/>
  <c r="N185" i="57"/>
  <c r="J186" i="57"/>
  <c r="L186" i="57"/>
  <c r="N186" i="57"/>
  <c r="J187" i="57"/>
  <c r="L187" i="57"/>
  <c r="N187" i="57"/>
  <c r="J188" i="57"/>
  <c r="L188" i="57"/>
  <c r="N188" i="57"/>
  <c r="J189" i="57"/>
  <c r="L189" i="57"/>
  <c r="N189" i="57"/>
  <c r="J190" i="57"/>
  <c r="L190" i="57"/>
  <c r="N190" i="57"/>
  <c r="J191" i="57"/>
  <c r="L191" i="57"/>
  <c r="N191" i="57"/>
  <c r="J192" i="57"/>
  <c r="L192" i="57"/>
  <c r="N192" i="57"/>
  <c r="J193" i="57"/>
  <c r="L193" i="57"/>
  <c r="N193" i="57"/>
  <c r="J194" i="57"/>
  <c r="L194" i="57"/>
  <c r="N194" i="57"/>
  <c r="J195" i="57"/>
  <c r="L195" i="57"/>
  <c r="N195" i="57"/>
  <c r="J196" i="57"/>
  <c r="L196" i="57"/>
  <c r="N196" i="57"/>
  <c r="J197" i="57"/>
  <c r="L197" i="57"/>
  <c r="N197" i="57"/>
  <c r="D198" i="57"/>
  <c r="G198" i="57"/>
  <c r="H198" i="57"/>
  <c r="I198" i="57"/>
  <c r="L198" i="57"/>
  <c r="N198" i="57"/>
  <c r="J199" i="57"/>
  <c r="L199" i="57"/>
  <c r="N199" i="57"/>
  <c r="N170" i="75" l="1" a="1"/>
  <c r="N170" i="75" s="1"/>
  <c r="L170" i="75"/>
  <c r="D16" i="58"/>
  <c r="D14" i="58"/>
  <c r="G114" i="72"/>
  <c r="G106" i="72"/>
  <c r="Q131" i="93"/>
  <c r="Q81" i="93"/>
  <c r="E17" i="67"/>
  <c r="F15" i="67"/>
  <c r="E15" i="67"/>
  <c r="E14" i="67"/>
  <c r="D11" i="70"/>
  <c r="E11" i="70"/>
  <c r="Q145" i="93"/>
  <c r="J4" i="96"/>
  <c r="D76" i="63"/>
  <c r="E31" i="67"/>
  <c r="Q31" i="67" s="1"/>
  <c r="F31" i="67"/>
  <c r="G79" i="66"/>
  <c r="G84" i="66" s="1"/>
  <c r="K84" i="66" s="1"/>
  <c r="G101" i="69"/>
  <c r="D173" i="72"/>
  <c r="D179" i="72" s="1"/>
  <c r="J179" i="72" s="1"/>
  <c r="G165" i="72"/>
  <c r="E12" i="58"/>
  <c r="D12" i="58"/>
  <c r="G67" i="63"/>
  <c r="E29" i="67"/>
  <c r="E28" i="67"/>
  <c r="E16" i="67"/>
  <c r="E14" i="73"/>
  <c r="D14" i="73"/>
  <c r="J6" i="96"/>
  <c r="B36" i="100" s="1"/>
  <c r="D18" i="58"/>
  <c r="E18" i="58"/>
  <c r="G183" i="69"/>
  <c r="D28" i="70"/>
  <c r="G85" i="69"/>
  <c r="G149" i="72"/>
  <c r="D10" i="63"/>
  <c r="G4" i="63"/>
  <c r="G210" i="69"/>
  <c r="E27" i="70"/>
  <c r="D27" i="70"/>
  <c r="G4" i="69"/>
  <c r="G158" i="69"/>
  <c r="G150" i="69"/>
  <c r="D15" i="70"/>
  <c r="E13" i="73"/>
  <c r="D13" i="73"/>
  <c r="Q13" i="73" s="1"/>
  <c r="J10" i="96"/>
  <c r="G31" i="100" s="1"/>
  <c r="E9" i="58"/>
  <c r="D9" i="58"/>
  <c r="E22" i="70"/>
  <c r="D22" i="70"/>
  <c r="Q106" i="93"/>
  <c r="E10" i="58"/>
  <c r="D10" i="58"/>
  <c r="G22" i="63"/>
  <c r="G117" i="69"/>
  <c r="D28" i="58"/>
  <c r="E28" i="58"/>
  <c r="R14" i="73"/>
  <c r="Q14" i="73"/>
  <c r="S14" i="73"/>
  <c r="J5" i="60"/>
  <c r="D9" i="60"/>
  <c r="J9" i="60"/>
  <c r="D77" i="60"/>
  <c r="J77" i="60"/>
  <c r="J73" i="60"/>
  <c r="J124" i="57"/>
  <c r="J132" i="57"/>
  <c r="J122" i="60"/>
  <c r="G122" i="60"/>
  <c r="G126" i="60" s="1"/>
  <c r="J126" i="60"/>
  <c r="X13" i="73"/>
  <c r="J198" i="57"/>
  <c r="J173" i="57"/>
  <c r="G173" i="57"/>
  <c r="J16" i="57"/>
  <c r="G13" i="57"/>
  <c r="J17" i="60"/>
  <c r="Q20" i="61"/>
  <c r="R20" i="61"/>
  <c r="S20" i="61"/>
  <c r="G103" i="63"/>
  <c r="G109" i="63" s="1"/>
  <c r="D57" i="69"/>
  <c r="J57" i="69" s="1"/>
  <c r="G21" i="69"/>
  <c r="G133" i="72"/>
  <c r="G86" i="72"/>
  <c r="G28" i="75"/>
  <c r="D197" i="66"/>
  <c r="J197" i="66" s="1"/>
  <c r="D60" i="66"/>
  <c r="J60" i="66" s="1"/>
  <c r="G207" i="72"/>
  <c r="G212" i="72" s="1"/>
  <c r="K212" i="72" s="1"/>
  <c r="G173" i="72"/>
  <c r="G179" i="72" s="1"/>
  <c r="K179" i="72" s="1"/>
  <c r="G78" i="72"/>
  <c r="G83" i="72" s="1"/>
  <c r="K83" i="72" s="1"/>
  <c r="G26" i="92"/>
  <c r="H26" i="92" s="1"/>
  <c r="G5" i="60"/>
  <c r="G73" i="60"/>
  <c r="D21" i="60"/>
  <c r="G21" i="60" s="1"/>
  <c r="G125" i="72"/>
  <c r="D33" i="75"/>
  <c r="J33" i="75" s="1"/>
  <c r="R9" i="58"/>
  <c r="S9" i="58"/>
  <c r="G124" i="57"/>
  <c r="J13" i="60"/>
  <c r="Y19" i="61"/>
  <c r="R19" i="61"/>
  <c r="S19" i="61"/>
  <c r="Q19" i="61"/>
  <c r="G12" i="75"/>
  <c r="Q10" i="58"/>
  <c r="R10" i="58"/>
  <c r="S10" i="58"/>
  <c r="G199" i="72"/>
  <c r="R28" i="58"/>
  <c r="S28" i="58"/>
  <c r="Q28" i="58"/>
  <c r="G29" i="60"/>
  <c r="K35" i="60" s="1"/>
  <c r="G13" i="60"/>
  <c r="G69" i="72"/>
  <c r="G75" i="72" s="1"/>
  <c r="K75" i="72" s="1"/>
  <c r="Q19" i="93"/>
  <c r="D127" i="63"/>
  <c r="G121" i="63"/>
  <c r="G168" i="66"/>
  <c r="J9" i="96"/>
  <c r="B39" i="100" s="1"/>
  <c r="Q38" i="93"/>
  <c r="G4" i="75"/>
  <c r="J8" i="96"/>
  <c r="B38" i="100" s="1"/>
  <c r="Q60" i="93"/>
  <c r="G175" i="69"/>
  <c r="G93" i="69"/>
  <c r="G51" i="69"/>
  <c r="G38" i="69"/>
  <c r="J7" i="96"/>
  <c r="B37" i="100" s="1"/>
  <c r="D20" i="57"/>
  <c r="J24" i="57" s="1"/>
  <c r="Y23" i="70"/>
  <c r="G215" i="72"/>
  <c r="G182" i="72"/>
  <c r="G141" i="72"/>
  <c r="D16" i="57"/>
  <c r="D81" i="60"/>
  <c r="G81" i="60" s="1"/>
  <c r="N45" i="57"/>
  <c r="C29" i="58"/>
  <c r="N61" i="57"/>
  <c r="I73" i="90"/>
  <c r="M73" i="90" s="1"/>
  <c r="C17" i="91" s="1"/>
  <c r="I127" i="63"/>
  <c r="M44" i="60"/>
  <c r="C13" i="61" s="1"/>
  <c r="G153" i="78"/>
  <c r="K153" i="78" s="1"/>
  <c r="C15" i="58"/>
  <c r="C26" i="70"/>
  <c r="C13" i="58"/>
  <c r="N12" i="55"/>
  <c r="I177" i="78"/>
  <c r="M177" i="78" s="1"/>
  <c r="C30" i="79" s="1"/>
  <c r="G20" i="75"/>
  <c r="G25" i="75" s="1"/>
  <c r="K25" i="75" s="1"/>
  <c r="C24" i="58"/>
  <c r="D12" i="67"/>
  <c r="D24" i="67"/>
  <c r="C32" i="70"/>
  <c r="G146" i="72"/>
  <c r="K146" i="72" s="1"/>
  <c r="I105" i="87"/>
  <c r="M105" i="87" s="1"/>
  <c r="C21" i="88" s="1"/>
  <c r="G130" i="60"/>
  <c r="G135" i="60" s="1"/>
  <c r="D30" i="67"/>
  <c r="C20" i="70"/>
  <c r="C17" i="70"/>
  <c r="C16" i="70"/>
  <c r="I97" i="78"/>
  <c r="M97" i="78" s="1"/>
  <c r="C20" i="79" s="1"/>
  <c r="C23" i="58"/>
  <c r="C24" i="70"/>
  <c r="I82" i="69"/>
  <c r="M82" i="69" s="1"/>
  <c r="C14" i="70"/>
  <c r="C26" i="58"/>
  <c r="C25" i="70"/>
  <c r="I169" i="84"/>
  <c r="M169" i="84" s="1"/>
  <c r="C29" i="85" s="1"/>
  <c r="C25" i="58"/>
  <c r="C19" i="70"/>
  <c r="G113" i="90"/>
  <c r="K113" i="90" s="1"/>
  <c r="D18" i="67"/>
  <c r="C13" i="70"/>
  <c r="D32" i="67"/>
  <c r="C33" i="70"/>
  <c r="C18" i="70"/>
  <c r="I81" i="87"/>
  <c r="M81" i="87" s="1"/>
  <c r="C18" i="88" s="1"/>
  <c r="N10" i="55"/>
  <c r="D20" i="67"/>
  <c r="C30" i="70"/>
  <c r="N11" i="55"/>
  <c r="D9" i="67"/>
  <c r="C29" i="70"/>
  <c r="I161" i="78"/>
  <c r="M161" i="78" s="1"/>
  <c r="C28" i="79" s="1"/>
  <c r="D19" i="67"/>
  <c r="I169" i="81"/>
  <c r="M169" i="81" s="1"/>
  <c r="C29" i="82" s="1"/>
  <c r="I201" i="84"/>
  <c r="M201" i="84" s="1"/>
  <c r="C33" i="85" s="1"/>
  <c r="M118" i="60"/>
  <c r="C23" i="61" s="1"/>
  <c r="C30" i="58"/>
  <c r="C19" i="58"/>
  <c r="N13" i="57"/>
  <c r="O16" i="57" s="1"/>
  <c r="N39" i="60"/>
  <c r="O44" i="60" s="1"/>
  <c r="D22" i="67"/>
  <c r="C31" i="70"/>
  <c r="I25" i="72"/>
  <c r="M25" i="72" s="1"/>
  <c r="C11" i="73" s="1"/>
  <c r="I161" i="84"/>
  <c r="M161" i="84" s="1"/>
  <c r="C28" i="85" s="1"/>
  <c r="D13" i="67"/>
  <c r="I180" i="69"/>
  <c r="M180" i="69" s="1"/>
  <c r="C34" i="70"/>
  <c r="C10" i="70"/>
  <c r="I162" i="72"/>
  <c r="M162" i="72" s="1"/>
  <c r="C27" i="73" s="1"/>
  <c r="I65" i="87"/>
  <c r="M65" i="87" s="1"/>
  <c r="C16" i="88" s="1"/>
  <c r="K77" i="60"/>
  <c r="D23" i="67"/>
  <c r="C23" i="70"/>
  <c r="C17" i="58"/>
  <c r="D27" i="67"/>
  <c r="I181" i="63"/>
  <c r="D26" i="67"/>
  <c r="D10" i="67"/>
  <c r="C21" i="70"/>
  <c r="I35" i="69"/>
  <c r="M35" i="69" s="1"/>
  <c r="I65" i="81"/>
  <c r="M65" i="81" s="1"/>
  <c r="C16" i="82" s="1"/>
  <c r="I161" i="87"/>
  <c r="M161" i="87" s="1"/>
  <c r="C28" i="88" s="1"/>
  <c r="R15" i="67"/>
  <c r="Q15" i="67"/>
  <c r="S15" i="67"/>
  <c r="Q11" i="70"/>
  <c r="R11" i="70"/>
  <c r="S11" i="70"/>
  <c r="G177" i="87"/>
  <c r="K177" i="87" s="1"/>
  <c r="Q14" i="58"/>
  <c r="S14" i="58"/>
  <c r="R14" i="58"/>
  <c r="Q14" i="67"/>
  <c r="R14" i="67"/>
  <c r="S14" i="67"/>
  <c r="R12" i="58"/>
  <c r="S12" i="58"/>
  <c r="Q12" i="58"/>
  <c r="S31" i="67"/>
  <c r="R31" i="67"/>
  <c r="O102" i="57"/>
  <c r="G225" i="69"/>
  <c r="K225" i="69" s="1"/>
  <c r="R28" i="70"/>
  <c r="Q28" i="70"/>
  <c r="S28" i="70"/>
  <c r="R22" i="70"/>
  <c r="S22" i="70"/>
  <c r="Q22" i="70"/>
  <c r="S16" i="58"/>
  <c r="Q16" i="58"/>
  <c r="R16" i="58"/>
  <c r="S27" i="70"/>
  <c r="Q27" i="70"/>
  <c r="R27" i="70"/>
  <c r="S15" i="70"/>
  <c r="Q15" i="70"/>
  <c r="R15" i="70"/>
  <c r="R18" i="58"/>
  <c r="S18" i="58"/>
  <c r="Q18" i="58"/>
  <c r="S29" i="67"/>
  <c r="Q29" i="67"/>
  <c r="R29" i="67"/>
  <c r="G173" i="66"/>
  <c r="K173" i="66" s="1"/>
  <c r="G153" i="84"/>
  <c r="K153" i="84" s="1"/>
  <c r="G161" i="87"/>
  <c r="K161" i="87" s="1"/>
  <c r="G97" i="87"/>
  <c r="K97" i="87" s="1"/>
  <c r="G17" i="87"/>
  <c r="K17" i="87" s="1"/>
  <c r="C27" i="58"/>
  <c r="G137" i="87"/>
  <c r="K137" i="87" s="1"/>
  <c r="G121" i="87"/>
  <c r="K121" i="87" s="1"/>
  <c r="G49" i="87"/>
  <c r="K49" i="87" s="1"/>
  <c r="N124" i="57"/>
  <c r="I53" i="60"/>
  <c r="N53" i="60" s="1"/>
  <c r="I204" i="72"/>
  <c r="M204" i="72" s="1"/>
  <c r="C32" i="73" s="1"/>
  <c r="G170" i="72"/>
  <c r="K170" i="72" s="1"/>
  <c r="X20" i="79"/>
  <c r="I33" i="81"/>
  <c r="M33" i="81" s="1"/>
  <c r="C12" i="82" s="1"/>
  <c r="I145" i="84"/>
  <c r="M145" i="84" s="1"/>
  <c r="C26" i="85" s="1"/>
  <c r="I91" i="63"/>
  <c r="I185" i="81"/>
  <c r="M185" i="81" s="1"/>
  <c r="C31" i="82" s="1"/>
  <c r="G33" i="81"/>
  <c r="K33" i="81" s="1"/>
  <c r="G145" i="84"/>
  <c r="K145" i="84" s="1"/>
  <c r="C9" i="70"/>
  <c r="N28" i="57"/>
  <c r="G220" i="72"/>
  <c r="K220" i="72" s="1"/>
  <c r="I41" i="78"/>
  <c r="M41" i="78" s="1"/>
  <c r="C13" i="79" s="1"/>
  <c r="G57" i="81"/>
  <c r="K57" i="81" s="1"/>
  <c r="N14" i="55"/>
  <c r="C20" i="58"/>
  <c r="N113" i="60"/>
  <c r="M41" i="57"/>
  <c r="N8" i="55"/>
  <c r="G49" i="84"/>
  <c r="K49" i="84" s="1"/>
  <c r="I17" i="87"/>
  <c r="M17" i="87" s="1"/>
  <c r="C10" i="88" s="1"/>
  <c r="C21" i="58"/>
  <c r="I9" i="81"/>
  <c r="M9" i="81" s="1"/>
  <c r="C9" i="82" s="1"/>
  <c r="I105" i="84"/>
  <c r="M105" i="84" s="1"/>
  <c r="C21" i="85" s="1"/>
  <c r="I161" i="90"/>
  <c r="M161" i="90" s="1"/>
  <c r="C28" i="91" s="1"/>
  <c r="I153" i="90"/>
  <c r="M153" i="90" s="1"/>
  <c r="C27" i="91" s="1"/>
  <c r="I65" i="90"/>
  <c r="M65" i="90" s="1"/>
  <c r="C16" i="91" s="1"/>
  <c r="C22" i="58"/>
  <c r="C12" i="70"/>
  <c r="I116" i="66"/>
  <c r="I201" i="81"/>
  <c r="M201" i="81" s="1"/>
  <c r="C33" i="82" s="1"/>
  <c r="G153" i="81"/>
  <c r="K153" i="81" s="1"/>
  <c r="G121" i="81"/>
  <c r="K121" i="81" s="1"/>
  <c r="C11" i="58"/>
  <c r="N9" i="55"/>
  <c r="O172" i="60"/>
  <c r="I199" i="63"/>
  <c r="I92" i="72"/>
  <c r="M92" i="72" s="1"/>
  <c r="C19" i="73" s="1"/>
  <c r="I209" i="78"/>
  <c r="M209" i="78" s="1"/>
  <c r="C34" i="79" s="1"/>
  <c r="I81" i="78"/>
  <c r="M81" i="78" s="1"/>
  <c r="C18" i="79" s="1"/>
  <c r="I153" i="81"/>
  <c r="M153" i="81" s="1"/>
  <c r="C27" i="82" s="1"/>
  <c r="G145" i="81"/>
  <c r="K145" i="81" s="1"/>
  <c r="G105" i="81"/>
  <c r="K105" i="81" s="1"/>
  <c r="I121" i="84"/>
  <c r="M121" i="84" s="1"/>
  <c r="C23" i="85" s="1"/>
  <c r="G113" i="84"/>
  <c r="K113" i="84" s="1"/>
  <c r="I145" i="87"/>
  <c r="M145" i="87" s="1"/>
  <c r="C26" i="88" s="1"/>
  <c r="I89" i="90"/>
  <c r="M89" i="90" s="1"/>
  <c r="C19" i="91" s="1"/>
  <c r="N15" i="55"/>
  <c r="I205" i="66"/>
  <c r="M205" i="66" s="1"/>
  <c r="G131" i="69"/>
  <c r="K131" i="69" s="1"/>
  <c r="G57" i="78"/>
  <c r="K57" i="78" s="1"/>
  <c r="G140" i="66"/>
  <c r="K140" i="66" s="1"/>
  <c r="I147" i="69"/>
  <c r="M147" i="69" s="1"/>
  <c r="I65" i="69"/>
  <c r="M65" i="69" s="1"/>
  <c r="D151" i="66"/>
  <c r="G151" i="66" s="1"/>
  <c r="I225" i="69"/>
  <c r="M225" i="69" s="1"/>
  <c r="G105" i="78"/>
  <c r="K105" i="78" s="1"/>
  <c r="G81" i="78"/>
  <c r="K81" i="78" s="1"/>
  <c r="I65" i="78"/>
  <c r="M65" i="78" s="1"/>
  <c r="C16" i="79" s="1"/>
  <c r="G129" i="84"/>
  <c r="K129" i="84" s="1"/>
  <c r="I41" i="84"/>
  <c r="M41" i="84" s="1"/>
  <c r="C13" i="85" s="1"/>
  <c r="G9" i="78"/>
  <c r="K9" i="78" s="1"/>
  <c r="O17" i="60"/>
  <c r="G19" i="63"/>
  <c r="M126" i="60"/>
  <c r="C24" i="61" s="1"/>
  <c r="O77" i="60"/>
  <c r="I215" i="69"/>
  <c r="M215" i="69" s="1"/>
  <c r="I10" i="69"/>
  <c r="M10" i="69" s="1"/>
  <c r="G193" i="78"/>
  <c r="K193" i="78" s="1"/>
  <c r="G137" i="78"/>
  <c r="K137" i="78" s="1"/>
  <c r="G193" i="90"/>
  <c r="K193" i="90" s="1"/>
  <c r="I33" i="90"/>
  <c r="M33" i="90" s="1"/>
  <c r="C12" i="91" s="1"/>
  <c r="Q45" i="100"/>
  <c r="Q42" i="100"/>
  <c r="Q41" i="100"/>
  <c r="G70" i="75"/>
  <c r="N6" i="55"/>
  <c r="D44" i="75"/>
  <c r="G44" i="75" s="1"/>
  <c r="G111" i="75"/>
  <c r="G116" i="75" s="1"/>
  <c r="K116" i="75" s="1"/>
  <c r="D108" i="75"/>
  <c r="J108" i="75" s="1"/>
  <c r="G103" i="75"/>
  <c r="G108" i="75" s="1"/>
  <c r="K108" i="75" s="1"/>
  <c r="I59" i="75"/>
  <c r="M59" i="75" s="1"/>
  <c r="C15" i="76" s="1"/>
  <c r="G36" i="75"/>
  <c r="G41" i="75" s="1"/>
  <c r="K41" i="75" s="1"/>
  <c r="N13" i="55"/>
  <c r="I142" i="75"/>
  <c r="M142" i="75" s="1"/>
  <c r="C25" i="76" s="1"/>
  <c r="D119" i="75"/>
  <c r="G95" i="75"/>
  <c r="D75" i="75"/>
  <c r="J75" i="75" s="1"/>
  <c r="I75" i="75"/>
  <c r="M75" i="75" s="1"/>
  <c r="C17" i="76" s="1"/>
  <c r="B44" i="100"/>
  <c r="B43" i="100"/>
  <c r="B35" i="100"/>
  <c r="X16" i="70"/>
  <c r="K190" i="63"/>
  <c r="G190" i="63"/>
  <c r="G122" i="72"/>
  <c r="K122" i="72" s="1"/>
  <c r="K172" i="63"/>
  <c r="G9" i="60"/>
  <c r="I142" i="57"/>
  <c r="N142" i="57" s="1"/>
  <c r="G132" i="57"/>
  <c r="N81" i="60"/>
  <c r="G181" i="63"/>
  <c r="K136" i="63"/>
  <c r="G136" i="63"/>
  <c r="G127" i="63"/>
  <c r="G37" i="63"/>
  <c r="I10" i="63"/>
  <c r="G190" i="69"/>
  <c r="K190" i="69" s="1"/>
  <c r="G180" i="69"/>
  <c r="K180" i="69" s="1"/>
  <c r="G18" i="69"/>
  <c r="K18" i="69" s="1"/>
  <c r="G138" i="72"/>
  <c r="K138" i="72" s="1"/>
  <c r="I169" i="78"/>
  <c r="M169" i="78" s="1"/>
  <c r="C29" i="79" s="1"/>
  <c r="I81" i="81"/>
  <c r="M81" i="81" s="1"/>
  <c r="C18" i="82" s="1"/>
  <c r="M142" i="57"/>
  <c r="M92" i="57"/>
  <c r="N87" i="57"/>
  <c r="O92" i="57" s="1"/>
  <c r="N5" i="57"/>
  <c r="M147" i="60"/>
  <c r="C26" i="61" s="1"/>
  <c r="N105" i="60"/>
  <c r="N103" i="60"/>
  <c r="I109" i="60"/>
  <c r="N109" i="60" s="1"/>
  <c r="M99" i="60"/>
  <c r="C21" i="61" s="1"/>
  <c r="K17" i="60"/>
  <c r="M118" i="63"/>
  <c r="C21" i="64" s="1"/>
  <c r="G100" i="66"/>
  <c r="K100" i="66" s="1"/>
  <c r="I75" i="72"/>
  <c r="M75" i="72" s="1"/>
  <c r="C17" i="73" s="1"/>
  <c r="G81" i="81"/>
  <c r="K81" i="81" s="1"/>
  <c r="M74" i="57"/>
  <c r="X19" i="58" s="1"/>
  <c r="G165" i="66"/>
  <c r="K165" i="66" s="1"/>
  <c r="I164" i="60"/>
  <c r="N164" i="60" s="1"/>
  <c r="K199" i="63"/>
  <c r="G199" i="63"/>
  <c r="I17" i="60"/>
  <c r="N17" i="60" s="1"/>
  <c r="M17" i="60"/>
  <c r="C10" i="61" s="1"/>
  <c r="G17" i="60"/>
  <c r="I57" i="57"/>
  <c r="N57" i="57" s="1"/>
  <c r="N53" i="57"/>
  <c r="I41" i="57"/>
  <c r="N41" i="57" s="1"/>
  <c r="I154" i="63"/>
  <c r="I60" i="66"/>
  <c r="M60" i="66" s="1"/>
  <c r="Y14" i="67" s="1"/>
  <c r="M16" i="57"/>
  <c r="X12" i="58" s="1"/>
  <c r="G147" i="60"/>
  <c r="N124" i="60"/>
  <c r="N114" i="60"/>
  <c r="K181" i="63"/>
  <c r="G172" i="63"/>
  <c r="K127" i="63"/>
  <c r="G92" i="66"/>
  <c r="K92" i="66" s="1"/>
  <c r="I76" i="66"/>
  <c r="M76" i="66" s="1"/>
  <c r="I172" i="69"/>
  <c r="M172" i="69" s="1"/>
  <c r="G164" i="69"/>
  <c r="K164" i="69" s="1"/>
  <c r="I121" i="69"/>
  <c r="M121" i="69" s="1"/>
  <c r="G187" i="72"/>
  <c r="K187" i="72" s="1"/>
  <c r="I67" i="75"/>
  <c r="M67" i="75" s="1"/>
  <c r="C16" i="76" s="1"/>
  <c r="X17" i="91"/>
  <c r="N174" i="57"/>
  <c r="O178" i="57" s="1"/>
  <c r="G99" i="60"/>
  <c r="K99" i="60"/>
  <c r="G204" i="72"/>
  <c r="K204" i="72" s="1"/>
  <c r="G103" i="60"/>
  <c r="K109" i="60" s="1"/>
  <c r="I145" i="63"/>
  <c r="G92" i="72"/>
  <c r="K92" i="72" s="1"/>
  <c r="N115" i="60"/>
  <c r="I55" i="63"/>
  <c r="I189" i="66"/>
  <c r="M189" i="66" s="1"/>
  <c r="I102" i="57"/>
  <c r="N102" i="57" s="1"/>
  <c r="K55" i="63"/>
  <c r="M37" i="63"/>
  <c r="C12" i="64" s="1"/>
  <c r="I146" i="72"/>
  <c r="M146" i="72" s="1"/>
  <c r="C25" i="73" s="1"/>
  <c r="I160" i="75"/>
  <c r="M160" i="75" s="1"/>
  <c r="C27" i="76" s="1"/>
  <c r="G177" i="78"/>
  <c r="K177" i="78" s="1"/>
  <c r="M198" i="57"/>
  <c r="N128" i="57"/>
  <c r="K16" i="57"/>
  <c r="K147" i="60"/>
  <c r="N84" i="60"/>
  <c r="M77" i="60"/>
  <c r="C17" i="61" s="1"/>
  <c r="I69" i="60"/>
  <c r="N69" i="60" s="1"/>
  <c r="I61" i="60"/>
  <c r="N61" i="60" s="1"/>
  <c r="M25" i="60"/>
  <c r="C11" i="61" s="1"/>
  <c r="M163" i="63"/>
  <c r="C26" i="64" s="1"/>
  <c r="G76" i="63"/>
  <c r="G82" i="63" s="1"/>
  <c r="I181" i="66"/>
  <c r="M181" i="66" s="1"/>
  <c r="I92" i="66"/>
  <c r="M92" i="66" s="1"/>
  <c r="G76" i="66"/>
  <c r="K76" i="66" s="1"/>
  <c r="G106" i="69"/>
  <c r="K106" i="69" s="1"/>
  <c r="I122" i="72"/>
  <c r="M122" i="72" s="1"/>
  <c r="C22" i="73" s="1"/>
  <c r="I111" i="72"/>
  <c r="M111" i="72" s="1"/>
  <c r="C21" i="73" s="1"/>
  <c r="G75" i="75"/>
  <c r="K75" i="75" s="1"/>
  <c r="G67" i="75"/>
  <c r="K67" i="75" s="1"/>
  <c r="N165" i="57"/>
  <c r="I110" i="57"/>
  <c r="N110" i="57" s="1"/>
  <c r="N106" i="57"/>
  <c r="O110" i="57" s="1"/>
  <c r="I37" i="63"/>
  <c r="K74" i="57"/>
  <c r="G74" i="57"/>
  <c r="I46" i="63"/>
  <c r="G14" i="66"/>
  <c r="K14" i="66" s="1"/>
  <c r="G164" i="60"/>
  <c r="K198" i="60" s="1"/>
  <c r="G145" i="63"/>
  <c r="I196" i="75"/>
  <c r="M196" i="75" s="1"/>
  <c r="C31" i="76" s="1"/>
  <c r="I17" i="75"/>
  <c r="M17" i="75" s="1"/>
  <c r="C10" i="76" s="1"/>
  <c r="N115" i="57"/>
  <c r="G130" i="72"/>
  <c r="K130" i="72" s="1"/>
  <c r="M53" i="60"/>
  <c r="C14" i="61" s="1"/>
  <c r="N48" i="60"/>
  <c r="O53" i="60" s="1"/>
  <c r="G10" i="69"/>
  <c r="K10" i="69" s="1"/>
  <c r="G142" i="57"/>
  <c r="N137" i="57"/>
  <c r="K132" i="57"/>
  <c r="N70" i="57"/>
  <c r="N55" i="57"/>
  <c r="K164" i="60"/>
  <c r="N144" i="60"/>
  <c r="N142" i="60"/>
  <c r="N140" i="60"/>
  <c r="I135" i="60"/>
  <c r="N135" i="60" s="1"/>
  <c r="M135" i="60"/>
  <c r="C25" i="61" s="1"/>
  <c r="G44" i="60"/>
  <c r="I9" i="60"/>
  <c r="N9" i="60" s="1"/>
  <c r="N5" i="60"/>
  <c r="G10" i="63"/>
  <c r="I140" i="66"/>
  <c r="M140" i="66" s="1"/>
  <c r="I22" i="66"/>
  <c r="M22" i="66" s="1"/>
  <c r="I114" i="69"/>
  <c r="M114" i="69" s="1"/>
  <c r="I170" i="72"/>
  <c r="M170" i="72" s="1"/>
  <c r="C28" i="73" s="1"/>
  <c r="I9" i="72"/>
  <c r="M9" i="72" s="1"/>
  <c r="C9" i="73" s="1"/>
  <c r="G105" i="84"/>
  <c r="K105" i="84" s="1"/>
  <c r="G9" i="84"/>
  <c r="K9" i="84" s="1"/>
  <c r="I150" i="57"/>
  <c r="N150" i="57" s="1"/>
  <c r="G9" i="72"/>
  <c r="K9" i="72" s="1"/>
  <c r="N21" i="57"/>
  <c r="O24" i="57" s="1"/>
  <c r="N95" i="60"/>
  <c r="G207" i="69"/>
  <c r="K207" i="69" s="1"/>
  <c r="N132" i="60"/>
  <c r="O135" i="60" s="1"/>
  <c r="N6" i="60"/>
  <c r="G199" i="69"/>
  <c r="K199" i="69" s="1"/>
  <c r="G162" i="72"/>
  <c r="K162" i="72" s="1"/>
  <c r="G201" i="78"/>
  <c r="K201" i="78" s="1"/>
  <c r="I157" i="66"/>
  <c r="M157" i="66" s="1"/>
  <c r="G215" i="69"/>
  <c r="K215" i="69" s="1"/>
  <c r="G90" i="69"/>
  <c r="K90" i="69" s="1"/>
  <c r="G68" i="69"/>
  <c r="G73" i="69" s="1"/>
  <c r="K73" i="69" s="1"/>
  <c r="I32" i="57"/>
  <c r="N32" i="57" s="1"/>
  <c r="M82" i="63"/>
  <c r="C17" i="64" s="1"/>
  <c r="G192" i="66"/>
  <c r="G197" i="66" s="1"/>
  <c r="K197" i="66" s="1"/>
  <c r="I98" i="69"/>
  <c r="M98" i="69" s="1"/>
  <c r="G26" i="69"/>
  <c r="K26" i="69" s="1"/>
  <c r="G103" i="72"/>
  <c r="K103" i="72" s="1"/>
  <c r="N139" i="57"/>
  <c r="I132" i="57"/>
  <c r="N132" i="57" s="1"/>
  <c r="M65" i="57"/>
  <c r="N151" i="60"/>
  <c r="O156" i="60" s="1"/>
  <c r="M89" i="60"/>
  <c r="C18" i="61" s="1"/>
  <c r="I136" i="63"/>
  <c r="I82" i="63"/>
  <c r="G127" i="66"/>
  <c r="I108" i="66"/>
  <c r="M108" i="66" s="1"/>
  <c r="Y20" i="67" s="1"/>
  <c r="I190" i="69"/>
  <c r="M190" i="69" s="1"/>
  <c r="I131" i="69"/>
  <c r="M131" i="69" s="1"/>
  <c r="I18" i="69"/>
  <c r="M18" i="69" s="1"/>
  <c r="G154" i="72"/>
  <c r="K154" i="72" s="1"/>
  <c r="I138" i="72"/>
  <c r="M138" i="72" s="1"/>
  <c r="C24" i="73" s="1"/>
  <c r="I57" i="72"/>
  <c r="M57" i="72" s="1"/>
  <c r="C15" i="73" s="1"/>
  <c r="I83" i="75"/>
  <c r="M83" i="75" s="1"/>
  <c r="C18" i="76" s="1"/>
  <c r="G49" i="81"/>
  <c r="K49" i="81" s="1"/>
  <c r="I129" i="84"/>
  <c r="M129" i="84" s="1"/>
  <c r="C24" i="85" s="1"/>
  <c r="M190" i="63"/>
  <c r="C29" i="64" s="1"/>
  <c r="I172" i="63"/>
  <c r="I109" i="63"/>
  <c r="M46" i="63"/>
  <c r="C13" i="64" s="1"/>
  <c r="I173" i="66"/>
  <c r="I124" i="66"/>
  <c r="M124" i="66" s="1"/>
  <c r="G108" i="66"/>
  <c r="K108" i="66" s="1"/>
  <c r="I68" i="66"/>
  <c r="M68" i="66" s="1"/>
  <c r="I30" i="66"/>
  <c r="G114" i="69"/>
  <c r="K114" i="69" s="1"/>
  <c r="G82" i="69"/>
  <c r="K82" i="69" s="1"/>
  <c r="I220" i="72"/>
  <c r="M220" i="72" s="1"/>
  <c r="C34" i="73" s="1"/>
  <c r="I33" i="72"/>
  <c r="M33" i="72" s="1"/>
  <c r="C12" i="73" s="1"/>
  <c r="I185" i="78"/>
  <c r="M185" i="78" s="1"/>
  <c r="C31" i="79" s="1"/>
  <c r="G81" i="84"/>
  <c r="K81" i="84" s="1"/>
  <c r="I25" i="75"/>
  <c r="M25" i="75" s="1"/>
  <c r="C11" i="76" s="1"/>
  <c r="G129" i="81"/>
  <c r="K129" i="81" s="1"/>
  <c r="I41" i="87"/>
  <c r="M41" i="87" s="1"/>
  <c r="C13" i="88" s="1"/>
  <c r="G209" i="78"/>
  <c r="K209" i="78" s="1"/>
  <c r="I73" i="87"/>
  <c r="M73" i="87" s="1"/>
  <c r="C17" i="88" s="1"/>
  <c r="G153" i="90"/>
  <c r="K153" i="90" s="1"/>
  <c r="N116" i="57"/>
  <c r="I165" i="66"/>
  <c r="M165" i="66" s="1"/>
  <c r="N166" i="57"/>
  <c r="O65" i="57"/>
  <c r="O180" i="60"/>
  <c r="M109" i="60"/>
  <c r="C22" i="61" s="1"/>
  <c r="M35" i="60"/>
  <c r="C12" i="61" s="1"/>
  <c r="G112" i="63"/>
  <c r="K118" i="63" s="1"/>
  <c r="M19" i="63"/>
  <c r="C10" i="64" s="1"/>
  <c r="M10" i="63"/>
  <c r="C9" i="64" s="1"/>
  <c r="G189" i="66"/>
  <c r="K189" i="66" s="1"/>
  <c r="I100" i="66"/>
  <c r="M100" i="66" s="1"/>
  <c r="I84" i="66"/>
  <c r="M84" i="66" s="1"/>
  <c r="Y17" i="67" s="1"/>
  <c r="I52" i="66"/>
  <c r="M52" i="66" s="1"/>
  <c r="I164" i="69"/>
  <c r="M164" i="69" s="1"/>
  <c r="I155" i="69"/>
  <c r="M155" i="69" s="1"/>
  <c r="I139" i="69"/>
  <c r="M139" i="69" s="1"/>
  <c r="I90" i="69"/>
  <c r="M90" i="69" s="1"/>
  <c r="I73" i="69"/>
  <c r="M73" i="69" s="1"/>
  <c r="G57" i="69"/>
  <c r="K57" i="69" s="1"/>
  <c r="I26" i="69"/>
  <c r="M26" i="69" s="1"/>
  <c r="I212" i="72"/>
  <c r="M212" i="72" s="1"/>
  <c r="C33" i="73" s="1"/>
  <c r="G196" i="72"/>
  <c r="K196" i="72" s="1"/>
  <c r="I17" i="72"/>
  <c r="M17" i="72" s="1"/>
  <c r="C10" i="73" s="1"/>
  <c r="G160" i="75"/>
  <c r="K160" i="75" s="1"/>
  <c r="I125" i="75"/>
  <c r="M125" i="75" s="1"/>
  <c r="C23" i="76" s="1"/>
  <c r="G129" i="78"/>
  <c r="K129" i="78" s="1"/>
  <c r="G33" i="78"/>
  <c r="K33" i="78" s="1"/>
  <c r="I25" i="78"/>
  <c r="M25" i="78" s="1"/>
  <c r="C11" i="79" s="1"/>
  <c r="G193" i="81"/>
  <c r="K193" i="81" s="1"/>
  <c r="G177" i="84"/>
  <c r="K177" i="84" s="1"/>
  <c r="G105" i="87"/>
  <c r="K105" i="87" s="1"/>
  <c r="I193" i="90"/>
  <c r="M193" i="90" s="1"/>
  <c r="C32" i="91" s="1"/>
  <c r="G169" i="90"/>
  <c r="K169" i="90" s="1"/>
  <c r="K9" i="57"/>
  <c r="N83" i="60"/>
  <c r="K9" i="60"/>
  <c r="M64" i="63"/>
  <c r="C15" i="64" s="1"/>
  <c r="I132" i="66"/>
  <c r="M132" i="66" s="1"/>
  <c r="G116" i="66"/>
  <c r="K116" i="66" s="1"/>
  <c r="G22" i="66"/>
  <c r="K22" i="66" s="1"/>
  <c r="I57" i="69"/>
  <c r="M57" i="69" s="1"/>
  <c r="G161" i="57"/>
  <c r="G35" i="60"/>
  <c r="M172" i="63"/>
  <c r="C27" i="64" s="1"/>
  <c r="G163" i="63"/>
  <c r="I118" i="63"/>
  <c r="M100" i="63"/>
  <c r="C19" i="64" s="1"/>
  <c r="I73" i="63"/>
  <c r="G55" i="63"/>
  <c r="I28" i="63"/>
  <c r="K19" i="63"/>
  <c r="K10" i="63"/>
  <c r="G200" i="66"/>
  <c r="G172" i="69"/>
  <c r="K172" i="69" s="1"/>
  <c r="G155" i="69"/>
  <c r="K155" i="69" s="1"/>
  <c r="G139" i="69"/>
  <c r="K139" i="69" s="1"/>
  <c r="G60" i="69"/>
  <c r="G170" i="75"/>
  <c r="K170" i="75" s="1"/>
  <c r="I153" i="78"/>
  <c r="M153" i="78" s="1"/>
  <c r="C27" i="79" s="1"/>
  <c r="I137" i="81"/>
  <c r="M137" i="81" s="1"/>
  <c r="C25" i="82" s="1"/>
  <c r="G9" i="81"/>
  <c r="K9" i="81" s="1"/>
  <c r="G209" i="84"/>
  <c r="G216" i="84" s="1"/>
  <c r="K216" i="84" s="1"/>
  <c r="G201" i="84"/>
  <c r="K201" i="84" s="1"/>
  <c r="G153" i="87"/>
  <c r="K153" i="87" s="1"/>
  <c r="M91" i="63"/>
  <c r="C18" i="64" s="1"/>
  <c r="I42" i="66"/>
  <c r="M42" i="66" s="1"/>
  <c r="I108" i="75"/>
  <c r="M108" i="75" s="1"/>
  <c r="C21" i="76" s="1"/>
  <c r="M132" i="57"/>
  <c r="I65" i="57"/>
  <c r="N65" i="57" s="1"/>
  <c r="M49" i="57"/>
  <c r="I77" i="60"/>
  <c r="N77" i="60" s="1"/>
  <c r="O61" i="60"/>
  <c r="G53" i="60"/>
  <c r="N31" i="60"/>
  <c r="M181" i="63"/>
  <c r="C28" i="64" s="1"/>
  <c r="M127" i="63"/>
  <c r="C22" i="64" s="1"/>
  <c r="K28" i="63"/>
  <c r="I106" i="69"/>
  <c r="M106" i="69" s="1"/>
  <c r="I196" i="72"/>
  <c r="M196" i="72" s="1"/>
  <c r="C31" i="73" s="1"/>
  <c r="I179" i="72"/>
  <c r="M179" i="72" s="1"/>
  <c r="C29" i="73" s="1"/>
  <c r="I154" i="72"/>
  <c r="M154" i="72" s="1"/>
  <c r="C26" i="73" s="1"/>
  <c r="I130" i="72"/>
  <c r="M130" i="72" s="1"/>
  <c r="C23" i="73" s="1"/>
  <c r="G111" i="72"/>
  <c r="K111" i="72" s="1"/>
  <c r="I133" i="75"/>
  <c r="M133" i="75" s="1"/>
  <c r="C24" i="76" s="1"/>
  <c r="I41" i="75"/>
  <c r="M41" i="75" s="1"/>
  <c r="C13" i="76" s="1"/>
  <c r="G145" i="78"/>
  <c r="K145" i="78" s="1"/>
  <c r="G137" i="81"/>
  <c r="K137" i="81" s="1"/>
  <c r="G169" i="84"/>
  <c r="K169" i="84" s="1"/>
  <c r="I65" i="84"/>
  <c r="M65" i="84" s="1"/>
  <c r="C16" i="85" s="1"/>
  <c r="I197" i="66"/>
  <c r="M197" i="66" s="1"/>
  <c r="G30" i="66"/>
  <c r="K30" i="66" s="1"/>
  <c r="I199" i="69"/>
  <c r="M199" i="69" s="1"/>
  <c r="I187" i="72"/>
  <c r="M187" i="72" s="1"/>
  <c r="C30" i="73" s="1"/>
  <c r="I177" i="84"/>
  <c r="M177" i="84" s="1"/>
  <c r="C30" i="85" s="1"/>
  <c r="G97" i="84"/>
  <c r="K97" i="84" s="1"/>
  <c r="G81" i="87"/>
  <c r="K81" i="87" s="1"/>
  <c r="M164" i="60"/>
  <c r="C28" i="61" s="1"/>
  <c r="G156" i="60"/>
  <c r="I147" i="60"/>
  <c r="N147" i="60" s="1"/>
  <c r="I44" i="60"/>
  <c r="N44" i="60" s="1"/>
  <c r="N21" i="60"/>
  <c r="O25" i="60" s="1"/>
  <c r="I163" i="63"/>
  <c r="H148" i="66"/>
  <c r="L148" i="66" s="1"/>
  <c r="I143" i="66"/>
  <c r="D25" i="67" s="1"/>
  <c r="G55" i="66"/>
  <c r="I14" i="66"/>
  <c r="M14" i="66" s="1"/>
  <c r="I207" i="69"/>
  <c r="M207" i="69" s="1"/>
  <c r="I47" i="69"/>
  <c r="M47" i="69" s="1"/>
  <c r="I103" i="72"/>
  <c r="M103" i="72" s="1"/>
  <c r="C20" i="73" s="1"/>
  <c r="I83" i="72"/>
  <c r="M83" i="72" s="1"/>
  <c r="C18" i="73" s="1"/>
  <c r="G161" i="78"/>
  <c r="K161" i="78" s="1"/>
  <c r="I161" i="81"/>
  <c r="M161" i="81" s="1"/>
  <c r="C28" i="82" s="1"/>
  <c r="G17" i="81"/>
  <c r="K17" i="81" s="1"/>
  <c r="I89" i="78"/>
  <c r="M89" i="78" s="1"/>
  <c r="C19" i="79" s="1"/>
  <c r="I49" i="78"/>
  <c r="M49" i="78" s="1"/>
  <c r="C14" i="79" s="1"/>
  <c r="H216" i="84"/>
  <c r="L216" i="84" s="1"/>
  <c r="L209" i="84"/>
  <c r="I57" i="84"/>
  <c r="M57" i="84" s="1"/>
  <c r="C15" i="85" s="1"/>
  <c r="G73" i="90"/>
  <c r="K73" i="90" s="1"/>
  <c r="I66" i="72"/>
  <c r="M66" i="72" s="1"/>
  <c r="C16" i="73" s="1"/>
  <c r="I57" i="78"/>
  <c r="M57" i="78" s="1"/>
  <c r="C15" i="79" s="1"/>
  <c r="I25" i="81"/>
  <c r="M25" i="81" s="1"/>
  <c r="C11" i="82" s="1"/>
  <c r="G113" i="87"/>
  <c r="K113" i="87" s="1"/>
  <c r="I81" i="90"/>
  <c r="M81" i="90" s="1"/>
  <c r="C18" i="91" s="1"/>
  <c r="I57" i="90"/>
  <c r="M57" i="90" s="1"/>
  <c r="C15" i="91" s="1"/>
  <c r="I100" i="75"/>
  <c r="M100" i="75" s="1"/>
  <c r="C20" i="76" s="1"/>
  <c r="G83" i="75"/>
  <c r="K83" i="75" s="1"/>
  <c r="I113" i="78"/>
  <c r="M113" i="78" s="1"/>
  <c r="C22" i="79" s="1"/>
  <c r="G49" i="78"/>
  <c r="K49" i="78" s="1"/>
  <c r="G201" i="81"/>
  <c r="K201" i="81" s="1"/>
  <c r="G161" i="84"/>
  <c r="K161" i="84" s="1"/>
  <c r="I17" i="84"/>
  <c r="M17" i="84" s="1"/>
  <c r="C10" i="85" s="1"/>
  <c r="G121" i="90"/>
  <c r="K121" i="90" s="1"/>
  <c r="I105" i="90"/>
  <c r="M105" i="90" s="1"/>
  <c r="C21" i="91" s="1"/>
  <c r="G49" i="90"/>
  <c r="K49" i="90" s="1"/>
  <c r="I188" i="75"/>
  <c r="M188" i="75" s="1"/>
  <c r="C30" i="76" s="1"/>
  <c r="I180" i="75"/>
  <c r="M180" i="75" s="1"/>
  <c r="C29" i="76" s="1"/>
  <c r="I50" i="75"/>
  <c r="M50" i="75" s="1"/>
  <c r="C14" i="76" s="1"/>
  <c r="I137" i="78"/>
  <c r="M137" i="78" s="1"/>
  <c r="C25" i="79" s="1"/>
  <c r="G121" i="78"/>
  <c r="K121" i="78" s="1"/>
  <c r="G65" i="78"/>
  <c r="K65" i="78" s="1"/>
  <c r="I9" i="78"/>
  <c r="M9" i="78" s="1"/>
  <c r="C9" i="79" s="1"/>
  <c r="G209" i="81"/>
  <c r="K209" i="81" s="1"/>
  <c r="I177" i="81"/>
  <c r="M177" i="81" s="1"/>
  <c r="C30" i="82" s="1"/>
  <c r="I73" i="81"/>
  <c r="M73" i="81" s="1"/>
  <c r="C17" i="82" s="1"/>
  <c r="I49" i="81"/>
  <c r="M49" i="81" s="1"/>
  <c r="C14" i="82" s="1"/>
  <c r="G25" i="84"/>
  <c r="K25" i="84" s="1"/>
  <c r="G105" i="90"/>
  <c r="K105" i="90" s="1"/>
  <c r="I150" i="75"/>
  <c r="M150" i="75" s="1"/>
  <c r="C26" i="76" s="1"/>
  <c r="I33" i="75"/>
  <c r="M33" i="75" s="1"/>
  <c r="C12" i="76" s="1"/>
  <c r="I9" i="75"/>
  <c r="M9" i="75" s="1"/>
  <c r="C9" i="76" s="1"/>
  <c r="I193" i="78"/>
  <c r="M193" i="78" s="1"/>
  <c r="C32" i="79" s="1"/>
  <c r="I73" i="78"/>
  <c r="M73" i="78" s="1"/>
  <c r="C17" i="79" s="1"/>
  <c r="I33" i="78"/>
  <c r="M33" i="78" s="1"/>
  <c r="C12" i="79" s="1"/>
  <c r="G17" i="78"/>
  <c r="K17" i="78" s="1"/>
  <c r="I185" i="84"/>
  <c r="M185" i="84" s="1"/>
  <c r="C31" i="85" s="1"/>
  <c r="I81" i="84"/>
  <c r="M81" i="84" s="1"/>
  <c r="C18" i="85" s="1"/>
  <c r="I169" i="87"/>
  <c r="M169" i="87" s="1"/>
  <c r="C29" i="88" s="1"/>
  <c r="G177" i="90"/>
  <c r="K177" i="90" s="1"/>
  <c r="I89" i="84"/>
  <c r="M89" i="84" s="1"/>
  <c r="C19" i="85" s="1"/>
  <c r="I73" i="84"/>
  <c r="M73" i="84" s="1"/>
  <c r="C17" i="85" s="1"/>
  <c r="G65" i="84"/>
  <c r="K65" i="84" s="1"/>
  <c r="I193" i="87"/>
  <c r="M193" i="87" s="1"/>
  <c r="C32" i="88" s="1"/>
  <c r="G65" i="87"/>
  <c r="K65" i="87" s="1"/>
  <c r="G25" i="87"/>
  <c r="K25" i="87" s="1"/>
  <c r="I145" i="78"/>
  <c r="M145" i="78" s="1"/>
  <c r="C26" i="79" s="1"/>
  <c r="I129" i="78"/>
  <c r="M129" i="78" s="1"/>
  <c r="C24" i="79" s="1"/>
  <c r="I105" i="78"/>
  <c r="M105" i="78" s="1"/>
  <c r="C21" i="79" s="1"/>
  <c r="I209" i="81"/>
  <c r="M209" i="81" s="1"/>
  <c r="C34" i="82" s="1"/>
  <c r="I193" i="81"/>
  <c r="M193" i="81" s="1"/>
  <c r="C32" i="82" s="1"/>
  <c r="G177" i="81"/>
  <c r="K177" i="81" s="1"/>
  <c r="G161" i="81"/>
  <c r="K161" i="81" s="1"/>
  <c r="I97" i="84"/>
  <c r="M97" i="84" s="1"/>
  <c r="C20" i="85" s="1"/>
  <c r="G57" i="84"/>
  <c r="K57" i="84" s="1"/>
  <c r="G145" i="87"/>
  <c r="K145" i="87" s="1"/>
  <c r="I57" i="87"/>
  <c r="M57" i="87" s="1"/>
  <c r="C15" i="88" s="1"/>
  <c r="G33" i="87"/>
  <c r="K33" i="87" s="1"/>
  <c r="I25" i="87"/>
  <c r="M25" i="87" s="1"/>
  <c r="C11" i="88" s="1"/>
  <c r="I209" i="90"/>
  <c r="M209" i="90" s="1"/>
  <c r="C34" i="91" s="1"/>
  <c r="G145" i="90"/>
  <c r="K145" i="90" s="1"/>
  <c r="I121" i="78"/>
  <c r="M121" i="78" s="1"/>
  <c r="C23" i="79" s="1"/>
  <c r="G113" i="78"/>
  <c r="K113" i="78" s="1"/>
  <c r="G97" i="78"/>
  <c r="K97" i="78" s="1"/>
  <c r="I89" i="81"/>
  <c r="M89" i="81" s="1"/>
  <c r="C19" i="82" s="1"/>
  <c r="I41" i="81"/>
  <c r="I137" i="84"/>
  <c r="M137" i="84" s="1"/>
  <c r="C25" i="85" s="1"/>
  <c r="I113" i="84"/>
  <c r="M113" i="84" s="1"/>
  <c r="C22" i="85" s="1"/>
  <c r="G73" i="84"/>
  <c r="K73" i="84" s="1"/>
  <c r="I201" i="87"/>
  <c r="M201" i="87" s="1"/>
  <c r="C33" i="88" s="1"/>
  <c r="I129" i="87"/>
  <c r="M129" i="87" s="1"/>
  <c r="C24" i="88" s="1"/>
  <c r="G57" i="87"/>
  <c r="K57" i="87" s="1"/>
  <c r="G97" i="90"/>
  <c r="K97" i="90" s="1"/>
  <c r="I49" i="90"/>
  <c r="M49" i="90" s="1"/>
  <c r="C14" i="91" s="1"/>
  <c r="I129" i="81"/>
  <c r="M129" i="81" s="1"/>
  <c r="C24" i="82" s="1"/>
  <c r="I105" i="81"/>
  <c r="M105" i="81" s="1"/>
  <c r="C21" i="82" s="1"/>
  <c r="I193" i="84"/>
  <c r="M193" i="84" s="1"/>
  <c r="C32" i="85" s="1"/>
  <c r="G121" i="84"/>
  <c r="K121" i="84" s="1"/>
  <c r="G201" i="87"/>
  <c r="K201" i="87" s="1"/>
  <c r="G129" i="87"/>
  <c r="K129" i="87" s="1"/>
  <c r="I121" i="87"/>
  <c r="M121" i="87" s="1"/>
  <c r="C23" i="88" s="1"/>
  <c r="I97" i="87"/>
  <c r="I49" i="87"/>
  <c r="M49" i="87" s="1"/>
  <c r="C14" i="88" s="1"/>
  <c r="G217" i="90"/>
  <c r="K217" i="90" s="1"/>
  <c r="I201" i="78"/>
  <c r="M201" i="78" s="1"/>
  <c r="C33" i="79" s="1"/>
  <c r="I17" i="78"/>
  <c r="M17" i="78" s="1"/>
  <c r="C10" i="79" s="1"/>
  <c r="I145" i="81"/>
  <c r="M145" i="81" s="1"/>
  <c r="C26" i="82" s="1"/>
  <c r="I121" i="81"/>
  <c r="M121" i="81" s="1"/>
  <c r="C23" i="82" s="1"/>
  <c r="G113" i="81"/>
  <c r="K113" i="81" s="1"/>
  <c r="G97" i="81"/>
  <c r="K97" i="81" s="1"/>
  <c r="I57" i="81"/>
  <c r="M57" i="81" s="1"/>
  <c r="C15" i="82" s="1"/>
  <c r="G193" i="84"/>
  <c r="K193" i="84" s="1"/>
  <c r="I153" i="84"/>
  <c r="M153" i="84" s="1"/>
  <c r="C27" i="85" s="1"/>
  <c r="G33" i="84"/>
  <c r="K33" i="84" s="1"/>
  <c r="I177" i="87"/>
  <c r="M177" i="87" s="1"/>
  <c r="C30" i="88" s="1"/>
  <c r="I185" i="90"/>
  <c r="M185" i="90" s="1"/>
  <c r="C31" i="91" s="1"/>
  <c r="I33" i="87"/>
  <c r="M33" i="87" s="1"/>
  <c r="C12" i="88" s="1"/>
  <c r="I17" i="81"/>
  <c r="M17" i="81" s="1"/>
  <c r="C10" i="82" s="1"/>
  <c r="I49" i="84"/>
  <c r="M49" i="84" s="1"/>
  <c r="C14" i="85" s="1"/>
  <c r="I33" i="84"/>
  <c r="M33" i="84" s="1"/>
  <c r="C12" i="85" s="1"/>
  <c r="I129" i="90"/>
  <c r="M129" i="90" s="1"/>
  <c r="C24" i="91" s="1"/>
  <c r="G57" i="90"/>
  <c r="K57" i="90" s="1"/>
  <c r="I17" i="90"/>
  <c r="M17" i="90" s="1"/>
  <c r="C10" i="91" s="1"/>
  <c r="I209" i="84"/>
  <c r="M209" i="84" s="1"/>
  <c r="C34" i="85" s="1"/>
  <c r="I25" i="84"/>
  <c r="M25" i="84" s="1"/>
  <c r="C11" i="85" s="1"/>
  <c r="I9" i="84"/>
  <c r="M9" i="84" s="1"/>
  <c r="C9" i="85" s="1"/>
  <c r="I185" i="87"/>
  <c r="M185" i="87" s="1"/>
  <c r="C31" i="88" s="1"/>
  <c r="I201" i="90"/>
  <c r="M201" i="90" s="1"/>
  <c r="C33" i="91" s="1"/>
  <c r="I169" i="90"/>
  <c r="M169" i="90" s="1"/>
  <c r="C29" i="91" s="1"/>
  <c r="G129" i="90"/>
  <c r="K129" i="90" s="1"/>
  <c r="I121" i="90"/>
  <c r="M121" i="90" s="1"/>
  <c r="C23" i="91" s="1"/>
  <c r="I41" i="90"/>
  <c r="M41" i="90" s="1"/>
  <c r="C13" i="91" s="1"/>
  <c r="G25" i="90"/>
  <c r="K25" i="90" s="1"/>
  <c r="I113" i="87"/>
  <c r="M113" i="87" s="1"/>
  <c r="C22" i="88" s="1"/>
  <c r="I9" i="87"/>
  <c r="M9" i="87" s="1"/>
  <c r="C9" i="88" s="1"/>
  <c r="G201" i="90"/>
  <c r="K201" i="90" s="1"/>
  <c r="I145" i="90"/>
  <c r="M145" i="90" s="1"/>
  <c r="C26" i="91" s="1"/>
  <c r="G41" i="90"/>
  <c r="K41" i="90" s="1"/>
  <c r="I113" i="81"/>
  <c r="M113" i="81" s="1"/>
  <c r="C22" i="82" s="1"/>
  <c r="I97" i="81"/>
  <c r="M97" i="81" s="1"/>
  <c r="C20" i="82" s="1"/>
  <c r="G65" i="81"/>
  <c r="K65" i="81" s="1"/>
  <c r="G193" i="87"/>
  <c r="K193" i="87" s="1"/>
  <c r="I137" i="87"/>
  <c r="M137" i="87" s="1"/>
  <c r="C25" i="88" s="1"/>
  <c r="G9" i="87"/>
  <c r="K9" i="87" s="1"/>
  <c r="I89" i="87"/>
  <c r="M89" i="87" s="1"/>
  <c r="C19" i="88" s="1"/>
  <c r="I177" i="90"/>
  <c r="M177" i="90" s="1"/>
  <c r="C30" i="91" s="1"/>
  <c r="I113" i="90"/>
  <c r="M113" i="90" s="1"/>
  <c r="C22" i="91" s="1"/>
  <c r="I97" i="90"/>
  <c r="M97" i="90" s="1"/>
  <c r="C20" i="91" s="1"/>
  <c r="I25" i="90"/>
  <c r="G17" i="84"/>
  <c r="K17" i="84" s="1"/>
  <c r="I153" i="87"/>
  <c r="M153" i="87" s="1"/>
  <c r="C27" i="88" s="1"/>
  <c r="I217" i="90"/>
  <c r="M217" i="90" s="1"/>
  <c r="C35" i="91" s="1"/>
  <c r="I137" i="90"/>
  <c r="M137" i="90" s="1"/>
  <c r="C25" i="91" s="1"/>
  <c r="I9" i="90"/>
  <c r="M9" i="90" s="1"/>
  <c r="C9" i="91" s="1"/>
  <c r="Y12" i="58"/>
  <c r="Y29" i="70"/>
  <c r="Z15" i="67"/>
  <c r="Z31" i="67"/>
  <c r="G89" i="90"/>
  <c r="K89" i="90" s="1"/>
  <c r="G65" i="90"/>
  <c r="K65" i="90" s="1"/>
  <c r="G33" i="90"/>
  <c r="K33" i="90" s="1"/>
  <c r="G185" i="90"/>
  <c r="K185" i="90" s="1"/>
  <c r="G209" i="90"/>
  <c r="K209" i="90" s="1"/>
  <c r="G81" i="90"/>
  <c r="K81" i="90" s="1"/>
  <c r="G137" i="90"/>
  <c r="K137" i="90" s="1"/>
  <c r="G17" i="90"/>
  <c r="K17" i="90" s="1"/>
  <c r="G161" i="90"/>
  <c r="K161" i="90" s="1"/>
  <c r="G9" i="90"/>
  <c r="K9" i="90" s="1"/>
  <c r="G89" i="87"/>
  <c r="K89" i="87" s="1"/>
  <c r="G73" i="87"/>
  <c r="K73" i="87" s="1"/>
  <c r="G185" i="87"/>
  <c r="K185" i="87" s="1"/>
  <c r="G169" i="87"/>
  <c r="K169" i="87" s="1"/>
  <c r="G41" i="87"/>
  <c r="K41" i="87" s="1"/>
  <c r="G89" i="84"/>
  <c r="K89" i="84" s="1"/>
  <c r="G137" i="84"/>
  <c r="K137" i="84" s="1"/>
  <c r="G41" i="84"/>
  <c r="K41" i="84" s="1"/>
  <c r="G185" i="84"/>
  <c r="K185" i="84" s="1"/>
  <c r="G89" i="81"/>
  <c r="K89" i="81" s="1"/>
  <c r="G73" i="81"/>
  <c r="K73" i="81" s="1"/>
  <c r="G185" i="81"/>
  <c r="K185" i="81" s="1"/>
  <c r="G169" i="81"/>
  <c r="K169" i="81" s="1"/>
  <c r="G41" i="81"/>
  <c r="K41" i="81" s="1"/>
  <c r="G25" i="81"/>
  <c r="K25" i="81" s="1"/>
  <c r="G89" i="78"/>
  <c r="K89" i="78" s="1"/>
  <c r="G73" i="78"/>
  <c r="K73" i="78" s="1"/>
  <c r="G185" i="78"/>
  <c r="K185" i="78" s="1"/>
  <c r="G169" i="78"/>
  <c r="K169" i="78" s="1"/>
  <c r="G41" i="78"/>
  <c r="K41" i="78" s="1"/>
  <c r="G25" i="78"/>
  <c r="K25" i="78" s="1"/>
  <c r="G59" i="75"/>
  <c r="K59" i="75" s="1"/>
  <c r="G180" i="75"/>
  <c r="K180" i="75" s="1"/>
  <c r="G9" i="75"/>
  <c r="K9" i="75" s="1"/>
  <c r="I204" i="75"/>
  <c r="M204" i="75" s="1"/>
  <c r="C32" i="76" s="1"/>
  <c r="G17" i="75"/>
  <c r="K17" i="75" s="1"/>
  <c r="I220" i="75"/>
  <c r="M220" i="75" s="1"/>
  <c r="C34" i="76" s="1"/>
  <c r="G133" i="75"/>
  <c r="K133" i="75" s="1"/>
  <c r="G220" i="75"/>
  <c r="K220" i="75" s="1"/>
  <c r="G33" i="75"/>
  <c r="K33" i="75" s="1"/>
  <c r="G188" i="75"/>
  <c r="K188" i="75" s="1"/>
  <c r="G196" i="75"/>
  <c r="K196" i="75" s="1"/>
  <c r="G212" i="75"/>
  <c r="K212" i="75" s="1"/>
  <c r="I212" i="75"/>
  <c r="M212" i="75" s="1"/>
  <c r="C33" i="76" s="1"/>
  <c r="G150" i="75"/>
  <c r="K150" i="75" s="1"/>
  <c r="G142" i="75"/>
  <c r="K142" i="75" s="1"/>
  <c r="D116" i="75"/>
  <c r="J116" i="75" s="1"/>
  <c r="I116" i="75"/>
  <c r="M116" i="75" s="1"/>
  <c r="C22" i="76" s="1"/>
  <c r="I92" i="75"/>
  <c r="M92" i="75" s="1"/>
  <c r="C19" i="76" s="1"/>
  <c r="I228" i="75"/>
  <c r="M228" i="75" s="1"/>
  <c r="C35" i="76" s="1"/>
  <c r="I170" i="75"/>
  <c r="M170" i="75" s="1"/>
  <c r="C28" i="76" s="1"/>
  <c r="G92" i="75"/>
  <c r="K92" i="75" s="1"/>
  <c r="G228" i="75"/>
  <c r="K228" i="75" s="1"/>
  <c r="D100" i="75"/>
  <c r="J100" i="75" s="1"/>
  <c r="G204" i="75"/>
  <c r="K204" i="75" s="1"/>
  <c r="X14" i="73"/>
  <c r="G28" i="72"/>
  <c r="G12" i="72"/>
  <c r="D20" i="72"/>
  <c r="D52" i="72"/>
  <c r="X29" i="70"/>
  <c r="X23" i="70"/>
  <c r="G121" i="69"/>
  <c r="K121" i="69" s="1"/>
  <c r="G47" i="69"/>
  <c r="K47" i="69" s="1"/>
  <c r="G147" i="69"/>
  <c r="K147" i="69" s="1"/>
  <c r="G98" i="69"/>
  <c r="K98" i="69" s="1"/>
  <c r="G35" i="69"/>
  <c r="K35" i="69" s="1"/>
  <c r="D73" i="69"/>
  <c r="J73" i="69" s="1"/>
  <c r="D65" i="69"/>
  <c r="J65" i="69" s="1"/>
  <c r="Y16" i="67"/>
  <c r="G124" i="66"/>
  <c r="K124" i="66" s="1"/>
  <c r="G181" i="66"/>
  <c r="K181" i="66" s="1"/>
  <c r="G42" i="66"/>
  <c r="K42" i="66" s="1"/>
  <c r="G52" i="66"/>
  <c r="K52" i="66" s="1"/>
  <c r="D148" i="66"/>
  <c r="J148" i="66" s="1"/>
  <c r="G63" i="66"/>
  <c r="G143" i="66"/>
  <c r="X27" i="64"/>
  <c r="K91" i="63"/>
  <c r="G64" i="63"/>
  <c r="G91" i="63"/>
  <c r="G154" i="63"/>
  <c r="K46" i="63"/>
  <c r="G46" i="63"/>
  <c r="G100" i="63"/>
  <c r="G73" i="63"/>
  <c r="K163" i="63"/>
  <c r="M154" i="63"/>
  <c r="C25" i="64" s="1"/>
  <c r="M109" i="63"/>
  <c r="C20" i="64" s="1"/>
  <c r="K37" i="63"/>
  <c r="J37" i="63"/>
  <c r="M28" i="63"/>
  <c r="C11" i="64" s="1"/>
  <c r="K154" i="63"/>
  <c r="M145" i="63"/>
  <c r="C24" i="64" s="1"/>
  <c r="K109" i="63"/>
  <c r="K73" i="63"/>
  <c r="M199" i="63"/>
  <c r="C30" i="64" s="1"/>
  <c r="K145" i="63"/>
  <c r="M136" i="63"/>
  <c r="C23" i="64" s="1"/>
  <c r="D118" i="63"/>
  <c r="K100" i="63"/>
  <c r="K64" i="63"/>
  <c r="D109" i="63"/>
  <c r="I100" i="63"/>
  <c r="D73" i="63"/>
  <c r="I64" i="63"/>
  <c r="G28" i="63"/>
  <c r="I190" i="63"/>
  <c r="D28" i="63"/>
  <c r="I19" i="63"/>
  <c r="J118" i="63"/>
  <c r="J82" i="63"/>
  <c r="M73" i="63"/>
  <c r="C16" i="64" s="1"/>
  <c r="D82" i="63"/>
  <c r="M55" i="63"/>
  <c r="C14" i="64" s="1"/>
  <c r="Y20" i="61"/>
  <c r="G89" i="60"/>
  <c r="K156" i="60"/>
  <c r="K53" i="60"/>
  <c r="D25" i="60"/>
  <c r="J25" i="60"/>
  <c r="J21" i="60"/>
  <c r="D118" i="60"/>
  <c r="J118" i="60"/>
  <c r="G113" i="60"/>
  <c r="J113" i="60"/>
  <c r="J81" i="60"/>
  <c r="G77" i="60"/>
  <c r="D61" i="60"/>
  <c r="G57" i="60"/>
  <c r="J61" i="60"/>
  <c r="D65" i="60"/>
  <c r="J57" i="60"/>
  <c r="M9" i="60"/>
  <c r="C9" i="61" s="1"/>
  <c r="J135" i="60"/>
  <c r="D126" i="60"/>
  <c r="D99" i="60"/>
  <c r="K44" i="60"/>
  <c r="D35" i="60"/>
  <c r="M156" i="60"/>
  <c r="C27" i="61" s="1"/>
  <c r="D135" i="60"/>
  <c r="J130" i="60"/>
  <c r="N122" i="60"/>
  <c r="J103" i="60"/>
  <c r="N93" i="60"/>
  <c r="N66" i="60"/>
  <c r="O69" i="60" s="1"/>
  <c r="N29" i="60"/>
  <c r="I126" i="60"/>
  <c r="N126" i="60" s="1"/>
  <c r="I99" i="60"/>
  <c r="N99" i="60" s="1"/>
  <c r="I35" i="60"/>
  <c r="N35" i="60" s="1"/>
  <c r="D109" i="60"/>
  <c r="I118" i="60"/>
  <c r="N118" i="60" s="1"/>
  <c r="I89" i="60"/>
  <c r="N89" i="60" s="1"/>
  <c r="I25" i="60"/>
  <c r="N25" i="60" s="1"/>
  <c r="N161" i="60"/>
  <c r="O164" i="60" s="1"/>
  <c r="I156" i="60"/>
  <c r="N156" i="60" s="1"/>
  <c r="M69" i="60"/>
  <c r="C16" i="61" s="1"/>
  <c r="M61" i="60"/>
  <c r="C15" i="61" s="1"/>
  <c r="J109" i="60"/>
  <c r="D24" i="57"/>
  <c r="I169" i="57"/>
  <c r="N169" i="57" s="1"/>
  <c r="G169" i="57"/>
  <c r="K169" i="57"/>
  <c r="G28" i="57"/>
  <c r="J32" i="57"/>
  <c r="D36" i="57"/>
  <c r="J28" i="57"/>
  <c r="M24" i="57"/>
  <c r="K198" i="57"/>
  <c r="I120" i="57"/>
  <c r="N120" i="57" s="1"/>
  <c r="K161" i="57"/>
  <c r="I49" i="57"/>
  <c r="N49" i="57" s="1"/>
  <c r="O41" i="57"/>
  <c r="M102" i="57"/>
  <c r="G96" i="57"/>
  <c r="D102" i="57"/>
  <c r="J102" i="57"/>
  <c r="I92" i="57"/>
  <c r="N92" i="57" s="1"/>
  <c r="N79" i="57"/>
  <c r="O82" i="57" s="1"/>
  <c r="M82" i="57"/>
  <c r="I24" i="57"/>
  <c r="N24" i="57" s="1"/>
  <c r="G9" i="57"/>
  <c r="G16" i="57" s="1"/>
  <c r="N164" i="57"/>
  <c r="M57" i="57"/>
  <c r="N54" i="57"/>
  <c r="J45" i="57"/>
  <c r="G45" i="57"/>
  <c r="J49" i="57"/>
  <c r="D53" i="57"/>
  <c r="G146" i="57"/>
  <c r="J146" i="57"/>
  <c r="J150" i="57"/>
  <c r="D65" i="57"/>
  <c r="G61" i="57"/>
  <c r="J65" i="57"/>
  <c r="N6" i="57"/>
  <c r="M9" i="57"/>
  <c r="M169" i="57"/>
  <c r="X29" i="58" s="1"/>
  <c r="J120" i="57"/>
  <c r="O161" i="57"/>
  <c r="D92" i="57"/>
  <c r="G86" i="57"/>
  <c r="J92" i="57"/>
  <c r="J86" i="57"/>
  <c r="J78" i="57"/>
  <c r="G78" i="57"/>
  <c r="J82" i="57"/>
  <c r="I161" i="57"/>
  <c r="N161" i="57" s="1"/>
  <c r="M161" i="57"/>
  <c r="X28" i="58" s="1"/>
  <c r="J114" i="57"/>
  <c r="M110" i="57"/>
  <c r="D150" i="57"/>
  <c r="N147" i="57"/>
  <c r="O150" i="57" s="1"/>
  <c r="M150" i="57"/>
  <c r="K142" i="57"/>
  <c r="M120" i="57"/>
  <c r="N114" i="57"/>
  <c r="G110" i="57"/>
  <c r="N69" i="57"/>
  <c r="D32" i="57"/>
  <c r="N29" i="57"/>
  <c r="M32" i="57"/>
  <c r="G114" i="57"/>
  <c r="K110" i="57"/>
  <c r="I74" i="57"/>
  <c r="N74" i="57" s="1"/>
  <c r="N46" i="57"/>
  <c r="O49" i="57" s="1"/>
  <c r="I9" i="57"/>
  <c r="I82" i="57"/>
  <c r="N82" i="57" s="1"/>
  <c r="K24" i="100"/>
  <c r="O170" i="75" l="1"/>
  <c r="B13" i="99"/>
  <c r="A31" i="100"/>
  <c r="C41" i="100" s="1"/>
  <c r="D31" i="100"/>
  <c r="F2" i="96"/>
  <c r="B34" i="100"/>
  <c r="E33" i="88"/>
  <c r="D33" i="88"/>
  <c r="B33" i="88" s="1"/>
  <c r="P33" i="88" s="1"/>
  <c r="M25" i="90"/>
  <c r="C11" i="91" s="1"/>
  <c r="A5721" i="101" a="1"/>
  <c r="A5721" i="101" s="1"/>
  <c r="E32" i="88"/>
  <c r="D32" i="88"/>
  <c r="B32" i="88" s="1"/>
  <c r="P32" i="88" s="1"/>
  <c r="R23" i="61"/>
  <c r="E34" i="85"/>
  <c r="D34" i="85"/>
  <c r="B34" i="85" s="1"/>
  <c r="P34" i="85" s="1"/>
  <c r="E33" i="82"/>
  <c r="D33" i="82"/>
  <c r="B33" i="82" s="1"/>
  <c r="P33" i="82" s="1"/>
  <c r="E16" i="64"/>
  <c r="D16" i="64"/>
  <c r="E20" i="64"/>
  <c r="D20" i="64"/>
  <c r="S17" i="76"/>
  <c r="D17" i="76"/>
  <c r="D25" i="64"/>
  <c r="E9" i="85"/>
  <c r="D9" i="85"/>
  <c r="E9" i="64"/>
  <c r="D9" i="64"/>
  <c r="D28" i="73"/>
  <c r="D26" i="61"/>
  <c r="Q26" i="61" s="1"/>
  <c r="D11" i="85"/>
  <c r="E11" i="85"/>
  <c r="E22" i="85"/>
  <c r="D22" i="85"/>
  <c r="E14" i="79"/>
  <c r="D14" i="79"/>
  <c r="E31" i="73"/>
  <c r="D31" i="73"/>
  <c r="D21" i="73"/>
  <c r="E30" i="91"/>
  <c r="D30" i="91"/>
  <c r="B30" i="91" s="1"/>
  <c r="P30" i="91" s="1"/>
  <c r="E17" i="85"/>
  <c r="D17" i="85"/>
  <c r="E15" i="91"/>
  <c r="D15" i="91"/>
  <c r="D24" i="64"/>
  <c r="E24" i="64"/>
  <c r="D28" i="76"/>
  <c r="R28" i="76" s="1"/>
  <c r="X30" i="73"/>
  <c r="D30" i="73"/>
  <c r="E26" i="91"/>
  <c r="D26" i="91"/>
  <c r="E27" i="85"/>
  <c r="D27" i="85"/>
  <c r="E20" i="91"/>
  <c r="D20" i="91"/>
  <c r="E25" i="79"/>
  <c r="D25" i="79"/>
  <c r="E21" i="76"/>
  <c r="D21" i="76"/>
  <c r="E22" i="88"/>
  <c r="D22" i="88"/>
  <c r="D26" i="76"/>
  <c r="E26" i="76" s="1"/>
  <c r="D18" i="64"/>
  <c r="D157" i="66"/>
  <c r="J157" i="66" s="1"/>
  <c r="D33" i="76"/>
  <c r="E33" i="76"/>
  <c r="M97" i="87"/>
  <c r="C20" i="88" s="1"/>
  <c r="A5201" i="101" a="1"/>
  <c r="A5201" i="101" s="1"/>
  <c r="D17" i="79"/>
  <c r="E17" i="79"/>
  <c r="D33" i="73"/>
  <c r="D16" i="76"/>
  <c r="D23" i="88"/>
  <c r="S23" i="88" s="1"/>
  <c r="E23" i="88"/>
  <c r="E9" i="76"/>
  <c r="D9" i="76"/>
  <c r="M41" i="81"/>
  <c r="C13" i="82" s="1"/>
  <c r="A4161" i="101" a="1"/>
  <c r="A4161" i="101" s="1"/>
  <c r="E20" i="85"/>
  <c r="D20" i="85"/>
  <c r="E29" i="76"/>
  <c r="D29" i="76"/>
  <c r="S29" i="76" s="1"/>
  <c r="X16" i="85"/>
  <c r="E16" i="85"/>
  <c r="D16" i="85"/>
  <c r="D22" i="61"/>
  <c r="E22" i="61"/>
  <c r="E27" i="61"/>
  <c r="D27" i="61"/>
  <c r="E11" i="64"/>
  <c r="D11" i="64"/>
  <c r="D26" i="73"/>
  <c r="E10" i="76"/>
  <c r="D10" i="76"/>
  <c r="D24" i="61"/>
  <c r="S24" i="61" s="1"/>
  <c r="E27" i="82"/>
  <c r="D27" i="82"/>
  <c r="R27" i="82" s="1"/>
  <c r="X13" i="70"/>
  <c r="D12" i="70"/>
  <c r="R17" i="58"/>
  <c r="E17" i="58"/>
  <c r="D17" i="58"/>
  <c r="Q31" i="70"/>
  <c r="D31" i="70"/>
  <c r="R31" i="70" s="1"/>
  <c r="E9" i="67"/>
  <c r="F9" i="67"/>
  <c r="D19" i="70"/>
  <c r="Q19" i="70" s="1"/>
  <c r="R20" i="70"/>
  <c r="E20" i="70"/>
  <c r="D20" i="70"/>
  <c r="S13" i="58"/>
  <c r="D13" i="58"/>
  <c r="E13" i="58"/>
  <c r="B14" i="73"/>
  <c r="P14" i="73" s="1"/>
  <c r="Y14" i="73"/>
  <c r="E14" i="64"/>
  <c r="D14" i="64"/>
  <c r="E22" i="91"/>
  <c r="D22" i="91"/>
  <c r="E9" i="88"/>
  <c r="D9" i="88"/>
  <c r="E10" i="91"/>
  <c r="D10" i="91"/>
  <c r="E15" i="82"/>
  <c r="D15" i="82"/>
  <c r="E25" i="85"/>
  <c r="D25" i="85"/>
  <c r="E12" i="76"/>
  <c r="D12" i="76"/>
  <c r="E14" i="76"/>
  <c r="D14" i="76"/>
  <c r="E20" i="76"/>
  <c r="D20" i="76"/>
  <c r="E19" i="79"/>
  <c r="D19" i="79"/>
  <c r="D12" i="61"/>
  <c r="D11" i="76"/>
  <c r="E13" i="64"/>
  <c r="D13" i="64"/>
  <c r="D22" i="73"/>
  <c r="E18" i="79"/>
  <c r="D18" i="79"/>
  <c r="E22" i="58"/>
  <c r="D22" i="58"/>
  <c r="D20" i="58"/>
  <c r="Q20" i="58" s="1"/>
  <c r="X26" i="85"/>
  <c r="D26" i="85"/>
  <c r="E26" i="85"/>
  <c r="R23" i="70"/>
  <c r="E23" i="70"/>
  <c r="D23" i="70"/>
  <c r="E22" i="67"/>
  <c r="D25" i="58"/>
  <c r="R30" i="67"/>
  <c r="E30" i="67"/>
  <c r="D26" i="70"/>
  <c r="B9" i="58"/>
  <c r="P9" i="58" s="1"/>
  <c r="E34" i="79"/>
  <c r="D34" i="79"/>
  <c r="B34" i="79" s="1"/>
  <c r="P34" i="79" s="1"/>
  <c r="X16" i="91"/>
  <c r="E16" i="91"/>
  <c r="D16" i="91"/>
  <c r="E12" i="82"/>
  <c r="D12" i="82"/>
  <c r="S23" i="67"/>
  <c r="F23" i="67"/>
  <c r="E23" i="67"/>
  <c r="D30" i="70"/>
  <c r="X29" i="85"/>
  <c r="E29" i="85"/>
  <c r="D29" i="85"/>
  <c r="D15" i="58"/>
  <c r="E19" i="88"/>
  <c r="D19" i="88"/>
  <c r="E24" i="91"/>
  <c r="D24" i="91"/>
  <c r="E32" i="85"/>
  <c r="D32" i="85"/>
  <c r="B32" i="85" s="1"/>
  <c r="P32" i="85" s="1"/>
  <c r="D19" i="82"/>
  <c r="Q19" i="82" s="1"/>
  <c r="E19" i="82"/>
  <c r="E19" i="85"/>
  <c r="D19" i="85"/>
  <c r="E30" i="76"/>
  <c r="D30" i="76"/>
  <c r="S30" i="76" s="1"/>
  <c r="E18" i="91"/>
  <c r="D18" i="91"/>
  <c r="E28" i="82"/>
  <c r="D28" i="82"/>
  <c r="D22" i="64"/>
  <c r="E11" i="79"/>
  <c r="D11" i="79"/>
  <c r="E31" i="79"/>
  <c r="D31" i="79"/>
  <c r="D17" i="64"/>
  <c r="X19" i="73"/>
  <c r="D19" i="73"/>
  <c r="D27" i="91"/>
  <c r="E27" i="91"/>
  <c r="E20" i="67"/>
  <c r="S25" i="70"/>
  <c r="E25" i="70"/>
  <c r="D25" i="70"/>
  <c r="R21" i="88"/>
  <c r="E21" i="88"/>
  <c r="D21" i="88"/>
  <c r="F16" i="67"/>
  <c r="F17" i="67"/>
  <c r="S17" i="67"/>
  <c r="E28" i="88"/>
  <c r="D28" i="88"/>
  <c r="E16" i="88"/>
  <c r="D16" i="88"/>
  <c r="Q19" i="58"/>
  <c r="E19" i="58"/>
  <c r="D19" i="58"/>
  <c r="D26" i="58"/>
  <c r="S26" i="58" s="1"/>
  <c r="E13" i="61"/>
  <c r="D13" i="61"/>
  <c r="B13" i="73"/>
  <c r="P13" i="73" s="1"/>
  <c r="Y13" i="73"/>
  <c r="Z28" i="67"/>
  <c r="X12" i="85"/>
  <c r="E12" i="85"/>
  <c r="D12" i="85"/>
  <c r="E21" i="82"/>
  <c r="D21" i="82"/>
  <c r="S21" i="82" s="1"/>
  <c r="E13" i="85"/>
  <c r="D13" i="85"/>
  <c r="E28" i="91"/>
  <c r="D28" i="91"/>
  <c r="E13" i="79"/>
  <c r="D13" i="79"/>
  <c r="X15" i="61"/>
  <c r="E15" i="61"/>
  <c r="D15" i="61"/>
  <c r="D23" i="64"/>
  <c r="E14" i="85"/>
  <c r="D14" i="85"/>
  <c r="Q14" i="85" s="1"/>
  <c r="X26" i="82"/>
  <c r="E26" i="82"/>
  <c r="D26" i="82"/>
  <c r="D32" i="82"/>
  <c r="E32" i="82"/>
  <c r="E21" i="91"/>
  <c r="D21" i="91"/>
  <c r="X18" i="73"/>
  <c r="D18" i="73"/>
  <c r="D34" i="73"/>
  <c r="S34" i="73" s="1"/>
  <c r="E24" i="85"/>
  <c r="D24" i="85"/>
  <c r="E18" i="82"/>
  <c r="D18" i="82"/>
  <c r="E12" i="91"/>
  <c r="D12" i="91"/>
  <c r="X21" i="85"/>
  <c r="D21" i="85"/>
  <c r="E21" i="85"/>
  <c r="D27" i="58"/>
  <c r="E27" i="58" s="1"/>
  <c r="R17" i="67"/>
  <c r="E16" i="82"/>
  <c r="D16" i="82"/>
  <c r="S27" i="73"/>
  <c r="E27" i="73"/>
  <c r="D27" i="73"/>
  <c r="R30" i="58"/>
  <c r="E30" i="58"/>
  <c r="D30" i="58"/>
  <c r="E18" i="88"/>
  <c r="D18" i="88"/>
  <c r="D14" i="70"/>
  <c r="E32" i="70"/>
  <c r="D32" i="70"/>
  <c r="B28" i="58"/>
  <c r="P28" i="58" s="1"/>
  <c r="Y28" i="58"/>
  <c r="F28" i="67"/>
  <c r="E13" i="91"/>
  <c r="D13" i="91"/>
  <c r="E28" i="64"/>
  <c r="D28" i="64"/>
  <c r="D12" i="73"/>
  <c r="E12" i="73"/>
  <c r="D17" i="73"/>
  <c r="E17" i="73"/>
  <c r="Z17" i="67"/>
  <c r="E10" i="82"/>
  <c r="D10" i="82"/>
  <c r="E23" i="79"/>
  <c r="D23" i="79"/>
  <c r="E18" i="85"/>
  <c r="D18" i="85"/>
  <c r="B18" i="85" s="1"/>
  <c r="P18" i="85" s="1"/>
  <c r="D15" i="79"/>
  <c r="E15" i="79"/>
  <c r="E9" i="82"/>
  <c r="D9" i="82"/>
  <c r="Q17" i="67"/>
  <c r="Q28" i="67"/>
  <c r="R10" i="70"/>
  <c r="E10" i="70"/>
  <c r="D10" i="70"/>
  <c r="S23" i="61"/>
  <c r="D23" i="61"/>
  <c r="E23" i="61"/>
  <c r="D18" i="70"/>
  <c r="Q24" i="67"/>
  <c r="F24" i="67"/>
  <c r="E24" i="67"/>
  <c r="R17" i="91"/>
  <c r="E17" i="91"/>
  <c r="D17" i="91"/>
  <c r="Y16" i="70"/>
  <c r="Z29" i="67"/>
  <c r="E23" i="82"/>
  <c r="D23" i="82"/>
  <c r="D29" i="64"/>
  <c r="X25" i="76"/>
  <c r="E25" i="76"/>
  <c r="D25" i="76"/>
  <c r="D9" i="61"/>
  <c r="E9" i="61" s="1"/>
  <c r="E35" i="76"/>
  <c r="D35" i="76"/>
  <c r="B35" i="76" s="1"/>
  <c r="P35" i="76" s="1"/>
  <c r="E25" i="88"/>
  <c r="D25" i="88"/>
  <c r="B25" i="88" s="1"/>
  <c r="P25" i="88" s="1"/>
  <c r="E23" i="91"/>
  <c r="D23" i="91"/>
  <c r="X24" i="82"/>
  <c r="E24" i="82"/>
  <c r="D24" i="82"/>
  <c r="D29" i="88"/>
  <c r="E29" i="88"/>
  <c r="E14" i="82"/>
  <c r="D14" i="82"/>
  <c r="B14" i="82" s="1"/>
  <c r="P14" i="82" s="1"/>
  <c r="E11" i="82"/>
  <c r="D11" i="82"/>
  <c r="Q11" i="82" s="1"/>
  <c r="D16" i="61"/>
  <c r="D19" i="76"/>
  <c r="E34" i="76"/>
  <c r="D34" i="76"/>
  <c r="S34" i="76" s="1"/>
  <c r="E9" i="91"/>
  <c r="D9" i="91"/>
  <c r="E10" i="79"/>
  <c r="D10" i="79"/>
  <c r="S10" i="79" s="1"/>
  <c r="D14" i="91"/>
  <c r="E14" i="91"/>
  <c r="E34" i="82"/>
  <c r="D34" i="82"/>
  <c r="E17" i="82"/>
  <c r="D17" i="82"/>
  <c r="X20" i="73"/>
  <c r="E20" i="73"/>
  <c r="D20" i="73"/>
  <c r="D28" i="61"/>
  <c r="E28" i="61"/>
  <c r="D13" i="76"/>
  <c r="E13" i="76" s="1"/>
  <c r="D15" i="64"/>
  <c r="D23" i="76"/>
  <c r="D18" i="61"/>
  <c r="X25" i="61"/>
  <c r="D25" i="61"/>
  <c r="E27" i="76"/>
  <c r="D27" i="76"/>
  <c r="S27" i="76" s="1"/>
  <c r="K126" i="60"/>
  <c r="D21" i="64"/>
  <c r="E29" i="79"/>
  <c r="D29" i="79"/>
  <c r="E16" i="79"/>
  <c r="D16" i="79"/>
  <c r="E19" i="91"/>
  <c r="D19" i="91"/>
  <c r="D30" i="64"/>
  <c r="E30" i="64"/>
  <c r="D22" i="76"/>
  <c r="E22" i="76" s="1"/>
  <c r="E25" i="91"/>
  <c r="D25" i="91"/>
  <c r="E29" i="91"/>
  <c r="D29" i="91"/>
  <c r="E12" i="88"/>
  <c r="D12" i="88"/>
  <c r="E33" i="79"/>
  <c r="D33" i="79"/>
  <c r="B33" i="79" s="1"/>
  <c r="P33" i="79" s="1"/>
  <c r="E21" i="79"/>
  <c r="D21" i="79"/>
  <c r="D31" i="85"/>
  <c r="B31" i="85" s="1"/>
  <c r="P31" i="85" s="1"/>
  <c r="E31" i="85"/>
  <c r="X30" i="82"/>
  <c r="E30" i="82"/>
  <c r="D30" i="82"/>
  <c r="E10" i="85"/>
  <c r="D10" i="85"/>
  <c r="X16" i="73"/>
  <c r="E16" i="73"/>
  <c r="D16" i="73"/>
  <c r="D24" i="76"/>
  <c r="E24" i="76"/>
  <c r="E25" i="82"/>
  <c r="D25" i="82"/>
  <c r="D18" i="76"/>
  <c r="R18" i="76" s="1"/>
  <c r="D14" i="61"/>
  <c r="E14" i="61"/>
  <c r="D26" i="64"/>
  <c r="E25" i="73"/>
  <c r="D25" i="73"/>
  <c r="D15" i="76"/>
  <c r="X26" i="88"/>
  <c r="E26" i="88"/>
  <c r="D26" i="88"/>
  <c r="X11" i="58"/>
  <c r="D11" i="58"/>
  <c r="D21" i="58"/>
  <c r="E9" i="70"/>
  <c r="D9" i="70"/>
  <c r="R28" i="67"/>
  <c r="E21" i="70"/>
  <c r="D21" i="70"/>
  <c r="D34" i="70"/>
  <c r="Q33" i="85"/>
  <c r="E33" i="85"/>
  <c r="D33" i="85"/>
  <c r="B33" i="85" s="1"/>
  <c r="P33" i="85" s="1"/>
  <c r="S33" i="70"/>
  <c r="D33" i="70"/>
  <c r="E33" i="70" s="1"/>
  <c r="E24" i="70"/>
  <c r="D24" i="70"/>
  <c r="E12" i="67"/>
  <c r="E15" i="70"/>
  <c r="E28" i="70"/>
  <c r="F29" i="67"/>
  <c r="Q16" i="67"/>
  <c r="S28" i="67"/>
  <c r="E10" i="67"/>
  <c r="E29" i="82"/>
  <c r="D29" i="82"/>
  <c r="F32" i="67"/>
  <c r="E32" i="67"/>
  <c r="X23" i="58"/>
  <c r="D23" i="58"/>
  <c r="S24" i="58"/>
  <c r="D24" i="58"/>
  <c r="E24" i="58"/>
  <c r="R29" i="58"/>
  <c r="D29" i="58"/>
  <c r="E29" i="58"/>
  <c r="B10" i="58"/>
  <c r="P10" i="58" s="1"/>
  <c r="Y10" i="58"/>
  <c r="B14" i="58"/>
  <c r="P14" i="58" s="1"/>
  <c r="Y14" i="58"/>
  <c r="E32" i="76"/>
  <c r="D32" i="76"/>
  <c r="E35" i="91"/>
  <c r="D35" i="91"/>
  <c r="B35" i="91" s="1"/>
  <c r="P35" i="91" s="1"/>
  <c r="E20" i="82"/>
  <c r="D20" i="82"/>
  <c r="E33" i="91"/>
  <c r="D33" i="91"/>
  <c r="B33" i="91" s="1"/>
  <c r="P33" i="91" s="1"/>
  <c r="E31" i="91"/>
  <c r="D31" i="91"/>
  <c r="E34" i="91"/>
  <c r="D34" i="91"/>
  <c r="E24" i="79"/>
  <c r="D24" i="79"/>
  <c r="E27" i="79"/>
  <c r="D27" i="79"/>
  <c r="D19" i="64"/>
  <c r="E19" i="64"/>
  <c r="D10" i="73"/>
  <c r="S10" i="73" s="1"/>
  <c r="M30" i="66"/>
  <c r="D11" i="67"/>
  <c r="D15" i="73"/>
  <c r="E15" i="73" s="1"/>
  <c r="D11" i="61"/>
  <c r="E11" i="61"/>
  <c r="D12" i="64"/>
  <c r="E12" i="64" s="1"/>
  <c r="D10" i="61"/>
  <c r="E10" i="61"/>
  <c r="D21" i="61"/>
  <c r="B40" i="100"/>
  <c r="R37" i="100" s="1"/>
  <c r="E10" i="88"/>
  <c r="D10" i="88"/>
  <c r="E27" i="88"/>
  <c r="D27" i="88"/>
  <c r="E22" i="82"/>
  <c r="D22" i="82"/>
  <c r="E31" i="88"/>
  <c r="D31" i="88"/>
  <c r="B31" i="88" s="1"/>
  <c r="P31" i="88" s="1"/>
  <c r="E30" i="88"/>
  <c r="D30" i="88"/>
  <c r="B30" i="88" s="1"/>
  <c r="P30" i="88" s="1"/>
  <c r="X14" i="88"/>
  <c r="E14" i="88"/>
  <c r="D14" i="88"/>
  <c r="E24" i="88"/>
  <c r="D24" i="88"/>
  <c r="E11" i="88"/>
  <c r="D11" i="88"/>
  <c r="D26" i="79"/>
  <c r="E26" i="79"/>
  <c r="D12" i="79"/>
  <c r="E12" i="79"/>
  <c r="E9" i="79"/>
  <c r="D9" i="79"/>
  <c r="E15" i="85"/>
  <c r="D15" i="85"/>
  <c r="E30" i="85"/>
  <c r="D30" i="85"/>
  <c r="D23" i="73"/>
  <c r="Q23" i="73" s="1"/>
  <c r="E17" i="88"/>
  <c r="D17" i="88"/>
  <c r="D24" i="73"/>
  <c r="E24" i="73"/>
  <c r="D9" i="73"/>
  <c r="E23" i="85"/>
  <c r="D23" i="85"/>
  <c r="E32" i="73"/>
  <c r="D32" i="73"/>
  <c r="R16" i="67"/>
  <c r="R26" i="67"/>
  <c r="F26" i="67"/>
  <c r="E26" i="67"/>
  <c r="E13" i="67"/>
  <c r="F13" i="67" s="1"/>
  <c r="E19" i="67"/>
  <c r="F19" i="67"/>
  <c r="Q13" i="70"/>
  <c r="E13" i="70"/>
  <c r="D13" i="70"/>
  <c r="D20" i="79"/>
  <c r="E20" i="79"/>
  <c r="Q9" i="58"/>
  <c r="B11" i="70"/>
  <c r="P11" i="70" s="1"/>
  <c r="Y12" i="70"/>
  <c r="E14" i="58"/>
  <c r="S16" i="67"/>
  <c r="X28" i="85"/>
  <c r="E28" i="85"/>
  <c r="D28" i="85"/>
  <c r="X28" i="79"/>
  <c r="E28" i="79"/>
  <c r="D28" i="79"/>
  <c r="E18" i="67"/>
  <c r="S18" i="67" s="1"/>
  <c r="D16" i="70"/>
  <c r="E30" i="79"/>
  <c r="D30" i="79"/>
  <c r="Z16" i="67"/>
  <c r="S13" i="73"/>
  <c r="Y18" i="58"/>
  <c r="Z14" i="67"/>
  <c r="Y16" i="58"/>
  <c r="E15" i="88"/>
  <c r="D15" i="88"/>
  <c r="E32" i="79"/>
  <c r="D32" i="79"/>
  <c r="E22" i="79"/>
  <c r="D22" i="79"/>
  <c r="S22" i="79" s="1"/>
  <c r="E25" i="67"/>
  <c r="F25" i="67" s="1"/>
  <c r="D29" i="73"/>
  <c r="R29" i="73" s="1"/>
  <c r="D27" i="64"/>
  <c r="E32" i="91"/>
  <c r="D32" i="91"/>
  <c r="X10" i="64"/>
  <c r="E10" i="64"/>
  <c r="D10" i="64"/>
  <c r="E13" i="88"/>
  <c r="D13" i="88"/>
  <c r="E31" i="76"/>
  <c r="D31" i="76"/>
  <c r="S31" i="76" s="1"/>
  <c r="E17" i="61"/>
  <c r="D17" i="61"/>
  <c r="S17" i="61" s="1"/>
  <c r="M116" i="66"/>
  <c r="D21" i="67"/>
  <c r="E31" i="82"/>
  <c r="D31" i="82"/>
  <c r="E27" i="67"/>
  <c r="X11" i="73"/>
  <c r="D11" i="73"/>
  <c r="E11" i="73"/>
  <c r="R29" i="70"/>
  <c r="D29" i="70"/>
  <c r="D17" i="70"/>
  <c r="R13" i="73"/>
  <c r="Y28" i="70"/>
  <c r="F14" i="67"/>
  <c r="E16" i="58"/>
  <c r="B12" i="99"/>
  <c r="I2" i="96"/>
  <c r="J89" i="60"/>
  <c r="J20" i="57"/>
  <c r="G20" i="57"/>
  <c r="G24" i="57" s="1"/>
  <c r="S29" i="58"/>
  <c r="Q29" i="58"/>
  <c r="X18" i="70"/>
  <c r="X13" i="79"/>
  <c r="X16" i="88"/>
  <c r="M198" i="60"/>
  <c r="X27" i="70"/>
  <c r="O126" i="60"/>
  <c r="X26" i="70"/>
  <c r="R19" i="58"/>
  <c r="Q20" i="67"/>
  <c r="R30" i="70"/>
  <c r="X14" i="85"/>
  <c r="X21" i="88"/>
  <c r="X15" i="58"/>
  <c r="Q29" i="70"/>
  <c r="Q11" i="73"/>
  <c r="Q22" i="67"/>
  <c r="Q27" i="67"/>
  <c r="R13" i="61"/>
  <c r="S16" i="70"/>
  <c r="S29" i="70"/>
  <c r="Q29" i="82"/>
  <c r="R16" i="70"/>
  <c r="Q24" i="58"/>
  <c r="O35" i="60"/>
  <c r="X28" i="88"/>
  <c r="X13" i="61"/>
  <c r="R11" i="73"/>
  <c r="R29" i="82"/>
  <c r="O89" i="60"/>
  <c r="X23" i="61"/>
  <c r="R10" i="67"/>
  <c r="S18" i="70"/>
  <c r="Q24" i="70"/>
  <c r="S19" i="67"/>
  <c r="R33" i="70"/>
  <c r="S24" i="70"/>
  <c r="X15" i="70"/>
  <c r="Q33" i="70"/>
  <c r="S24" i="67"/>
  <c r="X10" i="88"/>
  <c r="N7" i="55"/>
  <c r="B6" i="55" s="1" a="1"/>
  <c r="B6" i="55" s="1"/>
  <c r="B27" i="55" s="1" a="1"/>
  <c r="B27" i="55" s="1"/>
  <c r="Y24" i="67"/>
  <c r="R21" i="70"/>
  <c r="S10" i="70"/>
  <c r="Q21" i="70"/>
  <c r="Q18" i="70"/>
  <c r="R19" i="67"/>
  <c r="X25" i="70"/>
  <c r="R27" i="73"/>
  <c r="Q10" i="70"/>
  <c r="O9" i="57"/>
  <c r="Q26" i="67"/>
  <c r="S14" i="70"/>
  <c r="S13" i="70"/>
  <c r="R13" i="58"/>
  <c r="R24" i="67"/>
  <c r="S33" i="85"/>
  <c r="S29" i="82"/>
  <c r="X18" i="88"/>
  <c r="X17" i="70"/>
  <c r="Y26" i="67"/>
  <c r="R15" i="76"/>
  <c r="X19" i="70"/>
  <c r="X29" i="82"/>
  <c r="S26" i="67"/>
  <c r="Y32" i="67"/>
  <c r="R28" i="85"/>
  <c r="R14" i="70"/>
  <c r="R13" i="70"/>
  <c r="S12" i="67"/>
  <c r="R18" i="88"/>
  <c r="X27" i="73"/>
  <c r="R33" i="85"/>
  <c r="X15" i="76"/>
  <c r="X13" i="58"/>
  <c r="R23" i="67"/>
  <c r="Q25" i="70"/>
  <c r="S30" i="67"/>
  <c r="X20" i="88"/>
  <c r="O9" i="60"/>
  <c r="Q16" i="82"/>
  <c r="Q27" i="73"/>
  <c r="Q23" i="67"/>
  <c r="S17" i="58"/>
  <c r="Q9" i="67"/>
  <c r="S20" i="70"/>
  <c r="Q23" i="70"/>
  <c r="X25" i="58"/>
  <c r="O109" i="60"/>
  <c r="S23" i="70"/>
  <c r="Q30" i="70"/>
  <c r="G109" i="60"/>
  <c r="S29" i="85"/>
  <c r="Q17" i="58"/>
  <c r="Q20" i="70"/>
  <c r="X21" i="70"/>
  <c r="C17" i="55"/>
  <c r="K135" i="60"/>
  <c r="X16" i="82"/>
  <c r="O118" i="60"/>
  <c r="X26" i="58"/>
  <c r="S21" i="88"/>
  <c r="S19" i="58"/>
  <c r="S25" i="58"/>
  <c r="R26" i="58"/>
  <c r="Q28" i="79"/>
  <c r="S30" i="58"/>
  <c r="Q18" i="67"/>
  <c r="S28" i="79"/>
  <c r="X20" i="58"/>
  <c r="I216" i="84"/>
  <c r="R29" i="85"/>
  <c r="X24" i="85"/>
  <c r="Y30" i="67"/>
  <c r="Q29" i="85"/>
  <c r="Q21" i="88"/>
  <c r="O99" i="60"/>
  <c r="O32" i="57"/>
  <c r="Y18" i="67"/>
  <c r="X30" i="58"/>
  <c r="S11" i="73"/>
  <c r="Q30" i="58"/>
  <c r="S31" i="70"/>
  <c r="R25" i="70"/>
  <c r="R28" i="79"/>
  <c r="X30" i="70"/>
  <c r="A1041" i="101" a="1"/>
  <c r="A1041" i="101" s="1"/>
  <c r="S16" i="64"/>
  <c r="Q16" i="64"/>
  <c r="R16" i="64"/>
  <c r="X20" i="64"/>
  <c r="Q20" i="64"/>
  <c r="R20" i="64"/>
  <c r="S20" i="64"/>
  <c r="Q22" i="91"/>
  <c r="R22" i="91"/>
  <c r="S22" i="91"/>
  <c r="R9" i="88"/>
  <c r="S9" i="88"/>
  <c r="Q9" i="88"/>
  <c r="R22" i="85"/>
  <c r="Q22" i="85"/>
  <c r="Q30" i="85"/>
  <c r="X23" i="73"/>
  <c r="R11" i="79"/>
  <c r="S13" i="64"/>
  <c r="Q13" i="64"/>
  <c r="R13" i="64"/>
  <c r="Q24" i="73"/>
  <c r="R24" i="73"/>
  <c r="S24" i="73"/>
  <c r="Q16" i="79"/>
  <c r="R16" i="79"/>
  <c r="S16" i="79"/>
  <c r="S9" i="70"/>
  <c r="Q9" i="70"/>
  <c r="R9" i="70"/>
  <c r="Q22" i="88"/>
  <c r="R22" i="88"/>
  <c r="S22" i="88"/>
  <c r="S15" i="61"/>
  <c r="Q15" i="61"/>
  <c r="R15" i="61"/>
  <c r="Q23" i="64"/>
  <c r="R23" i="64"/>
  <c r="S23" i="64"/>
  <c r="Q19" i="88"/>
  <c r="R19" i="88"/>
  <c r="S19" i="88"/>
  <c r="X13" i="82"/>
  <c r="X20" i="85"/>
  <c r="R20" i="85"/>
  <c r="S20" i="85"/>
  <c r="Q20" i="85"/>
  <c r="S25" i="67"/>
  <c r="Q25" i="67"/>
  <c r="R25" i="67"/>
  <c r="S29" i="73"/>
  <c r="Q29" i="73"/>
  <c r="R15" i="64"/>
  <c r="Q15" i="64"/>
  <c r="O169" i="57"/>
  <c r="Q31" i="79"/>
  <c r="Q25" i="61"/>
  <c r="S25" i="61"/>
  <c r="R25" i="61"/>
  <c r="X24" i="61"/>
  <c r="Q24" i="61"/>
  <c r="Q18" i="79"/>
  <c r="R18" i="79"/>
  <c r="S18" i="79"/>
  <c r="Q12" i="70"/>
  <c r="X22" i="64"/>
  <c r="Q12" i="85"/>
  <c r="R12" i="85"/>
  <c r="S12" i="85"/>
  <c r="Q19" i="79"/>
  <c r="S19" i="79"/>
  <c r="S19" i="64"/>
  <c r="Q19" i="64"/>
  <c r="R19" i="64"/>
  <c r="X23" i="85"/>
  <c r="O147" i="60"/>
  <c r="R19" i="73"/>
  <c r="S19" i="73"/>
  <c r="Q19" i="73"/>
  <c r="R16" i="91"/>
  <c r="X12" i="82"/>
  <c r="R26" i="85"/>
  <c r="S26" i="85"/>
  <c r="R16" i="61"/>
  <c r="S16" i="61"/>
  <c r="Q13" i="91"/>
  <c r="R13" i="91"/>
  <c r="S13" i="91"/>
  <c r="R24" i="91"/>
  <c r="S24" i="91"/>
  <c r="R32" i="85"/>
  <c r="S32" i="85"/>
  <c r="Q32" i="85"/>
  <c r="R19" i="82"/>
  <c r="S19" i="82"/>
  <c r="Q17" i="85"/>
  <c r="S17" i="85"/>
  <c r="R15" i="91"/>
  <c r="S14" i="79"/>
  <c r="Q14" i="79"/>
  <c r="R31" i="73"/>
  <c r="Q31" i="73"/>
  <c r="S31" i="73"/>
  <c r="R25" i="82"/>
  <c r="Q25" i="82"/>
  <c r="R12" i="73"/>
  <c r="S12" i="73"/>
  <c r="O132" i="57"/>
  <c r="Q34" i="79"/>
  <c r="S34" i="79"/>
  <c r="Q22" i="58"/>
  <c r="X22" i="58"/>
  <c r="S9" i="61"/>
  <c r="Q9" i="61"/>
  <c r="R9" i="61"/>
  <c r="Q30" i="64"/>
  <c r="S30" i="64"/>
  <c r="R30" i="64"/>
  <c r="R25" i="88"/>
  <c r="R23" i="91"/>
  <c r="Q23" i="91"/>
  <c r="Q23" i="82"/>
  <c r="X21" i="82"/>
  <c r="Q21" i="82"/>
  <c r="R21" i="82"/>
  <c r="X19" i="85"/>
  <c r="S19" i="85"/>
  <c r="R18" i="91"/>
  <c r="S18" i="91"/>
  <c r="Q18" i="91"/>
  <c r="Q27" i="79"/>
  <c r="R27" i="79"/>
  <c r="S27" i="79"/>
  <c r="Q34" i="73"/>
  <c r="R34" i="73"/>
  <c r="R14" i="61"/>
  <c r="X15" i="64"/>
  <c r="X22" i="85"/>
  <c r="Q9" i="91"/>
  <c r="S9" i="91"/>
  <c r="R9" i="91"/>
  <c r="R14" i="85"/>
  <c r="S14" i="85"/>
  <c r="Q26" i="82"/>
  <c r="S26" i="82"/>
  <c r="R24" i="82"/>
  <c r="R16" i="85"/>
  <c r="S16" i="85"/>
  <c r="Q16" i="85"/>
  <c r="Q10" i="73"/>
  <c r="R10" i="73"/>
  <c r="F4" i="73"/>
  <c r="F9" i="96" s="1"/>
  <c r="G15" i="100" s="1"/>
  <c r="R9" i="73"/>
  <c r="S17" i="73"/>
  <c r="R17" i="73"/>
  <c r="Q27" i="91"/>
  <c r="R27" i="91"/>
  <c r="S27" i="91"/>
  <c r="X27" i="91"/>
  <c r="R20" i="58"/>
  <c r="Q28" i="91"/>
  <c r="R32" i="73"/>
  <c r="Q32" i="73"/>
  <c r="Q24" i="64"/>
  <c r="S24" i="64"/>
  <c r="R24" i="64"/>
  <c r="K82" i="63"/>
  <c r="X28" i="82"/>
  <c r="R35" i="91"/>
  <c r="S35" i="91"/>
  <c r="Q35" i="91"/>
  <c r="X20" i="82"/>
  <c r="Q20" i="82"/>
  <c r="R20" i="82"/>
  <c r="S20" i="82"/>
  <c r="Q33" i="91"/>
  <c r="R33" i="91"/>
  <c r="S33" i="91"/>
  <c r="Q12" i="88"/>
  <c r="R12" i="88"/>
  <c r="S12" i="88"/>
  <c r="R33" i="79"/>
  <c r="S33" i="79"/>
  <c r="Q33" i="79"/>
  <c r="S34" i="82"/>
  <c r="Q34" i="82"/>
  <c r="Q18" i="85"/>
  <c r="R18" i="85"/>
  <c r="S18" i="85"/>
  <c r="R15" i="79"/>
  <c r="Q15" i="79"/>
  <c r="S28" i="64"/>
  <c r="R28" i="64"/>
  <c r="Q28" i="64"/>
  <c r="R27" i="64"/>
  <c r="S27" i="64"/>
  <c r="Q27" i="64"/>
  <c r="S32" i="91"/>
  <c r="Q33" i="73"/>
  <c r="S33" i="73"/>
  <c r="Q9" i="64"/>
  <c r="R9" i="64"/>
  <c r="S9" i="64"/>
  <c r="Q17" i="64"/>
  <c r="S17" i="64"/>
  <c r="R17" i="64"/>
  <c r="R26" i="64"/>
  <c r="R21" i="64"/>
  <c r="Q21" i="64"/>
  <c r="S29" i="79"/>
  <c r="Q29" i="79"/>
  <c r="X16" i="79"/>
  <c r="S12" i="91"/>
  <c r="X19" i="91"/>
  <c r="R19" i="91"/>
  <c r="S19" i="91"/>
  <c r="Q19" i="91"/>
  <c r="R21" i="85"/>
  <c r="S21" i="85"/>
  <c r="Q21" i="85"/>
  <c r="X27" i="88"/>
  <c r="R27" i="88"/>
  <c r="S27" i="88"/>
  <c r="Q27" i="88"/>
  <c r="X22" i="82"/>
  <c r="R22" i="82"/>
  <c r="S22" i="82"/>
  <c r="Q22" i="82"/>
  <c r="Q31" i="88"/>
  <c r="R31" i="88"/>
  <c r="S31" i="88"/>
  <c r="Q34" i="91"/>
  <c r="R34" i="91"/>
  <c r="R21" i="79"/>
  <c r="S21" i="79"/>
  <c r="Q21" i="79"/>
  <c r="S31" i="85"/>
  <c r="Q31" i="85"/>
  <c r="R30" i="82"/>
  <c r="X10" i="85"/>
  <c r="R10" i="85"/>
  <c r="Q10" i="85"/>
  <c r="Q16" i="73"/>
  <c r="R16" i="73"/>
  <c r="S16" i="73"/>
  <c r="R18" i="73"/>
  <c r="S18" i="73"/>
  <c r="Q18" i="73"/>
  <c r="S18" i="64"/>
  <c r="Q18" i="64"/>
  <c r="R18" i="64"/>
  <c r="S10" i="64"/>
  <c r="Q10" i="64"/>
  <c r="R10" i="64"/>
  <c r="Q13" i="88"/>
  <c r="R13" i="88"/>
  <c r="S13" i="88"/>
  <c r="Q11" i="61"/>
  <c r="R11" i="61"/>
  <c r="S11" i="61"/>
  <c r="X18" i="79"/>
  <c r="R26" i="88"/>
  <c r="S26" i="88"/>
  <c r="Q26" i="88"/>
  <c r="Q9" i="82"/>
  <c r="S9" i="82"/>
  <c r="X9" i="82"/>
  <c r="Q13" i="79"/>
  <c r="R13" i="79"/>
  <c r="S13" i="79"/>
  <c r="R31" i="82"/>
  <c r="S31" i="82"/>
  <c r="R25" i="91"/>
  <c r="Q25" i="91"/>
  <c r="S29" i="91"/>
  <c r="X10" i="82"/>
  <c r="R10" i="82"/>
  <c r="S10" i="82"/>
  <c r="Q10" i="82"/>
  <c r="R10" i="79"/>
  <c r="Q10" i="79"/>
  <c r="F4" i="91"/>
  <c r="F15" i="96" s="1"/>
  <c r="G21" i="100" s="1"/>
  <c r="R14" i="91"/>
  <c r="Q14" i="91"/>
  <c r="X23" i="79"/>
  <c r="R23" i="79"/>
  <c r="S23" i="79"/>
  <c r="Q23" i="79"/>
  <c r="R29" i="88"/>
  <c r="S29" i="88"/>
  <c r="Q29" i="88"/>
  <c r="R14" i="82"/>
  <c r="S14" i="82"/>
  <c r="Q21" i="91"/>
  <c r="R21" i="91"/>
  <c r="S21" i="91"/>
  <c r="R11" i="82"/>
  <c r="S11" i="82"/>
  <c r="R28" i="82"/>
  <c r="Q28" i="82"/>
  <c r="Q22" i="64"/>
  <c r="R22" i="64"/>
  <c r="R17" i="88"/>
  <c r="S17" i="88"/>
  <c r="Q17" i="88"/>
  <c r="Q24" i="85"/>
  <c r="R24" i="85"/>
  <c r="Q28" i="73"/>
  <c r="S28" i="73"/>
  <c r="R28" i="73"/>
  <c r="Q10" i="61"/>
  <c r="R10" i="61"/>
  <c r="S10" i="61"/>
  <c r="X18" i="82"/>
  <c r="R18" i="82"/>
  <c r="S18" i="82"/>
  <c r="Q18" i="82"/>
  <c r="X11" i="64"/>
  <c r="Q11" i="64"/>
  <c r="S11" i="64"/>
  <c r="R11" i="64"/>
  <c r="R9" i="85"/>
  <c r="Q30" i="88"/>
  <c r="R30" i="88"/>
  <c r="S30" i="88"/>
  <c r="R14" i="88"/>
  <c r="S14" i="88"/>
  <c r="Q14" i="88"/>
  <c r="R24" i="88"/>
  <c r="H4" i="88"/>
  <c r="G14" i="96" s="1"/>
  <c r="H20" i="100" s="1"/>
  <c r="Q24" i="79"/>
  <c r="R24" i="79"/>
  <c r="S24" i="79"/>
  <c r="S20" i="73"/>
  <c r="Q20" i="73"/>
  <c r="R20" i="73"/>
  <c r="X28" i="61"/>
  <c r="R28" i="61"/>
  <c r="Q28" i="61"/>
  <c r="S28" i="61"/>
  <c r="X18" i="61"/>
  <c r="S18" i="61"/>
  <c r="R18" i="61"/>
  <c r="Q18" i="61"/>
  <c r="R25" i="73"/>
  <c r="S25" i="73"/>
  <c r="Q25" i="73"/>
  <c r="X21" i="61"/>
  <c r="S21" i="61"/>
  <c r="R21" i="61"/>
  <c r="S27" i="58"/>
  <c r="Q27" i="58"/>
  <c r="S25" i="64"/>
  <c r="Q25" i="64"/>
  <c r="R25" i="64"/>
  <c r="X22" i="88"/>
  <c r="R30" i="91"/>
  <c r="Q30" i="91"/>
  <c r="R10" i="91"/>
  <c r="Q15" i="82"/>
  <c r="R15" i="82"/>
  <c r="S15" i="82"/>
  <c r="X25" i="85"/>
  <c r="R25" i="85"/>
  <c r="S25" i="85"/>
  <c r="Q25" i="85"/>
  <c r="S32" i="88"/>
  <c r="Q25" i="79"/>
  <c r="R25" i="79"/>
  <c r="S25" i="79"/>
  <c r="Q30" i="73"/>
  <c r="R30" i="73"/>
  <c r="S30" i="73"/>
  <c r="S26" i="73"/>
  <c r="Q26" i="73"/>
  <c r="R26" i="73"/>
  <c r="R26" i="61"/>
  <c r="X27" i="82"/>
  <c r="A3641" i="101" a="1"/>
  <c r="A3641" i="101" s="1"/>
  <c r="S27" i="61"/>
  <c r="Q27" i="61"/>
  <c r="R27" i="61"/>
  <c r="X14" i="64"/>
  <c r="R14" i="64"/>
  <c r="Q14" i="64"/>
  <c r="S14" i="64"/>
  <c r="X24" i="73"/>
  <c r="X26" i="91"/>
  <c r="R26" i="91"/>
  <c r="S26" i="91"/>
  <c r="Q26" i="91"/>
  <c r="Q11" i="85"/>
  <c r="R11" i="85"/>
  <c r="S11" i="85"/>
  <c r="Q33" i="88"/>
  <c r="R33" i="88"/>
  <c r="S33" i="88"/>
  <c r="R26" i="79"/>
  <c r="S26" i="79"/>
  <c r="Q26" i="79"/>
  <c r="Q12" i="79"/>
  <c r="R12" i="79"/>
  <c r="S12" i="79"/>
  <c r="R9" i="79"/>
  <c r="Q15" i="85"/>
  <c r="R15" i="85"/>
  <c r="S15" i="85"/>
  <c r="X12" i="91"/>
  <c r="S12" i="61"/>
  <c r="R12" i="61"/>
  <c r="Q12" i="61"/>
  <c r="Q12" i="64"/>
  <c r="R12" i="64"/>
  <c r="S12" i="64"/>
  <c r="R13" i="85"/>
  <c r="Q13" i="85"/>
  <c r="Q23" i="85"/>
  <c r="R23" i="85"/>
  <c r="S23" i="85"/>
  <c r="Q21" i="58"/>
  <c r="S21" i="58"/>
  <c r="R21" i="58"/>
  <c r="X26" i="73"/>
  <c r="K209" i="84"/>
  <c r="S20" i="91"/>
  <c r="S34" i="85"/>
  <c r="Q34" i="85"/>
  <c r="R27" i="85"/>
  <c r="S27" i="85"/>
  <c r="Q27" i="85"/>
  <c r="R23" i="88"/>
  <c r="Q23" i="88"/>
  <c r="X15" i="88"/>
  <c r="Q15" i="88"/>
  <c r="S15" i="88"/>
  <c r="X17" i="79"/>
  <c r="R17" i="79"/>
  <c r="S17" i="79"/>
  <c r="Q17" i="79"/>
  <c r="R22" i="61"/>
  <c r="S22" i="61"/>
  <c r="X13" i="85"/>
  <c r="O142" i="57"/>
  <c r="Q21" i="73"/>
  <c r="S21" i="73"/>
  <c r="R21" i="73"/>
  <c r="X17" i="61"/>
  <c r="Q17" i="61"/>
  <c r="R17" i="61"/>
  <c r="X28" i="91"/>
  <c r="Q33" i="82"/>
  <c r="R33" i="82"/>
  <c r="S33" i="82"/>
  <c r="Q10" i="88"/>
  <c r="Q44" i="100"/>
  <c r="Q38" i="100"/>
  <c r="Q43" i="100"/>
  <c r="S43" i="100"/>
  <c r="S35" i="100"/>
  <c r="Q39" i="100"/>
  <c r="Q25" i="76"/>
  <c r="S25" i="76"/>
  <c r="R25" i="76"/>
  <c r="R17" i="76"/>
  <c r="Q17" i="76"/>
  <c r="G100" i="75"/>
  <c r="K100" i="75" s="1"/>
  <c r="X17" i="76"/>
  <c r="S15" i="76"/>
  <c r="Q15" i="76"/>
  <c r="D125" i="75"/>
  <c r="J125" i="75" s="1"/>
  <c r="G119" i="75"/>
  <c r="D50" i="75"/>
  <c r="G50" i="75"/>
  <c r="K50" i="75" s="1"/>
  <c r="X13" i="76"/>
  <c r="Q13" i="76"/>
  <c r="R13" i="76"/>
  <c r="S13" i="76"/>
  <c r="Q33" i="76"/>
  <c r="S33" i="76"/>
  <c r="X12" i="76"/>
  <c r="Q12" i="76"/>
  <c r="R12" i="76"/>
  <c r="S12" i="76"/>
  <c r="X16" i="76"/>
  <c r="Q16" i="76"/>
  <c r="R16" i="76"/>
  <c r="S16" i="76"/>
  <c r="Q35" i="76"/>
  <c r="R35" i="76"/>
  <c r="S35" i="76"/>
  <c r="X31" i="76"/>
  <c r="R19" i="76"/>
  <c r="Q23" i="76"/>
  <c r="R23" i="76"/>
  <c r="S23" i="76"/>
  <c r="X10" i="76"/>
  <c r="Q10" i="76"/>
  <c r="R10" i="76"/>
  <c r="S10" i="76"/>
  <c r="X22" i="76"/>
  <c r="Q22" i="76"/>
  <c r="S22" i="76"/>
  <c r="Q21" i="76"/>
  <c r="R21" i="76"/>
  <c r="S21" i="76"/>
  <c r="X18" i="76"/>
  <c r="Q18" i="76"/>
  <c r="S18" i="76"/>
  <c r="R9" i="76"/>
  <c r="S9" i="76"/>
  <c r="Q9" i="76"/>
  <c r="Q32" i="76"/>
  <c r="R32" i="76"/>
  <c r="Q14" i="76"/>
  <c r="R14" i="76"/>
  <c r="S14" i="76"/>
  <c r="Q20" i="76"/>
  <c r="R20" i="76"/>
  <c r="S20" i="76"/>
  <c r="Q11" i="76"/>
  <c r="R11" i="76"/>
  <c r="S11" i="76"/>
  <c r="X30" i="76"/>
  <c r="X26" i="76"/>
  <c r="R26" i="76"/>
  <c r="S26" i="76"/>
  <c r="X28" i="76"/>
  <c r="S24" i="76"/>
  <c r="R24" i="76"/>
  <c r="Q24" i="76"/>
  <c r="F4" i="76"/>
  <c r="F10" i="96" s="1"/>
  <c r="G16" i="100" s="1"/>
  <c r="X24" i="76"/>
  <c r="C43" i="100"/>
  <c r="C40" i="100"/>
  <c r="C35" i="100"/>
  <c r="C38" i="100"/>
  <c r="C37" i="100"/>
  <c r="C39" i="100"/>
  <c r="C36" i="100"/>
  <c r="B4" i="91"/>
  <c r="B15" i="96" s="1"/>
  <c r="X9" i="91"/>
  <c r="H15" i="96"/>
  <c r="X23" i="91"/>
  <c r="X23" i="82"/>
  <c r="X19" i="82"/>
  <c r="X25" i="79"/>
  <c r="G65" i="69"/>
  <c r="X10" i="73"/>
  <c r="X28" i="70"/>
  <c r="X13" i="64"/>
  <c r="X21" i="64"/>
  <c r="H4" i="58"/>
  <c r="G4" i="96" s="1"/>
  <c r="K89" i="60"/>
  <c r="H4" i="64"/>
  <c r="G6" i="96" s="1"/>
  <c r="H12" i="100" s="1"/>
  <c r="Y12" i="67"/>
  <c r="X22" i="73"/>
  <c r="X19" i="76"/>
  <c r="X12" i="88"/>
  <c r="H4" i="91"/>
  <c r="G15" i="96" s="1"/>
  <c r="H21" i="100" s="1"/>
  <c r="X25" i="91"/>
  <c r="X17" i="85"/>
  <c r="X14" i="76"/>
  <c r="X20" i="76"/>
  <c r="X14" i="70"/>
  <c r="X26" i="64"/>
  <c r="I148" i="66"/>
  <c r="X27" i="58"/>
  <c r="B4" i="61"/>
  <c r="H5" i="96"/>
  <c r="X9" i="61"/>
  <c r="X29" i="91"/>
  <c r="X10" i="79"/>
  <c r="X29" i="76"/>
  <c r="X18" i="91"/>
  <c r="H7" i="96"/>
  <c r="Y9" i="67"/>
  <c r="Y23" i="67"/>
  <c r="X12" i="70"/>
  <c r="X14" i="58"/>
  <c r="X29" i="88"/>
  <c r="X14" i="79"/>
  <c r="X19" i="64"/>
  <c r="X22" i="61"/>
  <c r="X27" i="76"/>
  <c r="B4" i="82"/>
  <c r="B12" i="96" s="1"/>
  <c r="Y19" i="67"/>
  <c r="X11" i="70"/>
  <c r="X18" i="58"/>
  <c r="X17" i="64"/>
  <c r="X22" i="70"/>
  <c r="B4" i="70"/>
  <c r="B8" i="96" s="1"/>
  <c r="F4" i="61"/>
  <c r="F5" i="96" s="1"/>
  <c r="G11" i="100" s="1"/>
  <c r="H4" i="73"/>
  <c r="G9" i="96" s="1"/>
  <c r="H15" i="100" s="1"/>
  <c r="G68" i="66"/>
  <c r="K68" i="66" s="1"/>
  <c r="F4" i="82"/>
  <c r="F12" i="96" s="1"/>
  <c r="G18" i="100" s="1"/>
  <c r="X24" i="88"/>
  <c r="X22" i="91"/>
  <c r="X27" i="85"/>
  <c r="X23" i="88"/>
  <c r="X24" i="79"/>
  <c r="X11" i="79"/>
  <c r="X25" i="73"/>
  <c r="X27" i="61"/>
  <c r="X25" i="64"/>
  <c r="F4" i="70"/>
  <c r="F8" i="96" s="1"/>
  <c r="G14" i="100" s="1"/>
  <c r="G17" i="72"/>
  <c r="F4" i="79"/>
  <c r="F11" i="96" s="1"/>
  <c r="G17" i="100" s="1"/>
  <c r="B4" i="88"/>
  <c r="H14" i="96"/>
  <c r="X26" i="79"/>
  <c r="X12" i="79"/>
  <c r="B4" i="64"/>
  <c r="H6" i="96"/>
  <c r="X9" i="64"/>
  <c r="H12" i="96"/>
  <c r="X12" i="64"/>
  <c r="X26" i="61"/>
  <c r="F4" i="58"/>
  <c r="F4" i="96" s="1"/>
  <c r="G10" i="100" s="1"/>
  <c r="X24" i="64"/>
  <c r="F4" i="64"/>
  <c r="F6" i="96" s="1"/>
  <c r="G12" i="100" s="1"/>
  <c r="X14" i="91"/>
  <c r="X15" i="91"/>
  <c r="X18" i="64"/>
  <c r="Y13" i="67"/>
  <c r="X12" i="61"/>
  <c r="X17" i="88"/>
  <c r="X15" i="73"/>
  <c r="X20" i="70"/>
  <c r="G157" i="66"/>
  <c r="K157" i="66" s="1"/>
  <c r="H4" i="82"/>
  <c r="G12" i="96" s="1"/>
  <c r="H18" i="100" s="1"/>
  <c r="G60" i="66"/>
  <c r="K60" i="66" s="1"/>
  <c r="X13" i="88"/>
  <c r="H8" i="96"/>
  <c r="X10" i="61"/>
  <c r="X23" i="64"/>
  <c r="H4" i="70"/>
  <c r="G8" i="96" s="1"/>
  <c r="H14" i="100" s="1"/>
  <c r="G33" i="72"/>
  <c r="K33" i="72" s="1"/>
  <c r="H4" i="79"/>
  <c r="G11" i="96" s="1"/>
  <c r="H17" i="100" s="1"/>
  <c r="X30" i="85"/>
  <c r="X19" i="88"/>
  <c r="X10" i="91"/>
  <c r="X15" i="82"/>
  <c r="B4" i="79"/>
  <c r="H11" i="96"/>
  <c r="X9" i="79"/>
  <c r="X25" i="82"/>
  <c r="C4" i="67"/>
  <c r="I4" i="67"/>
  <c r="G7" i="96" s="1"/>
  <c r="H13" i="100" s="1"/>
  <c r="X17" i="73"/>
  <c r="X16" i="64"/>
  <c r="G148" i="66"/>
  <c r="K148" i="66" s="1"/>
  <c r="X11" i="91"/>
  <c r="X9" i="85"/>
  <c r="X21" i="91"/>
  <c r="X11" i="82"/>
  <c r="X19" i="79"/>
  <c r="O120" i="57"/>
  <c r="X24" i="58"/>
  <c r="B4" i="58"/>
  <c r="H4" i="96"/>
  <c r="O57" i="57"/>
  <c r="X16" i="61"/>
  <c r="H4" i="61"/>
  <c r="G5" i="96" s="1"/>
  <c r="H11" i="100" s="1"/>
  <c r="G118" i="63"/>
  <c r="X15" i="85"/>
  <c r="X21" i="76"/>
  <c r="X27" i="79"/>
  <c r="X23" i="76"/>
  <c r="Y27" i="67"/>
  <c r="M173" i="66"/>
  <c r="G132" i="66"/>
  <c r="K132" i="66" s="1"/>
  <c r="X14" i="61"/>
  <c r="B4" i="73"/>
  <c r="H9" i="96"/>
  <c r="X9" i="73"/>
  <c r="X21" i="73"/>
  <c r="X11" i="61"/>
  <c r="X21" i="58"/>
  <c r="X16" i="58"/>
  <c r="X28" i="73"/>
  <c r="X31" i="91"/>
  <c r="X29" i="64"/>
  <c r="X20" i="91"/>
  <c r="X11" i="85"/>
  <c r="X11" i="88"/>
  <c r="X21" i="79"/>
  <c r="X17" i="82"/>
  <c r="X15" i="79"/>
  <c r="X28" i="64"/>
  <c r="X11" i="76"/>
  <c r="Y15" i="67"/>
  <c r="X24" i="70"/>
  <c r="Y10" i="67"/>
  <c r="X29" i="79"/>
  <c r="O74" i="57"/>
  <c r="X17" i="58"/>
  <c r="X30" i="64"/>
  <c r="G205" i="66"/>
  <c r="K205" i="66" s="1"/>
  <c r="H4" i="76"/>
  <c r="G10" i="96" s="1"/>
  <c r="H16" i="100" s="1"/>
  <c r="F4" i="88"/>
  <c r="F14" i="96" s="1"/>
  <c r="G20" i="100" s="1"/>
  <c r="X13" i="91"/>
  <c r="X24" i="91"/>
  <c r="B4" i="76"/>
  <c r="B10" i="96" s="1"/>
  <c r="M24" i="100" s="1" a="1"/>
  <c r="M24" i="100" s="1"/>
  <c r="H10" i="96"/>
  <c r="X9" i="76"/>
  <c r="X22" i="79"/>
  <c r="Y31" i="67"/>
  <c r="X29" i="73"/>
  <c r="X12" i="73"/>
  <c r="Y29" i="67"/>
  <c r="D60" i="72"/>
  <c r="G52" i="72"/>
  <c r="D57" i="72"/>
  <c r="J57" i="72" s="1"/>
  <c r="D25" i="72"/>
  <c r="J25" i="72" s="1"/>
  <c r="G20" i="72"/>
  <c r="G118" i="60"/>
  <c r="K118" i="60"/>
  <c r="D69" i="60"/>
  <c r="G65" i="60"/>
  <c r="J69" i="60"/>
  <c r="J65" i="60"/>
  <c r="G25" i="60"/>
  <c r="K25" i="60"/>
  <c r="K61" i="60"/>
  <c r="G61" i="60"/>
  <c r="G32" i="57"/>
  <c r="K32" i="57"/>
  <c r="G53" i="57"/>
  <c r="J57" i="57"/>
  <c r="J53" i="57"/>
  <c r="D57" i="57"/>
  <c r="K82" i="57"/>
  <c r="G82" i="57"/>
  <c r="K150" i="57"/>
  <c r="G150" i="57"/>
  <c r="K49" i="57"/>
  <c r="G49" i="57"/>
  <c r="G120" i="57"/>
  <c r="K120" i="57"/>
  <c r="G102" i="57"/>
  <c r="K102" i="57"/>
  <c r="N9" i="57"/>
  <c r="I16" i="57"/>
  <c r="G92" i="57"/>
  <c r="K92" i="57"/>
  <c r="K65" i="57"/>
  <c r="G65" i="57"/>
  <c r="G36" i="57"/>
  <c r="J36" i="57"/>
  <c r="D41" i="57"/>
  <c r="J41" i="57"/>
  <c r="Q31" i="76" l="1"/>
  <c r="R31" i="76"/>
  <c r="Q29" i="76"/>
  <c r="E28" i="76"/>
  <c r="Q28" i="76"/>
  <c r="R44" i="100"/>
  <c r="R39" i="100"/>
  <c r="C45" i="100"/>
  <c r="C34" i="100"/>
  <c r="C44" i="100"/>
  <c r="J31" i="100"/>
  <c r="C42" i="100"/>
  <c r="S28" i="76"/>
  <c r="S37" i="100"/>
  <c r="S42" i="100"/>
  <c r="R35" i="100"/>
  <c r="R38" i="100"/>
  <c r="Q34" i="100"/>
  <c r="Q35" i="100"/>
  <c r="S34" i="100"/>
  <c r="R42" i="100"/>
  <c r="S39" i="100"/>
  <c r="S40" i="100"/>
  <c r="R41" i="100"/>
  <c r="R45" i="100"/>
  <c r="R40" i="100"/>
  <c r="S45" i="100"/>
  <c r="S41" i="100"/>
  <c r="S36" i="100"/>
  <c r="S38" i="100"/>
  <c r="Q27" i="76"/>
  <c r="R27" i="76"/>
  <c r="Q26" i="76"/>
  <c r="B17" i="70"/>
  <c r="P17" i="70" s="1"/>
  <c r="Y18" i="70"/>
  <c r="S17" i="70"/>
  <c r="Q17" i="70"/>
  <c r="R17" i="70"/>
  <c r="B30" i="82"/>
  <c r="P30" i="82" s="1"/>
  <c r="Y30" i="82"/>
  <c r="B16" i="88"/>
  <c r="P16" i="88" s="1"/>
  <c r="Y16" i="88"/>
  <c r="R16" i="88"/>
  <c r="S16" i="88"/>
  <c r="Q16" i="88"/>
  <c r="Z30" i="67"/>
  <c r="Q30" i="67"/>
  <c r="B12" i="70"/>
  <c r="P12" i="70" s="1"/>
  <c r="Y13" i="70"/>
  <c r="B28" i="70"/>
  <c r="P28" i="70" s="1"/>
  <c r="S12" i="70"/>
  <c r="R12" i="70"/>
  <c r="E12" i="70"/>
  <c r="B22" i="70"/>
  <c r="P22" i="70" s="1"/>
  <c r="K24" i="57"/>
  <c r="E17" i="70"/>
  <c r="B34" i="91"/>
  <c r="P34" i="91" s="1"/>
  <c r="S34" i="91"/>
  <c r="Z32" i="67"/>
  <c r="R32" i="67"/>
  <c r="Q32" i="67"/>
  <c r="B21" i="58"/>
  <c r="P21" i="58" s="1"/>
  <c r="Y21" i="58"/>
  <c r="E21" i="58"/>
  <c r="B14" i="61"/>
  <c r="P14" i="61" s="1"/>
  <c r="Y14" i="61"/>
  <c r="Q14" i="61"/>
  <c r="S14" i="61"/>
  <c r="B24" i="82"/>
  <c r="P24" i="82" s="1"/>
  <c r="Y24" i="82"/>
  <c r="Q24" i="82"/>
  <c r="S24" i="82"/>
  <c r="Z20" i="67"/>
  <c r="R20" i="67"/>
  <c r="F20" i="67"/>
  <c r="S20" i="67"/>
  <c r="F30" i="67"/>
  <c r="B22" i="61"/>
  <c r="P22" i="61" s="1"/>
  <c r="Y22" i="61"/>
  <c r="Q22" i="61"/>
  <c r="B30" i="79"/>
  <c r="P30" i="79" s="1"/>
  <c r="S30" i="79"/>
  <c r="B11" i="58"/>
  <c r="P11" i="58" s="1"/>
  <c r="Y11" i="58"/>
  <c r="B18" i="58"/>
  <c r="P18" i="58" s="1"/>
  <c r="Q11" i="58"/>
  <c r="D4" i="58"/>
  <c r="B12" i="58"/>
  <c r="P12" i="58" s="1"/>
  <c r="B16" i="58"/>
  <c r="P16" i="58" s="1"/>
  <c r="R11" i="58"/>
  <c r="B29" i="64"/>
  <c r="P29" i="64" s="1"/>
  <c r="Y29" i="64"/>
  <c r="Q29" i="64"/>
  <c r="B28" i="88"/>
  <c r="P28" i="88" s="1"/>
  <c r="Y28" i="88"/>
  <c r="R28" i="88"/>
  <c r="Q28" i="88"/>
  <c r="S28" i="88"/>
  <c r="B12" i="82"/>
  <c r="P12" i="82" s="1"/>
  <c r="Y12" i="82"/>
  <c r="R12" i="82"/>
  <c r="Q12" i="82"/>
  <c r="R30" i="79"/>
  <c r="B30" i="85"/>
  <c r="P30" i="85" s="1"/>
  <c r="Y30" i="85"/>
  <c r="S30" i="85"/>
  <c r="B24" i="88"/>
  <c r="P24" i="88" s="1"/>
  <c r="Y24" i="88"/>
  <c r="S24" i="88"/>
  <c r="Q24" i="88"/>
  <c r="F11" i="67"/>
  <c r="E11" i="67"/>
  <c r="Q11" i="67" s="1"/>
  <c r="B17" i="82"/>
  <c r="P17" i="82" s="1"/>
  <c r="Y17" i="82"/>
  <c r="S17" i="82"/>
  <c r="Q17" i="82"/>
  <c r="B19" i="76"/>
  <c r="P19" i="76" s="1"/>
  <c r="Y19" i="76"/>
  <c r="Q19" i="76"/>
  <c r="B23" i="91"/>
  <c r="P23" i="91" s="1"/>
  <c r="Y23" i="91"/>
  <c r="S23" i="91"/>
  <c r="B23" i="82"/>
  <c r="P23" i="82" s="1"/>
  <c r="Y23" i="82"/>
  <c r="R23" i="82"/>
  <c r="S23" i="82"/>
  <c r="B12" i="91"/>
  <c r="P12" i="91" s="1"/>
  <c r="Y12" i="91"/>
  <c r="Q12" i="91"/>
  <c r="B32" i="82"/>
  <c r="P32" i="82" s="1"/>
  <c r="S32" i="82"/>
  <c r="B28" i="91"/>
  <c r="P28" i="91" s="1"/>
  <c r="Y28" i="91"/>
  <c r="R28" i="91"/>
  <c r="B30" i="76"/>
  <c r="P30" i="76" s="1"/>
  <c r="Y30" i="76"/>
  <c r="R30" i="76"/>
  <c r="B22" i="73"/>
  <c r="P22" i="73" s="1"/>
  <c r="Y22" i="73"/>
  <c r="E22" i="73"/>
  <c r="S22" i="73"/>
  <c r="R22" i="73"/>
  <c r="S19" i="70"/>
  <c r="B9" i="85"/>
  <c r="P9" i="85" s="1"/>
  <c r="Y9" i="85"/>
  <c r="S9" i="85"/>
  <c r="B32" i="79"/>
  <c r="P32" i="79" s="1"/>
  <c r="R32" i="79"/>
  <c r="S32" i="79"/>
  <c r="Q32" i="79"/>
  <c r="B10" i="88"/>
  <c r="P10" i="88" s="1"/>
  <c r="Y10" i="88"/>
  <c r="E19" i="76"/>
  <c r="B26" i="82"/>
  <c r="P26" i="82" s="1"/>
  <c r="Y26" i="82"/>
  <c r="R26" i="82"/>
  <c r="B15" i="58"/>
  <c r="P15" i="58" s="1"/>
  <c r="Y15" i="58"/>
  <c r="Q15" i="58"/>
  <c r="R15" i="58"/>
  <c r="B16" i="91"/>
  <c r="P16" i="91" s="1"/>
  <c r="Y16" i="91"/>
  <c r="S16" i="91"/>
  <c r="Q16" i="91"/>
  <c r="R32" i="82"/>
  <c r="R12" i="91"/>
  <c r="R17" i="82"/>
  <c r="S29" i="64"/>
  <c r="B32" i="73"/>
  <c r="P32" i="73" s="1"/>
  <c r="S32" i="73"/>
  <c r="B15" i="85"/>
  <c r="P15" i="85" s="1"/>
  <c r="Y15" i="85"/>
  <c r="B14" i="88"/>
  <c r="P14" i="88" s="1"/>
  <c r="Y14" i="88"/>
  <c r="B18" i="61"/>
  <c r="P18" i="61" s="1"/>
  <c r="Y18" i="61"/>
  <c r="E18" i="61"/>
  <c r="B34" i="82"/>
  <c r="P34" i="82" s="1"/>
  <c r="R34" i="82"/>
  <c r="B16" i="61"/>
  <c r="P16" i="61" s="1"/>
  <c r="Y16" i="61"/>
  <c r="E16" i="61"/>
  <c r="Q16" i="61"/>
  <c r="B18" i="82"/>
  <c r="P18" i="82" s="1"/>
  <c r="Y18" i="82"/>
  <c r="B17" i="64"/>
  <c r="P17" i="64" s="1"/>
  <c r="Y17" i="64"/>
  <c r="E17" i="64"/>
  <c r="B19" i="85"/>
  <c r="P19" i="85" s="1"/>
  <c r="Y19" i="85"/>
  <c r="R19" i="85"/>
  <c r="Q19" i="85"/>
  <c r="E15" i="58"/>
  <c r="B25" i="85"/>
  <c r="P25" i="85" s="1"/>
  <c r="Y25" i="85"/>
  <c r="B9" i="67"/>
  <c r="P9" i="67" s="1"/>
  <c r="Z9" i="67"/>
  <c r="S9" i="67"/>
  <c r="R9" i="67"/>
  <c r="B14" i="79"/>
  <c r="P14" i="79" s="1"/>
  <c r="Y14" i="79"/>
  <c r="R14" i="79"/>
  <c r="B11" i="88"/>
  <c r="P11" i="88" s="1"/>
  <c r="Y11" i="88"/>
  <c r="R11" i="88"/>
  <c r="B31" i="91"/>
  <c r="P31" i="91" s="1"/>
  <c r="Y31" i="91"/>
  <c r="E11" i="58"/>
  <c r="R34" i="85"/>
  <c r="Q30" i="76"/>
  <c r="S19" i="76"/>
  <c r="S27" i="82"/>
  <c r="Q9" i="85"/>
  <c r="Q32" i="82"/>
  <c r="R29" i="64"/>
  <c r="R30" i="85"/>
  <c r="Z27" i="67"/>
  <c r="S27" i="67"/>
  <c r="F27" i="67"/>
  <c r="B15" i="88"/>
  <c r="P15" i="88" s="1"/>
  <c r="Y15" i="88"/>
  <c r="R15" i="88"/>
  <c r="B20" i="79"/>
  <c r="P20" i="79" s="1"/>
  <c r="Y20" i="79"/>
  <c r="Q20" i="79"/>
  <c r="R20" i="79"/>
  <c r="S20" i="79"/>
  <c r="B34" i="70"/>
  <c r="P34" i="70" s="1"/>
  <c r="S34" i="70"/>
  <c r="Q34" i="70"/>
  <c r="E34" i="70"/>
  <c r="R34" i="70"/>
  <c r="B23" i="76"/>
  <c r="P23" i="76" s="1"/>
  <c r="Y23" i="76"/>
  <c r="B10" i="82"/>
  <c r="P10" i="82" s="1"/>
  <c r="Y10" i="82"/>
  <c r="B31" i="79"/>
  <c r="P31" i="79" s="1"/>
  <c r="R31" i="79"/>
  <c r="S31" i="79"/>
  <c r="S15" i="58"/>
  <c r="B11" i="76"/>
  <c r="P11" i="76" s="1"/>
  <c r="Y11" i="76"/>
  <c r="B19" i="70"/>
  <c r="P19" i="70" s="1"/>
  <c r="Y20" i="70"/>
  <c r="R19" i="70"/>
  <c r="E19" i="70"/>
  <c r="S11" i="58"/>
  <c r="Q30" i="79"/>
  <c r="R27" i="67"/>
  <c r="B23" i="85"/>
  <c r="P23" i="85" s="1"/>
  <c r="Y23" i="85"/>
  <c r="E23" i="76"/>
  <c r="B24" i="85"/>
  <c r="P24" i="85" s="1"/>
  <c r="Y24" i="85"/>
  <c r="S24" i="85"/>
  <c r="E11" i="76"/>
  <c r="B24" i="64"/>
  <c r="P24" i="64" s="1"/>
  <c r="Y24" i="64"/>
  <c r="B15" i="73"/>
  <c r="P15" i="73" s="1"/>
  <c r="Y15" i="73"/>
  <c r="Q15" i="73"/>
  <c r="S15" i="73"/>
  <c r="B34" i="76"/>
  <c r="P34" i="76" s="1"/>
  <c r="Q34" i="76"/>
  <c r="B27" i="82"/>
  <c r="P27" i="82" s="1"/>
  <c r="Y27" i="82"/>
  <c r="Q27" i="82"/>
  <c r="S31" i="91"/>
  <c r="S10" i="88"/>
  <c r="Q11" i="88"/>
  <c r="R31" i="91"/>
  <c r="Q22" i="73"/>
  <c r="Q22" i="79"/>
  <c r="B31" i="82"/>
  <c r="P31" i="82" s="1"/>
  <c r="Q31" i="82"/>
  <c r="B32" i="70"/>
  <c r="P32" i="70" s="1"/>
  <c r="R32" i="70"/>
  <c r="Q32" i="70"/>
  <c r="B16" i="82"/>
  <c r="P16" i="82" s="1"/>
  <c r="R16" i="82"/>
  <c r="Y16" i="82"/>
  <c r="S16" i="82"/>
  <c r="B11" i="79"/>
  <c r="P11" i="79" s="1"/>
  <c r="Y11" i="79"/>
  <c r="S11" i="79"/>
  <c r="Q11" i="79"/>
  <c r="B26" i="85"/>
  <c r="P26" i="85" s="1"/>
  <c r="Y26" i="85"/>
  <c r="Q26" i="85"/>
  <c r="B20" i="91"/>
  <c r="P20" i="91" s="1"/>
  <c r="Y20" i="91"/>
  <c r="R20" i="91"/>
  <c r="Q20" i="91"/>
  <c r="B15" i="91"/>
  <c r="P15" i="91" s="1"/>
  <c r="Y15" i="91"/>
  <c r="Q15" i="91"/>
  <c r="S15" i="91"/>
  <c r="E29" i="64"/>
  <c r="R10" i="88"/>
  <c r="R15" i="73"/>
  <c r="S11" i="88"/>
  <c r="Q30" i="82"/>
  <c r="Q31" i="91"/>
  <c r="S12" i="82"/>
  <c r="B27" i="70"/>
  <c r="P27" i="70" s="1"/>
  <c r="B32" i="91"/>
  <c r="P32" i="91" s="1"/>
  <c r="Q32" i="91"/>
  <c r="R32" i="91"/>
  <c r="B28" i="85"/>
  <c r="P28" i="85" s="1"/>
  <c r="Y28" i="85"/>
  <c r="Q28" i="85"/>
  <c r="S28" i="85"/>
  <c r="B10" i="85"/>
  <c r="P10" i="85" s="1"/>
  <c r="Y10" i="85"/>
  <c r="S10" i="85"/>
  <c r="B29" i="79"/>
  <c r="P29" i="79" s="1"/>
  <c r="Y29" i="79"/>
  <c r="R29" i="79"/>
  <c r="B33" i="76"/>
  <c r="P33" i="76" s="1"/>
  <c r="R33" i="76"/>
  <c r="B22" i="79"/>
  <c r="P22" i="79" s="1"/>
  <c r="Y22" i="79"/>
  <c r="R22" i="79"/>
  <c r="B23" i="73"/>
  <c r="P23" i="73" s="1"/>
  <c r="Y23" i="73"/>
  <c r="S23" i="73"/>
  <c r="R23" i="73"/>
  <c r="E23" i="73"/>
  <c r="R34" i="76"/>
  <c r="S30" i="82"/>
  <c r="S28" i="91"/>
  <c r="S32" i="67"/>
  <c r="B24" i="79"/>
  <c r="P24" i="79" s="1"/>
  <c r="Y24" i="79"/>
  <c r="B32" i="76"/>
  <c r="P32" i="76" s="1"/>
  <c r="S32" i="76"/>
  <c r="B23" i="58"/>
  <c r="P23" i="58" s="1"/>
  <c r="Y23" i="58"/>
  <c r="R23" i="58"/>
  <c r="E23" i="58"/>
  <c r="S23" i="58"/>
  <c r="Q23" i="58"/>
  <c r="B12" i="67"/>
  <c r="P12" i="67" s="1"/>
  <c r="Z12" i="67"/>
  <c r="Q12" i="67"/>
  <c r="F12" i="67"/>
  <c r="R12" i="67"/>
  <c r="B15" i="70"/>
  <c r="P15" i="70" s="1"/>
  <c r="B26" i="64"/>
  <c r="P26" i="64" s="1"/>
  <c r="Y26" i="64"/>
  <c r="S26" i="64"/>
  <c r="E26" i="64"/>
  <c r="Q26" i="64"/>
  <c r="B29" i="91"/>
  <c r="P29" i="91" s="1"/>
  <c r="Y29" i="91"/>
  <c r="R29" i="91"/>
  <c r="Q29" i="91"/>
  <c r="Z24" i="67"/>
  <c r="B9" i="82"/>
  <c r="P9" i="82" s="1"/>
  <c r="Y9" i="82"/>
  <c r="R9" i="82"/>
  <c r="B17" i="73"/>
  <c r="P17" i="73" s="1"/>
  <c r="Y17" i="73"/>
  <c r="Q17" i="73"/>
  <c r="S32" i="70"/>
  <c r="B26" i="70"/>
  <c r="P26" i="70" s="1"/>
  <c r="Y27" i="70"/>
  <c r="Q26" i="70"/>
  <c r="E26" i="70"/>
  <c r="R26" i="70"/>
  <c r="S26" i="70"/>
  <c r="D4" i="76"/>
  <c r="J4" i="76" s="1"/>
  <c r="B9" i="76"/>
  <c r="P9" i="76" s="1"/>
  <c r="Y9" i="76"/>
  <c r="B31" i="73"/>
  <c r="P31" i="73" s="1"/>
  <c r="B9" i="64"/>
  <c r="P9" i="64" s="1"/>
  <c r="D4" i="64"/>
  <c r="J4" i="64" s="1"/>
  <c r="Y9" i="64"/>
  <c r="Q36" i="100"/>
  <c r="Q40" i="100"/>
  <c r="R34" i="100"/>
  <c r="R32" i="88"/>
  <c r="S30" i="91"/>
  <c r="Q25" i="88"/>
  <c r="R34" i="79"/>
  <c r="R13" i="67"/>
  <c r="B10" i="64"/>
  <c r="P10" i="64" s="1"/>
  <c r="Y10" i="64"/>
  <c r="B13" i="70"/>
  <c r="P13" i="70" s="1"/>
  <c r="Y14" i="70"/>
  <c r="B27" i="88"/>
  <c r="P27" i="88" s="1"/>
  <c r="Y27" i="88"/>
  <c r="B11" i="61"/>
  <c r="P11" i="61" s="1"/>
  <c r="Y11" i="61"/>
  <c r="B12" i="88"/>
  <c r="P12" i="88" s="1"/>
  <c r="Y12" i="88"/>
  <c r="B16" i="79"/>
  <c r="P16" i="79" s="1"/>
  <c r="Y16" i="79"/>
  <c r="B27" i="73"/>
  <c r="P27" i="73" s="1"/>
  <c r="Y27" i="73"/>
  <c r="B13" i="79"/>
  <c r="P13" i="79" s="1"/>
  <c r="Y13" i="79"/>
  <c r="B25" i="70"/>
  <c r="P25" i="70" s="1"/>
  <c r="Y26" i="70"/>
  <c r="B13" i="64"/>
  <c r="P13" i="64" s="1"/>
  <c r="Y13" i="64"/>
  <c r="B12" i="76"/>
  <c r="P12" i="76" s="1"/>
  <c r="Y12" i="76"/>
  <c r="B14" i="64"/>
  <c r="P14" i="64" s="1"/>
  <c r="Y14" i="64"/>
  <c r="B27" i="61"/>
  <c r="P27" i="61" s="1"/>
  <c r="Y27" i="61"/>
  <c r="E13" i="82"/>
  <c r="D13" i="82"/>
  <c r="E20" i="88"/>
  <c r="D20" i="88"/>
  <c r="D4" i="88" s="1"/>
  <c r="J4" i="88" s="1"/>
  <c r="B25" i="79"/>
  <c r="P25" i="79" s="1"/>
  <c r="Y25" i="79"/>
  <c r="B28" i="76"/>
  <c r="P28" i="76" s="1"/>
  <c r="Y28" i="76"/>
  <c r="B22" i="85"/>
  <c r="P22" i="85" s="1"/>
  <c r="Y22" i="85"/>
  <c r="B25" i="64"/>
  <c r="P25" i="64" s="1"/>
  <c r="Y25" i="64"/>
  <c r="E21" i="67"/>
  <c r="Q21" i="67" s="1"/>
  <c r="F21" i="67"/>
  <c r="B16" i="70"/>
  <c r="P16" i="70" s="1"/>
  <c r="Y17" i="70"/>
  <c r="Z19" i="67"/>
  <c r="B18" i="76"/>
  <c r="P18" i="76" s="1"/>
  <c r="Y18" i="76"/>
  <c r="B25" i="91"/>
  <c r="P25" i="91" s="1"/>
  <c r="Y25" i="91"/>
  <c r="B21" i="64"/>
  <c r="P21" i="64" s="1"/>
  <c r="Y21" i="64"/>
  <c r="B15" i="64"/>
  <c r="P15" i="64" s="1"/>
  <c r="Y15" i="64"/>
  <c r="B18" i="70"/>
  <c r="P18" i="70" s="1"/>
  <c r="Y19" i="70"/>
  <c r="B14" i="70"/>
  <c r="P14" i="70" s="1"/>
  <c r="Y15" i="70"/>
  <c r="B13" i="85"/>
  <c r="P13" i="85" s="1"/>
  <c r="Y13" i="85"/>
  <c r="B13" i="61"/>
  <c r="P13" i="61" s="1"/>
  <c r="Y13" i="61"/>
  <c r="B19" i="82"/>
  <c r="P19" i="82" s="1"/>
  <c r="Y19" i="82"/>
  <c r="B29" i="85"/>
  <c r="P29" i="85" s="1"/>
  <c r="Y29" i="85"/>
  <c r="B25" i="58"/>
  <c r="P25" i="58" s="1"/>
  <c r="Y25" i="58"/>
  <c r="B20" i="58"/>
  <c r="P20" i="58" s="1"/>
  <c r="Y20" i="58"/>
  <c r="B12" i="61"/>
  <c r="P12" i="61" s="1"/>
  <c r="Y12" i="61"/>
  <c r="B15" i="82"/>
  <c r="P15" i="82" s="1"/>
  <c r="Y15" i="82"/>
  <c r="B24" i="61"/>
  <c r="P24" i="61" s="1"/>
  <c r="Y24" i="61"/>
  <c r="B16" i="85"/>
  <c r="P16" i="85" s="1"/>
  <c r="Y16" i="85"/>
  <c r="B23" i="88"/>
  <c r="P23" i="88" s="1"/>
  <c r="Y23" i="88"/>
  <c r="B18" i="64"/>
  <c r="P18" i="64" s="1"/>
  <c r="Y18" i="64"/>
  <c r="B27" i="85"/>
  <c r="P27" i="85" s="1"/>
  <c r="Y27" i="85"/>
  <c r="E25" i="64"/>
  <c r="B29" i="70"/>
  <c r="P29" i="70" s="1"/>
  <c r="Y30" i="70"/>
  <c r="B27" i="64"/>
  <c r="P27" i="64" s="1"/>
  <c r="Y27" i="64"/>
  <c r="E16" i="70"/>
  <c r="Q19" i="67"/>
  <c r="B9" i="73"/>
  <c r="P9" i="73" s="1"/>
  <c r="D4" i="73"/>
  <c r="Y9" i="73"/>
  <c r="B9" i="79"/>
  <c r="P9" i="79" s="1"/>
  <c r="D4" i="79"/>
  <c r="Y9" i="79"/>
  <c r="B21" i="61"/>
  <c r="P21" i="61" s="1"/>
  <c r="Y21" i="61"/>
  <c r="B10" i="73"/>
  <c r="P10" i="73" s="1"/>
  <c r="Y10" i="73"/>
  <c r="B29" i="82"/>
  <c r="P29" i="82" s="1"/>
  <c r="Y29" i="82"/>
  <c r="B26" i="88"/>
  <c r="P26" i="88" s="1"/>
  <c r="Y26" i="88"/>
  <c r="E18" i="76"/>
  <c r="E21" i="64"/>
  <c r="E15" i="64"/>
  <c r="B11" i="82"/>
  <c r="P11" i="82" s="1"/>
  <c r="Y11" i="82"/>
  <c r="E18" i="70"/>
  <c r="B12" i="73"/>
  <c r="P12" i="73" s="1"/>
  <c r="Y12" i="73"/>
  <c r="E14" i="70"/>
  <c r="B34" i="73"/>
  <c r="P34" i="73" s="1"/>
  <c r="B14" i="85"/>
  <c r="P14" i="85" s="1"/>
  <c r="Y14" i="85"/>
  <c r="B22" i="64"/>
  <c r="P22" i="64" s="1"/>
  <c r="Y22" i="64"/>
  <c r="E25" i="58"/>
  <c r="E20" i="58"/>
  <c r="E12" i="61"/>
  <c r="B31" i="70"/>
  <c r="P31" i="70" s="1"/>
  <c r="E24" i="61"/>
  <c r="B16" i="76"/>
  <c r="P16" i="76" s="1"/>
  <c r="Y16" i="76"/>
  <c r="E18" i="64"/>
  <c r="B17" i="85"/>
  <c r="P17" i="85" s="1"/>
  <c r="Y17" i="85"/>
  <c r="B17" i="76"/>
  <c r="P17" i="76" s="1"/>
  <c r="Y17" i="76"/>
  <c r="E29" i="70"/>
  <c r="B17" i="61"/>
  <c r="P17" i="61" s="1"/>
  <c r="Y17" i="61"/>
  <c r="E27" i="64"/>
  <c r="Q16" i="70"/>
  <c r="E9" i="73"/>
  <c r="E21" i="61"/>
  <c r="E10" i="73"/>
  <c r="B29" i="58"/>
  <c r="P29" i="58" s="1"/>
  <c r="Y29" i="58"/>
  <c r="B24" i="70"/>
  <c r="P24" i="70" s="1"/>
  <c r="Y25" i="70"/>
  <c r="B21" i="70"/>
  <c r="P21" i="70" s="1"/>
  <c r="Y22" i="70"/>
  <c r="B25" i="82"/>
  <c r="P25" i="82" s="1"/>
  <c r="Y25" i="82"/>
  <c r="B14" i="91"/>
  <c r="P14" i="91" s="1"/>
  <c r="Y14" i="91"/>
  <c r="R18" i="70"/>
  <c r="B15" i="79"/>
  <c r="P15" i="79" s="1"/>
  <c r="Y15" i="79"/>
  <c r="B28" i="64"/>
  <c r="P28" i="64" s="1"/>
  <c r="Y28" i="64"/>
  <c r="Q14" i="70"/>
  <c r="E34" i="73"/>
  <c r="B21" i="82"/>
  <c r="P21" i="82" s="1"/>
  <c r="Y21" i="82"/>
  <c r="S13" i="61"/>
  <c r="E22" i="64"/>
  <c r="Q25" i="58"/>
  <c r="B22" i="58"/>
  <c r="P22" i="58" s="1"/>
  <c r="Y22" i="58"/>
  <c r="B19" i="79"/>
  <c r="P19" i="79" s="1"/>
  <c r="Y19" i="79"/>
  <c r="B10" i="91"/>
  <c r="P10" i="91" s="1"/>
  <c r="Y10" i="91"/>
  <c r="B13" i="58"/>
  <c r="P13" i="58" s="1"/>
  <c r="Y13" i="58"/>
  <c r="E31" i="70"/>
  <c r="B10" i="76"/>
  <c r="P10" i="76" s="1"/>
  <c r="Y10" i="76"/>
  <c r="E16" i="76"/>
  <c r="B26" i="76"/>
  <c r="P26" i="76" s="1"/>
  <c r="Y26" i="76"/>
  <c r="B26" i="91"/>
  <c r="P26" i="91" s="1"/>
  <c r="Y26" i="91"/>
  <c r="B11" i="85"/>
  <c r="P11" i="85" s="1"/>
  <c r="Y11" i="85"/>
  <c r="E17" i="76"/>
  <c r="B29" i="73"/>
  <c r="P29" i="73" s="1"/>
  <c r="Y29" i="73"/>
  <c r="Z18" i="67"/>
  <c r="Z13" i="67"/>
  <c r="B20" i="82"/>
  <c r="P20" i="82" s="1"/>
  <c r="Y20" i="82"/>
  <c r="B10" i="67"/>
  <c r="P10" i="67" s="1"/>
  <c r="Z10" i="67"/>
  <c r="B22" i="76"/>
  <c r="P22" i="76" s="1"/>
  <c r="Y22" i="76"/>
  <c r="B27" i="76"/>
  <c r="P27" i="76" s="1"/>
  <c r="Y27" i="76"/>
  <c r="B13" i="76"/>
  <c r="P13" i="76" s="1"/>
  <c r="Y13" i="76"/>
  <c r="B10" i="79"/>
  <c r="P10" i="79" s="1"/>
  <c r="Y10" i="79"/>
  <c r="B18" i="88"/>
  <c r="P18" i="88" s="1"/>
  <c r="Y18" i="88"/>
  <c r="S18" i="88"/>
  <c r="B27" i="58"/>
  <c r="P27" i="58" s="1"/>
  <c r="Y27" i="58"/>
  <c r="B18" i="73"/>
  <c r="P18" i="73" s="1"/>
  <c r="Y18" i="73"/>
  <c r="B23" i="64"/>
  <c r="P23" i="64" s="1"/>
  <c r="Y23" i="64"/>
  <c r="B26" i="58"/>
  <c r="P26" i="58" s="1"/>
  <c r="Y26" i="58"/>
  <c r="B27" i="91"/>
  <c r="P27" i="91" s="1"/>
  <c r="Y27" i="91"/>
  <c r="B28" i="82"/>
  <c r="P28" i="82" s="1"/>
  <c r="Y28" i="82"/>
  <c r="B24" i="91"/>
  <c r="P24" i="91" s="1"/>
  <c r="Y24" i="91"/>
  <c r="B30" i="70"/>
  <c r="P30" i="70" s="1"/>
  <c r="Z22" i="67"/>
  <c r="B29" i="76"/>
  <c r="P29" i="76" s="1"/>
  <c r="Y29" i="76"/>
  <c r="B33" i="73"/>
  <c r="P33" i="73" s="1"/>
  <c r="B26" i="61"/>
  <c r="P26" i="61" s="1"/>
  <c r="Y26" i="61"/>
  <c r="R22" i="76"/>
  <c r="Q37" i="100"/>
  <c r="R43" i="100"/>
  <c r="S44" i="100"/>
  <c r="S13" i="85"/>
  <c r="S9" i="79"/>
  <c r="S10" i="91"/>
  <c r="R27" i="58"/>
  <c r="S22" i="64"/>
  <c r="Q14" i="82"/>
  <c r="S14" i="91"/>
  <c r="R31" i="85"/>
  <c r="S21" i="64"/>
  <c r="R33" i="73"/>
  <c r="S15" i="79"/>
  <c r="S9" i="73"/>
  <c r="R22" i="58"/>
  <c r="Q12" i="73"/>
  <c r="Q24" i="91"/>
  <c r="Q18" i="88"/>
  <c r="Q10" i="67"/>
  <c r="B31" i="76"/>
  <c r="P31" i="76" s="1"/>
  <c r="Y31" i="76"/>
  <c r="E29" i="73"/>
  <c r="F18" i="67"/>
  <c r="Q13" i="67"/>
  <c r="B24" i="73"/>
  <c r="P24" i="73" s="1"/>
  <c r="Y24" i="73"/>
  <c r="B12" i="79"/>
  <c r="P12" i="79" s="1"/>
  <c r="Y12" i="79"/>
  <c r="B10" i="61"/>
  <c r="P10" i="61" s="1"/>
  <c r="Y10" i="61"/>
  <c r="B19" i="64"/>
  <c r="P19" i="64" s="1"/>
  <c r="Y19" i="64"/>
  <c r="F10" i="67"/>
  <c r="R24" i="70"/>
  <c r="S21" i="70"/>
  <c r="B15" i="76"/>
  <c r="P15" i="76" s="1"/>
  <c r="Y15" i="76"/>
  <c r="B21" i="79"/>
  <c r="P21" i="79" s="1"/>
  <c r="Y21" i="79"/>
  <c r="B23" i="61"/>
  <c r="P23" i="61" s="1"/>
  <c r="Y23" i="61"/>
  <c r="Q23" i="61"/>
  <c r="B13" i="91"/>
  <c r="P13" i="91" s="1"/>
  <c r="Y13" i="91"/>
  <c r="E18" i="73"/>
  <c r="E23" i="64"/>
  <c r="B12" i="85"/>
  <c r="P12" i="85" s="1"/>
  <c r="Y12" i="85"/>
  <c r="E26" i="58"/>
  <c r="B19" i="73"/>
  <c r="P19" i="73" s="1"/>
  <c r="Y19" i="73"/>
  <c r="E30" i="70"/>
  <c r="F22" i="67"/>
  <c r="B18" i="79"/>
  <c r="P18" i="79" s="1"/>
  <c r="Y18" i="79"/>
  <c r="B20" i="76"/>
  <c r="P20" i="76" s="1"/>
  <c r="Y20" i="76"/>
  <c r="B9" i="88"/>
  <c r="P9" i="88" s="1"/>
  <c r="B20" i="70"/>
  <c r="P20" i="70" s="1"/>
  <c r="Y21" i="70"/>
  <c r="B17" i="58"/>
  <c r="P17" i="58" s="1"/>
  <c r="Y17" i="58"/>
  <c r="B26" i="73"/>
  <c r="P26" i="73" s="1"/>
  <c r="Y26" i="73"/>
  <c r="E33" i="73"/>
  <c r="B22" i="88"/>
  <c r="P22" i="88" s="1"/>
  <c r="Y22" i="88"/>
  <c r="B30" i="73"/>
  <c r="P30" i="73" s="1"/>
  <c r="Y30" i="73"/>
  <c r="E26" i="61"/>
  <c r="B20" i="64"/>
  <c r="P20" i="64" s="1"/>
  <c r="Y20" i="64"/>
  <c r="E11" i="91"/>
  <c r="D11" i="91"/>
  <c r="S13" i="67"/>
  <c r="B11" i="73"/>
  <c r="P11" i="73" s="1"/>
  <c r="Y11" i="73"/>
  <c r="R18" i="67"/>
  <c r="Z26" i="67"/>
  <c r="B17" i="88"/>
  <c r="P17" i="88" s="1"/>
  <c r="Y17" i="88"/>
  <c r="B27" i="79"/>
  <c r="P27" i="79" s="1"/>
  <c r="Y27" i="79"/>
  <c r="B24" i="58"/>
  <c r="P24" i="58" s="1"/>
  <c r="Y24" i="58"/>
  <c r="R24" i="58"/>
  <c r="S10" i="67"/>
  <c r="E15" i="76"/>
  <c r="B24" i="76"/>
  <c r="P24" i="76" s="1"/>
  <c r="Y24" i="76"/>
  <c r="B30" i="64"/>
  <c r="P30" i="64" s="1"/>
  <c r="Y30" i="64"/>
  <c r="B25" i="61"/>
  <c r="P25" i="61" s="1"/>
  <c r="Y25" i="61"/>
  <c r="B28" i="61"/>
  <c r="P28" i="61" s="1"/>
  <c r="Y28" i="61"/>
  <c r="B9" i="91"/>
  <c r="P9" i="91" s="1"/>
  <c r="D4" i="91"/>
  <c r="Y9" i="91"/>
  <c r="B9" i="61"/>
  <c r="P9" i="61" s="1"/>
  <c r="D4" i="61"/>
  <c r="J4" i="61" s="1"/>
  <c r="Y9" i="61"/>
  <c r="B23" i="79"/>
  <c r="P23" i="79" s="1"/>
  <c r="Y23" i="79"/>
  <c r="B30" i="58"/>
  <c r="P30" i="58" s="1"/>
  <c r="Y30" i="58"/>
  <c r="B21" i="85"/>
  <c r="P21" i="85" s="1"/>
  <c r="Y21" i="85"/>
  <c r="B15" i="61"/>
  <c r="P15" i="61" s="1"/>
  <c r="Y15" i="61"/>
  <c r="Q26" i="58"/>
  <c r="B21" i="88"/>
  <c r="P21" i="88" s="1"/>
  <c r="Y21" i="88"/>
  <c r="E19" i="73"/>
  <c r="B18" i="91"/>
  <c r="P18" i="91" s="1"/>
  <c r="Y18" i="91"/>
  <c r="B19" i="88"/>
  <c r="P19" i="88" s="1"/>
  <c r="Y19" i="88"/>
  <c r="S30" i="70"/>
  <c r="S22" i="67"/>
  <c r="E26" i="73"/>
  <c r="B20" i="85"/>
  <c r="P20" i="85" s="1"/>
  <c r="Y20" i="85"/>
  <c r="E30" i="73"/>
  <c r="B21" i="73"/>
  <c r="P21" i="73" s="1"/>
  <c r="Y21" i="73"/>
  <c r="B28" i="73"/>
  <c r="P28" i="73" s="1"/>
  <c r="Y28" i="73"/>
  <c r="R29" i="76"/>
  <c r="R36" i="100"/>
  <c r="Q9" i="79"/>
  <c r="S26" i="61"/>
  <c r="Q32" i="88"/>
  <c r="Q10" i="91"/>
  <c r="Q21" i="61"/>
  <c r="S28" i="82"/>
  <c r="S25" i="91"/>
  <c r="S20" i="58"/>
  <c r="Q9" i="73"/>
  <c r="S25" i="88"/>
  <c r="S22" i="58"/>
  <c r="S25" i="82"/>
  <c r="R17" i="85"/>
  <c r="R19" i="79"/>
  <c r="R24" i="61"/>
  <c r="S15" i="64"/>
  <c r="S22" i="85"/>
  <c r="R25" i="58"/>
  <c r="R22" i="67"/>
  <c r="Q13" i="58"/>
  <c r="Q13" i="61"/>
  <c r="B13" i="88"/>
  <c r="P13" i="88" s="1"/>
  <c r="Y13" i="88"/>
  <c r="Z25" i="67"/>
  <c r="B28" i="79"/>
  <c r="P28" i="79" s="1"/>
  <c r="Y28" i="79"/>
  <c r="B26" i="79"/>
  <c r="P26" i="79" s="1"/>
  <c r="Y26" i="79"/>
  <c r="B22" i="82"/>
  <c r="P22" i="82" s="1"/>
  <c r="Y22" i="82"/>
  <c r="B12" i="64"/>
  <c r="P12" i="64" s="1"/>
  <c r="Y12" i="64"/>
  <c r="B33" i="70"/>
  <c r="P33" i="70" s="1"/>
  <c r="D4" i="70"/>
  <c r="J4" i="70" s="1"/>
  <c r="B9" i="70"/>
  <c r="P9" i="70" s="1"/>
  <c r="B25" i="73"/>
  <c r="P25" i="73" s="1"/>
  <c r="Y25" i="73"/>
  <c r="B16" i="73"/>
  <c r="P16" i="73" s="1"/>
  <c r="Y16" i="73"/>
  <c r="B19" i="91"/>
  <c r="P19" i="91" s="1"/>
  <c r="Y19" i="91"/>
  <c r="E25" i="61"/>
  <c r="B20" i="73"/>
  <c r="P20" i="73" s="1"/>
  <c r="Y20" i="73"/>
  <c r="B29" i="88"/>
  <c r="P29" i="88" s="1"/>
  <c r="Y29" i="88"/>
  <c r="B25" i="76"/>
  <c r="P25" i="76" s="1"/>
  <c r="Y25" i="76"/>
  <c r="B17" i="91"/>
  <c r="P17" i="91" s="1"/>
  <c r="Y17" i="91"/>
  <c r="S17" i="91"/>
  <c r="Q17" i="91"/>
  <c r="B10" i="70"/>
  <c r="P10" i="70" s="1"/>
  <c r="Y11" i="70"/>
  <c r="B21" i="91"/>
  <c r="P21" i="91" s="1"/>
  <c r="Y21" i="91"/>
  <c r="B19" i="58"/>
  <c r="P19" i="58" s="1"/>
  <c r="Y19" i="58"/>
  <c r="Z23" i="67"/>
  <c r="B23" i="70"/>
  <c r="P23" i="70" s="1"/>
  <c r="Y24" i="70"/>
  <c r="B14" i="76"/>
  <c r="P14" i="76" s="1"/>
  <c r="Y14" i="76"/>
  <c r="B22" i="91"/>
  <c r="P22" i="91" s="1"/>
  <c r="Y22" i="91"/>
  <c r="B11" i="64"/>
  <c r="P11" i="64" s="1"/>
  <c r="Y11" i="64"/>
  <c r="B17" i="79"/>
  <c r="P17" i="79" s="1"/>
  <c r="Y17" i="79"/>
  <c r="B21" i="76"/>
  <c r="P21" i="76" s="1"/>
  <c r="Y21" i="76"/>
  <c r="E21" i="73"/>
  <c r="E28" i="73"/>
  <c r="B16" i="64"/>
  <c r="P16" i="64" s="1"/>
  <c r="Y16" i="64"/>
  <c r="O182" i="60"/>
  <c r="M216" i="84"/>
  <c r="C35" i="85" s="1"/>
  <c r="A4681" i="101" a="1"/>
  <c r="A4681" i="101" s="1"/>
  <c r="I10" i="100"/>
  <c r="C4" i="96"/>
  <c r="C10" i="100" s="1"/>
  <c r="X9" i="100" s="1"/>
  <c r="N16" i="57"/>
  <c r="I13" i="100"/>
  <c r="C7" i="96"/>
  <c r="C13" i="100" s="1"/>
  <c r="X12" i="100" s="1"/>
  <c r="O181" i="57"/>
  <c r="C6" i="96"/>
  <c r="C12" i="100" s="1"/>
  <c r="X11" i="100" s="1"/>
  <c r="I12" i="100"/>
  <c r="C15" i="96"/>
  <c r="C21" i="100" s="1"/>
  <c r="X20" i="100" s="1"/>
  <c r="I21" i="100"/>
  <c r="M148" i="66"/>
  <c r="A1561" i="101" a="1"/>
  <c r="A1561" i="101" s="1"/>
  <c r="I14" i="100"/>
  <c r="C8" i="96"/>
  <c r="C14" i="100" s="1"/>
  <c r="X13" i="100" s="1"/>
  <c r="K17" i="72"/>
  <c r="K65" i="69"/>
  <c r="A2081" i="101" a="1"/>
  <c r="A2081" i="101" s="1"/>
  <c r="I17" i="100"/>
  <c r="C11" i="96"/>
  <c r="C17" i="100" s="1"/>
  <c r="X16" i="100" s="1"/>
  <c r="B18" i="100"/>
  <c r="F18" i="100"/>
  <c r="I11" i="100"/>
  <c r="C5" i="96"/>
  <c r="C11" i="100" s="1"/>
  <c r="X10" i="100" s="1"/>
  <c r="F21" i="100"/>
  <c r="B21" i="100"/>
  <c r="J4" i="91"/>
  <c r="I15" i="100"/>
  <c r="C9" i="96"/>
  <c r="C15" i="100" s="1"/>
  <c r="X14" i="100" s="1"/>
  <c r="C14" i="96"/>
  <c r="C20" i="100" s="1"/>
  <c r="X19" i="100" s="1"/>
  <c r="I20" i="100"/>
  <c r="C12" i="96"/>
  <c r="C18" i="100" s="1"/>
  <c r="X17" i="100" s="1"/>
  <c r="I18" i="100"/>
  <c r="D13" i="55"/>
  <c r="D10" i="55"/>
  <c r="B30" i="55" a="1"/>
  <c r="B30" i="55" s="1"/>
  <c r="D15" i="55"/>
  <c r="B33" i="55" a="1"/>
  <c r="B33" i="55" s="1"/>
  <c r="G36" i="55" a="1"/>
  <c r="G36" i="55" s="1"/>
  <c r="D6" i="55"/>
  <c r="D7" i="55"/>
  <c r="G28" i="55" a="1"/>
  <c r="G28" i="55" s="1"/>
  <c r="G30" i="55" a="1"/>
  <c r="G30" i="55" s="1"/>
  <c r="B29" i="55" a="1"/>
  <c r="B29" i="55" s="1"/>
  <c r="D8" i="55"/>
  <c r="D12" i="55"/>
  <c r="B32" i="55" a="1"/>
  <c r="B32" i="55" s="1"/>
  <c r="G31" i="55" a="1"/>
  <c r="G31" i="55" s="1"/>
  <c r="B31" i="55" a="1"/>
  <c r="B31" i="55" s="1"/>
  <c r="G32" i="55" a="1"/>
  <c r="G32" i="55" s="1"/>
  <c r="G29" i="55" a="1"/>
  <c r="G29" i="55" s="1"/>
  <c r="G33" i="55" a="1"/>
  <c r="G33" i="55" s="1"/>
  <c r="D11" i="55"/>
  <c r="B34" i="55" a="1"/>
  <c r="B34" i="55" s="1"/>
  <c r="B28" i="55" a="1"/>
  <c r="B28" i="55" s="1"/>
  <c r="G34" i="55" a="1"/>
  <c r="G34" i="55" s="1"/>
  <c r="G27" i="55" a="1"/>
  <c r="G27" i="55" s="1"/>
  <c r="B36" i="55" a="1"/>
  <c r="B36" i="55" s="1"/>
  <c r="G35" i="55" a="1"/>
  <c r="G35" i="55" s="1"/>
  <c r="D9" i="55"/>
  <c r="D14" i="55"/>
  <c r="B35" i="55" a="1"/>
  <c r="B35" i="55" s="1"/>
  <c r="G125" i="75"/>
  <c r="K125" i="75" s="1"/>
  <c r="J50" i="75"/>
  <c r="A3121" i="101" a="1"/>
  <c r="I16" i="100"/>
  <c r="C10" i="96"/>
  <c r="C16" i="100" s="1"/>
  <c r="X15" i="100" s="1"/>
  <c r="B16" i="100"/>
  <c r="B14" i="100"/>
  <c r="H10" i="100"/>
  <c r="B7" i="96"/>
  <c r="B11" i="96"/>
  <c r="J4" i="79"/>
  <c r="B6" i="96"/>
  <c r="B12" i="100" s="1"/>
  <c r="B9" i="96"/>
  <c r="B15" i="100" s="1"/>
  <c r="J4" i="73"/>
  <c r="B14" i="96"/>
  <c r="Y21" i="67"/>
  <c r="G4" i="67"/>
  <c r="F7" i="96" s="1"/>
  <c r="G13" i="100" s="1"/>
  <c r="I15" i="96"/>
  <c r="E15" i="96"/>
  <c r="E21" i="100" s="1"/>
  <c r="D15" i="96"/>
  <c r="D21" i="100" s="1"/>
  <c r="I12" i="96"/>
  <c r="D12" i="96"/>
  <c r="D18" i="100" s="1"/>
  <c r="E12" i="96"/>
  <c r="E18" i="100" s="1"/>
  <c r="E8" i="96"/>
  <c r="E14" i="100" s="1"/>
  <c r="B5" i="96"/>
  <c r="B11" i="100" s="1"/>
  <c r="G57" i="72"/>
  <c r="K57" i="72" s="1"/>
  <c r="Y25" i="67"/>
  <c r="J4" i="58"/>
  <c r="B4" i="96"/>
  <c r="G25" i="72"/>
  <c r="K25" i="72" s="1"/>
  <c r="Y28" i="67"/>
  <c r="Y22" i="67"/>
  <c r="G60" i="72"/>
  <c r="D66" i="72"/>
  <c r="J66" i="72" s="1"/>
  <c r="G69" i="60"/>
  <c r="A521" i="101" s="1" a="1"/>
  <c r="A521" i="101" s="1"/>
  <c r="K69" i="60"/>
  <c r="K41" i="57"/>
  <c r="G41" i="57"/>
  <c r="A1" i="101" s="1" a="1"/>
  <c r="A1" i="101" s="1"/>
  <c r="G57" i="57"/>
  <c r="K57" i="57"/>
  <c r="R11" i="67" l="1"/>
  <c r="E35" i="85"/>
  <c r="D35" i="85"/>
  <c r="B18" i="67"/>
  <c r="P18" i="67" s="1"/>
  <c r="B13" i="82"/>
  <c r="P13" i="82" s="1"/>
  <c r="Y13" i="82"/>
  <c r="Q13" i="82"/>
  <c r="R13" i="82"/>
  <c r="S13" i="82"/>
  <c r="B11" i="67"/>
  <c r="P11" i="67" s="1"/>
  <c r="B15" i="67"/>
  <c r="P15" i="67" s="1"/>
  <c r="B17" i="67"/>
  <c r="P17" i="67" s="1"/>
  <c r="B28" i="67"/>
  <c r="P28" i="67" s="1"/>
  <c r="B31" i="67"/>
  <c r="P31" i="67" s="1"/>
  <c r="B22" i="67"/>
  <c r="P22" i="67" s="1"/>
  <c r="B16" i="67"/>
  <c r="P16" i="67" s="1"/>
  <c r="B11" i="91"/>
  <c r="P11" i="91" s="1"/>
  <c r="Y11" i="91"/>
  <c r="R11" i="91"/>
  <c r="S11" i="91"/>
  <c r="Q11" i="91"/>
  <c r="B29" i="67"/>
  <c r="P29" i="67" s="1"/>
  <c r="B20" i="67"/>
  <c r="P20" i="67" s="1"/>
  <c r="D8" i="96"/>
  <c r="D14" i="100" s="1"/>
  <c r="B23" i="67"/>
  <c r="P23" i="67" s="1"/>
  <c r="B25" i="67"/>
  <c r="P25" i="67" s="1"/>
  <c r="B19" i="67"/>
  <c r="P19" i="67" s="1"/>
  <c r="B14" i="67"/>
  <c r="P14" i="67" s="1"/>
  <c r="B21" i="67"/>
  <c r="P21" i="67" s="1"/>
  <c r="Z21" i="67"/>
  <c r="D4" i="82"/>
  <c r="J4" i="82" s="1"/>
  <c r="B27" i="67"/>
  <c r="P27" i="67" s="1"/>
  <c r="E4" i="67"/>
  <c r="K4" i="67" s="1"/>
  <c r="B32" i="67"/>
  <c r="P32" i="67" s="1"/>
  <c r="S21" i="67"/>
  <c r="B26" i="67"/>
  <c r="P26" i="67" s="1"/>
  <c r="B13" i="67"/>
  <c r="P13" i="67" s="1"/>
  <c r="R21" i="67"/>
  <c r="B20" i="88"/>
  <c r="P20" i="88" s="1"/>
  <c r="Y20" i="88"/>
  <c r="R20" i="88"/>
  <c r="Q20" i="88"/>
  <c r="S20" i="88"/>
  <c r="B24" i="67"/>
  <c r="P24" i="67" s="1"/>
  <c r="S11" i="67"/>
  <c r="B30" i="67"/>
  <c r="P30" i="67" s="1"/>
  <c r="Q35" i="85"/>
  <c r="H4" i="85"/>
  <c r="G13" i="96" s="1"/>
  <c r="R35" i="85"/>
  <c r="H13" i="96"/>
  <c r="S35" i="85"/>
  <c r="B4" i="85"/>
  <c r="F4" i="85"/>
  <c r="F13" i="96" s="1"/>
  <c r="G19" i="100" s="1"/>
  <c r="V20" i="100"/>
  <c r="W20" i="100"/>
  <c r="D45" i="100"/>
  <c r="V10" i="100"/>
  <c r="W10" i="100"/>
  <c r="D35" i="100"/>
  <c r="D42" i="100"/>
  <c r="W17" i="100"/>
  <c r="V17" i="100"/>
  <c r="V14" i="100"/>
  <c r="D39" i="100"/>
  <c r="W14" i="100"/>
  <c r="V11" i="100"/>
  <c r="W11" i="100"/>
  <c r="D36" i="100"/>
  <c r="B17" i="100"/>
  <c r="F17" i="100"/>
  <c r="B20" i="100"/>
  <c r="F20" i="100"/>
  <c r="D38" i="100"/>
  <c r="V13" i="100"/>
  <c r="W13" i="100"/>
  <c r="D40" i="100"/>
  <c r="W15" i="100"/>
  <c r="V15" i="100"/>
  <c r="A3121" i="101"/>
  <c r="E10" i="96"/>
  <c r="I10" i="96" s="1"/>
  <c r="D10" i="96"/>
  <c r="D16" i="100" s="1"/>
  <c r="I8" i="96"/>
  <c r="F14" i="100"/>
  <c r="B13" i="100"/>
  <c r="B10" i="100"/>
  <c r="D9" i="96"/>
  <c r="D15" i="100" s="1"/>
  <c r="E9" i="96"/>
  <c r="G66" i="72"/>
  <c r="I11" i="96"/>
  <c r="E11" i="96"/>
  <c r="E17" i="100" s="1"/>
  <c r="D11" i="96"/>
  <c r="D17" i="100" s="1"/>
  <c r="D4" i="96"/>
  <c r="D10" i="100" s="1"/>
  <c r="E4" i="96"/>
  <c r="E10" i="100" s="1"/>
  <c r="I14" i="96"/>
  <c r="D14" i="96"/>
  <c r="D20" i="100" s="1"/>
  <c r="E14" i="96"/>
  <c r="E20" i="100" s="1"/>
  <c r="E5" i="96"/>
  <c r="I5" i="96" s="1"/>
  <c r="D5" i="96"/>
  <c r="D11" i="100" s="1"/>
  <c r="D6" i="96"/>
  <c r="D12" i="100" s="1"/>
  <c r="E6" i="96"/>
  <c r="D7" i="96"/>
  <c r="D13" i="100" s="1"/>
  <c r="E7" i="96"/>
  <c r="B35" i="85" l="1"/>
  <c r="P35" i="85" s="1"/>
  <c r="D4" i="85"/>
  <c r="H19" i="100"/>
  <c r="K6" i="100"/>
  <c r="B13" i="96"/>
  <c r="D24" i="100" s="1"/>
  <c r="J4" i="85"/>
  <c r="C13" i="96"/>
  <c r="C19" i="100" s="1"/>
  <c r="X18" i="100" s="1"/>
  <c r="I19" i="100"/>
  <c r="V19" i="100"/>
  <c r="W19" i="100"/>
  <c r="D44" i="100"/>
  <c r="D41" i="100"/>
  <c r="V16" i="100"/>
  <c r="W16" i="100"/>
  <c r="K66" i="72"/>
  <c r="A2601" i="101" a="1"/>
  <c r="A24" i="100"/>
  <c r="D37" i="100"/>
  <c r="V12" i="100"/>
  <c r="W12" i="100"/>
  <c r="D34" i="100"/>
  <c r="W9" i="100"/>
  <c r="V9" i="100"/>
  <c r="F16" i="100"/>
  <c r="E16" i="100"/>
  <c r="I9" i="96"/>
  <c r="E15" i="100"/>
  <c r="F15" i="100"/>
  <c r="F11" i="100"/>
  <c r="E11" i="100"/>
  <c r="I6" i="96"/>
  <c r="F12" i="100"/>
  <c r="E12" i="100"/>
  <c r="I7" i="96"/>
  <c r="E13" i="100"/>
  <c r="F13" i="100"/>
  <c r="F10" i="100"/>
  <c r="I4" i="96"/>
  <c r="E13" i="96" l="1"/>
  <c r="E19" i="100" s="1"/>
  <c r="B19" i="100"/>
  <c r="F19" i="100"/>
  <c r="D13" i="96"/>
  <c r="D19" i="100" s="1"/>
  <c r="I13" i="96"/>
  <c r="G24" i="100"/>
  <c r="D6" i="100"/>
  <c r="D6" i="54" s="1"/>
  <c r="H6" i="100"/>
  <c r="G6" i="54" s="1"/>
  <c r="B5" i="99"/>
  <c r="B7" i="99" s="1"/>
  <c r="B6" i="100"/>
  <c r="A2601" i="101"/>
  <c r="A2" i="95" s="1" a="1"/>
  <c r="A2" i="95" s="1"/>
  <c r="E33" i="55" a="1"/>
  <c r="E33" i="55" s="1"/>
  <c r="D27" i="55" a="1"/>
  <c r="D27" i="55" s="1"/>
  <c r="E32" i="55" a="1"/>
  <c r="E32" i="55" s="1"/>
  <c r="C38" i="55"/>
  <c r="E41" i="55" a="1"/>
  <c r="E41" i="55" s="1"/>
  <c r="D30" i="55" a="1"/>
  <c r="D30" i="55" s="1"/>
  <c r="C30" i="55" a="1"/>
  <c r="C30" i="55" s="1"/>
  <c r="D38" i="55"/>
  <c r="C41" i="55" a="1"/>
  <c r="C41" i="55" s="1"/>
  <c r="E34" i="55" a="1"/>
  <c r="E34" i="55" s="1"/>
  <c r="E31" i="55" a="1"/>
  <c r="E31" i="55" s="1"/>
  <c r="G40" i="55" a="1"/>
  <c r="G40" i="55" s="1"/>
  <c r="E27" i="55" a="1"/>
  <c r="E27" i="55" s="1"/>
  <c r="E38" i="55"/>
  <c r="D32" i="55" a="1"/>
  <c r="D32" i="55" s="1"/>
  <c r="D36" i="55" a="1"/>
  <c r="D36" i="55" s="1"/>
  <c r="E29" i="55" a="1"/>
  <c r="E29" i="55" s="1"/>
  <c r="D35" i="55" a="1"/>
  <c r="D35" i="55" s="1"/>
  <c r="E30" i="55" a="1"/>
  <c r="E30" i="55" s="1"/>
  <c r="E36" i="55" a="1"/>
  <c r="E36" i="55" s="1"/>
  <c r="D39" i="55"/>
  <c r="C35" i="55" a="1"/>
  <c r="C35" i="55" s="1"/>
  <c r="E35" i="55" a="1"/>
  <c r="E35" i="55" s="1"/>
  <c r="C34" i="55" a="1"/>
  <c r="C34" i="55" s="1"/>
  <c r="C39" i="55"/>
  <c r="C32" i="55" a="1"/>
  <c r="C32" i="55" s="1"/>
  <c r="G41" i="55" a="1"/>
  <c r="G41" i="55" s="1"/>
  <c r="D34" i="55" a="1"/>
  <c r="D34" i="55" s="1"/>
  <c r="C40" i="55" a="1"/>
  <c r="C40" i="55" s="1"/>
  <c r="G39" i="55"/>
  <c r="D28" i="55" a="1"/>
  <c r="D28" i="55" s="1"/>
  <c r="E40" i="55" a="1"/>
  <c r="E40" i="55" s="1"/>
  <c r="D40" i="55" a="1"/>
  <c r="D40" i="55" s="1"/>
  <c r="C29" i="55" a="1"/>
  <c r="C29" i="55" s="1"/>
  <c r="E39" i="55"/>
  <c r="C33" i="55" a="1"/>
  <c r="C33" i="55" s="1"/>
  <c r="D29" i="55" a="1"/>
  <c r="D29" i="55" s="1"/>
  <c r="C27" i="55" a="1"/>
  <c r="C27" i="55" s="1"/>
  <c r="C36" i="55" a="1"/>
  <c r="C36" i="55" s="1"/>
  <c r="D31" i="55" a="1"/>
  <c r="D31" i="55" s="1"/>
  <c r="C31" i="55" a="1"/>
  <c r="C31" i="55" s="1"/>
  <c r="G38" i="55"/>
  <c r="D33" i="55" a="1"/>
  <c r="D33" i="55" s="1"/>
  <c r="D41" i="55" a="1"/>
  <c r="D41" i="55" s="1"/>
  <c r="E28" i="55" a="1"/>
  <c r="E28" i="55" s="1"/>
  <c r="C28" i="55" a="1"/>
  <c r="C28" i="55" s="1"/>
  <c r="F32" i="55" l="1"/>
  <c r="F28" i="55"/>
  <c r="F29" i="55"/>
  <c r="F27" i="55"/>
  <c r="B6" i="54"/>
  <c r="F6" i="100"/>
  <c r="F36" i="55"/>
  <c r="D43" i="100"/>
  <c r="V18" i="100"/>
  <c r="W18" i="100"/>
  <c r="F35" i="55"/>
  <c r="F30" i="55"/>
  <c r="F38" i="55"/>
  <c r="F39" i="55"/>
  <c r="F31" i="55"/>
  <c r="F41" i="55"/>
  <c r="F33" i="55"/>
  <c r="F34" i="55"/>
  <c r="F40" i="55"/>
  <c r="M6" i="100" l="1"/>
  <c r="F6"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Ed</author>
  </authors>
  <commentList>
    <comment ref="N60" authorId="0" shapeId="0" xr:uid="{DC9640F7-802A-45FD-9A2D-0D401ECE6F83}">
      <text>
        <r>
          <rPr>
            <b/>
            <sz val="9"/>
            <color indexed="81"/>
            <rFont val="Segoe UI"/>
          </rPr>
          <t>Lucas Ed:</t>
        </r>
        <r>
          <rPr>
            <sz val="9"/>
            <color indexed="81"/>
            <rFont val="Segoe UI"/>
          </rPr>
          <t xml:space="preserve">
Data confirmada em SEMANA FEVEREIRO: CORANTE ROSA REPETECO produzido em 25/02/2026.</t>
        </r>
      </text>
    </comment>
    <comment ref="N96" authorId="0" shapeId="0" xr:uid="{C9D4F088-0B05-4FD6-B5F0-B98867C2D75A}">
      <text>
        <r>
          <rPr>
            <b/>
            <sz val="9"/>
            <color indexed="81"/>
            <rFont val="Segoe UI"/>
          </rPr>
          <t>Lucas Ed:</t>
        </r>
        <r>
          <rPr>
            <sz val="9"/>
            <color indexed="81"/>
            <rFont val="Segoe UI"/>
          </rPr>
          <t xml:space="preserve">
Data confirmada em SEMANA FEVEREIRO: GENGIBRE, lote planejado de 3.960 latas, produzido em 26/02/2026.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Lucas Ed</author>
  </authors>
  <commentList>
    <comment ref="C3" authorId="0" shapeId="0" xr:uid="{00000000-0006-0000-0400-000001000000}">
      <text>
        <r>
          <rPr>
            <sz val="10"/>
            <rFont val="Arial"/>
            <family val="2"/>
          </rPr>
          <t>Tipo de lata / embalagem em mililitros. Ex.: 200 ml, 400 ml, 600 ml.</t>
        </r>
      </text>
    </comment>
    <comment ref="D3" authorId="0" shapeId="0" xr:uid="{00000000-0006-0000-0400-000015000000}">
      <text>
        <r>
          <rPr>
            <sz val="10"/>
            <rFont val="Arial"/>
            <family val="2"/>
          </rPr>
          <t>Quantidade de caixas produzidas no item.</t>
        </r>
      </text>
    </comment>
    <comment ref="H3" authorId="0" shapeId="0" xr:uid="{00000000-0006-0000-0400-000029000000}">
      <text>
        <r>
          <rPr>
            <sz val="10"/>
            <rFont val="Arial"/>
            <family val="2"/>
          </rPr>
          <t>Consumo de gás do item no dia.</t>
        </r>
      </text>
    </comment>
    <comment ref="I3" authorId="0" shapeId="0" xr:uid="{00000000-0006-0000-0400-00003D000000}">
      <text>
        <r>
          <rPr>
            <sz val="10"/>
            <rFont val="Arial"/>
            <family val="2"/>
          </rPr>
          <t>Horas utilizadas na produção do item.</t>
        </r>
      </text>
    </comment>
    <comment ref="L3" authorId="0" shapeId="0" xr:uid="{00000000-0006-0000-0400-000051000000}">
      <text>
        <r>
          <rPr>
            <sz val="10"/>
            <rFont val="Arial"/>
            <family val="2"/>
          </rPr>
          <t>Produção real convertida para caixas.</t>
        </r>
      </text>
    </comment>
    <comment ref="N3" authorId="0" shapeId="0" xr:uid="{00000000-0006-0000-0400-000065000000}">
      <text>
        <r>
          <rPr>
            <sz val="10"/>
            <rFont val="Arial"/>
            <family val="2"/>
          </rPr>
          <t>Total final convertido em latas.</t>
        </r>
      </text>
    </comment>
    <comment ref="C11" authorId="0" shapeId="0" xr:uid="{00000000-0006-0000-0400-000002000000}">
      <text>
        <r>
          <rPr>
            <sz val="10"/>
            <rFont val="Arial"/>
            <family val="2"/>
          </rPr>
          <t>Tipo de lata / embalagem em mililitros. Ex.: 200 ml, 400 ml, 600 ml.</t>
        </r>
      </text>
    </comment>
    <comment ref="D11" authorId="0" shapeId="0" xr:uid="{00000000-0006-0000-0400-000016000000}">
      <text>
        <r>
          <rPr>
            <sz val="10"/>
            <rFont val="Arial"/>
            <family val="2"/>
          </rPr>
          <t>Quantidade de caixas produzidas no item.</t>
        </r>
      </text>
    </comment>
    <comment ref="H11" authorId="0" shapeId="0" xr:uid="{00000000-0006-0000-0400-00002A000000}">
      <text>
        <r>
          <rPr>
            <sz val="10"/>
            <rFont val="Arial"/>
            <family val="2"/>
          </rPr>
          <t>Consumo de gás do item no dia.</t>
        </r>
      </text>
    </comment>
    <comment ref="I11" authorId="0" shapeId="0" xr:uid="{00000000-0006-0000-0400-00003E000000}">
      <text>
        <r>
          <rPr>
            <sz val="10"/>
            <rFont val="Arial"/>
            <family val="2"/>
          </rPr>
          <t>Horas utilizadas na produção do item.</t>
        </r>
      </text>
    </comment>
    <comment ref="L11" authorId="0" shapeId="0" xr:uid="{00000000-0006-0000-0400-000052000000}">
      <text>
        <r>
          <rPr>
            <sz val="10"/>
            <rFont val="Arial"/>
            <family val="2"/>
          </rPr>
          <t>Produção real convertida para caixas.</t>
        </r>
      </text>
    </comment>
    <comment ref="N11" authorId="0" shapeId="0" xr:uid="{00000000-0006-0000-0400-000066000000}">
      <text>
        <r>
          <rPr>
            <sz val="10"/>
            <rFont val="Arial"/>
            <family val="2"/>
          </rPr>
          <t>Total final convertido em latas.</t>
        </r>
      </text>
    </comment>
    <comment ref="C18" authorId="0" shapeId="0" xr:uid="{00000000-0006-0000-0400-000003000000}">
      <text>
        <r>
          <rPr>
            <sz val="10"/>
            <rFont val="Arial"/>
            <family val="2"/>
          </rPr>
          <t>Tipo de lata / embalagem em mililitros. Ex.: 200 ml, 400 ml, 600 ml.</t>
        </r>
      </text>
    </comment>
    <comment ref="D18" authorId="0" shapeId="0" xr:uid="{00000000-0006-0000-0400-000017000000}">
      <text>
        <r>
          <rPr>
            <sz val="10"/>
            <rFont val="Arial"/>
            <family val="2"/>
          </rPr>
          <t>Quantidade de caixas produzidas no item.</t>
        </r>
      </text>
    </comment>
    <comment ref="H18" authorId="0" shapeId="0" xr:uid="{00000000-0006-0000-0400-00002B000000}">
      <text>
        <r>
          <rPr>
            <sz val="10"/>
            <rFont val="Arial"/>
            <family val="2"/>
          </rPr>
          <t>Consumo de gás do item no dia.</t>
        </r>
      </text>
    </comment>
    <comment ref="I18" authorId="0" shapeId="0" xr:uid="{00000000-0006-0000-0400-00003F000000}">
      <text>
        <r>
          <rPr>
            <sz val="10"/>
            <rFont val="Arial"/>
            <family val="2"/>
          </rPr>
          <t>Horas utilizadas na produção do item.</t>
        </r>
      </text>
    </comment>
    <comment ref="L18" authorId="0" shapeId="0" xr:uid="{00000000-0006-0000-0400-000053000000}">
      <text>
        <r>
          <rPr>
            <sz val="10"/>
            <rFont val="Arial"/>
            <family val="2"/>
          </rPr>
          <t>Produção real convertida para caixas.</t>
        </r>
      </text>
    </comment>
    <comment ref="N18" authorId="0" shapeId="0" xr:uid="{00000000-0006-0000-0400-000067000000}">
      <text>
        <r>
          <rPr>
            <sz val="10"/>
            <rFont val="Arial"/>
            <family val="2"/>
          </rPr>
          <t>Total final convertido em latas.</t>
        </r>
      </text>
    </comment>
    <comment ref="C26" authorId="0" shapeId="0" xr:uid="{00000000-0006-0000-0400-000004000000}">
      <text>
        <r>
          <rPr>
            <sz val="10"/>
            <rFont val="Arial"/>
            <family val="2"/>
          </rPr>
          <t>Tipo de lata / embalagem em mililitros. Ex.: 200 ml, 400 ml, 600 ml.</t>
        </r>
      </text>
    </comment>
    <comment ref="D26" authorId="0" shapeId="0" xr:uid="{00000000-0006-0000-0400-000018000000}">
      <text>
        <r>
          <rPr>
            <sz val="10"/>
            <rFont val="Arial"/>
            <family val="2"/>
          </rPr>
          <t>Quantidade de caixas produzidas no item.</t>
        </r>
      </text>
    </comment>
    <comment ref="H26" authorId="0" shapeId="0" xr:uid="{00000000-0006-0000-0400-00002C000000}">
      <text>
        <r>
          <rPr>
            <sz val="10"/>
            <rFont val="Arial"/>
            <family val="2"/>
          </rPr>
          <t>Consumo de gás do item no dia.</t>
        </r>
      </text>
    </comment>
    <comment ref="I26" authorId="0" shapeId="0" xr:uid="{00000000-0006-0000-0400-000040000000}">
      <text>
        <r>
          <rPr>
            <sz val="10"/>
            <rFont val="Arial"/>
            <family val="2"/>
          </rPr>
          <t>Horas utilizadas na produção do item.</t>
        </r>
      </text>
    </comment>
    <comment ref="L26" authorId="0" shapeId="0" xr:uid="{00000000-0006-0000-0400-000054000000}">
      <text>
        <r>
          <rPr>
            <sz val="10"/>
            <rFont val="Arial"/>
            <family val="2"/>
          </rPr>
          <t>Produção real convertida para caixas.</t>
        </r>
      </text>
    </comment>
    <comment ref="N26" authorId="0" shapeId="0" xr:uid="{00000000-0006-0000-0400-000068000000}">
      <text>
        <r>
          <rPr>
            <sz val="10"/>
            <rFont val="Arial"/>
            <family val="2"/>
          </rPr>
          <t>Total final convertido em latas.</t>
        </r>
      </text>
    </comment>
    <comment ref="C34" authorId="0" shapeId="0" xr:uid="{00000000-0006-0000-0400-000005000000}">
      <text>
        <r>
          <rPr>
            <sz val="10"/>
            <rFont val="Arial"/>
            <family val="2"/>
          </rPr>
          <t>Tipo de lata / embalagem em mililitros. Ex.: 200 ml, 400 ml, 600 ml.</t>
        </r>
      </text>
    </comment>
    <comment ref="D34" authorId="0" shapeId="0" xr:uid="{00000000-0006-0000-0400-000019000000}">
      <text>
        <r>
          <rPr>
            <sz val="10"/>
            <rFont val="Arial"/>
            <family val="2"/>
          </rPr>
          <t>Quantidade de caixas produzidas no item.</t>
        </r>
      </text>
    </comment>
    <comment ref="H34" authorId="0" shapeId="0" xr:uid="{00000000-0006-0000-0400-00002D000000}">
      <text>
        <r>
          <rPr>
            <sz val="10"/>
            <rFont val="Arial"/>
            <family val="2"/>
          </rPr>
          <t>Consumo de gás do item no dia.</t>
        </r>
      </text>
    </comment>
    <comment ref="I34" authorId="0" shapeId="0" xr:uid="{00000000-0006-0000-0400-000041000000}">
      <text>
        <r>
          <rPr>
            <sz val="10"/>
            <rFont val="Arial"/>
            <family val="2"/>
          </rPr>
          <t>Horas utilizadas na produção do item.</t>
        </r>
      </text>
    </comment>
    <comment ref="L34" authorId="0" shapeId="0" xr:uid="{00000000-0006-0000-0400-000055000000}">
      <text>
        <r>
          <rPr>
            <sz val="10"/>
            <rFont val="Arial"/>
            <family val="2"/>
          </rPr>
          <t>Produção real convertida para caixas.</t>
        </r>
      </text>
    </comment>
    <comment ref="N34" authorId="0" shapeId="0" xr:uid="{00000000-0006-0000-0400-000069000000}">
      <text>
        <r>
          <rPr>
            <sz val="10"/>
            <rFont val="Arial"/>
            <family val="2"/>
          </rPr>
          <t>Total final convertido em latas.</t>
        </r>
      </text>
    </comment>
    <comment ref="C43" authorId="0" shapeId="0" xr:uid="{00000000-0006-0000-0400-000006000000}">
      <text>
        <r>
          <rPr>
            <sz val="10"/>
            <rFont val="Arial"/>
            <family val="2"/>
          </rPr>
          <t>Tipo de lata / embalagem em mililitros. Ex.: 200 ml, 400 ml, 600 ml.</t>
        </r>
      </text>
    </comment>
    <comment ref="D43" authorId="0" shapeId="0" xr:uid="{00000000-0006-0000-0400-00001A000000}">
      <text>
        <r>
          <rPr>
            <sz val="10"/>
            <rFont val="Arial"/>
            <family val="2"/>
          </rPr>
          <t>Quantidade de caixas produzidas no item.</t>
        </r>
      </text>
    </comment>
    <comment ref="H43" authorId="0" shapeId="0" xr:uid="{00000000-0006-0000-0400-00002E000000}">
      <text>
        <r>
          <rPr>
            <sz val="10"/>
            <rFont val="Arial"/>
            <family val="2"/>
          </rPr>
          <t>Consumo de gás do item no dia.</t>
        </r>
      </text>
    </comment>
    <comment ref="I43" authorId="0" shapeId="0" xr:uid="{00000000-0006-0000-0400-000042000000}">
      <text>
        <r>
          <rPr>
            <sz val="10"/>
            <rFont val="Arial"/>
            <family val="2"/>
          </rPr>
          <t>Horas utilizadas na produção do item.</t>
        </r>
      </text>
    </comment>
    <comment ref="L43" authorId="0" shapeId="0" xr:uid="{00000000-0006-0000-0400-000056000000}">
      <text>
        <r>
          <rPr>
            <sz val="10"/>
            <rFont val="Arial"/>
            <family val="2"/>
          </rPr>
          <t>Produção real convertida para caixas.</t>
        </r>
      </text>
    </comment>
    <comment ref="N43" authorId="0" shapeId="0" xr:uid="{00000000-0006-0000-0400-00006A000000}">
      <text>
        <r>
          <rPr>
            <sz val="10"/>
            <rFont val="Arial"/>
            <family val="2"/>
          </rPr>
          <t>Total final convertido em latas.</t>
        </r>
      </text>
    </comment>
    <comment ref="C51" authorId="0" shapeId="0" xr:uid="{00000000-0006-0000-0400-000007000000}">
      <text>
        <r>
          <rPr>
            <sz val="10"/>
            <rFont val="Arial"/>
            <family val="2"/>
          </rPr>
          <t>Tipo de lata / embalagem em mililitros. Ex.: 200 ml, 400 ml, 600 ml.</t>
        </r>
      </text>
    </comment>
    <comment ref="D51" authorId="0" shapeId="0" xr:uid="{00000000-0006-0000-0400-00001B000000}">
      <text>
        <r>
          <rPr>
            <sz val="10"/>
            <rFont val="Arial"/>
            <family val="2"/>
          </rPr>
          <t>Quantidade de caixas produzidas no item.</t>
        </r>
      </text>
    </comment>
    <comment ref="H51" authorId="0" shapeId="0" xr:uid="{00000000-0006-0000-0400-00002F000000}">
      <text>
        <r>
          <rPr>
            <sz val="10"/>
            <rFont val="Arial"/>
            <family val="2"/>
          </rPr>
          <t>Consumo de gás do item no dia.</t>
        </r>
      </text>
    </comment>
    <comment ref="I51" authorId="0" shapeId="0" xr:uid="{00000000-0006-0000-0400-000043000000}">
      <text>
        <r>
          <rPr>
            <sz val="10"/>
            <rFont val="Arial"/>
            <family val="2"/>
          </rPr>
          <t>Horas utilizadas na produção do item.</t>
        </r>
      </text>
    </comment>
    <comment ref="L51" authorId="0" shapeId="0" xr:uid="{00000000-0006-0000-0400-000057000000}">
      <text>
        <r>
          <rPr>
            <sz val="10"/>
            <rFont val="Arial"/>
            <family val="2"/>
          </rPr>
          <t>Produção real convertida para caixas.</t>
        </r>
      </text>
    </comment>
    <comment ref="N51" authorId="0" shapeId="0" xr:uid="{00000000-0006-0000-0400-00006B000000}">
      <text>
        <r>
          <rPr>
            <sz val="10"/>
            <rFont val="Arial"/>
            <family val="2"/>
          </rPr>
          <t>Total final convertido em latas.</t>
        </r>
      </text>
    </comment>
    <comment ref="B55" authorId="1" shapeId="0" xr:uid="{18D47E16-342C-491C-85A7-023CEEA03D4F}">
      <text>
        <r>
          <rPr>
            <b/>
            <sz val="9"/>
            <color indexed="81"/>
            <rFont val="Segoe UI"/>
            <family val="2"/>
          </rPr>
          <t>Lucas Ed:</t>
        </r>
        <r>
          <rPr>
            <sz val="9"/>
            <color indexed="81"/>
            <rFont val="Segoe UI"/>
            <family val="2"/>
          </rPr>
          <t xml:space="preserve">
Era 'PURATOS' sozinho. CX/PALLET vazio impede identificar se é DESTAK (190) ou NORCAU (95). Verificar manualmente.</t>
        </r>
      </text>
    </comment>
    <comment ref="C59" authorId="0" shapeId="0" xr:uid="{00000000-0006-0000-0400-000008000000}">
      <text>
        <r>
          <rPr>
            <sz val="10"/>
            <rFont val="Arial"/>
            <family val="2"/>
          </rPr>
          <t>Tipo de lata / embalagem em mililitros. Ex.: 200 ml, 400 ml, 600 ml.</t>
        </r>
      </text>
    </comment>
    <comment ref="D59" authorId="0" shapeId="0" xr:uid="{00000000-0006-0000-0400-00001C000000}">
      <text>
        <r>
          <rPr>
            <sz val="10"/>
            <rFont val="Arial"/>
            <family val="2"/>
          </rPr>
          <t>Quantidade de caixas produzidas no item.</t>
        </r>
      </text>
    </comment>
    <comment ref="H59" authorId="0" shapeId="0" xr:uid="{00000000-0006-0000-0400-000030000000}">
      <text>
        <r>
          <rPr>
            <sz val="10"/>
            <rFont val="Arial"/>
            <family val="2"/>
          </rPr>
          <t>Consumo de gás do item no dia.</t>
        </r>
      </text>
    </comment>
    <comment ref="I59" authorId="0" shapeId="0" xr:uid="{00000000-0006-0000-0400-000044000000}">
      <text>
        <r>
          <rPr>
            <sz val="10"/>
            <rFont val="Arial"/>
            <family val="2"/>
          </rPr>
          <t>Horas utilizadas na produção do item.</t>
        </r>
      </text>
    </comment>
    <comment ref="L59" authorId="0" shapeId="0" xr:uid="{00000000-0006-0000-0400-000058000000}">
      <text>
        <r>
          <rPr>
            <sz val="10"/>
            <rFont val="Arial"/>
            <family val="2"/>
          </rPr>
          <t>Produção real convertida para caixas.</t>
        </r>
      </text>
    </comment>
    <comment ref="N59" authorId="0" shapeId="0" xr:uid="{00000000-0006-0000-0400-00006C000000}">
      <text>
        <r>
          <rPr>
            <sz val="10"/>
            <rFont val="Arial"/>
            <family val="2"/>
          </rPr>
          <t>Total final convertido em latas.</t>
        </r>
      </text>
    </comment>
    <comment ref="B61" authorId="1" shapeId="0" xr:uid="{8551A662-16BF-4C81-AB6E-025412253BDD}">
      <text>
        <r>
          <rPr>
            <b/>
            <sz val="9"/>
            <color indexed="81"/>
            <rFont val="Segoe UI"/>
            <family val="2"/>
          </rPr>
          <t>Lucas Ed:</t>
        </r>
        <r>
          <rPr>
            <sz val="9"/>
            <color indexed="81"/>
            <rFont val="Segoe UI"/>
            <family val="2"/>
          </rPr>
          <t xml:space="preserve">
Era 'PURATOS' sozinho. CX/PALLET vazio impede identificar se é DESTAK (190) ou NORCAU (95). Verificar manualmente.</t>
        </r>
      </text>
    </comment>
    <comment ref="C67" authorId="0" shapeId="0" xr:uid="{00000000-0006-0000-0400-000009000000}">
      <text>
        <r>
          <rPr>
            <sz val="10"/>
            <rFont val="Arial"/>
            <family val="2"/>
          </rPr>
          <t>Tipo de lata / embalagem em mililitros. Ex.: 200 ml, 400 ml, 600 ml.</t>
        </r>
      </text>
    </comment>
    <comment ref="D67" authorId="0" shapeId="0" xr:uid="{00000000-0006-0000-0400-00001D000000}">
      <text>
        <r>
          <rPr>
            <sz val="10"/>
            <rFont val="Arial"/>
            <family val="2"/>
          </rPr>
          <t>Quantidade de caixas produzidas no item.</t>
        </r>
      </text>
    </comment>
    <comment ref="H67" authorId="0" shapeId="0" xr:uid="{00000000-0006-0000-0400-000031000000}">
      <text>
        <r>
          <rPr>
            <sz val="10"/>
            <rFont val="Arial"/>
            <family val="2"/>
          </rPr>
          <t>Consumo de gás do item no dia.</t>
        </r>
      </text>
    </comment>
    <comment ref="I67" authorId="0" shapeId="0" xr:uid="{00000000-0006-0000-0400-000045000000}">
      <text>
        <r>
          <rPr>
            <sz val="10"/>
            <rFont val="Arial"/>
            <family val="2"/>
          </rPr>
          <t>Horas utilizadas na produção do item.</t>
        </r>
      </text>
    </comment>
    <comment ref="L67" authorId="0" shapeId="0" xr:uid="{00000000-0006-0000-0400-000059000000}">
      <text>
        <r>
          <rPr>
            <sz val="10"/>
            <rFont val="Arial"/>
            <family val="2"/>
          </rPr>
          <t>Produção real convertida para caixas.</t>
        </r>
      </text>
    </comment>
    <comment ref="N67" authorId="0" shapeId="0" xr:uid="{00000000-0006-0000-0400-00006D000000}">
      <text>
        <r>
          <rPr>
            <sz val="10"/>
            <rFont val="Arial"/>
            <family val="2"/>
          </rPr>
          <t>Total final convertido em latas.</t>
        </r>
      </text>
    </comment>
    <comment ref="C76" authorId="0" shapeId="0" xr:uid="{00000000-0006-0000-0400-00000A000000}">
      <text>
        <r>
          <rPr>
            <sz val="10"/>
            <rFont val="Arial"/>
            <family val="2"/>
          </rPr>
          <t>Tipo de lata / embalagem em mililitros. Ex.: 200 ml, 400 ml, 600 ml.</t>
        </r>
      </text>
    </comment>
    <comment ref="D76" authorId="0" shapeId="0" xr:uid="{00000000-0006-0000-0400-00001E000000}">
      <text>
        <r>
          <rPr>
            <sz val="10"/>
            <rFont val="Arial"/>
            <family val="2"/>
          </rPr>
          <t>Quantidade de caixas produzidas no item.</t>
        </r>
      </text>
    </comment>
    <comment ref="H76" authorId="0" shapeId="0" xr:uid="{00000000-0006-0000-0400-000032000000}">
      <text>
        <r>
          <rPr>
            <sz val="10"/>
            <rFont val="Arial"/>
            <family val="2"/>
          </rPr>
          <t>Consumo de gás do item no dia.</t>
        </r>
      </text>
    </comment>
    <comment ref="I76" authorId="0" shapeId="0" xr:uid="{00000000-0006-0000-0400-000046000000}">
      <text>
        <r>
          <rPr>
            <sz val="10"/>
            <rFont val="Arial"/>
            <family val="2"/>
          </rPr>
          <t>Horas utilizadas na produção do item.</t>
        </r>
      </text>
    </comment>
    <comment ref="L76" authorId="0" shapeId="0" xr:uid="{00000000-0006-0000-0400-00005A000000}">
      <text>
        <r>
          <rPr>
            <sz val="10"/>
            <rFont val="Arial"/>
            <family val="2"/>
          </rPr>
          <t>Produção real convertida para caixas.</t>
        </r>
      </text>
    </comment>
    <comment ref="N76" authorId="0" shapeId="0" xr:uid="{00000000-0006-0000-0400-00006E000000}">
      <text>
        <r>
          <rPr>
            <sz val="10"/>
            <rFont val="Arial"/>
            <family val="2"/>
          </rPr>
          <t>Total final convertido em latas.</t>
        </r>
      </text>
    </comment>
    <comment ref="C84" authorId="0" shapeId="0" xr:uid="{00000000-0006-0000-0400-00000B000000}">
      <text>
        <r>
          <rPr>
            <sz val="10"/>
            <rFont val="Arial"/>
            <family val="2"/>
          </rPr>
          <t>Tipo de lata / embalagem em mililitros. Ex.: 200 ml, 400 ml, 600 ml.</t>
        </r>
      </text>
    </comment>
    <comment ref="D84" authorId="0" shapeId="0" xr:uid="{00000000-0006-0000-0400-00001F000000}">
      <text>
        <r>
          <rPr>
            <sz val="10"/>
            <rFont val="Arial"/>
            <family val="2"/>
          </rPr>
          <t>Quantidade de caixas produzidas no item.</t>
        </r>
      </text>
    </comment>
    <comment ref="H84" authorId="0" shapeId="0" xr:uid="{00000000-0006-0000-0400-000033000000}">
      <text>
        <r>
          <rPr>
            <sz val="10"/>
            <rFont val="Arial"/>
            <family val="2"/>
          </rPr>
          <t>Consumo de gás do item no dia.</t>
        </r>
      </text>
    </comment>
    <comment ref="I84" authorId="0" shapeId="0" xr:uid="{00000000-0006-0000-0400-000047000000}">
      <text>
        <r>
          <rPr>
            <sz val="10"/>
            <rFont val="Arial"/>
            <family val="2"/>
          </rPr>
          <t>Horas utilizadas na produção do item.</t>
        </r>
      </text>
    </comment>
    <comment ref="L84" authorId="0" shapeId="0" xr:uid="{00000000-0006-0000-0400-00005B000000}">
      <text>
        <r>
          <rPr>
            <sz val="10"/>
            <rFont val="Arial"/>
            <family val="2"/>
          </rPr>
          <t>Produção real convertida para caixas.</t>
        </r>
      </text>
    </comment>
    <comment ref="N84" authorId="0" shapeId="0" xr:uid="{00000000-0006-0000-0400-00006F000000}">
      <text>
        <r>
          <rPr>
            <sz val="10"/>
            <rFont val="Arial"/>
            <family val="2"/>
          </rPr>
          <t>Total final convertido em latas.</t>
        </r>
      </text>
    </comment>
    <comment ref="C94" authorId="0" shapeId="0" xr:uid="{00000000-0006-0000-0400-00000C000000}">
      <text>
        <r>
          <rPr>
            <sz val="10"/>
            <rFont val="Arial"/>
            <family val="2"/>
          </rPr>
          <t>Tipo de lata / embalagem em mililitros. Ex.: 200 ml, 400 ml, 600 ml.</t>
        </r>
      </text>
    </comment>
    <comment ref="D94" authorId="0" shapeId="0" xr:uid="{00000000-0006-0000-0400-000020000000}">
      <text>
        <r>
          <rPr>
            <sz val="10"/>
            <rFont val="Arial"/>
            <family val="2"/>
          </rPr>
          <t>Quantidade de caixas produzidas no item.</t>
        </r>
      </text>
    </comment>
    <comment ref="H94" authorId="0" shapeId="0" xr:uid="{00000000-0006-0000-0400-000034000000}">
      <text>
        <r>
          <rPr>
            <sz val="10"/>
            <rFont val="Arial"/>
            <family val="2"/>
          </rPr>
          <t>Consumo de gás do item no dia.</t>
        </r>
      </text>
    </comment>
    <comment ref="I94" authorId="0" shapeId="0" xr:uid="{00000000-0006-0000-0400-000048000000}">
      <text>
        <r>
          <rPr>
            <sz val="10"/>
            <rFont val="Arial"/>
            <family val="2"/>
          </rPr>
          <t>Horas utilizadas na produção do item.</t>
        </r>
      </text>
    </comment>
    <comment ref="L94" authorId="0" shapeId="0" xr:uid="{00000000-0006-0000-0400-00005C000000}">
      <text>
        <r>
          <rPr>
            <sz val="10"/>
            <rFont val="Arial"/>
            <family val="2"/>
          </rPr>
          <t>Produção real convertida para caixas.</t>
        </r>
      </text>
    </comment>
    <comment ref="N94" authorId="0" shapeId="0" xr:uid="{00000000-0006-0000-0400-000070000000}">
      <text>
        <r>
          <rPr>
            <sz val="10"/>
            <rFont val="Arial"/>
            <family val="2"/>
          </rPr>
          <t>Total final convertido em latas.</t>
        </r>
      </text>
    </comment>
    <comment ref="C104" authorId="0" shapeId="0" xr:uid="{00000000-0006-0000-0400-00000D000000}">
      <text>
        <r>
          <rPr>
            <sz val="10"/>
            <rFont val="Arial"/>
            <family val="2"/>
          </rPr>
          <t>Tipo de lata / embalagem em mililitros. Ex.: 200 ml, 400 ml, 600 ml.</t>
        </r>
      </text>
    </comment>
    <comment ref="D104" authorId="0" shapeId="0" xr:uid="{00000000-0006-0000-0400-000021000000}">
      <text>
        <r>
          <rPr>
            <sz val="10"/>
            <rFont val="Arial"/>
            <family val="2"/>
          </rPr>
          <t>Quantidade de caixas produzidas no item.</t>
        </r>
      </text>
    </comment>
    <comment ref="H104" authorId="0" shapeId="0" xr:uid="{00000000-0006-0000-0400-000035000000}">
      <text>
        <r>
          <rPr>
            <sz val="10"/>
            <rFont val="Arial"/>
            <family val="2"/>
          </rPr>
          <t>Consumo de gás do item no dia.</t>
        </r>
      </text>
    </comment>
    <comment ref="I104" authorId="0" shapeId="0" xr:uid="{00000000-0006-0000-0400-000049000000}">
      <text>
        <r>
          <rPr>
            <sz val="10"/>
            <rFont val="Arial"/>
            <family val="2"/>
          </rPr>
          <t>Horas utilizadas na produção do item.</t>
        </r>
      </text>
    </comment>
    <comment ref="L104" authorId="0" shapeId="0" xr:uid="{00000000-0006-0000-0400-00005D000000}">
      <text>
        <r>
          <rPr>
            <sz val="10"/>
            <rFont val="Arial"/>
            <family val="2"/>
          </rPr>
          <t>Produção real convertida para caixas.</t>
        </r>
      </text>
    </comment>
    <comment ref="N104" authorId="0" shapeId="0" xr:uid="{00000000-0006-0000-0400-000071000000}">
      <text>
        <r>
          <rPr>
            <sz val="10"/>
            <rFont val="Arial"/>
            <family val="2"/>
          </rPr>
          <t>Total final convertido em latas.</t>
        </r>
      </text>
    </comment>
    <comment ref="C112" authorId="0" shapeId="0" xr:uid="{00000000-0006-0000-0400-00000E000000}">
      <text>
        <r>
          <rPr>
            <sz val="10"/>
            <rFont val="Arial"/>
            <family val="2"/>
          </rPr>
          <t>Tipo de lata / embalagem em mililitros. Ex.: 200 ml, 400 ml, 600 ml.</t>
        </r>
      </text>
    </comment>
    <comment ref="D112" authorId="0" shapeId="0" xr:uid="{00000000-0006-0000-0400-000022000000}">
      <text>
        <r>
          <rPr>
            <sz val="10"/>
            <rFont val="Arial"/>
            <family val="2"/>
          </rPr>
          <t>Quantidade de caixas produzidas no item.</t>
        </r>
      </text>
    </comment>
    <comment ref="H112" authorId="0" shapeId="0" xr:uid="{00000000-0006-0000-0400-000036000000}">
      <text>
        <r>
          <rPr>
            <sz val="10"/>
            <rFont val="Arial"/>
            <family val="2"/>
          </rPr>
          <t>Consumo de gás do item no dia.</t>
        </r>
      </text>
    </comment>
    <comment ref="I112" authorId="0" shapeId="0" xr:uid="{00000000-0006-0000-0400-00004A000000}">
      <text>
        <r>
          <rPr>
            <sz val="10"/>
            <rFont val="Arial"/>
            <family val="2"/>
          </rPr>
          <t>Horas utilizadas na produção do item.</t>
        </r>
      </text>
    </comment>
    <comment ref="L112" authorId="0" shapeId="0" xr:uid="{00000000-0006-0000-0400-00005E000000}">
      <text>
        <r>
          <rPr>
            <sz val="10"/>
            <rFont val="Arial"/>
            <family val="2"/>
          </rPr>
          <t>Produção real convertida para caixas.</t>
        </r>
      </text>
    </comment>
    <comment ref="N112" authorId="0" shapeId="0" xr:uid="{00000000-0006-0000-0400-000072000000}">
      <text>
        <r>
          <rPr>
            <sz val="10"/>
            <rFont val="Arial"/>
            <family val="2"/>
          </rPr>
          <t>Total final convertido em latas.</t>
        </r>
      </text>
    </comment>
    <comment ref="C122" authorId="0" shapeId="0" xr:uid="{00000000-0006-0000-0400-00000F000000}">
      <text>
        <r>
          <rPr>
            <sz val="10"/>
            <rFont val="Arial"/>
            <family val="2"/>
          </rPr>
          <t>Tipo de lata / embalagem em mililitros. Ex.: 200 ml, 400 ml, 600 ml.</t>
        </r>
      </text>
    </comment>
    <comment ref="D122" authorId="0" shapeId="0" xr:uid="{00000000-0006-0000-0400-000023000000}">
      <text>
        <r>
          <rPr>
            <sz val="10"/>
            <rFont val="Arial"/>
            <family val="2"/>
          </rPr>
          <t>Quantidade de caixas produzidas no item.</t>
        </r>
      </text>
    </comment>
    <comment ref="H122" authorId="0" shapeId="0" xr:uid="{00000000-0006-0000-0400-000037000000}">
      <text>
        <r>
          <rPr>
            <sz val="10"/>
            <rFont val="Arial"/>
            <family val="2"/>
          </rPr>
          <t>Consumo de gás do item no dia.</t>
        </r>
      </text>
    </comment>
    <comment ref="I122" authorId="0" shapeId="0" xr:uid="{00000000-0006-0000-0400-00004B000000}">
      <text>
        <r>
          <rPr>
            <sz val="10"/>
            <rFont val="Arial"/>
            <family val="2"/>
          </rPr>
          <t>Horas utilizadas na produção do item.</t>
        </r>
      </text>
    </comment>
    <comment ref="L122" authorId="0" shapeId="0" xr:uid="{00000000-0006-0000-0400-00005F000000}">
      <text>
        <r>
          <rPr>
            <sz val="10"/>
            <rFont val="Arial"/>
            <family val="2"/>
          </rPr>
          <t>Produção real convertida para caixas.</t>
        </r>
      </text>
    </comment>
    <comment ref="N122" authorId="0" shapeId="0" xr:uid="{00000000-0006-0000-0400-000073000000}">
      <text>
        <r>
          <rPr>
            <sz val="10"/>
            <rFont val="Arial"/>
            <family val="2"/>
          </rPr>
          <t>Total final convertido em latas.</t>
        </r>
      </text>
    </comment>
    <comment ref="C134" authorId="0" shapeId="0" xr:uid="{00000000-0006-0000-0400-000010000000}">
      <text>
        <r>
          <rPr>
            <sz val="10"/>
            <rFont val="Arial"/>
            <family val="2"/>
          </rPr>
          <t>Tipo de lata / embalagem em mililitros. Ex.: 200 ml, 400 ml, 600 ml.</t>
        </r>
      </text>
    </comment>
    <comment ref="D134" authorId="0" shapeId="0" xr:uid="{00000000-0006-0000-0400-000024000000}">
      <text>
        <r>
          <rPr>
            <sz val="10"/>
            <rFont val="Arial"/>
            <family val="2"/>
          </rPr>
          <t>Quantidade de caixas produzidas no item.</t>
        </r>
      </text>
    </comment>
    <comment ref="H134" authorId="0" shapeId="0" xr:uid="{00000000-0006-0000-0400-000038000000}">
      <text>
        <r>
          <rPr>
            <sz val="10"/>
            <rFont val="Arial"/>
            <family val="2"/>
          </rPr>
          <t>Consumo de gás do item no dia.</t>
        </r>
      </text>
    </comment>
    <comment ref="I134" authorId="0" shapeId="0" xr:uid="{00000000-0006-0000-0400-00004C000000}">
      <text>
        <r>
          <rPr>
            <sz val="10"/>
            <rFont val="Arial"/>
            <family val="2"/>
          </rPr>
          <t>Horas utilizadas na produção do item.</t>
        </r>
      </text>
    </comment>
    <comment ref="L134" authorId="0" shapeId="0" xr:uid="{00000000-0006-0000-0400-000060000000}">
      <text>
        <r>
          <rPr>
            <sz val="10"/>
            <rFont val="Arial"/>
            <family val="2"/>
          </rPr>
          <t>Produção real convertida para caixas.</t>
        </r>
      </text>
    </comment>
    <comment ref="N134" authorId="0" shapeId="0" xr:uid="{00000000-0006-0000-0400-000074000000}">
      <text>
        <r>
          <rPr>
            <sz val="10"/>
            <rFont val="Arial"/>
            <family val="2"/>
          </rPr>
          <t>Total final convertido em latas.</t>
        </r>
      </text>
    </comment>
    <comment ref="C144" authorId="0" shapeId="0" xr:uid="{00000000-0006-0000-0400-000011000000}">
      <text>
        <r>
          <rPr>
            <sz val="10"/>
            <rFont val="Arial"/>
            <family val="2"/>
          </rPr>
          <t>Tipo de lata / embalagem em mililitros. Ex.: 200 ml, 400 ml, 600 ml.</t>
        </r>
      </text>
    </comment>
    <comment ref="D144" authorId="0" shapeId="0" xr:uid="{00000000-0006-0000-0400-000025000000}">
      <text>
        <r>
          <rPr>
            <sz val="10"/>
            <rFont val="Arial"/>
            <family val="2"/>
          </rPr>
          <t>Quantidade de caixas produzidas no item.</t>
        </r>
      </text>
    </comment>
    <comment ref="H144" authorId="0" shapeId="0" xr:uid="{00000000-0006-0000-0400-000039000000}">
      <text>
        <r>
          <rPr>
            <sz val="10"/>
            <rFont val="Arial"/>
            <family val="2"/>
          </rPr>
          <t>Consumo de gás do item no dia.</t>
        </r>
      </text>
    </comment>
    <comment ref="I144" authorId="0" shapeId="0" xr:uid="{00000000-0006-0000-0400-00004D000000}">
      <text>
        <r>
          <rPr>
            <sz val="10"/>
            <rFont val="Arial"/>
            <family val="2"/>
          </rPr>
          <t>Horas utilizadas na produção do item.</t>
        </r>
      </text>
    </comment>
    <comment ref="L144" authorId="0" shapeId="0" xr:uid="{00000000-0006-0000-0400-000061000000}">
      <text>
        <r>
          <rPr>
            <sz val="10"/>
            <rFont val="Arial"/>
            <family val="2"/>
          </rPr>
          <t>Produção real convertida para caixas.</t>
        </r>
      </text>
    </comment>
    <comment ref="N144" authorId="0" shapeId="0" xr:uid="{00000000-0006-0000-0400-000075000000}">
      <text>
        <r>
          <rPr>
            <sz val="10"/>
            <rFont val="Arial"/>
            <family val="2"/>
          </rPr>
          <t>Total final convertido em latas.</t>
        </r>
      </text>
    </comment>
    <comment ref="C152" authorId="0" shapeId="0" xr:uid="{00000000-0006-0000-0400-000012000000}">
      <text>
        <r>
          <rPr>
            <sz val="10"/>
            <rFont val="Arial"/>
            <family val="2"/>
          </rPr>
          <t>Tipo de lata / embalagem em mililitros. Ex.: 200 ml, 400 ml, 600 ml.</t>
        </r>
      </text>
    </comment>
    <comment ref="D152" authorId="0" shapeId="0" xr:uid="{00000000-0006-0000-0400-000026000000}">
      <text>
        <r>
          <rPr>
            <sz val="10"/>
            <rFont val="Arial"/>
            <family val="2"/>
          </rPr>
          <t>Quantidade de caixas produzidas no item.</t>
        </r>
      </text>
    </comment>
    <comment ref="H152" authorId="0" shapeId="0" xr:uid="{00000000-0006-0000-0400-00003A000000}">
      <text>
        <r>
          <rPr>
            <sz val="10"/>
            <rFont val="Arial"/>
            <family val="2"/>
          </rPr>
          <t>Consumo de gás do item no dia.</t>
        </r>
      </text>
    </comment>
    <comment ref="I152" authorId="0" shapeId="0" xr:uid="{00000000-0006-0000-0400-00004E000000}">
      <text>
        <r>
          <rPr>
            <sz val="10"/>
            <rFont val="Arial"/>
            <family val="2"/>
          </rPr>
          <t>Horas utilizadas na produção do item.</t>
        </r>
      </text>
    </comment>
    <comment ref="L152" authorId="0" shapeId="0" xr:uid="{00000000-0006-0000-0400-000062000000}">
      <text>
        <r>
          <rPr>
            <sz val="10"/>
            <rFont val="Arial"/>
            <family val="2"/>
          </rPr>
          <t>Produção real convertida para caixas.</t>
        </r>
      </text>
    </comment>
    <comment ref="N152" authorId="0" shapeId="0" xr:uid="{00000000-0006-0000-0400-000076000000}">
      <text>
        <r>
          <rPr>
            <sz val="10"/>
            <rFont val="Arial"/>
            <family val="2"/>
          </rPr>
          <t>Total final convertido em latas.</t>
        </r>
      </text>
    </comment>
    <comment ref="C163" authorId="0" shapeId="0" xr:uid="{00000000-0006-0000-0400-000013000000}">
      <text>
        <r>
          <rPr>
            <sz val="10"/>
            <rFont val="Arial"/>
            <family val="2"/>
          </rPr>
          <t>Tipo de lata / embalagem em mililitros. Ex.: 200 ml, 400 ml, 600 ml.</t>
        </r>
      </text>
    </comment>
    <comment ref="D163" authorId="0" shapeId="0" xr:uid="{00000000-0006-0000-0400-000027000000}">
      <text>
        <r>
          <rPr>
            <sz val="10"/>
            <rFont val="Arial"/>
            <family val="2"/>
          </rPr>
          <t>Quantidade de caixas produzidas no item.</t>
        </r>
      </text>
    </comment>
    <comment ref="H163" authorId="0" shapeId="0" xr:uid="{00000000-0006-0000-0400-00003B000000}">
      <text>
        <r>
          <rPr>
            <sz val="10"/>
            <rFont val="Arial"/>
            <family val="2"/>
          </rPr>
          <t>Consumo de gás do item no dia.</t>
        </r>
      </text>
    </comment>
    <comment ref="I163" authorId="0" shapeId="0" xr:uid="{00000000-0006-0000-0400-00004F000000}">
      <text>
        <r>
          <rPr>
            <sz val="10"/>
            <rFont val="Arial"/>
            <family val="2"/>
          </rPr>
          <t>Horas utilizadas na produção do item.</t>
        </r>
      </text>
    </comment>
    <comment ref="L163" authorId="0" shapeId="0" xr:uid="{00000000-0006-0000-0400-000063000000}">
      <text>
        <r>
          <rPr>
            <sz val="10"/>
            <rFont val="Arial"/>
            <family val="2"/>
          </rPr>
          <t>Produção real convertida para caixas.</t>
        </r>
      </text>
    </comment>
    <comment ref="N163" authorId="0" shapeId="0" xr:uid="{00000000-0006-0000-0400-000077000000}">
      <text>
        <r>
          <rPr>
            <sz val="10"/>
            <rFont val="Arial"/>
            <family val="2"/>
          </rPr>
          <t>Total final convertido em latas.</t>
        </r>
      </text>
    </comment>
    <comment ref="C171" authorId="0" shapeId="0" xr:uid="{00000000-0006-0000-0400-000014000000}">
      <text>
        <r>
          <rPr>
            <sz val="10"/>
            <rFont val="Arial"/>
            <family val="2"/>
          </rPr>
          <t>Tipo de lata / embalagem em mililitros. Ex.: 200 ml, 400 ml, 600 ml.</t>
        </r>
      </text>
    </comment>
    <comment ref="D171" authorId="0" shapeId="0" xr:uid="{00000000-0006-0000-0400-000028000000}">
      <text>
        <r>
          <rPr>
            <sz val="10"/>
            <rFont val="Arial"/>
            <family val="2"/>
          </rPr>
          <t>Quantidade de caixas produzidas no item.</t>
        </r>
      </text>
    </comment>
    <comment ref="H171" authorId="0" shapeId="0" xr:uid="{00000000-0006-0000-0400-00003C000000}">
      <text>
        <r>
          <rPr>
            <sz val="10"/>
            <rFont val="Arial"/>
            <family val="2"/>
          </rPr>
          <t>Consumo de gás do item no dia.</t>
        </r>
      </text>
    </comment>
    <comment ref="I171" authorId="0" shapeId="0" xr:uid="{00000000-0006-0000-0400-000050000000}">
      <text>
        <r>
          <rPr>
            <sz val="10"/>
            <rFont val="Arial"/>
            <family val="2"/>
          </rPr>
          <t>Horas utilizadas na produção do item.</t>
        </r>
      </text>
    </comment>
    <comment ref="L171" authorId="0" shapeId="0" xr:uid="{00000000-0006-0000-0400-000064000000}">
      <text>
        <r>
          <rPr>
            <sz val="10"/>
            <rFont val="Arial"/>
            <family val="2"/>
          </rPr>
          <t>Produção real convertida para caixas.</t>
        </r>
      </text>
    </comment>
    <comment ref="N171" authorId="0" shapeId="0" xr:uid="{00000000-0006-0000-0400-000078000000}">
      <text>
        <r>
          <rPr>
            <sz val="10"/>
            <rFont val="Arial"/>
            <family val="2"/>
          </rPr>
          <t>Total final convertido em latas.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700-000001000000}">
      <text>
        <r>
          <rPr>
            <sz val="10"/>
            <rFont val="Arial"/>
            <family val="2"/>
          </rPr>
          <t>Tipo de lata / embalagem em mililitros. Ex.: 200 ml, 400 ml, 600 ml.</t>
        </r>
      </text>
    </comment>
    <comment ref="D3" authorId="0" shapeId="0" xr:uid="{00000000-0006-0000-0700-000013000000}">
      <text>
        <r>
          <rPr>
            <sz val="10"/>
            <rFont val="Arial"/>
            <family val="2"/>
          </rPr>
          <t>Quantidade de caixas produzidas no item.</t>
        </r>
      </text>
    </comment>
    <comment ref="H3" authorId="0" shapeId="0" xr:uid="{00000000-0006-0000-0700-000025000000}">
      <text>
        <r>
          <rPr>
            <sz val="10"/>
            <rFont val="Arial"/>
            <family val="2"/>
          </rPr>
          <t>Consumo de gás do item no dia.</t>
        </r>
      </text>
    </comment>
    <comment ref="I3" authorId="0" shapeId="0" xr:uid="{00000000-0006-0000-0700-000037000000}">
      <text>
        <r>
          <rPr>
            <sz val="10"/>
            <rFont val="Arial"/>
            <family val="2"/>
          </rPr>
          <t>Horas utilizadas na produção do item.</t>
        </r>
      </text>
    </comment>
    <comment ref="L3" authorId="0" shapeId="0" xr:uid="{00000000-0006-0000-0700-000049000000}">
      <text>
        <r>
          <rPr>
            <sz val="10"/>
            <rFont val="Arial"/>
            <family val="2"/>
          </rPr>
          <t>Produção real convertida para caixas.</t>
        </r>
      </text>
    </comment>
    <comment ref="N3" authorId="0" shapeId="0" xr:uid="{00000000-0006-0000-0700-00005B000000}">
      <text>
        <r>
          <rPr>
            <sz val="10"/>
            <rFont val="Arial"/>
            <family val="2"/>
          </rPr>
          <t>Total final convertido em latas.</t>
        </r>
      </text>
    </comment>
    <comment ref="C11" authorId="0" shapeId="0" xr:uid="{00000000-0006-0000-0700-000002000000}">
      <text>
        <r>
          <rPr>
            <sz val="10"/>
            <rFont val="Arial"/>
            <family val="2"/>
          </rPr>
          <t>Tipo de lata / embalagem em mililitros. Ex.: 200 ml, 400 ml, 600 ml.</t>
        </r>
      </text>
    </comment>
    <comment ref="D11" authorId="0" shapeId="0" xr:uid="{00000000-0006-0000-0700-000014000000}">
      <text>
        <r>
          <rPr>
            <sz val="10"/>
            <rFont val="Arial"/>
            <family val="2"/>
          </rPr>
          <t>Quantidade de caixas produzidas no item.</t>
        </r>
      </text>
    </comment>
    <comment ref="H11" authorId="0" shapeId="0" xr:uid="{00000000-0006-0000-0700-000026000000}">
      <text>
        <r>
          <rPr>
            <sz val="10"/>
            <rFont val="Arial"/>
            <family val="2"/>
          </rPr>
          <t>Consumo de gás do item no dia.</t>
        </r>
      </text>
    </comment>
    <comment ref="I11" authorId="0" shapeId="0" xr:uid="{00000000-0006-0000-0700-000038000000}">
      <text>
        <r>
          <rPr>
            <sz val="10"/>
            <rFont val="Arial"/>
            <family val="2"/>
          </rPr>
          <t>Horas utilizadas na produção do item.</t>
        </r>
      </text>
    </comment>
    <comment ref="L11" authorId="0" shapeId="0" xr:uid="{00000000-0006-0000-0700-00004A000000}">
      <text>
        <r>
          <rPr>
            <sz val="10"/>
            <rFont val="Arial"/>
            <family val="2"/>
          </rPr>
          <t>Produção real convertida para caixas.</t>
        </r>
      </text>
    </comment>
    <comment ref="N11" authorId="0" shapeId="0" xr:uid="{00000000-0006-0000-0700-00005C000000}">
      <text>
        <r>
          <rPr>
            <sz val="10"/>
            <rFont val="Arial"/>
            <family val="2"/>
          </rPr>
          <t>Total final convertido em latas.</t>
        </r>
      </text>
    </comment>
    <comment ref="C19" authorId="0" shapeId="0" xr:uid="{00000000-0006-0000-0700-000003000000}">
      <text>
        <r>
          <rPr>
            <sz val="10"/>
            <rFont val="Arial"/>
            <family val="2"/>
          </rPr>
          <t>Tipo de lata / embalagem em mililitros. Ex.: 200 ml, 400 ml, 600 ml.</t>
        </r>
      </text>
    </comment>
    <comment ref="D19" authorId="0" shapeId="0" xr:uid="{00000000-0006-0000-0700-000015000000}">
      <text>
        <r>
          <rPr>
            <sz val="10"/>
            <rFont val="Arial"/>
            <family val="2"/>
          </rPr>
          <t>Quantidade de caixas produzidas no item.</t>
        </r>
      </text>
    </comment>
    <comment ref="H19" authorId="0" shapeId="0" xr:uid="{00000000-0006-0000-0700-000027000000}">
      <text>
        <r>
          <rPr>
            <sz val="10"/>
            <rFont val="Arial"/>
            <family val="2"/>
          </rPr>
          <t>Consumo de gás do item no dia.</t>
        </r>
      </text>
    </comment>
    <comment ref="I19" authorId="0" shapeId="0" xr:uid="{00000000-0006-0000-0700-000039000000}">
      <text>
        <r>
          <rPr>
            <sz val="10"/>
            <rFont val="Arial"/>
            <family val="2"/>
          </rPr>
          <t>Horas utilizadas na produção do item.</t>
        </r>
      </text>
    </comment>
    <comment ref="L19" authorId="0" shapeId="0" xr:uid="{00000000-0006-0000-0700-00004B000000}">
      <text>
        <r>
          <rPr>
            <sz val="10"/>
            <rFont val="Arial"/>
            <family val="2"/>
          </rPr>
          <t>Produção real convertida para caixas.</t>
        </r>
      </text>
    </comment>
    <comment ref="N19" authorId="0" shapeId="0" xr:uid="{00000000-0006-0000-0700-00005D000000}">
      <text>
        <r>
          <rPr>
            <sz val="10"/>
            <rFont val="Arial"/>
            <family val="2"/>
          </rPr>
          <t>Total final convertido em latas.</t>
        </r>
      </text>
    </comment>
    <comment ref="C27" authorId="0" shapeId="0" xr:uid="{00000000-0006-0000-0700-000004000000}">
      <text>
        <r>
          <rPr>
            <sz val="10"/>
            <rFont val="Arial"/>
            <family val="2"/>
          </rPr>
          <t>Tipo de lata / embalagem em mililitros. Ex.: 200 ml, 400 ml, 600 ml.</t>
        </r>
      </text>
    </comment>
    <comment ref="D27" authorId="0" shapeId="0" xr:uid="{00000000-0006-0000-0700-000016000000}">
      <text>
        <r>
          <rPr>
            <sz val="10"/>
            <rFont val="Arial"/>
            <family val="2"/>
          </rPr>
          <t>Quantidade de caixas produzidas no item.</t>
        </r>
      </text>
    </comment>
    <comment ref="H27" authorId="0" shapeId="0" xr:uid="{00000000-0006-0000-0700-000028000000}">
      <text>
        <r>
          <rPr>
            <sz val="10"/>
            <rFont val="Arial"/>
            <family val="2"/>
          </rPr>
          <t>Consumo de gás do item no dia.</t>
        </r>
      </text>
    </comment>
    <comment ref="I27" authorId="0" shapeId="0" xr:uid="{00000000-0006-0000-0700-00003A000000}">
      <text>
        <r>
          <rPr>
            <sz val="10"/>
            <rFont val="Arial"/>
            <family val="2"/>
          </rPr>
          <t>Horas utilizadas na produção do item.</t>
        </r>
      </text>
    </comment>
    <comment ref="L27" authorId="0" shapeId="0" xr:uid="{00000000-0006-0000-0700-00004C000000}">
      <text>
        <r>
          <rPr>
            <sz val="10"/>
            <rFont val="Arial"/>
            <family val="2"/>
          </rPr>
          <t>Produção real convertida para caixas.</t>
        </r>
      </text>
    </comment>
    <comment ref="N27" authorId="0" shapeId="0" xr:uid="{00000000-0006-0000-0700-00005E000000}">
      <text>
        <r>
          <rPr>
            <sz val="10"/>
            <rFont val="Arial"/>
            <family val="2"/>
          </rPr>
          <t>Total final convertido em latas.</t>
        </r>
      </text>
    </comment>
    <comment ref="C37" authorId="0" shapeId="0" xr:uid="{00000000-0006-0000-0700-000005000000}">
      <text>
        <r>
          <rPr>
            <sz val="10"/>
            <rFont val="Arial"/>
            <family val="2"/>
          </rPr>
          <t>Tipo de lata / embalagem em mililitros. Ex.: 200 ml, 400 ml, 600 ml.</t>
        </r>
      </text>
    </comment>
    <comment ref="D37" authorId="0" shapeId="0" xr:uid="{00000000-0006-0000-0700-000017000000}">
      <text>
        <r>
          <rPr>
            <sz val="10"/>
            <rFont val="Arial"/>
            <family val="2"/>
          </rPr>
          <t>Quantidade de caixas produzidas no item.</t>
        </r>
      </text>
    </comment>
    <comment ref="H37" authorId="0" shapeId="0" xr:uid="{00000000-0006-0000-0700-000029000000}">
      <text>
        <r>
          <rPr>
            <sz val="10"/>
            <rFont val="Arial"/>
            <family val="2"/>
          </rPr>
          <t>Consumo de gás do item no dia.</t>
        </r>
      </text>
    </comment>
    <comment ref="I37" authorId="0" shapeId="0" xr:uid="{00000000-0006-0000-0700-00003B000000}">
      <text>
        <r>
          <rPr>
            <sz val="10"/>
            <rFont val="Arial"/>
            <family val="2"/>
          </rPr>
          <t>Horas utilizadas na produção do item.</t>
        </r>
      </text>
    </comment>
    <comment ref="L37" authorId="0" shapeId="0" xr:uid="{00000000-0006-0000-0700-00004D000000}">
      <text>
        <r>
          <rPr>
            <sz val="10"/>
            <rFont val="Arial"/>
            <family val="2"/>
          </rPr>
          <t>Produção real convertida para caixas.</t>
        </r>
      </text>
    </comment>
    <comment ref="N37" authorId="0" shapeId="0" xr:uid="{00000000-0006-0000-0700-00005F000000}">
      <text>
        <r>
          <rPr>
            <sz val="10"/>
            <rFont val="Arial"/>
            <family val="2"/>
          </rPr>
          <t>Total final convertido em latas.</t>
        </r>
      </text>
    </comment>
    <comment ref="C46" authorId="0" shapeId="0" xr:uid="{00000000-0006-0000-0700-000006000000}">
      <text>
        <r>
          <rPr>
            <sz val="10"/>
            <rFont val="Arial"/>
            <family val="2"/>
          </rPr>
          <t>Tipo de lata / embalagem em mililitros. Ex.: 200 ml, 400 ml, 600 ml.</t>
        </r>
      </text>
    </comment>
    <comment ref="D46" authorId="0" shapeId="0" xr:uid="{00000000-0006-0000-0700-000018000000}">
      <text>
        <r>
          <rPr>
            <sz val="10"/>
            <rFont val="Arial"/>
            <family val="2"/>
          </rPr>
          <t>Quantidade de caixas produzidas no item.</t>
        </r>
      </text>
    </comment>
    <comment ref="H46" authorId="0" shapeId="0" xr:uid="{00000000-0006-0000-0700-00002A000000}">
      <text>
        <r>
          <rPr>
            <sz val="10"/>
            <rFont val="Arial"/>
            <family val="2"/>
          </rPr>
          <t>Consumo de gás do item no dia.</t>
        </r>
      </text>
    </comment>
    <comment ref="I46" authorId="0" shapeId="0" xr:uid="{00000000-0006-0000-0700-00003C000000}">
      <text>
        <r>
          <rPr>
            <sz val="10"/>
            <rFont val="Arial"/>
            <family val="2"/>
          </rPr>
          <t>Horas utilizadas na produção do item.</t>
        </r>
      </text>
    </comment>
    <comment ref="L46" authorId="0" shapeId="0" xr:uid="{00000000-0006-0000-0700-00004E000000}">
      <text>
        <r>
          <rPr>
            <sz val="10"/>
            <rFont val="Arial"/>
            <family val="2"/>
          </rPr>
          <t>Produção real convertida para caixas.</t>
        </r>
      </text>
    </comment>
    <comment ref="N46" authorId="0" shapeId="0" xr:uid="{00000000-0006-0000-0700-000060000000}">
      <text>
        <r>
          <rPr>
            <sz val="10"/>
            <rFont val="Arial"/>
            <family val="2"/>
          </rPr>
          <t>Total final convertido em latas.</t>
        </r>
      </text>
    </comment>
    <comment ref="C55" authorId="0" shapeId="0" xr:uid="{00000000-0006-0000-0700-000007000000}">
      <text>
        <r>
          <rPr>
            <sz val="10"/>
            <rFont val="Arial"/>
            <family val="2"/>
          </rPr>
          <t>Tipo de lata / embalagem em mililitros. Ex.: 200 ml, 400 ml, 600 ml.</t>
        </r>
      </text>
    </comment>
    <comment ref="D55" authorId="0" shapeId="0" xr:uid="{00000000-0006-0000-0700-000019000000}">
      <text>
        <r>
          <rPr>
            <sz val="10"/>
            <rFont val="Arial"/>
            <family val="2"/>
          </rPr>
          <t>Quantidade de caixas produzidas no item.</t>
        </r>
      </text>
    </comment>
    <comment ref="H55" authorId="0" shapeId="0" xr:uid="{00000000-0006-0000-0700-00002B000000}">
      <text>
        <r>
          <rPr>
            <sz val="10"/>
            <rFont val="Arial"/>
            <family val="2"/>
          </rPr>
          <t>Consumo de gás do item no dia.</t>
        </r>
      </text>
    </comment>
    <comment ref="I55" authorId="0" shapeId="0" xr:uid="{00000000-0006-0000-0700-00003D000000}">
      <text>
        <r>
          <rPr>
            <sz val="10"/>
            <rFont val="Arial"/>
            <family val="2"/>
          </rPr>
          <t>Horas utilizadas na produção do item.</t>
        </r>
      </text>
    </comment>
    <comment ref="L55" authorId="0" shapeId="0" xr:uid="{00000000-0006-0000-0700-00004F000000}">
      <text>
        <r>
          <rPr>
            <sz val="10"/>
            <rFont val="Arial"/>
            <family val="2"/>
          </rPr>
          <t>Produção real convertida para caixas.</t>
        </r>
      </text>
    </comment>
    <comment ref="N55" authorId="0" shapeId="0" xr:uid="{00000000-0006-0000-0700-000061000000}">
      <text>
        <r>
          <rPr>
            <sz val="10"/>
            <rFont val="Arial"/>
            <family val="2"/>
          </rPr>
          <t>Total final convertido em latas.</t>
        </r>
      </text>
    </comment>
    <comment ref="C63" authorId="0" shapeId="0" xr:uid="{00000000-0006-0000-0700-000008000000}">
      <text>
        <r>
          <rPr>
            <sz val="10"/>
            <rFont val="Arial"/>
            <family val="2"/>
          </rPr>
          <t>Tipo de lata / embalagem em mililitros. Ex.: 200 ml, 400 ml, 600 ml.</t>
        </r>
      </text>
    </comment>
    <comment ref="D63" authorId="0" shapeId="0" xr:uid="{00000000-0006-0000-0700-00001A000000}">
      <text>
        <r>
          <rPr>
            <sz val="10"/>
            <rFont val="Arial"/>
            <family val="2"/>
          </rPr>
          <t>Quantidade de caixas produzidas no item.</t>
        </r>
      </text>
    </comment>
    <comment ref="H63" authorId="0" shapeId="0" xr:uid="{00000000-0006-0000-0700-00002C000000}">
      <text>
        <r>
          <rPr>
            <sz val="10"/>
            <rFont val="Arial"/>
            <family val="2"/>
          </rPr>
          <t>Consumo de gás do item no dia.</t>
        </r>
      </text>
    </comment>
    <comment ref="I63" authorId="0" shapeId="0" xr:uid="{00000000-0006-0000-0700-00003E000000}">
      <text>
        <r>
          <rPr>
            <sz val="10"/>
            <rFont val="Arial"/>
            <family val="2"/>
          </rPr>
          <t>Horas utilizadas na produção do item.</t>
        </r>
      </text>
    </comment>
    <comment ref="L63" authorId="0" shapeId="0" xr:uid="{00000000-0006-0000-0700-000050000000}">
      <text>
        <r>
          <rPr>
            <sz val="10"/>
            <rFont val="Arial"/>
            <family val="2"/>
          </rPr>
          <t>Produção real convertida para caixas.</t>
        </r>
      </text>
    </comment>
    <comment ref="N63" authorId="0" shapeId="0" xr:uid="{00000000-0006-0000-0700-000062000000}">
      <text>
        <r>
          <rPr>
            <sz val="10"/>
            <rFont val="Arial"/>
            <family val="2"/>
          </rPr>
          <t>Total final convertido em latas.</t>
        </r>
      </text>
    </comment>
    <comment ref="C71" authorId="0" shapeId="0" xr:uid="{00000000-0006-0000-0700-000009000000}">
      <text>
        <r>
          <rPr>
            <sz val="10"/>
            <rFont val="Arial"/>
            <family val="2"/>
          </rPr>
          <t>Tipo de lata / embalagem em mililitros. Ex.: 200 ml, 400 ml, 600 ml.</t>
        </r>
      </text>
    </comment>
    <comment ref="D71" authorId="0" shapeId="0" xr:uid="{00000000-0006-0000-0700-00001B000000}">
      <text>
        <r>
          <rPr>
            <sz val="10"/>
            <rFont val="Arial"/>
            <family val="2"/>
          </rPr>
          <t>Quantidade de caixas produzidas no item.</t>
        </r>
      </text>
    </comment>
    <comment ref="H71" authorId="0" shapeId="0" xr:uid="{00000000-0006-0000-0700-00002D000000}">
      <text>
        <r>
          <rPr>
            <sz val="10"/>
            <rFont val="Arial"/>
            <family val="2"/>
          </rPr>
          <t>Consumo de gás do item no dia.</t>
        </r>
      </text>
    </comment>
    <comment ref="I71" authorId="0" shapeId="0" xr:uid="{00000000-0006-0000-0700-00003F000000}">
      <text>
        <r>
          <rPr>
            <sz val="10"/>
            <rFont val="Arial"/>
            <family val="2"/>
          </rPr>
          <t>Horas utilizadas na produção do item.</t>
        </r>
      </text>
    </comment>
    <comment ref="L71" authorId="0" shapeId="0" xr:uid="{00000000-0006-0000-0700-000051000000}">
      <text>
        <r>
          <rPr>
            <sz val="10"/>
            <rFont val="Arial"/>
            <family val="2"/>
          </rPr>
          <t>Produção real convertida para caixas.</t>
        </r>
      </text>
    </comment>
    <comment ref="N71" authorId="0" shapeId="0" xr:uid="{00000000-0006-0000-0700-000063000000}">
      <text>
        <r>
          <rPr>
            <sz val="10"/>
            <rFont val="Arial"/>
            <family val="2"/>
          </rPr>
          <t>Total final convertido em latas.</t>
        </r>
      </text>
    </comment>
    <comment ref="C79" authorId="0" shapeId="0" xr:uid="{00000000-0006-0000-0700-00000A000000}">
      <text>
        <r>
          <rPr>
            <sz val="10"/>
            <rFont val="Arial"/>
            <family val="2"/>
          </rPr>
          <t>Tipo de lata / embalagem em mililitros. Ex.: 200 ml, 400 ml, 600 ml.</t>
        </r>
      </text>
    </comment>
    <comment ref="D79" authorId="0" shapeId="0" xr:uid="{00000000-0006-0000-0700-00001C000000}">
      <text>
        <r>
          <rPr>
            <sz val="10"/>
            <rFont val="Arial"/>
            <family val="2"/>
          </rPr>
          <t>Quantidade de caixas produzidas no item.</t>
        </r>
      </text>
    </comment>
    <comment ref="H79" authorId="0" shapeId="0" xr:uid="{00000000-0006-0000-0700-00002E000000}">
      <text>
        <r>
          <rPr>
            <sz val="10"/>
            <rFont val="Arial"/>
            <family val="2"/>
          </rPr>
          <t>Consumo de gás do item no dia.</t>
        </r>
      </text>
    </comment>
    <comment ref="I79" authorId="0" shapeId="0" xr:uid="{00000000-0006-0000-0700-000040000000}">
      <text>
        <r>
          <rPr>
            <sz val="10"/>
            <rFont val="Arial"/>
            <family val="2"/>
          </rPr>
          <t>Horas utilizadas na produção do item.</t>
        </r>
      </text>
    </comment>
    <comment ref="L79" authorId="0" shapeId="0" xr:uid="{00000000-0006-0000-0700-000052000000}">
      <text>
        <r>
          <rPr>
            <sz val="10"/>
            <rFont val="Arial"/>
            <family val="2"/>
          </rPr>
          <t>Produção real convertida para caixas.</t>
        </r>
      </text>
    </comment>
    <comment ref="N79" authorId="0" shapeId="0" xr:uid="{00000000-0006-0000-0700-000064000000}">
      <text>
        <r>
          <rPr>
            <sz val="10"/>
            <rFont val="Arial"/>
            <family val="2"/>
          </rPr>
          <t>Total final convertido em latas.</t>
        </r>
      </text>
    </comment>
    <comment ref="C91" authorId="0" shapeId="0" xr:uid="{00000000-0006-0000-0700-00000B000000}">
      <text>
        <r>
          <rPr>
            <sz val="10"/>
            <rFont val="Arial"/>
            <family val="2"/>
          </rPr>
          <t>Tipo de lata / embalagem em mililitros. Ex.: 200 ml, 400 ml, 600 ml.</t>
        </r>
      </text>
    </comment>
    <comment ref="D91" authorId="0" shapeId="0" xr:uid="{00000000-0006-0000-0700-00001D000000}">
      <text>
        <r>
          <rPr>
            <sz val="10"/>
            <rFont val="Arial"/>
            <family val="2"/>
          </rPr>
          <t>Quantidade de caixas produzidas no item.</t>
        </r>
      </text>
    </comment>
    <comment ref="H91" authorId="0" shapeId="0" xr:uid="{00000000-0006-0000-0700-00002F000000}">
      <text>
        <r>
          <rPr>
            <sz val="10"/>
            <rFont val="Arial"/>
            <family val="2"/>
          </rPr>
          <t>Consumo de gás do item no dia.</t>
        </r>
      </text>
    </comment>
    <comment ref="I91" authorId="0" shapeId="0" xr:uid="{00000000-0006-0000-0700-000041000000}">
      <text>
        <r>
          <rPr>
            <sz val="10"/>
            <rFont val="Arial"/>
            <family val="2"/>
          </rPr>
          <t>Horas utilizadas na produção do item.</t>
        </r>
      </text>
    </comment>
    <comment ref="L91" authorId="0" shapeId="0" xr:uid="{00000000-0006-0000-0700-000053000000}">
      <text>
        <r>
          <rPr>
            <sz val="10"/>
            <rFont val="Arial"/>
            <family val="2"/>
          </rPr>
          <t>Produção real convertida para caixas.</t>
        </r>
      </text>
    </comment>
    <comment ref="N91" authorId="0" shapeId="0" xr:uid="{00000000-0006-0000-0700-000065000000}">
      <text>
        <r>
          <rPr>
            <sz val="10"/>
            <rFont val="Arial"/>
            <family val="2"/>
          </rPr>
          <t>Total final convertido em latas.</t>
        </r>
      </text>
    </comment>
    <comment ref="C101" authorId="0" shapeId="0" xr:uid="{00000000-0006-0000-0700-00000C000000}">
      <text>
        <r>
          <rPr>
            <sz val="10"/>
            <rFont val="Arial"/>
            <family val="2"/>
          </rPr>
          <t>Tipo de lata / embalagem em mililitros. Ex.: 200 ml, 400 ml, 600 ml.</t>
        </r>
      </text>
    </comment>
    <comment ref="D101" authorId="0" shapeId="0" xr:uid="{00000000-0006-0000-0700-00001E000000}">
      <text>
        <r>
          <rPr>
            <sz val="10"/>
            <rFont val="Arial"/>
            <family val="2"/>
          </rPr>
          <t>Quantidade de caixas produzidas no item.</t>
        </r>
      </text>
    </comment>
    <comment ref="H101" authorId="0" shapeId="0" xr:uid="{00000000-0006-0000-0700-000030000000}">
      <text>
        <r>
          <rPr>
            <sz val="10"/>
            <rFont val="Arial"/>
            <family val="2"/>
          </rPr>
          <t>Consumo de gás do item no dia.</t>
        </r>
      </text>
    </comment>
    <comment ref="I101" authorId="0" shapeId="0" xr:uid="{00000000-0006-0000-0700-000042000000}">
      <text>
        <r>
          <rPr>
            <sz val="10"/>
            <rFont val="Arial"/>
            <family val="2"/>
          </rPr>
          <t>Horas utilizadas na produção do item.</t>
        </r>
      </text>
    </comment>
    <comment ref="L101" authorId="0" shapeId="0" xr:uid="{00000000-0006-0000-0700-000054000000}">
      <text>
        <r>
          <rPr>
            <sz val="10"/>
            <rFont val="Arial"/>
            <family val="2"/>
          </rPr>
          <t>Produção real convertida para caixas.</t>
        </r>
      </text>
    </comment>
    <comment ref="N101" authorId="0" shapeId="0" xr:uid="{00000000-0006-0000-0700-000066000000}">
      <text>
        <r>
          <rPr>
            <sz val="10"/>
            <rFont val="Arial"/>
            <family val="2"/>
          </rPr>
          <t>Total final convertido em latas.</t>
        </r>
      </text>
    </comment>
    <comment ref="C111" authorId="0" shapeId="0" xr:uid="{00000000-0006-0000-0700-00000D000000}">
      <text>
        <r>
          <rPr>
            <sz val="10"/>
            <rFont val="Arial"/>
            <family val="2"/>
          </rPr>
          <t>Tipo de lata / embalagem em mililitros. Ex.: 200 ml, 400 ml, 600 ml.</t>
        </r>
      </text>
    </comment>
    <comment ref="D111" authorId="0" shapeId="0" xr:uid="{00000000-0006-0000-0700-00001F000000}">
      <text>
        <r>
          <rPr>
            <sz val="10"/>
            <rFont val="Arial"/>
            <family val="2"/>
          </rPr>
          <t>Quantidade de caixas produzidas no item.</t>
        </r>
      </text>
    </comment>
    <comment ref="H111" authorId="0" shapeId="0" xr:uid="{00000000-0006-0000-0700-000031000000}">
      <text>
        <r>
          <rPr>
            <sz val="10"/>
            <rFont val="Arial"/>
            <family val="2"/>
          </rPr>
          <t>Consumo de gás do item no dia.</t>
        </r>
      </text>
    </comment>
    <comment ref="I111" authorId="0" shapeId="0" xr:uid="{00000000-0006-0000-0700-000043000000}">
      <text>
        <r>
          <rPr>
            <sz val="10"/>
            <rFont val="Arial"/>
            <family val="2"/>
          </rPr>
          <t>Horas utilizadas na produção do item.</t>
        </r>
      </text>
    </comment>
    <comment ref="L111" authorId="0" shapeId="0" xr:uid="{00000000-0006-0000-0700-000055000000}">
      <text>
        <r>
          <rPr>
            <sz val="10"/>
            <rFont val="Arial"/>
            <family val="2"/>
          </rPr>
          <t>Produção real convertida para caixas.</t>
        </r>
      </text>
    </comment>
    <comment ref="N111" authorId="0" shapeId="0" xr:uid="{00000000-0006-0000-0700-000067000000}">
      <text>
        <r>
          <rPr>
            <sz val="10"/>
            <rFont val="Arial"/>
            <family val="2"/>
          </rPr>
          <t>Total final convertido em latas.</t>
        </r>
      </text>
    </comment>
    <comment ref="C120" authorId="0" shapeId="0" xr:uid="{00000000-0006-0000-0700-00000E000000}">
      <text>
        <r>
          <rPr>
            <sz val="10"/>
            <rFont val="Arial"/>
            <family val="2"/>
          </rPr>
          <t>Tipo de lata / embalagem em mililitros. Ex.: 200 ml, 400 ml, 600 ml.</t>
        </r>
      </text>
    </comment>
    <comment ref="D120" authorId="0" shapeId="0" xr:uid="{00000000-0006-0000-0700-000020000000}">
      <text>
        <r>
          <rPr>
            <sz val="10"/>
            <rFont val="Arial"/>
            <family val="2"/>
          </rPr>
          <t>Quantidade de caixas produzidas no item.</t>
        </r>
      </text>
    </comment>
    <comment ref="H120" authorId="0" shapeId="0" xr:uid="{00000000-0006-0000-0700-000032000000}">
      <text>
        <r>
          <rPr>
            <sz val="10"/>
            <rFont val="Arial"/>
            <family val="2"/>
          </rPr>
          <t>Consumo de gás do item no dia.</t>
        </r>
      </text>
    </comment>
    <comment ref="I120" authorId="0" shapeId="0" xr:uid="{00000000-0006-0000-0700-000044000000}">
      <text>
        <r>
          <rPr>
            <sz val="10"/>
            <rFont val="Arial"/>
            <family val="2"/>
          </rPr>
          <t>Horas utilizadas na produção do item.</t>
        </r>
      </text>
    </comment>
    <comment ref="L120" authorId="0" shapeId="0" xr:uid="{00000000-0006-0000-0700-000056000000}">
      <text>
        <r>
          <rPr>
            <sz val="10"/>
            <rFont val="Arial"/>
            <family val="2"/>
          </rPr>
          <t>Produção real convertida para caixas.</t>
        </r>
      </text>
    </comment>
    <comment ref="N120" authorId="0" shapeId="0" xr:uid="{00000000-0006-0000-0700-000068000000}">
      <text>
        <r>
          <rPr>
            <sz val="10"/>
            <rFont val="Arial"/>
            <family val="2"/>
          </rPr>
          <t>Total final convertido em latas.</t>
        </r>
      </text>
    </comment>
    <comment ref="C128" authorId="0" shapeId="0" xr:uid="{00000000-0006-0000-0700-00000F000000}">
      <text>
        <r>
          <rPr>
            <sz val="10"/>
            <rFont val="Arial"/>
            <family val="2"/>
          </rPr>
          <t>Tipo de lata / embalagem em mililitros. Ex.: 200 ml, 400 ml, 600 ml.</t>
        </r>
      </text>
    </comment>
    <comment ref="D128" authorId="0" shapeId="0" xr:uid="{00000000-0006-0000-0700-000021000000}">
      <text>
        <r>
          <rPr>
            <sz val="10"/>
            <rFont val="Arial"/>
            <family val="2"/>
          </rPr>
          <t>Quantidade de caixas produzidas no item.</t>
        </r>
      </text>
    </comment>
    <comment ref="H128" authorId="0" shapeId="0" xr:uid="{00000000-0006-0000-0700-000033000000}">
      <text>
        <r>
          <rPr>
            <sz val="10"/>
            <rFont val="Arial"/>
            <family val="2"/>
          </rPr>
          <t>Consumo de gás do item no dia.</t>
        </r>
      </text>
    </comment>
    <comment ref="I128" authorId="0" shapeId="0" xr:uid="{00000000-0006-0000-0700-000045000000}">
      <text>
        <r>
          <rPr>
            <sz val="10"/>
            <rFont val="Arial"/>
            <family val="2"/>
          </rPr>
          <t>Horas utilizadas na produção do item.</t>
        </r>
      </text>
    </comment>
    <comment ref="L128" authorId="0" shapeId="0" xr:uid="{00000000-0006-0000-0700-000057000000}">
      <text>
        <r>
          <rPr>
            <sz val="10"/>
            <rFont val="Arial"/>
            <family val="2"/>
          </rPr>
          <t>Produção real convertida para caixas.</t>
        </r>
      </text>
    </comment>
    <comment ref="N128" authorId="0" shapeId="0" xr:uid="{00000000-0006-0000-0700-000069000000}">
      <text>
        <r>
          <rPr>
            <sz val="10"/>
            <rFont val="Arial"/>
            <family val="2"/>
          </rPr>
          <t>Total final convertido em latas.</t>
        </r>
      </text>
    </comment>
    <comment ref="C137" authorId="0" shapeId="0" xr:uid="{00000000-0006-0000-0700-000010000000}">
      <text>
        <r>
          <rPr>
            <sz val="10"/>
            <rFont val="Arial"/>
            <family val="2"/>
          </rPr>
          <t>Tipo de lata / embalagem em mililitros. Ex.: 200 ml, 400 ml, 600 ml.</t>
        </r>
      </text>
    </comment>
    <comment ref="D137" authorId="0" shapeId="0" xr:uid="{00000000-0006-0000-0700-000022000000}">
      <text>
        <r>
          <rPr>
            <sz val="10"/>
            <rFont val="Arial"/>
            <family val="2"/>
          </rPr>
          <t>Quantidade de caixas produzidas no item.</t>
        </r>
      </text>
    </comment>
    <comment ref="H137" authorId="0" shapeId="0" xr:uid="{00000000-0006-0000-0700-000034000000}">
      <text>
        <r>
          <rPr>
            <sz val="10"/>
            <rFont val="Arial"/>
            <family val="2"/>
          </rPr>
          <t>Consumo de gás do item no dia.</t>
        </r>
      </text>
    </comment>
    <comment ref="I137" authorId="0" shapeId="0" xr:uid="{00000000-0006-0000-0700-000046000000}">
      <text>
        <r>
          <rPr>
            <sz val="10"/>
            <rFont val="Arial"/>
            <family val="2"/>
          </rPr>
          <t>Horas utilizadas na produção do item.</t>
        </r>
      </text>
    </comment>
    <comment ref="L137" authorId="0" shapeId="0" xr:uid="{00000000-0006-0000-0700-000058000000}">
      <text>
        <r>
          <rPr>
            <sz val="10"/>
            <rFont val="Arial"/>
            <family val="2"/>
          </rPr>
          <t>Produção real convertida para caixas.</t>
        </r>
      </text>
    </comment>
    <comment ref="N137" authorId="0" shapeId="0" xr:uid="{00000000-0006-0000-0700-00006A000000}">
      <text>
        <r>
          <rPr>
            <sz val="10"/>
            <rFont val="Arial"/>
            <family val="2"/>
          </rPr>
          <t>Total final convertido em latas.</t>
        </r>
      </text>
    </comment>
    <comment ref="C149" authorId="0" shapeId="0" xr:uid="{00000000-0006-0000-0700-000011000000}">
      <text>
        <r>
          <rPr>
            <sz val="10"/>
            <rFont val="Arial"/>
            <family val="2"/>
          </rPr>
          <t>Tipo de lata / embalagem em mililitros. Ex.: 200 ml, 400 ml, 600 ml.</t>
        </r>
      </text>
    </comment>
    <comment ref="D149" authorId="0" shapeId="0" xr:uid="{00000000-0006-0000-0700-000023000000}">
      <text>
        <r>
          <rPr>
            <sz val="10"/>
            <rFont val="Arial"/>
            <family val="2"/>
          </rPr>
          <t>Quantidade de caixas produzidas no item.</t>
        </r>
      </text>
    </comment>
    <comment ref="H149" authorId="0" shapeId="0" xr:uid="{00000000-0006-0000-0700-000035000000}">
      <text>
        <r>
          <rPr>
            <sz val="10"/>
            <rFont val="Arial"/>
            <family val="2"/>
          </rPr>
          <t>Consumo de gás do item no dia.</t>
        </r>
      </text>
    </comment>
    <comment ref="I149" authorId="0" shapeId="0" xr:uid="{00000000-0006-0000-0700-000047000000}">
      <text>
        <r>
          <rPr>
            <sz val="10"/>
            <rFont val="Arial"/>
            <family val="2"/>
          </rPr>
          <t>Horas utilizadas na produção do item.</t>
        </r>
      </text>
    </comment>
    <comment ref="L149" authorId="0" shapeId="0" xr:uid="{00000000-0006-0000-0700-000059000000}">
      <text>
        <r>
          <rPr>
            <sz val="10"/>
            <rFont val="Arial"/>
            <family val="2"/>
          </rPr>
          <t>Produção real convertida para caixas.</t>
        </r>
      </text>
    </comment>
    <comment ref="N149" authorId="0" shapeId="0" xr:uid="{00000000-0006-0000-0700-00006B000000}">
      <text>
        <r>
          <rPr>
            <sz val="10"/>
            <rFont val="Arial"/>
            <family val="2"/>
          </rPr>
          <t>Total final convertido em latas.</t>
        </r>
      </text>
    </comment>
    <comment ref="C158" authorId="0" shapeId="0" xr:uid="{00000000-0006-0000-0700-000012000000}">
      <text>
        <r>
          <rPr>
            <sz val="10"/>
            <rFont val="Arial"/>
            <family val="2"/>
          </rPr>
          <t>Tipo de lata / embalagem em mililitros. Ex.: 200 ml, 400 ml, 600 ml.</t>
        </r>
      </text>
    </comment>
    <comment ref="D158" authorId="0" shapeId="0" xr:uid="{00000000-0006-0000-0700-000024000000}">
      <text>
        <r>
          <rPr>
            <sz val="10"/>
            <rFont val="Arial"/>
            <family val="2"/>
          </rPr>
          <t>Quantidade de caixas produzidas no item.</t>
        </r>
      </text>
    </comment>
    <comment ref="H158" authorId="0" shapeId="0" xr:uid="{00000000-0006-0000-0700-000036000000}">
      <text>
        <r>
          <rPr>
            <sz val="10"/>
            <rFont val="Arial"/>
            <family val="2"/>
          </rPr>
          <t>Consumo de gás do item no dia.</t>
        </r>
      </text>
    </comment>
    <comment ref="I158" authorId="0" shapeId="0" xr:uid="{00000000-0006-0000-0700-000048000000}">
      <text>
        <r>
          <rPr>
            <sz val="10"/>
            <rFont val="Arial"/>
            <family val="2"/>
          </rPr>
          <t>Horas utilizadas na produção do item.</t>
        </r>
      </text>
    </comment>
    <comment ref="L158" authorId="0" shapeId="0" xr:uid="{00000000-0006-0000-0700-00005A000000}">
      <text>
        <r>
          <rPr>
            <sz val="10"/>
            <rFont val="Arial"/>
            <family val="2"/>
          </rPr>
          <t>Produção real convertida para caixas.</t>
        </r>
      </text>
    </comment>
    <comment ref="N158" authorId="0" shapeId="0" xr:uid="{00000000-0006-0000-0700-00006C000000}">
      <text>
        <r>
          <rPr>
            <sz val="10"/>
            <rFont val="Arial"/>
            <family val="2"/>
          </rPr>
          <t>Total final convertido em latas.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Lucas Ed</author>
  </authors>
  <commentList>
    <comment ref="C3" authorId="0" shapeId="0" xr:uid="{00000000-0006-0000-0A00-000001000000}">
      <text>
        <r>
          <rPr>
            <sz val="10"/>
            <rFont val="Arial"/>
            <family val="2"/>
          </rPr>
          <t>Tipo de lata / embalagem em mililitros. Ex.: 200 ml, 400 ml, 600 ml.</t>
        </r>
      </text>
    </comment>
    <comment ref="D3" authorId="0" shapeId="0" xr:uid="{00000000-0006-0000-0A00-000017000000}">
      <text>
        <r>
          <rPr>
            <sz val="10"/>
            <rFont val="Arial"/>
            <family val="2"/>
          </rPr>
          <t>Quantidade de caixas produzidas no item.</t>
        </r>
      </text>
    </comment>
    <comment ref="H3" authorId="0" shapeId="0" xr:uid="{00000000-0006-0000-0A00-00002D000000}">
      <text>
        <r>
          <rPr>
            <sz val="10"/>
            <rFont val="Arial"/>
            <family val="2"/>
          </rPr>
          <t>Produção real convertida para caixas.</t>
        </r>
      </text>
    </comment>
    <comment ref="J3" authorId="0" shapeId="0" xr:uid="{00000000-0006-0000-0A00-000043000000}">
      <text>
        <r>
          <rPr>
            <sz val="10"/>
            <rFont val="Arial"/>
            <family val="2"/>
          </rPr>
          <t>Produção real convertida para caixas.</t>
        </r>
      </text>
    </comment>
    <comment ref="L3" authorId="0" shapeId="0" xr:uid="{00000000-0006-0000-0A00-000059000000}">
      <text>
        <r>
          <rPr>
            <sz val="10"/>
            <rFont val="Arial"/>
            <family val="2"/>
          </rPr>
          <t>Total final convertido em latas.</t>
        </r>
      </text>
    </comment>
    <comment ref="D4" authorId="1" shapeId="0" xr:uid="{15BE41FD-7E24-4DDA-811A-54460E3E36BD}">
      <text>
        <r>
          <rPr>
            <b/>
            <sz val="9"/>
            <color indexed="81"/>
            <rFont val="Segoe UI"/>
            <family val="2"/>
          </rPr>
          <t>Lucas Ed:</t>
        </r>
        <r>
          <rPr>
            <sz val="9"/>
            <color indexed="81"/>
            <rFont val="Segoe UI"/>
            <family val="2"/>
          </rPr>
          <t xml:space="preserve">
Saldo trazido do mês anterior limitado a zero para evitar caixas e pallets negativos.</t>
        </r>
      </text>
    </comment>
    <comment ref="C11" authorId="0" shapeId="0" xr:uid="{00000000-0006-0000-0A00-000002000000}">
      <text>
        <r>
          <rPr>
            <sz val="10"/>
            <rFont val="Arial"/>
            <family val="2"/>
          </rPr>
          <t>Tipo de lata / embalagem em mililitros. Ex.: 200 ml, 400 ml, 600 ml.</t>
        </r>
      </text>
    </comment>
    <comment ref="D11" authorId="0" shapeId="0" xr:uid="{00000000-0006-0000-0A00-000018000000}">
      <text>
        <r>
          <rPr>
            <sz val="10"/>
            <rFont val="Arial"/>
            <family val="2"/>
          </rPr>
          <t>Quantidade de caixas produzidas no item.</t>
        </r>
      </text>
    </comment>
    <comment ref="H11" authorId="0" shapeId="0" xr:uid="{00000000-0006-0000-0A00-00002E000000}">
      <text>
        <r>
          <rPr>
            <sz val="10"/>
            <rFont val="Arial"/>
            <family val="2"/>
          </rPr>
          <t>Produção real convertida para caixas.</t>
        </r>
      </text>
    </comment>
    <comment ref="J11" authorId="0" shapeId="0" xr:uid="{00000000-0006-0000-0A00-000044000000}">
      <text>
        <r>
          <rPr>
            <sz val="10"/>
            <rFont val="Arial"/>
            <family val="2"/>
          </rPr>
          <t>Produção real convertida para caixas.</t>
        </r>
      </text>
    </comment>
    <comment ref="L11" authorId="0" shapeId="0" xr:uid="{00000000-0006-0000-0A00-00005A000000}">
      <text>
        <r>
          <rPr>
            <sz val="10"/>
            <rFont val="Arial"/>
            <family val="2"/>
          </rPr>
          <t>Total final convertido em latas.</t>
        </r>
      </text>
    </comment>
    <comment ref="C19" authorId="0" shapeId="0" xr:uid="{00000000-0006-0000-0A00-000003000000}">
      <text>
        <r>
          <rPr>
            <sz val="10"/>
            <rFont val="Arial"/>
            <family val="2"/>
          </rPr>
          <t>Tipo de lata / embalagem em mililitros. Ex.: 200 ml, 400 ml, 600 ml.</t>
        </r>
      </text>
    </comment>
    <comment ref="D19" authorId="0" shapeId="0" xr:uid="{00000000-0006-0000-0A00-000019000000}">
      <text>
        <r>
          <rPr>
            <sz val="10"/>
            <rFont val="Arial"/>
            <family val="2"/>
          </rPr>
          <t>Quantidade de caixas produzidas no item.</t>
        </r>
      </text>
    </comment>
    <comment ref="H19" authorId="0" shapeId="0" xr:uid="{00000000-0006-0000-0A00-00002F000000}">
      <text>
        <r>
          <rPr>
            <sz val="10"/>
            <rFont val="Arial"/>
            <family val="2"/>
          </rPr>
          <t>Produção real convertida para caixas.</t>
        </r>
      </text>
    </comment>
    <comment ref="J19" authorId="0" shapeId="0" xr:uid="{00000000-0006-0000-0A00-000045000000}">
      <text>
        <r>
          <rPr>
            <sz val="10"/>
            <rFont val="Arial"/>
            <family val="2"/>
          </rPr>
          <t>Produção real convertida para caixas.</t>
        </r>
      </text>
    </comment>
    <comment ref="L19" authorId="0" shapeId="0" xr:uid="{00000000-0006-0000-0A00-00005B000000}">
      <text>
        <r>
          <rPr>
            <sz val="10"/>
            <rFont val="Arial"/>
            <family val="2"/>
          </rPr>
          <t>Total final convertido em latas.</t>
        </r>
      </text>
    </comment>
    <comment ref="C29" authorId="0" shapeId="0" xr:uid="{00000000-0006-0000-0A00-000004000000}">
      <text>
        <r>
          <rPr>
            <sz val="10"/>
            <rFont val="Arial"/>
            <family val="2"/>
          </rPr>
          <t>Tipo de lata / embalagem em mililitros. Ex.: 200 ml, 400 ml, 600 ml.</t>
        </r>
      </text>
    </comment>
    <comment ref="D29" authorId="0" shapeId="0" xr:uid="{00000000-0006-0000-0A00-00001A000000}">
      <text>
        <r>
          <rPr>
            <sz val="10"/>
            <rFont val="Arial"/>
            <family val="2"/>
          </rPr>
          <t>Quantidade de caixas produzidas no item.</t>
        </r>
      </text>
    </comment>
    <comment ref="H29" authorId="0" shapeId="0" xr:uid="{00000000-0006-0000-0A00-000030000000}">
      <text>
        <r>
          <rPr>
            <sz val="10"/>
            <rFont val="Arial"/>
            <family val="2"/>
          </rPr>
          <t>Produção real convertida para caixas.</t>
        </r>
      </text>
    </comment>
    <comment ref="J29" authorId="0" shapeId="0" xr:uid="{00000000-0006-0000-0A00-000046000000}">
      <text>
        <r>
          <rPr>
            <sz val="10"/>
            <rFont val="Arial"/>
            <family val="2"/>
          </rPr>
          <t>Produção real convertida para caixas.</t>
        </r>
      </text>
    </comment>
    <comment ref="L29" authorId="0" shapeId="0" xr:uid="{00000000-0006-0000-0A00-00005C000000}">
      <text>
        <r>
          <rPr>
            <sz val="10"/>
            <rFont val="Arial"/>
            <family val="2"/>
          </rPr>
          <t>Total final convertido em latas.</t>
        </r>
      </text>
    </comment>
    <comment ref="C41" authorId="0" shapeId="0" xr:uid="{00000000-0006-0000-0A00-000005000000}">
      <text>
        <r>
          <rPr>
            <sz val="10"/>
            <rFont val="Arial"/>
            <family val="2"/>
          </rPr>
          <t>Tipo de lata / embalagem em mililitros. Ex.: 200 ml, 400 ml, 600 ml.</t>
        </r>
      </text>
    </comment>
    <comment ref="D41" authorId="0" shapeId="0" xr:uid="{00000000-0006-0000-0A00-00001B000000}">
      <text>
        <r>
          <rPr>
            <sz val="10"/>
            <rFont val="Arial"/>
            <family val="2"/>
          </rPr>
          <t>Quantidade de caixas produzidas no item.</t>
        </r>
      </text>
    </comment>
    <comment ref="H41" authorId="0" shapeId="0" xr:uid="{00000000-0006-0000-0A00-000031000000}">
      <text>
        <r>
          <rPr>
            <sz val="10"/>
            <rFont val="Arial"/>
            <family val="2"/>
          </rPr>
          <t>Produção real convertida para caixas.</t>
        </r>
      </text>
    </comment>
    <comment ref="J41" authorId="0" shapeId="0" xr:uid="{00000000-0006-0000-0A00-000047000000}">
      <text>
        <r>
          <rPr>
            <sz val="10"/>
            <rFont val="Arial"/>
            <family val="2"/>
          </rPr>
          <t>Produção real convertida para caixas.</t>
        </r>
      </text>
    </comment>
    <comment ref="L41" authorId="0" shapeId="0" xr:uid="{00000000-0006-0000-0A00-00005D000000}">
      <text>
        <r>
          <rPr>
            <sz val="10"/>
            <rFont val="Arial"/>
            <family val="2"/>
          </rPr>
          <t>Total final convertido em latas.</t>
        </r>
      </text>
    </comment>
    <comment ref="C49" authorId="0" shapeId="0" xr:uid="{00000000-0006-0000-0A00-000006000000}">
      <text>
        <r>
          <rPr>
            <sz val="10"/>
            <rFont val="Arial"/>
            <family val="2"/>
          </rPr>
          <t>Tipo de lata / embalagem em mililitros. Ex.: 200 ml, 400 ml, 600 ml.</t>
        </r>
      </text>
    </comment>
    <comment ref="D49" authorId="0" shapeId="0" xr:uid="{00000000-0006-0000-0A00-00001C000000}">
      <text>
        <r>
          <rPr>
            <sz val="10"/>
            <rFont val="Arial"/>
            <family val="2"/>
          </rPr>
          <t>Quantidade de caixas produzidas no item.</t>
        </r>
      </text>
    </comment>
    <comment ref="H49" authorId="0" shapeId="0" xr:uid="{00000000-0006-0000-0A00-000032000000}">
      <text>
        <r>
          <rPr>
            <sz val="10"/>
            <rFont val="Arial"/>
            <family val="2"/>
          </rPr>
          <t>Produção real convertida para caixas.</t>
        </r>
      </text>
    </comment>
    <comment ref="J49" authorId="0" shapeId="0" xr:uid="{00000000-0006-0000-0A00-000048000000}">
      <text>
        <r>
          <rPr>
            <sz val="10"/>
            <rFont val="Arial"/>
            <family val="2"/>
          </rPr>
          <t>Produção real convertida para caixas.</t>
        </r>
      </text>
    </comment>
    <comment ref="L49" authorId="0" shapeId="0" xr:uid="{00000000-0006-0000-0A00-00005E000000}">
      <text>
        <r>
          <rPr>
            <sz val="10"/>
            <rFont val="Arial"/>
            <family val="2"/>
          </rPr>
          <t>Total final convertido em latas.</t>
        </r>
      </text>
    </comment>
    <comment ref="C57" authorId="0" shapeId="0" xr:uid="{00000000-0006-0000-0A00-000007000000}">
      <text>
        <r>
          <rPr>
            <sz val="10"/>
            <rFont val="Arial"/>
            <family val="2"/>
          </rPr>
          <t>Tipo de lata / embalagem em mililitros. Ex.: 200 ml, 400 ml, 600 ml.</t>
        </r>
      </text>
    </comment>
    <comment ref="D57" authorId="0" shapeId="0" xr:uid="{00000000-0006-0000-0A00-00001D000000}">
      <text>
        <r>
          <rPr>
            <sz val="10"/>
            <rFont val="Arial"/>
            <family val="2"/>
          </rPr>
          <t>Quantidade de caixas produzidas no item.</t>
        </r>
      </text>
    </comment>
    <comment ref="H57" authorId="0" shapeId="0" xr:uid="{00000000-0006-0000-0A00-000033000000}">
      <text>
        <r>
          <rPr>
            <sz val="10"/>
            <rFont val="Arial"/>
            <family val="2"/>
          </rPr>
          <t>Produção real convertida para caixas.</t>
        </r>
      </text>
    </comment>
    <comment ref="J57" authorId="0" shapeId="0" xr:uid="{00000000-0006-0000-0A00-000049000000}">
      <text>
        <r>
          <rPr>
            <sz val="10"/>
            <rFont val="Arial"/>
            <family val="2"/>
          </rPr>
          <t>Produção real convertida para caixas.</t>
        </r>
      </text>
    </comment>
    <comment ref="L57" authorId="0" shapeId="0" xr:uid="{00000000-0006-0000-0A00-00005F000000}">
      <text>
        <r>
          <rPr>
            <sz val="10"/>
            <rFont val="Arial"/>
            <family val="2"/>
          </rPr>
          <t>Total final convertido em latas.</t>
        </r>
      </text>
    </comment>
    <comment ref="C67" authorId="0" shapeId="0" xr:uid="{00000000-0006-0000-0A00-000008000000}">
      <text>
        <r>
          <rPr>
            <sz val="10"/>
            <rFont val="Arial"/>
            <family val="2"/>
          </rPr>
          <t>Tipo de lata / embalagem em mililitros. Ex.: 200 ml, 400 ml, 600 ml.</t>
        </r>
      </text>
    </comment>
    <comment ref="D67" authorId="0" shapeId="0" xr:uid="{00000000-0006-0000-0A00-00001E000000}">
      <text>
        <r>
          <rPr>
            <sz val="10"/>
            <rFont val="Arial"/>
            <family val="2"/>
          </rPr>
          <t>Quantidade de caixas produzidas no item.</t>
        </r>
      </text>
    </comment>
    <comment ref="H67" authorId="0" shapeId="0" xr:uid="{00000000-0006-0000-0A00-000034000000}">
      <text>
        <r>
          <rPr>
            <sz val="10"/>
            <rFont val="Arial"/>
            <family val="2"/>
          </rPr>
          <t>Produção real convertida para caixas.</t>
        </r>
      </text>
    </comment>
    <comment ref="J67" authorId="0" shapeId="0" xr:uid="{00000000-0006-0000-0A00-00004A000000}">
      <text>
        <r>
          <rPr>
            <sz val="10"/>
            <rFont val="Arial"/>
            <family val="2"/>
          </rPr>
          <t>Produção real convertida para caixas.</t>
        </r>
      </text>
    </comment>
    <comment ref="L67" authorId="0" shapeId="0" xr:uid="{00000000-0006-0000-0A00-000060000000}">
      <text>
        <r>
          <rPr>
            <sz val="10"/>
            <rFont val="Arial"/>
            <family val="2"/>
          </rPr>
          <t>Total final convertido em latas.</t>
        </r>
      </text>
    </comment>
    <comment ref="C76" authorId="0" shapeId="0" xr:uid="{00000000-0006-0000-0A00-000009000000}">
      <text>
        <r>
          <rPr>
            <sz val="10"/>
            <rFont val="Arial"/>
            <family val="2"/>
          </rPr>
          <t>Tipo de lata / embalagem em mililitros. Ex.: 200 ml, 400 ml, 600 ml.</t>
        </r>
      </text>
    </comment>
    <comment ref="D76" authorId="0" shapeId="0" xr:uid="{00000000-0006-0000-0A00-00001F000000}">
      <text>
        <r>
          <rPr>
            <sz val="10"/>
            <rFont val="Arial"/>
            <family val="2"/>
          </rPr>
          <t>Quantidade de caixas produzidas no item.</t>
        </r>
      </text>
    </comment>
    <comment ref="H76" authorId="0" shapeId="0" xr:uid="{00000000-0006-0000-0A00-000035000000}">
      <text>
        <r>
          <rPr>
            <sz val="10"/>
            <rFont val="Arial"/>
            <family val="2"/>
          </rPr>
          <t>Produção real convertida para caixas.</t>
        </r>
      </text>
    </comment>
    <comment ref="J76" authorId="0" shapeId="0" xr:uid="{00000000-0006-0000-0A00-00004B000000}">
      <text>
        <r>
          <rPr>
            <sz val="10"/>
            <rFont val="Arial"/>
            <family val="2"/>
          </rPr>
          <t>Produção real convertida para caixas.</t>
        </r>
      </text>
    </comment>
    <comment ref="L76" authorId="0" shapeId="0" xr:uid="{00000000-0006-0000-0A00-000061000000}">
      <text>
        <r>
          <rPr>
            <sz val="10"/>
            <rFont val="Arial"/>
            <family val="2"/>
          </rPr>
          <t>Total final convertido em latas.</t>
        </r>
      </text>
    </comment>
    <comment ref="C85" authorId="0" shapeId="0" xr:uid="{00000000-0006-0000-0A00-00000A000000}">
      <text>
        <r>
          <rPr>
            <sz val="10"/>
            <rFont val="Arial"/>
            <family val="2"/>
          </rPr>
          <t>Tipo de lata / embalagem em mililitros. Ex.: 200 ml, 400 ml, 600 ml.</t>
        </r>
      </text>
    </comment>
    <comment ref="D85" authorId="0" shapeId="0" xr:uid="{00000000-0006-0000-0A00-000020000000}">
      <text>
        <r>
          <rPr>
            <sz val="10"/>
            <rFont val="Arial"/>
            <family val="2"/>
          </rPr>
          <t>Quantidade de caixas produzidas no item.</t>
        </r>
      </text>
    </comment>
    <comment ref="H85" authorId="0" shapeId="0" xr:uid="{00000000-0006-0000-0A00-000036000000}">
      <text>
        <r>
          <rPr>
            <sz val="10"/>
            <rFont val="Arial"/>
            <family val="2"/>
          </rPr>
          <t>Produção real convertida para caixas.</t>
        </r>
      </text>
    </comment>
    <comment ref="J85" authorId="0" shapeId="0" xr:uid="{00000000-0006-0000-0A00-00004C000000}">
      <text>
        <r>
          <rPr>
            <sz val="10"/>
            <rFont val="Arial"/>
            <family val="2"/>
          </rPr>
          <t>Produção real convertida para caixas.</t>
        </r>
      </text>
    </comment>
    <comment ref="L85" authorId="0" shapeId="0" xr:uid="{00000000-0006-0000-0A00-000062000000}">
      <text>
        <r>
          <rPr>
            <sz val="10"/>
            <rFont val="Arial"/>
            <family val="2"/>
          </rPr>
          <t>Total final convertido em latas.</t>
        </r>
      </text>
    </comment>
    <comment ref="C93" authorId="0" shapeId="0" xr:uid="{00000000-0006-0000-0A00-00000B000000}">
      <text>
        <r>
          <rPr>
            <sz val="10"/>
            <rFont val="Arial"/>
            <family val="2"/>
          </rPr>
          <t>Tipo de lata / embalagem em mililitros. Ex.: 200 ml, 400 ml, 600 ml.</t>
        </r>
      </text>
    </comment>
    <comment ref="D93" authorId="0" shapeId="0" xr:uid="{00000000-0006-0000-0A00-000021000000}">
      <text>
        <r>
          <rPr>
            <sz val="10"/>
            <rFont val="Arial"/>
            <family val="2"/>
          </rPr>
          <t>Quantidade de caixas produzidas no item.</t>
        </r>
      </text>
    </comment>
    <comment ref="H93" authorId="0" shapeId="0" xr:uid="{00000000-0006-0000-0A00-000037000000}">
      <text>
        <r>
          <rPr>
            <sz val="10"/>
            <rFont val="Arial"/>
            <family val="2"/>
          </rPr>
          <t>Produção real convertida para caixas.</t>
        </r>
      </text>
    </comment>
    <comment ref="J93" authorId="0" shapeId="0" xr:uid="{00000000-0006-0000-0A00-00004D000000}">
      <text>
        <r>
          <rPr>
            <sz val="10"/>
            <rFont val="Arial"/>
            <family val="2"/>
          </rPr>
          <t>Produção real convertida para caixas.</t>
        </r>
      </text>
    </comment>
    <comment ref="L93" authorId="0" shapeId="0" xr:uid="{00000000-0006-0000-0A00-000063000000}">
      <text>
        <r>
          <rPr>
            <sz val="10"/>
            <rFont val="Arial"/>
            <family val="2"/>
          </rPr>
          <t>Total final convertido em latas.</t>
        </r>
      </text>
    </comment>
    <comment ref="C101" authorId="0" shapeId="0" xr:uid="{00000000-0006-0000-0A00-00000C000000}">
      <text>
        <r>
          <rPr>
            <sz val="10"/>
            <rFont val="Arial"/>
            <family val="2"/>
          </rPr>
          <t>Tipo de lata / embalagem em mililitros. Ex.: 200 ml, 400 ml, 600 ml.</t>
        </r>
      </text>
    </comment>
    <comment ref="D101" authorId="0" shapeId="0" xr:uid="{00000000-0006-0000-0A00-000022000000}">
      <text>
        <r>
          <rPr>
            <sz val="10"/>
            <rFont val="Arial"/>
            <family val="2"/>
          </rPr>
          <t>Quantidade de caixas produzidas no item.</t>
        </r>
      </text>
    </comment>
    <comment ref="H101" authorId="0" shapeId="0" xr:uid="{00000000-0006-0000-0A00-000038000000}">
      <text>
        <r>
          <rPr>
            <sz val="10"/>
            <rFont val="Arial"/>
            <family val="2"/>
          </rPr>
          <t>Produção real convertida para caixas.</t>
        </r>
      </text>
    </comment>
    <comment ref="J101" authorId="0" shapeId="0" xr:uid="{00000000-0006-0000-0A00-00004E000000}">
      <text>
        <r>
          <rPr>
            <sz val="10"/>
            <rFont val="Arial"/>
            <family val="2"/>
          </rPr>
          <t>Produção real convertida para caixas.</t>
        </r>
      </text>
    </comment>
    <comment ref="L101" authorId="0" shapeId="0" xr:uid="{00000000-0006-0000-0A00-000064000000}">
      <text>
        <r>
          <rPr>
            <sz val="10"/>
            <rFont val="Arial"/>
            <family val="2"/>
          </rPr>
          <t>Total final convertido em latas.</t>
        </r>
      </text>
    </comment>
    <comment ref="C109" authorId="0" shapeId="0" xr:uid="{00000000-0006-0000-0A00-00000D000000}">
      <text>
        <r>
          <rPr>
            <sz val="10"/>
            <rFont val="Arial"/>
            <family val="2"/>
          </rPr>
          <t>Tipo de lata / embalagem em mililitros. Ex.: 200 ml, 400 ml, 600 ml.</t>
        </r>
      </text>
    </comment>
    <comment ref="D109" authorId="0" shapeId="0" xr:uid="{00000000-0006-0000-0A00-000023000000}">
      <text>
        <r>
          <rPr>
            <sz val="10"/>
            <rFont val="Arial"/>
            <family val="2"/>
          </rPr>
          <t>Quantidade de caixas produzidas no item.</t>
        </r>
      </text>
    </comment>
    <comment ref="H109" authorId="0" shapeId="0" xr:uid="{00000000-0006-0000-0A00-000039000000}">
      <text>
        <r>
          <rPr>
            <sz val="10"/>
            <rFont val="Arial"/>
            <family val="2"/>
          </rPr>
          <t>Produção real convertida para caixas.</t>
        </r>
      </text>
    </comment>
    <comment ref="J109" authorId="0" shapeId="0" xr:uid="{00000000-0006-0000-0A00-00004F000000}">
      <text>
        <r>
          <rPr>
            <sz val="10"/>
            <rFont val="Arial"/>
            <family val="2"/>
          </rPr>
          <t>Produção real convertida para caixas.</t>
        </r>
      </text>
    </comment>
    <comment ref="L109" authorId="0" shapeId="0" xr:uid="{00000000-0006-0000-0A00-000065000000}">
      <text>
        <r>
          <rPr>
            <sz val="10"/>
            <rFont val="Arial"/>
            <family val="2"/>
          </rPr>
          <t>Total final convertido em latas.</t>
        </r>
      </text>
    </comment>
    <comment ref="C118" authorId="0" shapeId="0" xr:uid="{00000000-0006-0000-0A00-00000E000000}">
      <text>
        <r>
          <rPr>
            <sz val="10"/>
            <rFont val="Arial"/>
            <family val="2"/>
          </rPr>
          <t>Tipo de lata / embalagem em mililitros. Ex.: 200 ml, 400 ml, 600 ml.</t>
        </r>
      </text>
    </comment>
    <comment ref="D118" authorId="0" shapeId="0" xr:uid="{00000000-0006-0000-0A00-000024000000}">
      <text>
        <r>
          <rPr>
            <sz val="10"/>
            <rFont val="Arial"/>
            <family val="2"/>
          </rPr>
          <t>Quantidade de caixas produzidas no item.</t>
        </r>
      </text>
    </comment>
    <comment ref="H118" authorId="0" shapeId="0" xr:uid="{00000000-0006-0000-0A00-00003A000000}">
      <text>
        <r>
          <rPr>
            <sz val="10"/>
            <rFont val="Arial"/>
            <family val="2"/>
          </rPr>
          <t>Produção real convertida para caixas.</t>
        </r>
      </text>
    </comment>
    <comment ref="J118" authorId="0" shapeId="0" xr:uid="{00000000-0006-0000-0A00-000050000000}">
      <text>
        <r>
          <rPr>
            <sz val="10"/>
            <rFont val="Arial"/>
            <family val="2"/>
          </rPr>
          <t>Produção real convertida para caixas.</t>
        </r>
      </text>
    </comment>
    <comment ref="L118" authorId="0" shapeId="0" xr:uid="{00000000-0006-0000-0A00-000066000000}">
      <text>
        <r>
          <rPr>
            <sz val="10"/>
            <rFont val="Arial"/>
            <family val="2"/>
          </rPr>
          <t>Total final convertido em latas.</t>
        </r>
      </text>
    </comment>
    <comment ref="C127" authorId="0" shapeId="0" xr:uid="{00000000-0006-0000-0A00-00000F000000}">
      <text>
        <r>
          <rPr>
            <sz val="10"/>
            <rFont val="Arial"/>
            <family val="2"/>
          </rPr>
          <t>Tipo de lata / embalagem em mililitros. Ex.: 200 ml, 400 ml, 600 ml.</t>
        </r>
      </text>
    </comment>
    <comment ref="D127" authorId="0" shapeId="0" xr:uid="{00000000-0006-0000-0A00-000025000000}">
      <text>
        <r>
          <rPr>
            <sz val="10"/>
            <rFont val="Arial"/>
            <family val="2"/>
          </rPr>
          <t>Quantidade de caixas produzidas no item.</t>
        </r>
      </text>
    </comment>
    <comment ref="H127" authorId="0" shapeId="0" xr:uid="{00000000-0006-0000-0A00-00003B000000}">
      <text>
        <r>
          <rPr>
            <sz val="10"/>
            <rFont val="Arial"/>
            <family val="2"/>
          </rPr>
          <t>Produção real convertida para caixas.</t>
        </r>
      </text>
    </comment>
    <comment ref="J127" authorId="0" shapeId="0" xr:uid="{00000000-0006-0000-0A00-000051000000}">
      <text>
        <r>
          <rPr>
            <sz val="10"/>
            <rFont val="Arial"/>
            <family val="2"/>
          </rPr>
          <t>Produção real convertida para caixas.</t>
        </r>
      </text>
    </comment>
    <comment ref="L127" authorId="0" shapeId="0" xr:uid="{00000000-0006-0000-0A00-000067000000}">
      <text>
        <r>
          <rPr>
            <sz val="10"/>
            <rFont val="Arial"/>
            <family val="2"/>
          </rPr>
          <t>Total final convertido em latas.</t>
        </r>
      </text>
    </comment>
    <comment ref="C136" authorId="0" shapeId="0" xr:uid="{00000000-0006-0000-0A00-000010000000}">
      <text>
        <r>
          <rPr>
            <sz val="10"/>
            <rFont val="Arial"/>
            <family val="2"/>
          </rPr>
          <t>Tipo de lata / embalagem em mililitros. Ex.: 200 ml, 400 ml, 600 ml.</t>
        </r>
      </text>
    </comment>
    <comment ref="D136" authorId="0" shapeId="0" xr:uid="{00000000-0006-0000-0A00-000026000000}">
      <text>
        <r>
          <rPr>
            <sz val="10"/>
            <rFont val="Arial"/>
            <family val="2"/>
          </rPr>
          <t>Quantidade de caixas produzidas no item.</t>
        </r>
      </text>
    </comment>
    <comment ref="H136" authorId="0" shapeId="0" xr:uid="{00000000-0006-0000-0A00-00003C000000}">
      <text>
        <r>
          <rPr>
            <sz val="10"/>
            <rFont val="Arial"/>
            <family val="2"/>
          </rPr>
          <t>Produção real convertida para caixas.</t>
        </r>
      </text>
    </comment>
    <comment ref="J136" authorId="0" shapeId="0" xr:uid="{00000000-0006-0000-0A00-000052000000}">
      <text>
        <r>
          <rPr>
            <sz val="10"/>
            <rFont val="Arial"/>
            <family val="2"/>
          </rPr>
          <t>Produção real convertida para caixas.</t>
        </r>
      </text>
    </comment>
    <comment ref="L136" authorId="0" shapeId="0" xr:uid="{00000000-0006-0000-0A00-000068000000}">
      <text>
        <r>
          <rPr>
            <sz val="10"/>
            <rFont val="Arial"/>
            <family val="2"/>
          </rPr>
          <t>Total final convertido em latas.</t>
        </r>
      </text>
    </comment>
    <comment ref="C144" authorId="0" shapeId="0" xr:uid="{00000000-0006-0000-0A00-000011000000}">
      <text>
        <r>
          <rPr>
            <sz val="10"/>
            <rFont val="Arial"/>
            <family val="2"/>
          </rPr>
          <t>Tipo de lata / embalagem em mililitros. Ex.: 200 ml, 400 ml, 600 ml.</t>
        </r>
      </text>
    </comment>
    <comment ref="D144" authorId="0" shapeId="0" xr:uid="{00000000-0006-0000-0A00-000027000000}">
      <text>
        <r>
          <rPr>
            <sz val="10"/>
            <rFont val="Arial"/>
            <family val="2"/>
          </rPr>
          <t>Quantidade de caixas produzidas no item.</t>
        </r>
      </text>
    </comment>
    <comment ref="H144" authorId="0" shapeId="0" xr:uid="{00000000-0006-0000-0A00-00003D000000}">
      <text>
        <r>
          <rPr>
            <sz val="10"/>
            <rFont val="Arial"/>
            <family val="2"/>
          </rPr>
          <t>Produção real convertida para caixas.</t>
        </r>
      </text>
    </comment>
    <comment ref="J144" authorId="0" shapeId="0" xr:uid="{00000000-0006-0000-0A00-000053000000}">
      <text>
        <r>
          <rPr>
            <sz val="10"/>
            <rFont val="Arial"/>
            <family val="2"/>
          </rPr>
          <t>Produção real convertida para caixas.</t>
        </r>
      </text>
    </comment>
    <comment ref="L144" authorId="0" shapeId="0" xr:uid="{00000000-0006-0000-0A00-000069000000}">
      <text>
        <r>
          <rPr>
            <sz val="10"/>
            <rFont val="Arial"/>
            <family val="2"/>
          </rPr>
          <t>Total final convertido em latas.</t>
        </r>
      </text>
    </comment>
    <comment ref="C153" authorId="0" shapeId="0" xr:uid="{00000000-0006-0000-0A00-000012000000}">
      <text>
        <r>
          <rPr>
            <sz val="10"/>
            <rFont val="Arial"/>
            <family val="2"/>
          </rPr>
          <t>Tipo de lata / embalagem em mililitros. Ex.: 200 ml, 400 ml, 600 ml.</t>
        </r>
      </text>
    </comment>
    <comment ref="D153" authorId="0" shapeId="0" xr:uid="{00000000-0006-0000-0A00-000028000000}">
      <text>
        <r>
          <rPr>
            <sz val="10"/>
            <rFont val="Arial"/>
            <family val="2"/>
          </rPr>
          <t>Quantidade de caixas produzidas no item.</t>
        </r>
      </text>
    </comment>
    <comment ref="H153" authorId="0" shapeId="0" xr:uid="{00000000-0006-0000-0A00-00003E000000}">
      <text>
        <r>
          <rPr>
            <sz val="10"/>
            <rFont val="Arial"/>
            <family val="2"/>
          </rPr>
          <t>Produção real convertida para caixas.</t>
        </r>
      </text>
    </comment>
    <comment ref="J153" authorId="0" shapeId="0" xr:uid="{00000000-0006-0000-0A00-000054000000}">
      <text>
        <r>
          <rPr>
            <sz val="10"/>
            <rFont val="Arial"/>
            <family val="2"/>
          </rPr>
          <t>Produção real convertida para caixas.</t>
        </r>
      </text>
    </comment>
    <comment ref="L153" authorId="0" shapeId="0" xr:uid="{00000000-0006-0000-0A00-00006A000000}">
      <text>
        <r>
          <rPr>
            <sz val="10"/>
            <rFont val="Arial"/>
            <family val="2"/>
          </rPr>
          <t>Total final convertido em latas.</t>
        </r>
      </text>
    </comment>
    <comment ref="C162" authorId="0" shapeId="0" xr:uid="{00000000-0006-0000-0A00-000013000000}">
      <text>
        <r>
          <rPr>
            <sz val="10"/>
            <rFont val="Arial"/>
            <family val="2"/>
          </rPr>
          <t>Tipo de lata / embalagem em mililitros. Ex.: 200 ml, 400 ml, 600 ml.</t>
        </r>
      </text>
    </comment>
    <comment ref="D162" authorId="0" shapeId="0" xr:uid="{00000000-0006-0000-0A00-000029000000}">
      <text>
        <r>
          <rPr>
            <sz val="10"/>
            <rFont val="Arial"/>
            <family val="2"/>
          </rPr>
          <t>Quantidade de caixas produzidas no item.</t>
        </r>
      </text>
    </comment>
    <comment ref="H162" authorId="0" shapeId="0" xr:uid="{00000000-0006-0000-0A00-00003F000000}">
      <text>
        <r>
          <rPr>
            <sz val="10"/>
            <rFont val="Arial"/>
            <family val="2"/>
          </rPr>
          <t>Produção real convertida para caixas.</t>
        </r>
      </text>
    </comment>
    <comment ref="J162" authorId="0" shapeId="0" xr:uid="{00000000-0006-0000-0A00-000055000000}">
      <text>
        <r>
          <rPr>
            <sz val="10"/>
            <rFont val="Arial"/>
            <family val="2"/>
          </rPr>
          <t>Produção real convertida para caixas.</t>
        </r>
      </text>
    </comment>
    <comment ref="L162" authorId="0" shapeId="0" xr:uid="{00000000-0006-0000-0A00-00006B000000}">
      <text>
        <r>
          <rPr>
            <sz val="10"/>
            <rFont val="Arial"/>
            <family val="2"/>
          </rPr>
          <t>Total final convertido em latas.</t>
        </r>
      </text>
    </comment>
    <comment ref="C170" authorId="0" shapeId="0" xr:uid="{00000000-0006-0000-0A00-000014000000}">
      <text>
        <r>
          <rPr>
            <sz val="10"/>
            <rFont val="Arial"/>
            <family val="2"/>
          </rPr>
          <t>Tipo de lata / embalagem em mililitros. Ex.: 200 ml, 400 ml, 600 ml.</t>
        </r>
      </text>
    </comment>
    <comment ref="D170" authorId="0" shapeId="0" xr:uid="{00000000-0006-0000-0A00-00002A000000}">
      <text>
        <r>
          <rPr>
            <sz val="10"/>
            <rFont val="Arial"/>
            <family val="2"/>
          </rPr>
          <t>Quantidade de caixas produzidas no item.</t>
        </r>
      </text>
    </comment>
    <comment ref="H170" authorId="0" shapeId="0" xr:uid="{00000000-0006-0000-0A00-000040000000}">
      <text>
        <r>
          <rPr>
            <sz val="10"/>
            <rFont val="Arial"/>
            <family val="2"/>
          </rPr>
          <t>Produção real convertida para caixas.</t>
        </r>
      </text>
    </comment>
    <comment ref="J170" authorId="0" shapeId="0" xr:uid="{00000000-0006-0000-0A00-000056000000}">
      <text>
        <r>
          <rPr>
            <sz val="10"/>
            <rFont val="Arial"/>
            <family val="2"/>
          </rPr>
          <t>Produção real convertida para caixas.</t>
        </r>
      </text>
    </comment>
    <comment ref="L170" authorId="0" shapeId="0" xr:uid="{00000000-0006-0000-0A00-00006C000000}">
      <text>
        <r>
          <rPr>
            <sz val="10"/>
            <rFont val="Arial"/>
            <family val="2"/>
          </rPr>
          <t>Total final convertido em latas.</t>
        </r>
      </text>
    </comment>
    <comment ref="C178" authorId="0" shapeId="0" xr:uid="{00000000-0006-0000-0A00-000015000000}">
      <text>
        <r>
          <rPr>
            <sz val="10"/>
            <rFont val="Arial"/>
            <family val="2"/>
          </rPr>
          <t>Tipo de lata / embalagem em mililitros. Ex.: 200 ml, 400 ml, 600 ml.</t>
        </r>
      </text>
    </comment>
    <comment ref="D178" authorId="0" shapeId="0" xr:uid="{00000000-0006-0000-0A00-00002B000000}">
      <text>
        <r>
          <rPr>
            <sz val="10"/>
            <rFont val="Arial"/>
            <family val="2"/>
          </rPr>
          <t>Quantidade de caixas produzidas no item.</t>
        </r>
      </text>
    </comment>
    <comment ref="H178" authorId="0" shapeId="0" xr:uid="{00000000-0006-0000-0A00-000041000000}">
      <text>
        <r>
          <rPr>
            <sz val="10"/>
            <rFont val="Arial"/>
            <family val="2"/>
          </rPr>
          <t>Produção real convertida para caixas.</t>
        </r>
      </text>
    </comment>
    <comment ref="J178" authorId="0" shapeId="0" xr:uid="{00000000-0006-0000-0A00-000057000000}">
      <text>
        <r>
          <rPr>
            <sz val="10"/>
            <rFont val="Arial"/>
            <family val="2"/>
          </rPr>
          <t>Produção real convertida para caixas.</t>
        </r>
      </text>
    </comment>
    <comment ref="L178" authorId="0" shapeId="0" xr:uid="{00000000-0006-0000-0A00-00006D000000}">
      <text>
        <r>
          <rPr>
            <sz val="10"/>
            <rFont val="Arial"/>
            <family val="2"/>
          </rPr>
          <t>Total final convertido em latas.</t>
        </r>
      </text>
    </comment>
    <comment ref="C186" authorId="0" shapeId="0" xr:uid="{00000000-0006-0000-0A00-000016000000}">
      <text>
        <r>
          <rPr>
            <sz val="10"/>
            <rFont val="Arial"/>
            <family val="2"/>
          </rPr>
          <t>Tipo de lata / embalagem em mililitros. Ex.: 200 ml, 400 ml, 600 ml.</t>
        </r>
      </text>
    </comment>
    <comment ref="D186" authorId="0" shapeId="0" xr:uid="{00000000-0006-0000-0A00-00002C000000}">
      <text>
        <r>
          <rPr>
            <sz val="10"/>
            <rFont val="Arial"/>
            <family val="2"/>
          </rPr>
          <t>Quantidade de caixas produzidas no item.</t>
        </r>
      </text>
    </comment>
    <comment ref="H186" authorId="0" shapeId="0" xr:uid="{00000000-0006-0000-0A00-000042000000}">
      <text>
        <r>
          <rPr>
            <sz val="10"/>
            <rFont val="Arial"/>
            <family val="2"/>
          </rPr>
          <t>Produção real convertida para caixas.</t>
        </r>
      </text>
    </comment>
    <comment ref="J186" authorId="0" shapeId="0" xr:uid="{00000000-0006-0000-0A00-000058000000}">
      <text>
        <r>
          <rPr>
            <sz val="10"/>
            <rFont val="Arial"/>
            <family val="2"/>
          </rPr>
          <t>Produção real convertida para caixas.</t>
        </r>
      </text>
    </comment>
    <comment ref="L186" authorId="0" shapeId="0" xr:uid="{00000000-0006-0000-0A00-00006E000000}">
      <text>
        <r>
          <rPr>
            <sz val="10"/>
            <rFont val="Arial"/>
            <family val="2"/>
          </rPr>
          <t>Total final convertido em latas.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Lucas Ed</author>
  </authors>
  <commentList>
    <comment ref="C4" authorId="0" shapeId="0" xr:uid="{C28A11E3-E27B-46AE-9D8A-E44A1C055C1D}">
      <text>
        <r>
          <rPr>
            <b/>
            <sz val="9"/>
            <color indexed="81"/>
            <rFont val="Segoe UI"/>
            <family val="2"/>
          </rPr>
          <t>Lucas Ed:</t>
        </r>
        <r>
          <rPr>
            <sz val="9"/>
            <color indexed="81"/>
            <rFont val="Segoe UI"/>
            <family val="2"/>
          </rPr>
          <t xml:space="preserve">
Meta mensal calculada somente pelos dias com produção maior que zero.</t>
        </r>
      </text>
    </comment>
    <comment ref="C5" authorId="0" shapeId="0" xr:uid="{B4E24624-BBAA-4363-89FD-C5B135793AB7}">
      <text>
        <r>
          <rPr>
            <b/>
            <sz val="9"/>
            <color indexed="81"/>
            <rFont val="Segoe UI"/>
            <family val="2"/>
          </rPr>
          <t>Lucas Ed:</t>
        </r>
        <r>
          <rPr>
            <sz val="9"/>
            <color indexed="81"/>
            <rFont val="Segoe UI"/>
            <family val="2"/>
          </rPr>
          <t xml:space="preserve">
Meta mensal calculada somente pelos dias com produção maior que zero.</t>
        </r>
      </text>
    </comment>
    <comment ref="C6" authorId="0" shapeId="0" xr:uid="{034FEA71-7D4A-48AD-B001-55A3C6BA98EF}">
      <text>
        <r>
          <rPr>
            <b/>
            <sz val="9"/>
            <color indexed="81"/>
            <rFont val="Segoe UI"/>
            <family val="2"/>
          </rPr>
          <t>Lucas Ed:</t>
        </r>
        <r>
          <rPr>
            <sz val="9"/>
            <color indexed="81"/>
            <rFont val="Segoe UI"/>
            <family val="2"/>
          </rPr>
          <t xml:space="preserve">
Meta mensal calculada somente pelos dias com produção maior que zero.</t>
        </r>
      </text>
    </comment>
    <comment ref="C7" authorId="0" shapeId="0" xr:uid="{1F8DAB70-8A01-4AEF-9FD2-DDE435A21E09}">
      <text>
        <r>
          <rPr>
            <b/>
            <sz val="9"/>
            <color indexed="81"/>
            <rFont val="Segoe UI"/>
            <family val="2"/>
          </rPr>
          <t>Lucas Ed:</t>
        </r>
        <r>
          <rPr>
            <sz val="9"/>
            <color indexed="81"/>
            <rFont val="Segoe UI"/>
            <family val="2"/>
          </rPr>
          <t xml:space="preserve">
Meta mensal calculada somente pelos dias com produção maior que zero.</t>
        </r>
      </text>
    </comment>
    <comment ref="C8" authorId="0" shapeId="0" xr:uid="{5780E136-C1A7-403E-AC60-57945B02776D}">
      <text>
        <r>
          <rPr>
            <b/>
            <sz val="9"/>
            <color indexed="81"/>
            <rFont val="Segoe UI"/>
            <family val="2"/>
          </rPr>
          <t>Lucas Ed:</t>
        </r>
        <r>
          <rPr>
            <sz val="9"/>
            <color indexed="81"/>
            <rFont val="Segoe UI"/>
            <family val="2"/>
          </rPr>
          <t xml:space="preserve">
Meta mensal calculada somente pelos dias com produção maior que zero.</t>
        </r>
      </text>
    </comment>
    <comment ref="C9" authorId="0" shapeId="0" xr:uid="{B528F3CA-93AC-4117-BF3D-1CC6E568112B}">
      <text>
        <r>
          <rPr>
            <b/>
            <sz val="9"/>
            <color indexed="81"/>
            <rFont val="Segoe UI"/>
            <family val="2"/>
          </rPr>
          <t>Lucas Ed:</t>
        </r>
        <r>
          <rPr>
            <sz val="9"/>
            <color indexed="81"/>
            <rFont val="Segoe UI"/>
            <family val="2"/>
          </rPr>
          <t xml:space="preserve">
Meta mensal calculada somente pelos dias com produção maior que zero.</t>
        </r>
      </text>
    </comment>
    <comment ref="C10" authorId="0" shapeId="0" xr:uid="{CFA70E46-0D87-430F-B479-7F622B9C616D}">
      <text>
        <r>
          <rPr>
            <b/>
            <sz val="9"/>
            <color indexed="81"/>
            <rFont val="Segoe UI"/>
            <family val="2"/>
          </rPr>
          <t>Lucas Ed:</t>
        </r>
        <r>
          <rPr>
            <sz val="9"/>
            <color indexed="81"/>
            <rFont val="Segoe UI"/>
            <family val="2"/>
          </rPr>
          <t xml:space="preserve">
Meta mensal calculada somente pelos dias com produção maior que zero.</t>
        </r>
      </text>
    </comment>
    <comment ref="C11" authorId="0" shapeId="0" xr:uid="{BA6CFAF1-6891-41E3-9784-B711D7E7774C}">
      <text>
        <r>
          <rPr>
            <b/>
            <sz val="9"/>
            <color indexed="81"/>
            <rFont val="Segoe UI"/>
            <family val="2"/>
          </rPr>
          <t>Lucas Ed:</t>
        </r>
        <r>
          <rPr>
            <sz val="9"/>
            <color indexed="81"/>
            <rFont val="Segoe UI"/>
            <family val="2"/>
          </rPr>
          <t xml:space="preserve">
Meta mensal calculada somente pelos dias com produção maior que zero.</t>
        </r>
      </text>
    </comment>
    <comment ref="C12" authorId="0" shapeId="0" xr:uid="{87AF35AC-3B51-4486-8401-B19F80146726}">
      <text>
        <r>
          <rPr>
            <b/>
            <sz val="9"/>
            <color indexed="81"/>
            <rFont val="Segoe UI"/>
            <family val="2"/>
          </rPr>
          <t>Lucas Ed:</t>
        </r>
        <r>
          <rPr>
            <sz val="9"/>
            <color indexed="81"/>
            <rFont val="Segoe UI"/>
            <family val="2"/>
          </rPr>
          <t xml:space="preserve">
Meta mensal calculada somente pelos dias com produção maior que zero.</t>
        </r>
      </text>
    </comment>
    <comment ref="C13" authorId="0" shapeId="0" xr:uid="{26C3C389-5BEF-46BD-9D31-6BD0AB54E2FA}">
      <text>
        <r>
          <rPr>
            <b/>
            <sz val="9"/>
            <color indexed="81"/>
            <rFont val="Segoe UI"/>
            <family val="2"/>
          </rPr>
          <t>Lucas Ed:</t>
        </r>
        <r>
          <rPr>
            <sz val="9"/>
            <color indexed="81"/>
            <rFont val="Segoe UI"/>
            <family val="2"/>
          </rPr>
          <t xml:space="preserve">
Meta mensal calculada somente pelos dias com produção maior que zero.</t>
        </r>
      </text>
    </comment>
    <comment ref="C14" authorId="0" shapeId="0" xr:uid="{D50D30FD-0375-4FCA-83EB-4292DA5E6207}">
      <text>
        <r>
          <rPr>
            <b/>
            <sz val="9"/>
            <color indexed="81"/>
            <rFont val="Segoe UI"/>
            <family val="2"/>
          </rPr>
          <t>Lucas Ed:</t>
        </r>
        <r>
          <rPr>
            <sz val="9"/>
            <color indexed="81"/>
            <rFont val="Segoe UI"/>
            <family val="2"/>
          </rPr>
          <t xml:space="preserve">
Meta mensal calculada somente pelos dias com produção maior que zero.</t>
        </r>
      </text>
    </comment>
    <comment ref="C15" authorId="0" shapeId="0" xr:uid="{DD6533B5-0AC2-4665-935F-BC9472198F81}">
      <text>
        <r>
          <rPr>
            <b/>
            <sz val="9"/>
            <color indexed="81"/>
            <rFont val="Segoe UI"/>
            <family val="2"/>
          </rPr>
          <t>Lucas Ed:</t>
        </r>
        <r>
          <rPr>
            <sz val="9"/>
            <color indexed="81"/>
            <rFont val="Segoe UI"/>
            <family val="2"/>
          </rPr>
          <t xml:space="preserve">
Meta mensal calculada somente pelos dias com produção maior que zero.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<sst xmlns="http://schemas.openxmlformats.org/spreadsheetml/2006/main" count="13240" uniqueCount="1437">
  <si>
    <t>INSTRUÇÕES</t>
  </si>
  <si>
    <t>Esta aba. Leia primeiro.</t>
  </si>
  <si>
    <t>CAPA</t>
  </si>
  <si>
    <t>JANEIRO … DEZEMBRO</t>
  </si>
  <si>
    <t>SEMANA [MÊS]</t>
  </si>
  <si>
    <t>GRAFICO [MÊS]</t>
  </si>
  <si>
    <t>GÁS</t>
  </si>
  <si>
    <t>70 ml / 100 ml / 125 ml / 180 ml</t>
  </si>
  <si>
    <t>200 ml (Espuma e Óleo de Coco)</t>
  </si>
  <si>
    <t>400 ml</t>
  </si>
  <si>
    <t>600 ml</t>
  </si>
  <si>
    <t>🚫  NÃO apagar linhas</t>
  </si>
  <si>
    <t>Quebra as fórmulas de soma e referência.</t>
  </si>
  <si>
    <t>🚫  NÃO mexer nas fórmulas</t>
  </si>
  <si>
    <t>Preencha apenas os campos indicados.</t>
  </si>
  <si>
    <t>🚫  NÃO inserir linhas extras</t>
  </si>
  <si>
    <t>Nas abas SEMANA fora dos campos estruturados.</t>
  </si>
  <si>
    <t>META ACUMULADA</t>
  </si>
  <si>
    <t>ATINGIMENTO GERAL</t>
  </si>
  <si>
    <t>MELHOR MÊS</t>
  </si>
  <si>
    <t>#</t>
  </si>
  <si>
    <t>Produto</t>
  </si>
  <si>
    <t>Latas Produzidas</t>
  </si>
  <si>
    <t>% do Total</t>
  </si>
  <si>
    <t>Posição</t>
  </si>
  <si>
    <t>UNTA FACIL</t>
  </si>
  <si>
    <t>🥇 1º lugar</t>
  </si>
  <si>
    <t>PURATOS</t>
  </si>
  <si>
    <t>🥈 2º lugar</t>
  </si>
  <si>
    <t>ICEBERG CHEF</t>
  </si>
  <si>
    <t>🥉 3º lugar</t>
  </si>
  <si>
    <t>ADIMIX</t>
  </si>
  <si>
    <t>Top 4</t>
  </si>
  <si>
    <t>DONA JURA</t>
  </si>
  <si>
    <t>Top 5</t>
  </si>
  <si>
    <t>FESTPAN</t>
  </si>
  <si>
    <t>Top 6</t>
  </si>
  <si>
    <t>ALLBREAD</t>
  </si>
  <si>
    <t>Top 7</t>
  </si>
  <si>
    <t>DESTAK</t>
  </si>
  <si>
    <t>Top 8</t>
  </si>
  <si>
    <t>NORCAU PURATOS</t>
  </si>
  <si>
    <t>Top 9</t>
  </si>
  <si>
    <t>AP VIOLA</t>
  </si>
  <si>
    <t>Top 10</t>
  </si>
  <si>
    <t>ORDEM DE PRODUÇÃO - JANEIRO</t>
  </si>
  <si>
    <t>OP</t>
  </si>
  <si>
    <t xml:space="preserve">LOTE </t>
  </si>
  <si>
    <t>LOTE CLIENTE</t>
  </si>
  <si>
    <t>PRODUTO</t>
  </si>
  <si>
    <t>CLIENTE</t>
  </si>
  <si>
    <t>QTDE(Kg)</t>
  </si>
  <si>
    <t>FABRICAÇÃO</t>
  </si>
  <si>
    <t>2026/001</t>
  </si>
  <si>
    <t>LISSE 600ML</t>
  </si>
  <si>
    <t>7.980 LATAS</t>
  </si>
  <si>
    <t>2026/002</t>
  </si>
  <si>
    <t>ALL BREAD 600ML</t>
  </si>
  <si>
    <t>ALL BREAD</t>
  </si>
  <si>
    <t>9.168 LATAS</t>
  </si>
  <si>
    <t>2026/003</t>
  </si>
  <si>
    <t>UNTA FACIL 600ML</t>
  </si>
  <si>
    <t>IN LOCO</t>
  </si>
  <si>
    <t>15.960 LATAS</t>
  </si>
  <si>
    <t>UNTA FACIL ECO 600ML</t>
  </si>
  <si>
    <t>8.976 LATAS</t>
  </si>
  <si>
    <t>308cxs</t>
  </si>
  <si>
    <t>2026/004</t>
  </si>
  <si>
    <t>DESTAK 600ML</t>
  </si>
  <si>
    <t>22.800 LATAS</t>
  </si>
  <si>
    <t>2026/005</t>
  </si>
  <si>
    <t>TTF MEL 600ML</t>
  </si>
  <si>
    <t>TTF</t>
  </si>
  <si>
    <t>3.420 LATAS</t>
  </si>
  <si>
    <t>2026/006</t>
  </si>
  <si>
    <t>OL 40</t>
  </si>
  <si>
    <t>SMART</t>
  </si>
  <si>
    <t>420 KG</t>
  </si>
  <si>
    <t>AL 10</t>
  </si>
  <si>
    <t>1.444 KG</t>
  </si>
  <si>
    <t>2026/007</t>
  </si>
  <si>
    <t>AL 43</t>
  </si>
  <si>
    <t>AL 10 - 25LTRS</t>
  </si>
  <si>
    <t>MATEUS</t>
  </si>
  <si>
    <t>67 BBs</t>
  </si>
  <si>
    <t>2026/008</t>
  </si>
  <si>
    <t>DESTAK 5L</t>
  </si>
  <si>
    <t>2.500 LTRS</t>
  </si>
  <si>
    <t>5.000 LTRS</t>
  </si>
  <si>
    <t>1.000 LTRS</t>
  </si>
  <si>
    <t>3.000 LTRS</t>
  </si>
  <si>
    <t>FALTARÃO 12 PALLETS PARA ENTREGAR</t>
  </si>
  <si>
    <t>2026/009</t>
  </si>
  <si>
    <t>CORANTE AMARELO</t>
  </si>
  <si>
    <t>30 KG</t>
  </si>
  <si>
    <t>CORANTE AZUL</t>
  </si>
  <si>
    <t>28 KG</t>
  </si>
  <si>
    <t>CORANTE VIOLETA</t>
  </si>
  <si>
    <t>25 KG</t>
  </si>
  <si>
    <t>CORANTE ROSA</t>
  </si>
  <si>
    <t>24 KG</t>
  </si>
  <si>
    <t>CORANTE VERMELHO</t>
  </si>
  <si>
    <t>2026/010</t>
  </si>
  <si>
    <t>REPETECO</t>
  </si>
  <si>
    <t>1.440 LATAS</t>
  </si>
  <si>
    <t>2026/011</t>
  </si>
  <si>
    <t>2.880 LATAS</t>
  </si>
  <si>
    <t>2026/012</t>
  </si>
  <si>
    <t>ESPUMA GENGIBRE</t>
  </si>
  <si>
    <t>2.340 KG</t>
  </si>
  <si>
    <t>ESPUMA MAÇA VERDE</t>
  </si>
  <si>
    <t>980 KG</t>
  </si>
  <si>
    <t>ESPUMA 3 LIMÕES</t>
  </si>
  <si>
    <t>1.170 KG</t>
  </si>
  <si>
    <t>ESPUMA FRUTAS VERMELHAS</t>
  </si>
  <si>
    <t>1.560 KG</t>
  </si>
  <si>
    <t>390KG</t>
  </si>
  <si>
    <t>2026/013</t>
  </si>
  <si>
    <t>OL ABELHA</t>
  </si>
  <si>
    <t>2026/014</t>
  </si>
  <si>
    <t>DILUTE</t>
  </si>
  <si>
    <t>7.920 LATAS</t>
  </si>
  <si>
    <t>5.100 LATAS</t>
  </si>
  <si>
    <t>5.940 LATAS</t>
  </si>
  <si>
    <t>197CXS</t>
  </si>
  <si>
    <t>2026/015</t>
  </si>
  <si>
    <t>GIN SABORES</t>
  </si>
  <si>
    <t>3.960 LATAS</t>
  </si>
  <si>
    <t>2026/016</t>
  </si>
  <si>
    <t>2026/017</t>
  </si>
  <si>
    <t>ITAIQUARA 600ML</t>
  </si>
  <si>
    <t>ITAIQUARA</t>
  </si>
  <si>
    <t>2.280 LATAS</t>
  </si>
  <si>
    <t>2026/018</t>
  </si>
  <si>
    <t>BONASSE 400ML</t>
  </si>
  <si>
    <t>ROCHAPAN</t>
  </si>
  <si>
    <t>3.000 LATAS</t>
  </si>
  <si>
    <t>2026/019</t>
  </si>
  <si>
    <t>UNTA MAIS 400ML</t>
  </si>
  <si>
    <t>CASA DO PANIFICADOR</t>
  </si>
  <si>
    <t>2.400 LATAS</t>
  </si>
  <si>
    <t>2026/020</t>
  </si>
  <si>
    <t>2026/021</t>
  </si>
  <si>
    <t>UNTA FACIL 180ML</t>
  </si>
  <si>
    <t>8.640 LATAS</t>
  </si>
  <si>
    <t>UNTA FACIL 400ML</t>
  </si>
  <si>
    <t>12.000 LATAS</t>
  </si>
  <si>
    <t>2026/022</t>
  </si>
  <si>
    <t>GELINHO 210ML</t>
  </si>
  <si>
    <t>ICEBERG</t>
  </si>
  <si>
    <t>2.800 LATAS</t>
  </si>
  <si>
    <t>2026/023</t>
  </si>
  <si>
    <t>MAGIC SPRAY 400ML</t>
  </si>
  <si>
    <t>EMBRAPAN</t>
  </si>
  <si>
    <t>1.200 LATAS</t>
  </si>
  <si>
    <t>2026/024</t>
  </si>
  <si>
    <t>2026/025</t>
  </si>
  <si>
    <t>ALLBREAD 600ML</t>
  </si>
  <si>
    <t>9.216 LATAS</t>
  </si>
  <si>
    <t>2026/026</t>
  </si>
  <si>
    <t>2026/027</t>
  </si>
  <si>
    <t>2026/028</t>
  </si>
  <si>
    <t>VP 600ML</t>
  </si>
  <si>
    <t>VIA PANE</t>
  </si>
  <si>
    <t>2026/029</t>
  </si>
  <si>
    <t>UNTA FORMA 600ML</t>
  </si>
  <si>
    <t>2026/030</t>
  </si>
  <si>
    <t>OL 40 (ORIGINAL)</t>
  </si>
  <si>
    <t>LANÇAMENTO DE PRODUÇÃO • PREENCHIMENTO RÁPIDO</t>
  </si>
  <si>
    <t>_TOTAL_CX_NUM</t>
  </si>
  <si>
    <t>_TOTAL_PALLETS_NUM</t>
  </si>
  <si>
    <t>_TOTAL_REALCX_NUM</t>
  </si>
  <si>
    <t>_TOTAL_LATAS_NUM</t>
  </si>
  <si>
    <t>Preencha produto, embalagem e caixas. As demais colunas ajudam a leitura diária.</t>
  </si>
  <si>
    <t>Legenda: verde = acima da meta • vermelho = abaixo da meta</t>
  </si>
  <si>
    <t>Pallet PBR: 600ml=95 | 400ml=125 | 200ml=330 | 180ml=240 cx</t>
  </si>
  <si>
    <t>EMBALAGEM</t>
  </si>
  <si>
    <t>CAIXAS</t>
  </si>
  <si>
    <t>UN</t>
  </si>
  <si>
    <t>CX/PALLET</t>
  </si>
  <si>
    <t>PALLETS (PBR)</t>
  </si>
  <si>
    <t>REAL (CX)</t>
  </si>
  <si>
    <t>TOTAL LATAS</t>
  </si>
  <si>
    <t>ADIMIX (PRECISION)</t>
  </si>
  <si>
    <t>CX</t>
  </si>
  <si>
    <t>ADIMIX (FADEVA)</t>
  </si>
  <si>
    <t>TOTAL</t>
  </si>
  <si>
    <t>5L</t>
  </si>
  <si>
    <t>INLOCO ECO</t>
  </si>
  <si>
    <t>CASA PANIFICADOR</t>
  </si>
  <si>
    <t>GENGIBRE INLOCO</t>
  </si>
  <si>
    <t>GENGIBRE DILUTE</t>
  </si>
  <si>
    <t>MAÇA VERDE DILUTE</t>
  </si>
  <si>
    <t>3 LIMÕES DILUTE</t>
  </si>
  <si>
    <t>F. VERMELHAS DILUTE</t>
  </si>
  <si>
    <t xml:space="preserve">UNTA FACIL </t>
  </si>
  <si>
    <t>GELINHO ICEBERG</t>
  </si>
  <si>
    <t>CALDEIRA QUEBRADA</t>
  </si>
  <si>
    <t>MAGIC SPRAY EMBRAPAN</t>
  </si>
  <si>
    <t>RESULTADOS E GRÁFICO - JANEIRO</t>
  </si>
  <si>
    <t>Total do mês</t>
  </si>
  <si>
    <t>Meta do mês</t>
  </si>
  <si>
    <t>Média por dia</t>
  </si>
  <si>
    <t>Melhor dia</t>
  </si>
  <si>
    <t>Atingimento</t>
  </si>
  <si>
    <t>Legenda</t>
  </si>
  <si>
    <t>Leitura</t>
  </si>
  <si>
    <t>Verde</t>
  </si>
  <si>
    <t>Acima da meta</t>
  </si>
  <si>
    <t>Vermelho</t>
  </si>
  <si>
    <t>Abaixo da meta</t>
  </si>
  <si>
    <t>Cinza</t>
  </si>
  <si>
    <t>Igual à meta</t>
  </si>
  <si>
    <t>Data</t>
  </si>
  <si>
    <t>Dias trabalhados</t>
  </si>
  <si>
    <t>Realizado</t>
  </si>
  <si>
    <t>Meta diária</t>
  </si>
  <si>
    <t>Diferença</t>
  </si>
  <si>
    <t>Observações</t>
  </si>
  <si>
    <t>Realizado gráfico</t>
  </si>
  <si>
    <t>Meta gráfico</t>
  </si>
  <si>
    <t>Feriado - Confraternização Universal</t>
  </si>
  <si>
    <t>ORDEM DE PRODUÇÃO - FEVEREIRO</t>
  </si>
  <si>
    <t>2026/031</t>
  </si>
  <si>
    <t>OL 131/32/33/34/35</t>
  </si>
  <si>
    <t>OL 40/20 - 25LTRS</t>
  </si>
  <si>
    <t>INDIPAN</t>
  </si>
  <si>
    <t>90 BBs</t>
  </si>
  <si>
    <t>2026/032</t>
  </si>
  <si>
    <t>30.000 LATAS</t>
  </si>
  <si>
    <t>2026/033</t>
  </si>
  <si>
    <t>2026/034</t>
  </si>
  <si>
    <t>CHEF MASTER 400ML</t>
  </si>
  <si>
    <t>2026/035</t>
  </si>
  <si>
    <t>2026/036</t>
  </si>
  <si>
    <t>UNTA FORMA 400ML</t>
  </si>
  <si>
    <t>BRICOFLEX</t>
  </si>
  <si>
    <t>1.500 LATAS</t>
  </si>
  <si>
    <t>2026/037</t>
  </si>
  <si>
    <t>2026/038</t>
  </si>
  <si>
    <t>DISPAN</t>
  </si>
  <si>
    <t>4.500 LATAS</t>
  </si>
  <si>
    <t>2026/039</t>
  </si>
  <si>
    <t>DESMOLDANTE CHEF</t>
  </si>
  <si>
    <t>27.192 LATAS</t>
  </si>
  <si>
    <t>2026/040</t>
  </si>
  <si>
    <t>2026/041</t>
  </si>
  <si>
    <t>26010173    30</t>
  </si>
  <si>
    <t>2026/042</t>
  </si>
  <si>
    <t>2026/043</t>
  </si>
  <si>
    <t>180 BBs</t>
  </si>
  <si>
    <t>2026/044</t>
  </si>
  <si>
    <t>2026/045</t>
  </si>
  <si>
    <t>UNTA FORMA 180ML</t>
  </si>
  <si>
    <t>ADKO</t>
  </si>
  <si>
    <t>2026/046</t>
  </si>
  <si>
    <t>5.760 LATAS</t>
  </si>
  <si>
    <t>2026/047</t>
  </si>
  <si>
    <t>MANTEIGA DE COCO</t>
  </si>
  <si>
    <t>QUALICOCO</t>
  </si>
  <si>
    <t>ÓLEO DE COCO EXTRAVIRGEM</t>
  </si>
  <si>
    <t>2026/048</t>
  </si>
  <si>
    <t>SANTO ÓLEO</t>
  </si>
  <si>
    <t>ÓLEO DE COCO SEM SABOR</t>
  </si>
  <si>
    <t>2026/049</t>
  </si>
  <si>
    <t>COPRA</t>
  </si>
  <si>
    <t>6.000 LATAS</t>
  </si>
  <si>
    <t>7.000 LATAS</t>
  </si>
  <si>
    <t>2026/050</t>
  </si>
  <si>
    <t>CORANTE LARANJA</t>
  </si>
  <si>
    <t>2026/051</t>
  </si>
  <si>
    <t>CORANTE VERDE</t>
  </si>
  <si>
    <t>2026/052</t>
  </si>
  <si>
    <t>ESPUMA DE GENGIBRE</t>
  </si>
  <si>
    <t>780 KG</t>
  </si>
  <si>
    <t>2026/053</t>
  </si>
  <si>
    <t>2026/054</t>
  </si>
  <si>
    <t>1.080 LATAS</t>
  </si>
  <si>
    <t>2026/055</t>
  </si>
  <si>
    <t>2026/056</t>
  </si>
  <si>
    <t>ECO UNTA FACIL</t>
  </si>
  <si>
    <t>600 / 400</t>
  </si>
  <si>
    <t>REPETECO CHEF</t>
  </si>
  <si>
    <t>400 / 180</t>
  </si>
  <si>
    <t>COCO</t>
  </si>
  <si>
    <t>QUALICOCO MANTEIGA</t>
  </si>
  <si>
    <t>QUALICOCO EXTRAVIRGEM</t>
  </si>
  <si>
    <t>COPRA EXTRAVIRGEM</t>
  </si>
  <si>
    <t>COPRA SEM SABOR</t>
  </si>
  <si>
    <t>SANTO ÓLEO SEM SABOR</t>
  </si>
  <si>
    <t>SANTO ÓLEO EXTRA VIRGEM</t>
  </si>
  <si>
    <t>CORANTE</t>
  </si>
  <si>
    <t>CORANTE AZUL INLOCO</t>
  </si>
  <si>
    <t>CORANTE VERDE REPETECO</t>
  </si>
  <si>
    <t>CORANTE LARANJA REPETECO</t>
  </si>
  <si>
    <t>CORANTE VERMELHO REPETECO</t>
  </si>
  <si>
    <t>CORANTE ROSA REPETECO</t>
  </si>
  <si>
    <t>ESPUMA</t>
  </si>
  <si>
    <t>GENGIBRE</t>
  </si>
  <si>
    <t>HORA</t>
  </si>
  <si>
    <t>REAL</t>
  </si>
  <si>
    <t>RESULTADOS E GRÁFICO - FEVEREIRO</t>
  </si>
  <si>
    <t>ORDEM DE PRODUÇÃO - MARÇO</t>
  </si>
  <si>
    <t>2026/057</t>
  </si>
  <si>
    <t>2026/058</t>
  </si>
  <si>
    <t>TTF ABELHA 600ML</t>
  </si>
  <si>
    <t>2026/059</t>
  </si>
  <si>
    <t>3.696 LATAS</t>
  </si>
  <si>
    <t>2026/060</t>
  </si>
  <si>
    <t>ÓLEO DE COCO 200ML</t>
  </si>
  <si>
    <t>5.960 LATAS</t>
  </si>
  <si>
    <t>2026/061</t>
  </si>
  <si>
    <t>CARREFOUR</t>
  </si>
  <si>
    <t>2026/062</t>
  </si>
  <si>
    <t>ÓLEO DE COCO EXTRAVIRGEM TAEQ</t>
  </si>
  <si>
    <t>PÃO DE AÇUCAR</t>
  </si>
  <si>
    <t>UNTA FORMA 180ML QUALITÁ</t>
  </si>
  <si>
    <t>2026/063</t>
  </si>
  <si>
    <t>2026/064</t>
  </si>
  <si>
    <t>2026/065</t>
  </si>
  <si>
    <t>DONA JURA 400ML</t>
  </si>
  <si>
    <t>CACAU FOODS</t>
  </si>
  <si>
    <t>24.720 LATAS</t>
  </si>
  <si>
    <t>2026/066</t>
  </si>
  <si>
    <t>2026/067</t>
  </si>
  <si>
    <t>CELEBRATE 400ML</t>
  </si>
  <si>
    <t>BRILHART</t>
  </si>
  <si>
    <t>2026/068</t>
  </si>
  <si>
    <t>42.000 LATAS</t>
  </si>
  <si>
    <t>21 PALLETS</t>
  </si>
  <si>
    <t>2026/069</t>
  </si>
  <si>
    <t>CHEF DESMOLDANTE 400ML</t>
  </si>
  <si>
    <t>27.720 LATAS</t>
  </si>
  <si>
    <t>2026/070</t>
  </si>
  <si>
    <t>UNTA FORMA GRILL 400ML</t>
  </si>
  <si>
    <t>18.900 LATAS</t>
  </si>
  <si>
    <t>2026/071</t>
  </si>
  <si>
    <t>2026/072</t>
  </si>
  <si>
    <t>OL 277</t>
  </si>
  <si>
    <t>UNTA FACIL AZEITE 180ML</t>
  </si>
  <si>
    <t>2026/073</t>
  </si>
  <si>
    <t>OL 246</t>
  </si>
  <si>
    <t>OL AZEITE</t>
  </si>
  <si>
    <t>265 KG</t>
  </si>
  <si>
    <t>2026/074</t>
  </si>
  <si>
    <t>AL 10 CONCENTRADO</t>
  </si>
  <si>
    <t>1.293  KG</t>
  </si>
  <si>
    <t>2026/075</t>
  </si>
  <si>
    <t>AL 278</t>
  </si>
  <si>
    <t>60 BBs</t>
  </si>
  <si>
    <t>2026/076</t>
  </si>
  <si>
    <t>UNTA FACIL ECO 400ML</t>
  </si>
  <si>
    <t>2.304 LATAS</t>
  </si>
  <si>
    <t>2026/077</t>
  </si>
  <si>
    <t>2026/078</t>
  </si>
  <si>
    <t>3.500 KG</t>
  </si>
  <si>
    <t>2026/079</t>
  </si>
  <si>
    <t>OL 40 (MANTEIGA)</t>
  </si>
  <si>
    <t>OL MANTEIGA</t>
  </si>
  <si>
    <t>1.680 KG</t>
  </si>
  <si>
    <t>2026/080</t>
  </si>
  <si>
    <t>UNTA FLEX 400ML</t>
  </si>
  <si>
    <t>9.000 LATAS</t>
  </si>
  <si>
    <t>2026/081</t>
  </si>
  <si>
    <t>...</t>
  </si>
  <si>
    <t>2026/082</t>
  </si>
  <si>
    <t>NORCAU 600ML</t>
  </si>
  <si>
    <t>13.680 LATAS</t>
  </si>
  <si>
    <t>2026/083</t>
  </si>
  <si>
    <t>26010365 49</t>
  </si>
  <si>
    <t>LISSE</t>
  </si>
  <si>
    <t>2026/084</t>
  </si>
  <si>
    <t>4.608 LATAS</t>
  </si>
  <si>
    <t>2026/085</t>
  </si>
  <si>
    <t>2026/086</t>
  </si>
  <si>
    <t>81 KG</t>
  </si>
  <si>
    <t>41 KG</t>
  </si>
  <si>
    <t>2026/87</t>
  </si>
  <si>
    <t>27.420 LATAS</t>
  </si>
  <si>
    <t>10.020 LATAS</t>
  </si>
  <si>
    <t>2026/088</t>
  </si>
  <si>
    <t>2026/089</t>
  </si>
  <si>
    <t>3.115 KG</t>
  </si>
  <si>
    <t>ESPUMA DE MAÇA VERDE</t>
  </si>
  <si>
    <t>390 KG</t>
  </si>
  <si>
    <t>ESPUMA DE LIMÃO</t>
  </si>
  <si>
    <t>ESPUMA DE LIMÃO SICILIANO</t>
  </si>
  <si>
    <t>ESPUMA DE BANANA</t>
  </si>
  <si>
    <t>ESPUMA DE TANGERINA</t>
  </si>
  <si>
    <t>ESPUMA DE MORANGO</t>
  </si>
  <si>
    <t>ESPUMA DE FRUTAS VERMELHAS</t>
  </si>
  <si>
    <t>2026/090</t>
  </si>
  <si>
    <t>CONRANTE ROSA</t>
  </si>
  <si>
    <t>960 LATAS</t>
  </si>
  <si>
    <t>2026/091</t>
  </si>
  <si>
    <t>TTF MEL</t>
  </si>
  <si>
    <t>UNTA FACIL ECO</t>
  </si>
  <si>
    <t>UNTA FORMA QUALITA</t>
  </si>
  <si>
    <t>UNTA FACIL AZEITE</t>
  </si>
  <si>
    <t>OLEO DE COCO CARREFOUR</t>
  </si>
  <si>
    <t>OLEO DE COCO TEAQ</t>
  </si>
  <si>
    <t xml:space="preserve">UNTA FACIL ECO </t>
  </si>
  <si>
    <t>ROCHAPAN BONASSE</t>
  </si>
  <si>
    <t>CELEBRATE</t>
  </si>
  <si>
    <t>OLEO DE COCO SANTO OLEO</t>
  </si>
  <si>
    <t xml:space="preserve">COPRA SEM SABOR </t>
  </si>
  <si>
    <t>CORANTE AMARELO IN LOCO</t>
  </si>
  <si>
    <t>CORANTE AMARELO REPETECO</t>
  </si>
  <si>
    <t>RESULTADOS E GRÁFICO - MARÇO</t>
  </si>
  <si>
    <t>Os pistões de injeção de gás sairam de centro.</t>
  </si>
  <si>
    <t>Caminhão do gás quebrou, não nos abasteceram a segunda vez hoje, paramos 15:20.</t>
  </si>
  <si>
    <t>Gás chegou era 08:00, paramos 11:50 gás acabou. Gás Chegou era 16:15.</t>
  </si>
  <si>
    <t>ORDEM DE PRODUÇÃO - ABRIL</t>
  </si>
  <si>
    <t>2026/092</t>
  </si>
  <si>
    <t>2026/093</t>
  </si>
  <si>
    <t>2026/094</t>
  </si>
  <si>
    <t>9.900 LATAS</t>
  </si>
  <si>
    <t>1.980 LATAS</t>
  </si>
  <si>
    <t>1.974 LATAS</t>
  </si>
  <si>
    <t>2026/095</t>
  </si>
  <si>
    <t>1.890 LATAS</t>
  </si>
  <si>
    <t>2026/096</t>
  </si>
  <si>
    <t>AL 10 DILUIDO</t>
  </si>
  <si>
    <t>410 KG</t>
  </si>
  <si>
    <t>2026/097</t>
  </si>
  <si>
    <t>AL 409</t>
  </si>
  <si>
    <t>ANTIMOFO 600ML</t>
  </si>
  <si>
    <t>1.280 LATAS</t>
  </si>
  <si>
    <t>2026/098</t>
  </si>
  <si>
    <t>32.424 LATAS</t>
  </si>
  <si>
    <t>2026/099</t>
  </si>
  <si>
    <t>2.500 KG</t>
  </si>
  <si>
    <t>2026/100</t>
  </si>
  <si>
    <t>DESMOLDANTE CHEF 400ML</t>
  </si>
  <si>
    <t>23.760 LATAS</t>
  </si>
  <si>
    <t>18 pallets</t>
  </si>
  <si>
    <t>2026/101</t>
  </si>
  <si>
    <t>26.220 LATAS</t>
  </si>
  <si>
    <t>10 pallets</t>
  </si>
  <si>
    <t>7 pallets</t>
  </si>
  <si>
    <t>6 pallets</t>
  </si>
  <si>
    <t>2026/102</t>
  </si>
  <si>
    <t>4.560 LATAS</t>
  </si>
  <si>
    <t>2026/103</t>
  </si>
  <si>
    <t>GPA</t>
  </si>
  <si>
    <t>2026/104</t>
  </si>
  <si>
    <t>2026/105</t>
  </si>
  <si>
    <t>10.308 LATAS</t>
  </si>
  <si>
    <t>2026/106</t>
  </si>
  <si>
    <t>26010423   92</t>
  </si>
  <si>
    <t>LISSE  600ML</t>
  </si>
  <si>
    <t>2026/107</t>
  </si>
  <si>
    <t>2026/108</t>
  </si>
  <si>
    <t>ALL BREAD MANTEIGA 600ML</t>
  </si>
  <si>
    <t>600 LATAS</t>
  </si>
  <si>
    <t>2026/109</t>
  </si>
  <si>
    <t xml:space="preserve">OL MANTEIGA </t>
  </si>
  <si>
    <t>210 KG</t>
  </si>
  <si>
    <t>2026/110</t>
  </si>
  <si>
    <t>2026/111</t>
  </si>
  <si>
    <t>23.000 LATAS</t>
  </si>
  <si>
    <t>20.000 LATAS</t>
  </si>
  <si>
    <t>2026/112</t>
  </si>
  <si>
    <t>11.520 LATAS</t>
  </si>
  <si>
    <t>2 PALLETS</t>
  </si>
  <si>
    <t>2026/113</t>
  </si>
  <si>
    <t>23.940 LATAS</t>
  </si>
  <si>
    <t>2026/114</t>
  </si>
  <si>
    <t>2026/115</t>
  </si>
  <si>
    <t>2026/116</t>
  </si>
  <si>
    <t>26010508   88</t>
  </si>
  <si>
    <t>CORANTE AZUL CEU REPETECO</t>
  </si>
  <si>
    <t>CORANTE VERDE IN LOCO</t>
  </si>
  <si>
    <t>CORANTE ROSA IN LOCO</t>
  </si>
  <si>
    <t>CORANTE VERMELHO INLOCO</t>
  </si>
  <si>
    <t>CORANTE VIOLETA REPETECO</t>
  </si>
  <si>
    <t>ESPUMA GENGIBRE IN LOCO</t>
  </si>
  <si>
    <t>ESPUMA GENGIBRE DILUTE</t>
  </si>
  <si>
    <t>FERIADO</t>
  </si>
  <si>
    <t>ESPUMA GENGIBRE GIN SABORES</t>
  </si>
  <si>
    <t>ESPUMA MAÇA VERDE IN LOCO</t>
  </si>
  <si>
    <t>ESPUMA LIMÃO GIN SABORES</t>
  </si>
  <si>
    <t>ESPUMA LIMÃO SICILIANO IN LOCO</t>
  </si>
  <si>
    <t>ESPUMA  BANANA GIN SABORES</t>
  </si>
  <si>
    <t>ESPUMA TANGERINA IN LOCO</t>
  </si>
  <si>
    <t>ESPUMA MORANGO IN LOCO</t>
  </si>
  <si>
    <t>ESPUMA MORANGO GIN SABORES</t>
  </si>
  <si>
    <t>ESPUMA FRUTAS VERMELHAS GIN SABORES</t>
  </si>
  <si>
    <t>ESPUMA FRUTAS VERMELHAS IN LOCO</t>
  </si>
  <si>
    <t>ANTIMOFO IN LOCO</t>
  </si>
  <si>
    <t>UNTA FACIL IN LOCO</t>
  </si>
  <si>
    <t>DESMOLDANTE CHEF ICEBERG</t>
  </si>
  <si>
    <t>PURATOS DESTAK</t>
  </si>
  <si>
    <t>OLEO DE COCO TAEQ</t>
  </si>
  <si>
    <t>OLEO DE COCO COPRA MANTEIGA</t>
  </si>
  <si>
    <t>SEM PRODUÇÃO</t>
  </si>
  <si>
    <t>ALL BREAD MANTEIGA</t>
  </si>
  <si>
    <t xml:space="preserve">ALL BREAD </t>
  </si>
  <si>
    <t>PURATOS NORCAU</t>
  </si>
  <si>
    <t>ADIMIX LISSE</t>
  </si>
  <si>
    <t>RESULTADOS E GRÁFICO - ABRIL</t>
  </si>
  <si>
    <t>Dia</t>
  </si>
  <si>
    <t>qua</t>
  </si>
  <si>
    <t>qui</t>
  </si>
  <si>
    <t>sex</t>
  </si>
  <si>
    <t>Feriado - Paixão de Cristo</t>
  </si>
  <si>
    <t>seg</t>
  </si>
  <si>
    <t>ter</t>
  </si>
  <si>
    <t>Treinamento na parte da tarde.</t>
  </si>
  <si>
    <t>Paramos 10:00hrs por falta de gás. Voltamos 11:00.</t>
  </si>
  <si>
    <t>A base dos pistões de gás terminaram de quebrar, estamos substituindo a peça.</t>
  </si>
  <si>
    <t>sáb</t>
  </si>
  <si>
    <t>Sábado - produção normal</t>
  </si>
  <si>
    <t>Tiradentes - produção normal</t>
  </si>
  <si>
    <t>Paramos 09:00hrs por falta de gás. Voltamos 10:30.</t>
  </si>
  <si>
    <t>Paramos 11:00hrs por falta de gás. Voltamos 14:30.</t>
  </si>
  <si>
    <t>Trocamos para o Coco e fizemos as amostras da Renata.</t>
  </si>
  <si>
    <t>Paramos 15:00hrs por falta de gás.</t>
  </si>
  <si>
    <t>Paramos 10:40hrs por falta de gás. Voltamos 13:15.</t>
  </si>
  <si>
    <t>ORDEM DE PRODUÇÃO - MAIO</t>
  </si>
  <si>
    <t>2026/117</t>
  </si>
  <si>
    <t>31.500 LATAS</t>
  </si>
  <si>
    <t>7 PALLETS</t>
  </si>
  <si>
    <t>2026/118</t>
  </si>
  <si>
    <t>CHEF DESMOLDANTE</t>
  </si>
  <si>
    <t>27.960 LATAS</t>
  </si>
  <si>
    <t>19 PALLETS</t>
  </si>
  <si>
    <t>2026/119</t>
  </si>
  <si>
    <t>ESPUMA ABACAXI</t>
  </si>
  <si>
    <t>ESPUMA TUTTI FRUTTI</t>
  </si>
  <si>
    <t>ESPUMA MELANCIA</t>
  </si>
  <si>
    <t>ESPUMA MORANGO</t>
  </si>
  <si>
    <t>ESPUMA UVA</t>
  </si>
  <si>
    <t>2026/120</t>
  </si>
  <si>
    <t>2026/121</t>
  </si>
  <si>
    <t>2026/122</t>
  </si>
  <si>
    <t>2026/123</t>
  </si>
  <si>
    <t>2026/124</t>
  </si>
  <si>
    <t>2026/125</t>
  </si>
  <si>
    <t>2026/126</t>
  </si>
  <si>
    <t>2026/127</t>
  </si>
  <si>
    <t>21.660 LATAS</t>
  </si>
  <si>
    <t>2026/128</t>
  </si>
  <si>
    <t>DOURADOR DE PÃO</t>
  </si>
  <si>
    <t>3.000 KG</t>
  </si>
  <si>
    <t>2026/129</t>
  </si>
  <si>
    <t>DOURATTO 5L</t>
  </si>
  <si>
    <t>600 BBs</t>
  </si>
  <si>
    <t>2026/130</t>
  </si>
  <si>
    <t>26010561  33</t>
  </si>
  <si>
    <t>2026/131</t>
  </si>
  <si>
    <t>2026/132</t>
  </si>
  <si>
    <t>UNTA TUDO 600ML</t>
  </si>
  <si>
    <t>CLEIDE DOCES</t>
  </si>
  <si>
    <t>2026/133</t>
  </si>
  <si>
    <t>67.260 LATAS</t>
  </si>
  <si>
    <t>10 PALLETS</t>
  </si>
  <si>
    <t>2026/134</t>
  </si>
  <si>
    <t>2026/135</t>
  </si>
  <si>
    <t>OL 40/20 - 25 LTRS</t>
  </si>
  <si>
    <t>2026/136</t>
  </si>
  <si>
    <t>26010591  29</t>
  </si>
  <si>
    <t>2026/137</t>
  </si>
  <si>
    <t>2026/138</t>
  </si>
  <si>
    <t>2026/139</t>
  </si>
  <si>
    <t>2026/140</t>
  </si>
  <si>
    <t>UNTA FORMA QUALITÁ 180ML</t>
  </si>
  <si>
    <t>2026/141</t>
  </si>
  <si>
    <t>2026/142</t>
  </si>
  <si>
    <t>2026/143</t>
  </si>
  <si>
    <t>DONA LELLA 400ML</t>
  </si>
  <si>
    <t>DONA LELLA</t>
  </si>
  <si>
    <t>19.800 LATAS</t>
  </si>
  <si>
    <t>2026/144</t>
  </si>
  <si>
    <t>OL588</t>
  </si>
  <si>
    <t xml:space="preserve">ICEBERG </t>
  </si>
  <si>
    <t>REPETECO CHEF MASTER</t>
  </si>
  <si>
    <t>ESPUMA ABACAXI TM</t>
  </si>
  <si>
    <t>ESPUMA ABACAXI TM COPA</t>
  </si>
  <si>
    <t>ESPUMA T. FRUTTI TM COPA</t>
  </si>
  <si>
    <t>ESPUMA TUTTI FRUTTI TM</t>
  </si>
  <si>
    <t xml:space="preserve">ESPUMA MELANCIA TM </t>
  </si>
  <si>
    <t>ESPUMA MELANCIA TM COPA</t>
  </si>
  <si>
    <t>ESPUMA MORANGO TM</t>
  </si>
  <si>
    <t>ESPUMA MORANGO TM COPA</t>
  </si>
  <si>
    <t>ESPUMA UVA TM</t>
  </si>
  <si>
    <t>ESPUMA UVA TM COPA</t>
  </si>
  <si>
    <t>ESPUMA DILUTE 3 LIMÕES</t>
  </si>
  <si>
    <t xml:space="preserve">ADIMIX LISSE </t>
  </si>
  <si>
    <t xml:space="preserve">VIA PANE </t>
  </si>
  <si>
    <t>CORANTE REPETECO VERDE</t>
  </si>
  <si>
    <t>CORANTE REPETECO LARANJA</t>
  </si>
  <si>
    <t>CORANTE REPETECO VIOLETA</t>
  </si>
  <si>
    <t>CARREFOUR COCO</t>
  </si>
  <si>
    <t>GPA QUALITA</t>
  </si>
  <si>
    <t>EMBRAPAN MAGIC SPRAY</t>
  </si>
  <si>
    <t>DISPAN UNTA TUDO</t>
  </si>
  <si>
    <t>FESTPAN GRILL</t>
  </si>
  <si>
    <t>UNTA FACIL MEL</t>
  </si>
  <si>
    <t>RESULTADOS E GRÁFICO - MAIO</t>
  </si>
  <si>
    <t>Feriado - Dia do Trabalho - produção normal</t>
  </si>
  <si>
    <t>Paramos por falta de gás 09:10. Voltamos 11:00.</t>
  </si>
  <si>
    <t>Temos treinamento na parte da tarde.</t>
  </si>
  <si>
    <t>Ficamos sem uma fase de energia 10:45.</t>
  </si>
  <si>
    <t>Paramos por falta de gás 10:50. Voltamos 11:50.</t>
  </si>
  <si>
    <t>Paramos por falta de gás 07:50. Voltamos 09:50.</t>
  </si>
  <si>
    <t>Auditoria Fornecedor - WQS</t>
  </si>
  <si>
    <t>ORDEM DE PRODUÇÃO - JUNHO</t>
  </si>
  <si>
    <t>RESULTADOS E GRÁFICO - JUNHO</t>
  </si>
  <si>
    <t>ORDEM DE PRODUÇÃO - JULHO</t>
  </si>
  <si>
    <t>RESULTADOS E GRÁFICO - JULHO</t>
  </si>
  <si>
    <t>ORDEM DE PRODUÇÃO - AGOSTO</t>
  </si>
  <si>
    <t>RESULTADOS E GRÁFICO - AGOSTO</t>
  </si>
  <si>
    <t>ORDEM DE PRODUÇÃO - SETEMBRO</t>
  </si>
  <si>
    <t>RESULTADOS E GRÁFICO - SETEMBRO</t>
  </si>
  <si>
    <t>Feriado - Independência do Brasil</t>
  </si>
  <si>
    <t>ORDEM DE PRODUÇÃO - OUTUBRO</t>
  </si>
  <si>
    <t>RESULTADOS E GRÁFICO - OUTUBRO</t>
  </si>
  <si>
    <t>Feriado - Nossa Senhora Aparecida</t>
  </si>
  <si>
    <t>ORDEM DE PRODUÇÃO - NOVEMBRO</t>
  </si>
  <si>
    <t>RESULTADOS E GRÁFICO - NOVEMBRO</t>
  </si>
  <si>
    <t>Feriado - Finados</t>
  </si>
  <si>
    <t>Feriado - Dia da Consciência Negra</t>
  </si>
  <si>
    <t>ORDEM DE PRODUÇÃO - DEZEMBRO</t>
  </si>
  <si>
    <t>RESULTADOS E GRÁFICO - DEZEMBRO</t>
  </si>
  <si>
    <t>Feriado - Natal</t>
  </si>
  <si>
    <t>NCM</t>
  </si>
  <si>
    <t>TAMANHO</t>
  </si>
  <si>
    <t>UNIDS/CX</t>
  </si>
  <si>
    <t>PREÇO R$</t>
  </si>
  <si>
    <t>CONGELANTE</t>
  </si>
  <si>
    <t>PRODUÇÃO</t>
  </si>
  <si>
    <t>N°</t>
  </si>
  <si>
    <t>DESMOLDANTE</t>
  </si>
  <si>
    <t>UNTA FORMA</t>
  </si>
  <si>
    <t>400ML</t>
  </si>
  <si>
    <t>MANTEIGA GHEE</t>
  </si>
  <si>
    <t>SLEEVE FLEX FEST</t>
  </si>
  <si>
    <t>ANTIMOFO</t>
  </si>
  <si>
    <t>x3 PARCELAS</t>
  </si>
  <si>
    <t>DOURADOR</t>
  </si>
  <si>
    <t>CHANTILLY</t>
  </si>
  <si>
    <t>CHANTILLY DE COCO</t>
  </si>
  <si>
    <t>BULLET</t>
  </si>
  <si>
    <t>ÓLEOS FRIOS</t>
  </si>
  <si>
    <t>PEDIDO ESPUMA</t>
  </si>
  <si>
    <t>VERDE MAR</t>
  </si>
  <si>
    <t>DIOTTONI</t>
  </si>
  <si>
    <t>BACCO</t>
  </si>
  <si>
    <t>INLOCO</t>
  </si>
  <si>
    <t>KG</t>
  </si>
  <si>
    <t>FRUTAS VERM.</t>
  </si>
  <si>
    <t>TANGERINA</t>
  </si>
  <si>
    <t>LIMÃO</t>
  </si>
  <si>
    <t>PITAYA</t>
  </si>
  <si>
    <t>MAÇA VERDE</t>
  </si>
  <si>
    <t>MELANCIA</t>
  </si>
  <si>
    <t>CEREJA</t>
  </si>
  <si>
    <t>MORANGO(LOVE)</t>
  </si>
  <si>
    <t>LIMÃO SICILIANO</t>
  </si>
  <si>
    <t>QUANT. MIN. CXS</t>
  </si>
  <si>
    <t xml:space="preserve">PREÇO R$ LITRO </t>
  </si>
  <si>
    <t>PRIMEIRA COMPRA À VISTA</t>
  </si>
  <si>
    <t>ESPUMA (Por Sabor)</t>
  </si>
  <si>
    <t>200ML</t>
  </si>
  <si>
    <t>PRIMEIRA COMPRA À VISTA, DEMAIS 28DD.                     FRETE FOB</t>
  </si>
  <si>
    <t>SERÁ FATURADO JUNTO DO PRIMEIRO PEDIDO E PARCELADO EM TRÊS VEZES (28DD)</t>
  </si>
  <si>
    <t>RÓTULO  SABOR</t>
  </si>
  <si>
    <t>21/28/35</t>
  </si>
  <si>
    <t>SERÁ FATURADO JUNTO DO PRIMEIRO PEDIDO E PARCELADO EM TRÊS VEZES (21/28/35DD)</t>
  </si>
  <si>
    <t xml:space="preserve">QUANT. MIN. CXS </t>
  </si>
  <si>
    <t>PRAZO DE PAGAMENTO ESTÁ EM ANÁLISE</t>
  </si>
  <si>
    <t>PROD. MIN. SLEEVES</t>
  </si>
  <si>
    <t>SERÁ FATURADO JUNTO DO PRIMEIRO PEDIDO (28dd)</t>
  </si>
  <si>
    <t xml:space="preserve"> </t>
  </si>
  <si>
    <t>pallet 125cxs</t>
  </si>
  <si>
    <t>*** PRIMEIRO PEDIDO PAGAMENTO À VISTA ***</t>
  </si>
  <si>
    <t>15 PALLETS</t>
  </si>
  <si>
    <t>pallet 95cxs</t>
  </si>
  <si>
    <t>12 PALLETS</t>
  </si>
  <si>
    <t>O CLIENTE SE COMPROMETE A CONSUMIR TODA A LATA QUE ESTIVER EM ESTOQUE.</t>
  </si>
  <si>
    <t>SERÁ FATURADO JUNTO DO PRIMEIRO PEDIDO 14/28dd</t>
  </si>
  <si>
    <t>PREÇO UNID R$</t>
  </si>
  <si>
    <t>FORNECENDO O COCO</t>
  </si>
  <si>
    <t>ÓLEO DE COCO</t>
  </si>
  <si>
    <t>200ml</t>
  </si>
  <si>
    <t>3 pallets</t>
  </si>
  <si>
    <t>FORNECENDO A MISTURA MANTEIGA</t>
  </si>
  <si>
    <t>RÓTULO DE COCO</t>
  </si>
  <si>
    <t>RÓTULO DE MANTEIGA</t>
  </si>
  <si>
    <t>CLIENTE IRÁ FORNECER O ÓLEO. PRIMEIRA PRODUÇÃO PAGAMENTO À VISTA.</t>
  </si>
  <si>
    <t>FLIPDRINKS</t>
  </si>
  <si>
    <t>100ML</t>
  </si>
  <si>
    <t>SERÁ FATURADO JUNTO DO PRIMEIRO PEDIDO (28DD)</t>
  </si>
  <si>
    <t>LATAS</t>
  </si>
  <si>
    <t>PAGAMENTO PADRÃO ROCHAPAN</t>
  </si>
  <si>
    <t>ANTI MOFO</t>
  </si>
  <si>
    <t>600ML</t>
  </si>
  <si>
    <t xml:space="preserve">DOURADOR DE PÃO </t>
  </si>
  <si>
    <t>PAGAMENTO À VISTA</t>
  </si>
  <si>
    <t>5 pallets</t>
  </si>
  <si>
    <t>PROD. MIN. RÓTULO</t>
  </si>
  <si>
    <t>FRETE FOB</t>
  </si>
  <si>
    <t>ULTRAGÁS - LOTE CARGA</t>
  </si>
  <si>
    <t>DIA DA CARGA</t>
  </si>
  <si>
    <t>NF-e</t>
  </si>
  <si>
    <t>QUANTIDADE</t>
  </si>
  <si>
    <t>2134/2135</t>
  </si>
  <si>
    <t>166929.0.A</t>
  </si>
  <si>
    <t>80/20</t>
  </si>
  <si>
    <t>167011.0.A</t>
  </si>
  <si>
    <t>2140/2141/2142</t>
  </si>
  <si>
    <t>167064.0.A</t>
  </si>
  <si>
    <t>2144/2145/2146</t>
  </si>
  <si>
    <t>167118.0.A</t>
  </si>
  <si>
    <t>2147/2149</t>
  </si>
  <si>
    <t>167182.0.A</t>
  </si>
  <si>
    <t>2150/2152</t>
  </si>
  <si>
    <t>167259.0.A</t>
  </si>
  <si>
    <t>167324.0.A</t>
  </si>
  <si>
    <t>2159/2161</t>
  </si>
  <si>
    <t>167491.0.A</t>
  </si>
  <si>
    <t>167563.0.A</t>
  </si>
  <si>
    <t>2165/2168</t>
  </si>
  <si>
    <t>167601.0.A</t>
  </si>
  <si>
    <t>167673.0.A</t>
  </si>
  <si>
    <t>167721.0.A</t>
  </si>
  <si>
    <t>167892.0.A</t>
  </si>
  <si>
    <t>2181/2184</t>
  </si>
  <si>
    <t>167995.0.A</t>
  </si>
  <si>
    <t>2188/2189</t>
  </si>
  <si>
    <t>168089.0.A</t>
  </si>
  <si>
    <t>2190/2191</t>
  </si>
  <si>
    <t>168155.0.A</t>
  </si>
  <si>
    <t>168197.0.A</t>
  </si>
  <si>
    <t>2195/2197</t>
  </si>
  <si>
    <t>168230.0.A</t>
  </si>
  <si>
    <t>2198/2201</t>
  </si>
  <si>
    <t>168278.0.A</t>
  </si>
  <si>
    <t>2204/2205</t>
  </si>
  <si>
    <t>168327.0.A</t>
  </si>
  <si>
    <t>2206/2208</t>
  </si>
  <si>
    <t>168377.0.A</t>
  </si>
  <si>
    <t>2213/2214</t>
  </si>
  <si>
    <t>168500.0.A</t>
  </si>
  <si>
    <t>168581.0.A</t>
  </si>
  <si>
    <t>2218/2220</t>
  </si>
  <si>
    <t>168633.0.A</t>
  </si>
  <si>
    <t>2222/138</t>
  </si>
  <si>
    <t>168677.0.A</t>
  </si>
  <si>
    <t>2226/2227</t>
  </si>
  <si>
    <t>168740.0.A</t>
  </si>
  <si>
    <t>168929.0.A</t>
  </si>
  <si>
    <t>2233/2235</t>
  </si>
  <si>
    <t>168964.0.A</t>
  </si>
  <si>
    <t>169021.0.A</t>
  </si>
  <si>
    <t>169095.0.A</t>
  </si>
  <si>
    <t>2242/2245</t>
  </si>
  <si>
    <t>169196.0.A</t>
  </si>
  <si>
    <t>169244.0.A</t>
  </si>
  <si>
    <t>169298.0.A</t>
  </si>
  <si>
    <t>169349.0.A</t>
  </si>
  <si>
    <t>169461.0.A</t>
  </si>
  <si>
    <t>2256/2258</t>
  </si>
  <si>
    <t>2259/2262</t>
  </si>
  <si>
    <t>169523.0.A</t>
  </si>
  <si>
    <t>2264/2266</t>
  </si>
  <si>
    <t>169575.0.A</t>
  </si>
  <si>
    <t>2267/2269</t>
  </si>
  <si>
    <t>169636.0.A</t>
  </si>
  <si>
    <t>2272/2273</t>
  </si>
  <si>
    <t>169684.0.A</t>
  </si>
  <si>
    <t>2275/277</t>
  </si>
  <si>
    <t>169738.0.A</t>
  </si>
  <si>
    <t>169832.0.A</t>
  </si>
  <si>
    <t>2281/2282</t>
  </si>
  <si>
    <t>169880.0.A</t>
  </si>
  <si>
    <t>169946.0.A</t>
  </si>
  <si>
    <t>2287/2288</t>
  </si>
  <si>
    <t>169993.0.A</t>
  </si>
  <si>
    <t>2292/2295</t>
  </si>
  <si>
    <t>170061.0.A</t>
  </si>
  <si>
    <t>170148.0.A</t>
  </si>
  <si>
    <t>2300/2302</t>
  </si>
  <si>
    <t>1702025.0.A</t>
  </si>
  <si>
    <t>2303/2306</t>
  </si>
  <si>
    <t>170272.0.A</t>
  </si>
  <si>
    <t>2308/2309</t>
  </si>
  <si>
    <t>170333.0.A</t>
  </si>
  <si>
    <t>170387.0.A</t>
  </si>
  <si>
    <t>semana</t>
  </si>
  <si>
    <t>2314/57</t>
  </si>
  <si>
    <t>170496.0.A</t>
  </si>
  <si>
    <t>170549.0.A</t>
  </si>
  <si>
    <t>2318/2320</t>
  </si>
  <si>
    <t>170615.0.A</t>
  </si>
  <si>
    <t>2323/2325</t>
  </si>
  <si>
    <t>170669.0.A</t>
  </si>
  <si>
    <t>170746.0.A</t>
  </si>
  <si>
    <t>170817.0.A</t>
  </si>
  <si>
    <t>170859.0.A</t>
  </si>
  <si>
    <t>170916.0.A</t>
  </si>
  <si>
    <t>2347/2348</t>
  </si>
  <si>
    <t>171098.0.A</t>
  </si>
  <si>
    <t>2349/2351</t>
  </si>
  <si>
    <t>171146.0.A</t>
  </si>
  <si>
    <t>171198.0.A</t>
  </si>
  <si>
    <t>2355/2357</t>
  </si>
  <si>
    <t>171307.0.A</t>
  </si>
  <si>
    <t>2358/2361</t>
  </si>
  <si>
    <t>171392.0.A</t>
  </si>
  <si>
    <t>2363/2365</t>
  </si>
  <si>
    <t>171440.0.A</t>
  </si>
  <si>
    <t>171476.0.A</t>
  </si>
  <si>
    <t>171551.0.A</t>
  </si>
  <si>
    <t>2370/2371</t>
  </si>
  <si>
    <t>171598.0.A</t>
  </si>
  <si>
    <t>2373/2375</t>
  </si>
  <si>
    <t>171641.0.A</t>
  </si>
  <si>
    <t>2376/2377/2378</t>
  </si>
  <si>
    <t>171687.0.A</t>
  </si>
  <si>
    <t>2380/4438846</t>
  </si>
  <si>
    <t>171713.0.A</t>
  </si>
  <si>
    <t>2382/2385</t>
  </si>
  <si>
    <t>171761.0.A</t>
  </si>
  <si>
    <t>2387/2388</t>
  </si>
  <si>
    <t>171814.0.A</t>
  </si>
  <si>
    <t>2389/2390</t>
  </si>
  <si>
    <t>171865.0.A</t>
  </si>
  <si>
    <t>171958.0.A</t>
  </si>
  <si>
    <t>2396/2398/2399</t>
  </si>
  <si>
    <t>172010.0.A</t>
  </si>
  <si>
    <t>2400/2401/2402</t>
  </si>
  <si>
    <t>172056.0.A</t>
  </si>
  <si>
    <t>2403/2404/2405</t>
  </si>
  <si>
    <t>172150.0.A</t>
  </si>
  <si>
    <t>2409/2411</t>
  </si>
  <si>
    <t>172156.0.A</t>
  </si>
  <si>
    <t>172207.0.A</t>
  </si>
  <si>
    <t>172305.0.A</t>
  </si>
  <si>
    <t>2420/2421</t>
  </si>
  <si>
    <t>172350.0.A</t>
  </si>
  <si>
    <t>2423/2424/2425</t>
  </si>
  <si>
    <t>172390.0.A</t>
  </si>
  <si>
    <t>2427/2429</t>
  </si>
  <si>
    <t>172443.0.A</t>
  </si>
  <si>
    <t>2432/2433</t>
  </si>
  <si>
    <t>172515.0.A</t>
  </si>
  <si>
    <t>2434/2435</t>
  </si>
  <si>
    <t>172549.0.A</t>
  </si>
  <si>
    <t>2437/2438</t>
  </si>
  <si>
    <t>172604.0.A</t>
  </si>
  <si>
    <t>2439/2441</t>
  </si>
  <si>
    <t>172666.0.A</t>
  </si>
  <si>
    <t>2443/2444/2445</t>
  </si>
  <si>
    <t>172725.0.A</t>
  </si>
  <si>
    <t>2447/2450</t>
  </si>
  <si>
    <t>172711.0.A</t>
  </si>
  <si>
    <t>CONFIGURAÇÕES</t>
  </si>
  <si>
    <t>Meta diária (latas)</t>
  </si>
  <si>
    <t>Observação</t>
  </si>
  <si>
    <t>Altere a meta diária aqui. Todos os gráficos e resultados mensais serão atualizados automaticamente.</t>
  </si>
  <si>
    <t>Mês</t>
  </si>
  <si>
    <t>Real</t>
  </si>
  <si>
    <t>Latas</t>
  </si>
  <si>
    <t>Origem</t>
  </si>
  <si>
    <t>JANEIRO</t>
  </si>
  <si>
    <t>FEVEREIRO</t>
  </si>
  <si>
    <t>MARÇO</t>
  </si>
  <si>
    <t>ABRIL</t>
  </si>
  <si>
    <t>MAIO</t>
  </si>
  <si>
    <t>RESULTADOS MENSAIS</t>
  </si>
  <si>
    <t>Meta diária atual</t>
  </si>
  <si>
    <t>Total realizado</t>
  </si>
  <si>
    <t>Meta mensal</t>
  </si>
  <si>
    <t>Dias lançados</t>
  </si>
  <si>
    <t>Status</t>
  </si>
  <si>
    <t>JUNHO</t>
  </si>
  <si>
    <t>JULHO</t>
  </si>
  <si>
    <t>AGOSTO</t>
  </si>
  <si>
    <t>SETEMBRO</t>
  </si>
  <si>
    <t>OUTUBRO</t>
  </si>
  <si>
    <t>NOVEMBRO</t>
  </si>
  <si>
    <t>DEZEMBRO</t>
  </si>
  <si>
    <t>Embalagem</t>
  </si>
  <si>
    <t>Caixas por Pallet (PBR)</t>
  </si>
  <si>
    <t>UN por CX</t>
  </si>
  <si>
    <t>Descrição CX</t>
  </si>
  <si>
    <t>70 ml</t>
  </si>
  <si>
    <t>cx c/ 12un</t>
  </si>
  <si>
    <t>GERAL</t>
  </si>
  <si>
    <t>100 ml</t>
  </si>
  <si>
    <t>125 ml</t>
  </si>
  <si>
    <t>ÓLEO DE COCO CARREFOUR</t>
  </si>
  <si>
    <t>180 ml</t>
  </si>
  <si>
    <t>200 ml</t>
  </si>
  <si>
    <t>cx c/ 6un</t>
  </si>
  <si>
    <t>ÓLEO DE COCO SANTO OLEO</t>
  </si>
  <si>
    <t>DOURATTO</t>
  </si>
  <si>
    <t>500 ml</t>
  </si>
  <si>
    <t>TODAS</t>
  </si>
  <si>
    <t>PAINEL EXECUTIVO - PRODUÇÃO 2026</t>
  </si>
  <si>
    <t>Indicador</t>
  </si>
  <si>
    <t>Valor</t>
  </si>
  <si>
    <t>Status Produção</t>
  </si>
  <si>
    <t>Total Produzido</t>
  </si>
  <si>
    <t>Meta (exemplo)</t>
  </si>
  <si>
    <t>Atingimento %</t>
  </si>
  <si>
    <t>Gás total no ano</t>
  </si>
  <si>
    <t>Maior consumo de gás</t>
  </si>
  <si>
    <t>AIDU.</t>
  </si>
  <si>
    <t>TOTAL REALIZADO</t>
  </si>
  <si>
    <t>META ACOMPANHADA</t>
  </si>
  <si>
    <t>MELHOR DIA (latas)</t>
  </si>
  <si>
    <t>STATUS GERAL</t>
  </si>
  <si>
    <t>MÊS</t>
  </si>
  <si>
    <t>REALIZADO</t>
  </si>
  <si>
    <t>META</t>
  </si>
  <si>
    <t>DIFERENÇA</t>
  </si>
  <si>
    <t>ATING.</t>
  </si>
  <si>
    <t>STATUS</t>
  </si>
  <si>
    <t>MÉDIA/DIA</t>
  </si>
  <si>
    <t>DIAS</t>
  </si>
  <si>
    <t>CONTROLE DE GÁS</t>
  </si>
  <si>
    <t>TOTAL GÁS NO ANO</t>
  </si>
  <si>
    <t>MAIOR CONSUMO</t>
  </si>
  <si>
    <t>LEITURA SIMPLES DO GÁS</t>
  </si>
  <si>
    <t>% DO ANO</t>
  </si>
  <si>
    <t>CONTROLE DE PRODUÇÃO</t>
  </si>
  <si>
    <t>Visão executiva  •  Acompanhamento anual  •  AIDU Indústria</t>
  </si>
  <si>
    <t>ATINGIMENTO</t>
  </si>
  <si>
    <t>latas no ano</t>
  </si>
  <si>
    <t>latas previstas</t>
  </si>
  <si>
    <t>meta x realizado</t>
  </si>
  <si>
    <t>pico do ano</t>
  </si>
  <si>
    <t>— SEÇÃO 01  •  MAPA DA PLANILHA —</t>
  </si>
  <si>
    <t>SEMANA   ▸   Preenchimento diário</t>
  </si>
  <si>
    <t>Resumo do ano: produção, meta, atingimento, melhor mês e controle de gás.</t>
  </si>
  <si>
    <t>GRAFICO   ▸   Realizado x Meta</t>
  </si>
  <si>
    <t>INSTRUÇÕES   ▸   Manual de uso</t>
  </si>
  <si>
    <t>Regras de preenchimento, legenda, embalagens por pallet e avisos importantes.</t>
  </si>
  <si>
    <t>— SEÇÃO 02  •  RECOMENDAÇÕES DE USO —</t>
  </si>
  <si>
    <t>Lance os itens do dia apenas na área amarela de preenchimento.</t>
  </si>
  <si>
    <t>As linhas TOTAL são automáticas — não inserir, apagar ou alterar.</t>
  </si>
  <si>
    <t>Evite inserir fórmulas nas abas SEMANA fora dos campos estruturados.</t>
  </si>
  <si>
    <t>AIDU INDÚSTRIA  •  Controle de Produção 2026  •  Documento de uso interno</t>
  </si>
  <si>
    <t>AIDU INDÚSTRIA  •  Controle de Produção 2026  •  Manual operacional interno</t>
  </si>
  <si>
    <t>📊  Para apresentação</t>
  </si>
  <si>
    <t>dd/mm/aaaa   (ex: 01/05/2026)</t>
  </si>
  <si>
    <t>📅  Formato de data</t>
  </si>
  <si>
    <t>⚠   REGRAS IMPORTANTES — NÃO IGNORE</t>
  </si>
  <si>
    <t>Atualização</t>
  </si>
  <si>
    <t>— SEÇÃO 05  •  RANKING DE PRODUTOS —</t>
  </si>
  <si>
    <t>— SEÇÃO 04  •  CAIXAS POR PALLET (PBR) —</t>
  </si>
  <si>
    <t>O que é automático</t>
  </si>
  <si>
    <t>O que preencher</t>
  </si>
  <si>
    <t>— SEÇÃO 03  •  CONTROLE DE GÁS  (aba GÁS) —</t>
  </si>
  <si>
    <t>Sábado não trabalhado</t>
  </si>
  <si>
    <t>Sábado trabalhado</t>
  </si>
  <si>
    <t>Dia sem produção</t>
  </si>
  <si>
    <t>🔒  Automático</t>
  </si>
  <si>
    <t>✅  Preencha apenas</t>
  </si>
  <si>
    <t>— SEÇÃO 02  •  PREENCHIMENTO DIÁRIO  (aba SEMANA) —</t>
  </si>
  <si>
    <t>Leia antes de usar  •  Manual operacional da planilha  •  AIDU</t>
  </si>
  <si>
    <t>INSTRUÇÕES DE USO</t>
  </si>
  <si>
    <t>AIDU.  •  Controle de Produção 2026</t>
  </si>
  <si>
    <t>* ADIMIX consolida todas as variações de válvula (Fadeva, Precision, etc.). Demais produtos seguem o nome exato registrado na BASE_DADOS.</t>
  </si>
  <si>
    <t>TOTAL GERAL  (todos os produtos)</t>
  </si>
  <si>
    <t>— TOP 10 PRODUTOS  •  LATAS PRODUZIDAS NO ANO —</t>
  </si>
  <si>
    <t>Acumulado do ano  •  Latas produzidas  •  Variações de válvula consolidadas por produto</t>
  </si>
  <si>
    <t>Maior consumo</t>
  </si>
  <si>
    <t>— SEÇÃO 02  •  CONTROLE DE GÁS —</t>
  </si>
  <si>
    <t>Outros</t>
  </si>
  <si>
    <t>Total</t>
  </si>
  <si>
    <t>172802.0.A</t>
  </si>
  <si>
    <t>Paramos por falta de gás 10:30. Voltamos 11:15.</t>
  </si>
  <si>
    <t>2026/145</t>
  </si>
  <si>
    <t>2026/146</t>
  </si>
  <si>
    <t>2456/2457</t>
  </si>
  <si>
    <t>172848.0.A</t>
  </si>
  <si>
    <t>172915.0.A</t>
  </si>
  <si>
    <t>2458/2459</t>
  </si>
  <si>
    <t>2026/147</t>
  </si>
  <si>
    <t>172942.0.A</t>
  </si>
  <si>
    <t>Rótulo gráfico</t>
  </si>
  <si>
    <t>2460/2461</t>
  </si>
  <si>
    <t>1.000 KG</t>
  </si>
  <si>
    <t>2463/2464/2465</t>
  </si>
  <si>
    <t>173011.0.A</t>
  </si>
  <si>
    <t>2026/148</t>
  </si>
  <si>
    <t>2026/149</t>
  </si>
  <si>
    <t>3.840 LATAS</t>
  </si>
  <si>
    <t>2026/150</t>
  </si>
  <si>
    <t>2467/2469</t>
  </si>
  <si>
    <t>Paramos por falta de energia 08:05. Voltamos 08:35. Paramos 13:00 por falta de lata, voltamos 14:30.</t>
  </si>
  <si>
    <t>QUALICOCO EXTRA VIRGEM</t>
  </si>
  <si>
    <t>COPRA MANTEIGA</t>
  </si>
  <si>
    <t>173093.0.A</t>
  </si>
  <si>
    <t>26010656   93</t>
  </si>
  <si>
    <t>2470/2473</t>
  </si>
  <si>
    <t>Paramos por falta de gás 13:15. Voltamos 14:25.</t>
  </si>
  <si>
    <t>2026/151</t>
  </si>
  <si>
    <t>2026/152</t>
  </si>
  <si>
    <t>2026/153</t>
  </si>
  <si>
    <t>ÓLEO DE COCO MANTEIGA</t>
  </si>
  <si>
    <t>173150.0.A</t>
  </si>
  <si>
    <t>8.000 LATAS</t>
  </si>
  <si>
    <t>2452/(2453 NFe FILIAL)</t>
  </si>
  <si>
    <t>2474/2476/2477</t>
  </si>
  <si>
    <t>Paramos por falta de gás 11:10. Voltamos 11:30. Trocamos 600ml para Coco 100ml.</t>
  </si>
  <si>
    <t>173197.0.A</t>
  </si>
  <si>
    <t>10.000 LATAS</t>
  </si>
  <si>
    <t>Auditoria Fornecedor - WQS. Paramos por falta de encolhível 10:45. Voltamos 11:30.</t>
  </si>
  <si>
    <t>VIA PANE (LATA CHINESA)</t>
  </si>
  <si>
    <t>BONASSE</t>
  </si>
  <si>
    <t xml:space="preserve">TTF </t>
  </si>
  <si>
    <t>2479/2481</t>
  </si>
  <si>
    <t>Corpus Christi - produção normal (acordo coletivo)</t>
  </si>
  <si>
    <t>Folga - acordo coletivo (compensação Corpus Christi)</t>
  </si>
  <si>
    <t>173243.0.A</t>
  </si>
  <si>
    <t>2026/154</t>
  </si>
  <si>
    <t>2026/155</t>
  </si>
  <si>
    <t>2483/2485</t>
  </si>
  <si>
    <t>Sábado - Sem Produção</t>
  </si>
  <si>
    <t>Sábado - Produção Normal</t>
  </si>
  <si>
    <t>173300.0.A</t>
  </si>
  <si>
    <t>2487/2488</t>
  </si>
  <si>
    <t>Paramos para manutenção da máquina de tampa 09:00. Voltamos 10:30.</t>
  </si>
  <si>
    <t>173346.0.A</t>
  </si>
  <si>
    <t>2490/2491</t>
  </si>
  <si>
    <t>173414.0.A</t>
  </si>
  <si>
    <t>Paramos por falta de gás 14:10. Voltamos 16:00.</t>
  </si>
  <si>
    <t>2493/2494/2497/2498</t>
  </si>
  <si>
    <t>2026/156</t>
  </si>
  <si>
    <t>2026/157</t>
  </si>
  <si>
    <t>43.320 LATAS</t>
  </si>
  <si>
    <t>173452.0.A</t>
  </si>
  <si>
    <t>APELIDO (digite na SEMANA)</t>
  </si>
  <si>
    <t>CONSOLIDA COMO</t>
  </si>
  <si>
    <t>📖 Como ler esta tabela</t>
  </si>
  <si>
    <t>🥇 1º</t>
  </si>
  <si>
    <t>🥈 2º</t>
  </si>
  <si>
    <t>🥉 3º</t>
  </si>
  <si>
    <t>4º</t>
  </si>
  <si>
    <t>5º</t>
  </si>
  <si>
    <t>6º</t>
  </si>
  <si>
    <t>7º</t>
  </si>
  <si>
    <t>8º</t>
  </si>
  <si>
    <t>9º</t>
  </si>
  <si>
    <t>10º</t>
  </si>
  <si>
    <t>2500/2502</t>
  </si>
  <si>
    <t>Paramos por falta de gás 15:45. Voltamos 16:00.</t>
  </si>
  <si>
    <t>173519.0.A</t>
  </si>
  <si>
    <t>2026/158</t>
  </si>
  <si>
    <t>2026/159</t>
  </si>
  <si>
    <t>2.340 LATAS</t>
  </si>
  <si>
    <t>5.700 LATAS</t>
  </si>
  <si>
    <t>2026/160</t>
  </si>
  <si>
    <t>36.000 LATAS</t>
  </si>
  <si>
    <t>2503/2504/2505</t>
  </si>
  <si>
    <t>2026/161</t>
  </si>
  <si>
    <t>ICE ICEBERG</t>
  </si>
  <si>
    <t>173586.0.A</t>
  </si>
  <si>
    <t>— SEÇÃO 03  •  NOSSAS LATAS —</t>
  </si>
  <si>
    <t>Linha de embalagens — desmoldantes, óleo de coco e douradores</t>
  </si>
  <si>
    <t>2026/162</t>
  </si>
  <si>
    <t>26010703   28</t>
  </si>
  <si>
    <t>2509/2511</t>
  </si>
  <si>
    <t>173684.0.A</t>
  </si>
  <si>
    <t>Ficamos parados até resolvermos o vazamento que estava deixando a produção mais lenta na máquina de envase, começamos a produção 10:15</t>
  </si>
  <si>
    <t>Paramos por falta de gás 13:20. Voltamos 15:30.</t>
  </si>
  <si>
    <t>2512/2515/2516</t>
  </si>
  <si>
    <t>173744.0.A</t>
  </si>
  <si>
    <t>2518/2519</t>
  </si>
  <si>
    <t>173776.0.A</t>
  </si>
  <si>
    <t>2026/163</t>
  </si>
  <si>
    <t>2.616 LATAS</t>
  </si>
  <si>
    <t>2026/164</t>
  </si>
  <si>
    <t>844 KG</t>
  </si>
  <si>
    <t>OL 723/24</t>
  </si>
  <si>
    <t>ALLBREAD MANTEIGA</t>
  </si>
  <si>
    <t>2521/2522/2525/2526</t>
  </si>
  <si>
    <t>UNTA FACIL MANTEIGA</t>
  </si>
  <si>
    <t>2026/165</t>
  </si>
  <si>
    <t>ICEBERG ICE</t>
  </si>
  <si>
    <t>173837.0.A</t>
  </si>
  <si>
    <t>CLASSIFICAÇÃO DE PRODUÇÃO</t>
  </si>
  <si>
    <t>PAINEL EXECUTIVO  •  CONTROLE DE PRODUÇÃO E GÁS 2026</t>
  </si>
  <si>
    <t>2527/2528/2529</t>
  </si>
  <si>
    <t>2026/166</t>
  </si>
  <si>
    <t>ICEBERG GELINHO</t>
  </si>
  <si>
    <t>2.000 LATAS</t>
  </si>
  <si>
    <t>2026/167</t>
  </si>
  <si>
    <t>2026/168</t>
  </si>
  <si>
    <t>2026/169</t>
  </si>
  <si>
    <t>173884.0.A</t>
  </si>
  <si>
    <t>cx c/ 120un</t>
  </si>
  <si>
    <t>2531/2532/2533</t>
  </si>
  <si>
    <t>UN SOLTAS</t>
  </si>
  <si>
    <t>173936.0.A</t>
  </si>
  <si>
    <t>Paramos por falta de tampa 11:00. Voltamos 13:00.</t>
  </si>
  <si>
    <t>210 ml</t>
  </si>
  <si>
    <t>2535/2538</t>
  </si>
  <si>
    <t>173985.0.A</t>
  </si>
  <si>
    <t>ADKO UNTA FORMA</t>
  </si>
  <si>
    <t xml:space="preserve">DISPAN </t>
  </si>
  <si>
    <t>2539/2542</t>
  </si>
  <si>
    <t>2026/170</t>
  </si>
  <si>
    <t>2026/171</t>
  </si>
  <si>
    <t>4.524 LATAS</t>
  </si>
  <si>
    <t>2026/172</t>
  </si>
  <si>
    <t>UNTA TUDO 400ML</t>
  </si>
  <si>
    <t>2026/173</t>
  </si>
  <si>
    <t>456 BBs</t>
  </si>
  <si>
    <t>2026/174</t>
  </si>
  <si>
    <t>Paramos por falta de gás 09:55. Voltamos 11:15.</t>
  </si>
  <si>
    <t>174029.0.A</t>
  </si>
  <si>
    <t>174092.0.A</t>
  </si>
  <si>
    <t xml:space="preserve">ITAIQUARA </t>
  </si>
  <si>
    <t>2546/2548</t>
  </si>
  <si>
    <t>174141.0.A</t>
  </si>
  <si>
    <t>2549/2551</t>
  </si>
  <si>
    <t>174190.0.A</t>
  </si>
  <si>
    <t>2026/175</t>
  </si>
  <si>
    <t>2026/176</t>
  </si>
  <si>
    <t>2026/177</t>
  </si>
  <si>
    <t>2026/178</t>
  </si>
  <si>
    <t>26010803   69</t>
  </si>
  <si>
    <t>2553/2554/2555</t>
  </si>
  <si>
    <t>174209.0.A</t>
  </si>
  <si>
    <t>2557/2559</t>
  </si>
  <si>
    <t>174302.0.A</t>
  </si>
  <si>
    <t>Paramos por falta de gás 11:50. Voltamos 16:20.</t>
  </si>
  <si>
    <t>2561/2564</t>
  </si>
  <si>
    <t>174357.0.A</t>
  </si>
  <si>
    <t>2567/2568/2569</t>
  </si>
  <si>
    <t>2026/179</t>
  </si>
  <si>
    <t>MAJIPACK SPRAY 400ML</t>
  </si>
  <si>
    <t>Paramos por falta de lata 14:50. Voltamos 15:30.</t>
  </si>
  <si>
    <t>174386.0.A</t>
  </si>
  <si>
    <t>2026/180</t>
  </si>
  <si>
    <t>2570/2572</t>
  </si>
  <si>
    <t>2026/181</t>
  </si>
  <si>
    <t>2026/182</t>
  </si>
  <si>
    <t>UNTA FACIL MANTEIGA 180ML</t>
  </si>
  <si>
    <t>14.400 LATAS</t>
  </si>
  <si>
    <t>174431.0.A</t>
  </si>
  <si>
    <t>2026/183</t>
  </si>
  <si>
    <t>OL 823</t>
  </si>
  <si>
    <t>422 KG</t>
  </si>
  <si>
    <t>2574/2576</t>
  </si>
  <si>
    <t>174496.0.A</t>
  </si>
  <si>
    <t>2577/2578/2579</t>
  </si>
  <si>
    <t>174535.0.A</t>
  </si>
  <si>
    <t>2582/2585/2586</t>
  </si>
  <si>
    <t>174570.0.A</t>
  </si>
  <si>
    <t>2026/184</t>
  </si>
  <si>
    <t>2026/185</t>
  </si>
  <si>
    <t>Paramos por falta de gás 11:50. Voltamos 15:30.</t>
  </si>
  <si>
    <t>CONSERVANTE INLOCO</t>
  </si>
  <si>
    <t>2587/2590</t>
  </si>
  <si>
    <t>174632.0.A</t>
  </si>
  <si>
    <t>DESMOLDANTE INLOCO 180</t>
  </si>
  <si>
    <t>MEL TTF</t>
  </si>
  <si>
    <t>INLOCO MEL</t>
  </si>
  <si>
    <t>COCO SEM SABOR COPRA</t>
  </si>
  <si>
    <t>2592/2593</t>
  </si>
  <si>
    <t>Paramos por falta de gás 09:40. Voltamos 10:25.</t>
  </si>
  <si>
    <t>174659.0.A</t>
  </si>
  <si>
    <t>2026/186</t>
  </si>
  <si>
    <t>ALL BREAD 600</t>
  </si>
  <si>
    <t>2026/187</t>
  </si>
  <si>
    <t>2594/2596</t>
  </si>
  <si>
    <t>174712.0.A</t>
  </si>
  <si>
    <t>Paramos por falta de gás 11:20. Voltamos 13:00. Paramos 14:40, caiu uma fase. Normalizou às 18:10.</t>
  </si>
  <si>
    <t>2597/2598</t>
  </si>
  <si>
    <t>174766.0.A</t>
  </si>
  <si>
    <t>2601/2602</t>
  </si>
  <si>
    <t>2026/188</t>
  </si>
  <si>
    <t>ANTI MOFO 600ML</t>
  </si>
  <si>
    <t>1.272 LATAS</t>
  </si>
  <si>
    <t>2026/189</t>
  </si>
  <si>
    <t>2026/190</t>
  </si>
  <si>
    <t>2026/191</t>
  </si>
  <si>
    <t>ESPUMA DE ABACAXI</t>
  </si>
  <si>
    <t>2605/2607/2608</t>
  </si>
  <si>
    <t>174804.0.A</t>
  </si>
  <si>
    <t>2026/192</t>
  </si>
  <si>
    <t>2026/193</t>
  </si>
  <si>
    <t>ESPUMA GENGIBRE GIN</t>
  </si>
  <si>
    <t>ESPUMA GENGIBRE INLOCO</t>
  </si>
  <si>
    <t>ESPUMA LIMÃO GIN</t>
  </si>
  <si>
    <t>ESPUMA LIMÃO SIL. INLOCO</t>
  </si>
  <si>
    <t>CORANTE AZUL TURQUESA REP</t>
  </si>
  <si>
    <t>2026/194</t>
  </si>
  <si>
    <t>CORANTE AZUL TURQUESA</t>
  </si>
  <si>
    <t>2026/195</t>
  </si>
  <si>
    <t>2.140 LATAS</t>
  </si>
  <si>
    <t>2026/196</t>
  </si>
  <si>
    <t>1.500 KG</t>
  </si>
  <si>
    <t>2026/197</t>
  </si>
  <si>
    <t>300 BBs</t>
  </si>
  <si>
    <t>ESPUMA ABACAXI INLOCO</t>
  </si>
  <si>
    <t>2026/198</t>
  </si>
  <si>
    <t>ÓLEO DE COCO EXTRA VIRGEM</t>
  </si>
  <si>
    <t>COCO EXTRAVIRGEM COPRA</t>
  </si>
  <si>
    <t>84 KG</t>
  </si>
  <si>
    <t>ESPUMA MORANGO GIN</t>
  </si>
  <si>
    <t>174895.0.A</t>
  </si>
  <si>
    <t>174996.0.A</t>
  </si>
  <si>
    <t>2026/199</t>
  </si>
  <si>
    <t>OL881/82</t>
  </si>
  <si>
    <t>OL 40 - GALÃO 5L</t>
  </si>
  <si>
    <t>168 BBs</t>
  </si>
  <si>
    <t>2026/200</t>
  </si>
  <si>
    <t>883/892/93/94</t>
  </si>
  <si>
    <t>OL 40 - GALÃO 25L</t>
  </si>
  <si>
    <t>2026/201</t>
  </si>
  <si>
    <t>MISTURA AZEITE PIPOCA</t>
  </si>
  <si>
    <t>MISTURA LEMON PEPPER PIPOCA</t>
  </si>
  <si>
    <t>MISTURA MANTEIGA PIPOCA</t>
  </si>
  <si>
    <t>115 KG</t>
  </si>
  <si>
    <t>2026/202</t>
  </si>
  <si>
    <t>TURMA MÔNICA</t>
  </si>
  <si>
    <t>AZEITE TURMA DA MONICA</t>
  </si>
  <si>
    <t>L. PEPPER TURMA DA MONICA</t>
  </si>
  <si>
    <t>MANTEIGA TURMA DA MONICA</t>
  </si>
  <si>
    <t>2616/2617</t>
  </si>
  <si>
    <t>Trocamos para a espuma</t>
  </si>
  <si>
    <t>175031.0.A</t>
  </si>
  <si>
    <t>CORANTE AZUL CEU</t>
  </si>
  <si>
    <t>Sábado - produção normal --- Paramos 20min por entupimento de bico de envase. Paramos mais 15min por falta de fornecimento de energia.</t>
  </si>
  <si>
    <t>Paramos duas vezes por entupimento de bico de envase, totalizando 40min.</t>
  </si>
  <si>
    <t>2619/2620</t>
  </si>
  <si>
    <t xml:space="preserve">INLOCO </t>
  </si>
  <si>
    <t>175074.0.A</t>
  </si>
  <si>
    <t>2622/2624</t>
  </si>
  <si>
    <t>2026/203</t>
  </si>
  <si>
    <t>26010937   32</t>
  </si>
  <si>
    <t>175133.0.A</t>
  </si>
  <si>
    <t>2627/2628</t>
  </si>
  <si>
    <t>2026/204</t>
  </si>
  <si>
    <t>2026/205</t>
  </si>
  <si>
    <t>2026/206</t>
  </si>
  <si>
    <t>2026/207</t>
  </si>
  <si>
    <t>4.800 LATAS</t>
  </si>
  <si>
    <t>Paramos por falta de gás 10:20. Voltamos 11:15.</t>
  </si>
  <si>
    <t>175176.0.A</t>
  </si>
  <si>
    <t>30 BBs</t>
  </si>
  <si>
    <t>615 LTRS</t>
  </si>
  <si>
    <t>2026/208</t>
  </si>
  <si>
    <t>2026/209</t>
  </si>
  <si>
    <t>AL 10 CONCENTRADO - 25 LTRS</t>
  </si>
  <si>
    <t>AL 943</t>
  </si>
  <si>
    <t>AL 939</t>
  </si>
  <si>
    <t>70 BBs</t>
  </si>
  <si>
    <t>1.509 LTRS</t>
  </si>
  <si>
    <t>2630/2632</t>
  </si>
  <si>
    <t>175241.0.A</t>
  </si>
  <si>
    <t>2633/2634</t>
  </si>
  <si>
    <t xml:space="preserve">Paramos 15:35 por falta de gás </t>
  </si>
  <si>
    <t>2026/210</t>
  </si>
  <si>
    <t>26010938   52</t>
  </si>
  <si>
    <t>2635/2636/2638</t>
  </si>
  <si>
    <t>Começamos a trabalhar às 08:45, após a chegada do gás.
Paramos às 14:00 por falta de gás e voltamos às 15:00.</t>
  </si>
  <si>
    <t>META ATÉ HOJE</t>
  </si>
  <si>
    <t>RITMO ATÉ HOJE</t>
  </si>
  <si>
    <t>Caixas</t>
  </si>
  <si>
    <t>Pallets</t>
  </si>
  <si>
    <t>175297.0.A</t>
  </si>
  <si>
    <t>Menor consumo (&gt;0)</t>
  </si>
  <si>
    <t>175339.0.A</t>
  </si>
  <si>
    <t>2026/211</t>
  </si>
  <si>
    <t>Dias</t>
  </si>
  <si>
    <t>2639/2640/2641</t>
  </si>
  <si>
    <t>175392.0.A</t>
  </si>
  <si>
    <t>2026/212</t>
  </si>
  <si>
    <t>2026/213</t>
  </si>
  <si>
    <t>2026/214</t>
  </si>
  <si>
    <t>2026/215</t>
  </si>
  <si>
    <t>10.500 LATAS</t>
  </si>
  <si>
    <t>2026/216</t>
  </si>
  <si>
    <t>CHEF DESMOLTANTE</t>
  </si>
  <si>
    <t>27.750 LATAS</t>
  </si>
  <si>
    <t>DETALHAMENTO DOS PRODUTOS AGRUPADOS</t>
  </si>
  <si>
    <t xml:space="preserve">    » PURATOS DESTAK</t>
  </si>
  <si>
    <t xml:space="preserve">    » PURATOS NORCAU</t>
  </si>
  <si>
    <t xml:space="preserve">    » ICEBERG CHEF</t>
  </si>
  <si>
    <t xml:space="preserve">    » ICEBERG ICE</t>
  </si>
  <si>
    <t>DETALHAMENTO DO TOP 10 POR TAMANHO DE LATA</t>
  </si>
  <si>
    <t>Produção separada por 180 ml, 400 ml, 600 ml e outros tamanhos.</t>
  </si>
  <si>
    <t>• Exibe os mesmos produtos do Top 10 automático, com a produção anual separada por 180 ml, 400 ml, 600 ml e Outros.</t>
  </si>
  <si>
    <t>• PURATOS agrupa DESTAK e NORCAU; ICEBERG CHEF é consolidado no ranking e detalhado abaixo para conferência.</t>
  </si>
  <si>
    <t>• A ordem acompanha automaticamente o ranking: 🥇 1º, 🥈 2º, 🥉 3º e demais posições em ordem decrescente.</t>
  </si>
  <si>
    <t>CLASSIFICAÇÃO</t>
  </si>
  <si>
    <t>PAINEL / PAINEL_EXEC</t>
  </si>
  <si>
    <t>PRODUTO  •  EMBALAGEM  •  CAIXAS  •  REAL (CX)</t>
  </si>
  <si>
    <t>CX/Pallet  •  Pallets (PBR)  •  Total de Latas  •  Totais do dia</t>
  </si>
  <si>
    <t>Indicadores gerados</t>
  </si>
  <si>
    <t>Integração</t>
  </si>
  <si>
    <t>240 cx/pallet  •  12 un/cx</t>
  </si>
  <si>
    <t>330 cx/pallet  •  6 un/cx</t>
  </si>
  <si>
    <t>210 ml (ICEBERG ICE)</t>
  </si>
  <si>
    <t>120 cx/pallet  •  120 un/cx</t>
  </si>
  <si>
    <t>400 ml / 500 ml / 600 ml</t>
  </si>
  <si>
    <t>Exceções cadastradas</t>
  </si>
  <si>
    <t>Aba CLASSIFICAÇÃO</t>
  </si>
  <si>
    <t>Agrupamentos</t>
  </si>
  <si>
    <t>CADASTRO PRODUTOS</t>
  </si>
  <si>
    <t>⚡ INÍCIO RÁPIDO</t>
  </si>
  <si>
    <t>1. Lance na SEMANA  →  2. Confira o GRAFICO  →  3. Consulte o PAINEL</t>
  </si>
  <si>
    <t>Resumo do ano: realizado, meta, atingimento e melhor mês.</t>
  </si>
  <si>
    <t>Top 10 automático, gráfico e divisão por tamanho de lata.</t>
  </si>
  <si>
    <t>OP, lotes, produto, cliente, quantidade e fabricação.</t>
  </si>
  <si>
    <t>★ Lance produto, embalagem, caixas e Real (CX).</t>
  </si>
  <si>
    <t>Produção diária x meta, com observações.</t>
  </si>
  <si>
    <t>Resumo anual de produção, desempenho e gás.</t>
  </si>
  <si>
    <t>Cargas de gás: data, NF-e, lote, produto e KG.</t>
  </si>
  <si>
    <t>Produtos, embalagens, unidades por caixa e pallets.</t>
  </si>
  <si>
    <t>Informe 0 em REAL (CX). Não apague o bloco do dia.</t>
  </si>
  <si>
    <t>Preencha normalmente e informe o Real (CX).</t>
  </si>
  <si>
    <t>Informe 0 em REAL (CX); não entra na meta.</t>
  </si>
  <si>
    <t>Data, NF-e, lote, produto e quantidade recebida (KG).</t>
  </si>
  <si>
    <t>Totais, maior/menor consumo e indicadores.</t>
  </si>
  <si>
    <t>Consumo mensal, total anual e destaques.</t>
  </si>
  <si>
    <t>🎨 LEGENDA DE CORES</t>
  </si>
  <si>
    <t>Verde = meta atingida  •  Vermelho = abaixo  •  Cinza = sem produção</t>
  </si>
  <si>
    <t>400 ml: 125  •  500/600 ml: 95 cx/pallet  •  12 un/cx</t>
  </si>
  <si>
    <t>Top 10 automático, participação, gráfico e tamanhos.</t>
  </si>
  <si>
    <t>ADIMIX consolida variações; PURATOS agrupa DESTAK/NORCAU; ICEBERG é detalhado.</t>
  </si>
  <si>
    <t>Atualiza pelas abas SEMANA. Não editar manualmente.</t>
  </si>
  <si>
    <t>🛠 MANUTENÇÃO</t>
  </si>
  <si>
    <t>Produtos: CADASTRO PRODUTOS  •  Pallets e unidades: CONFIG_PALETES</t>
  </si>
  <si>
    <t>2643/2645</t>
  </si>
  <si>
    <t>175454.0.A</t>
  </si>
  <si>
    <t>Consumo mensal</t>
  </si>
  <si>
    <t>GÁS MENSAL (kg)</t>
  </si>
  <si>
    <t>GÁS/LATA (g)</t>
  </si>
  <si>
    <t>Média/dia</t>
  </si>
  <si>
    <t>Gás mensal (kg)</t>
  </si>
  <si>
    <t>CONSUMO MENSAL DE GÁS</t>
  </si>
  <si>
    <t>LEGENDA DO GRÁFICO</t>
  </si>
  <si>
    <t>■</t>
  </si>
  <si>
    <t>–</t>
  </si>
  <si>
    <t>Mês sem lançamento</t>
  </si>
  <si>
    <t>Meta</t>
  </si>
  <si>
    <t>MESES ACIMA DA META</t>
  </si>
  <si>
    <t>MESES ABAIXO DA META</t>
  </si>
  <si>
    <t>MESES LANÇADOS</t>
  </si>
  <si>
    <t>CONSUMO NO MÊS ATUAL</t>
  </si>
  <si>
    <t>RESUMO_MENSAL (OCULTO)</t>
  </si>
  <si>
    <t>Base automática de cálculo do PAINEL. Não editar nem excluir.</t>
  </si>
  <si>
    <t>Atualiza automaticamente a base oculta e os indicadores do PAINEL.</t>
  </si>
  <si>
    <t>Use CAPA, PAINEL ou o GRAFICO do mês. O RESUMO_MENSAL é apenas uma base oculta.</t>
  </si>
  <si>
    <t>2026/217</t>
  </si>
  <si>
    <t>BASE_DADOS (OCULTA)</t>
  </si>
  <si>
    <t>Base automática consolidada das abas SEMANA. Não editar nem excluir.</t>
  </si>
  <si>
    <t>PAINEL   ▸   Visão executiva</t>
  </si>
  <si>
    <t>Lance PRODUTO, EMBALAGEM, CAIXAS e REAL (CX). As demais colunas calculam automaticamente.</t>
  </si>
  <si>
    <t>Produção diária x meta, com cores de desempenho e campo de observações.</t>
  </si>
  <si>
    <t>Para impressão ou apresentação, priorize CAPA, PAINEL ou o GRAFICO do mês.</t>
  </si>
  <si>
    <t>PURATOS DESTAK 5L</t>
  </si>
  <si>
    <t>5 L (histórico)</t>
  </si>
  <si>
    <t>cx c/ 2 bombonas de 5 kg • 10 kg/cx</t>
  </si>
  <si>
    <t>ICEBERG 400 ml: 110  •  DESTAK 600 ml: 190 cx/pallet, 6 un/cx</t>
  </si>
  <si>
    <t>DESTAK 5 L (histórico)</t>
  </si>
  <si>
    <t>60 cx/pallet  •  2 bombonas de 5 kg/cx  •  multiplicação: 10 kg por caixa</t>
  </si>
  <si>
    <t>QUEBRA DOS PISTÕES DE GÁS</t>
  </si>
  <si>
    <t>Paramos por falta de gás 13:30. Voltamos 14:40.</t>
  </si>
  <si>
    <t>A bengala de energia da ENEL caiu às 15:30; a produção foi paralisada.</t>
  </si>
  <si>
    <t>A energia voltou às 15:15.</t>
  </si>
  <si>
    <t>O gás acabou às 08:40. Retomamos a produção às 10:30.</t>
  </si>
  <si>
    <t>O transformador explodiu.</t>
  </si>
  <si>
    <t>O sistema entupiu. Retomamos a produção às 14:40.</t>
  </si>
  <si>
    <t>Paramos às 11:20 por falta de gás. Retomamos às 15:00.</t>
  </si>
  <si>
    <t>Paramos às 10:00 por falta de gás. Retomamos às 13:00.</t>
  </si>
  <si>
    <t>Paramos às 13:30 porque as duas bombas de gás pararam.</t>
  </si>
  <si>
    <t>Sem produção; aguardamos o conserto das bombas de gás.</t>
  </si>
  <si>
    <t>Paramos a produção às 14:15 por falta de gás. O abastecimento retornaria no dia seguinte.</t>
  </si>
  <si>
    <t>O gás chegou às 07:45.</t>
  </si>
  <si>
    <t>Paramos às 14:00 devido à quebra do motor da esteira principal.</t>
  </si>
  <si>
    <t>Retomamos às 13:00 após a troca do motor da esteira.</t>
  </si>
  <si>
    <t>Paramos às 11:35 por falta de gás. Retomamos às 15:30.</t>
  </si>
  <si>
    <t>Paramos às 16:00 por falta de gás.</t>
  </si>
  <si>
    <t>Paramos às 14:00 por falta de gás.</t>
  </si>
  <si>
    <t>2646/2649</t>
  </si>
  <si>
    <t>Fechamento visual mensal</t>
  </si>
  <si>
    <t>Ação no fechamento</t>
  </si>
  <si>
    <t>Ocultar linhas vazias após o último lote</t>
  </si>
  <si>
    <t>Regra de reabertura</t>
  </si>
  <si>
    <t>Reexibir linhas somente quando necessário</t>
  </si>
  <si>
    <t>VBA AUTOMÁTICO</t>
  </si>
  <si>
    <t>Gatilho VBA</t>
  </si>
  <si>
    <t>Primeiro lançamento em FEVEREIRO–DEZEMBRO fecha o mês anterior</t>
  </si>
  <si>
    <t>Segurança</t>
  </si>
  <si>
    <t>Oculta somente linhas totalmente vazias; não exclui dados</t>
  </si>
  <si>
    <t>175503.0.A</t>
  </si>
  <si>
    <t>2650/2651</t>
  </si>
  <si>
    <t>PRODUÇÃO MENSAL</t>
  </si>
  <si>
    <t>PICO DIÁRIO</t>
  </si>
  <si>
    <t>—</t>
  </si>
  <si>
    <t>Começamos a trabalhar às 08:45,</t>
  </si>
  <si>
    <t>175559.0.A</t>
  </si>
  <si>
    <t>ESPUMA F. VERMELHAS</t>
  </si>
  <si>
    <t>PRODUTO_MAPA</t>
  </si>
  <si>
    <t>LISTA_EMBALAGEM</t>
  </si>
  <si>
    <t>EMB_200</t>
  </si>
  <si>
    <t>EMB_600</t>
  </si>
  <si>
    <t>EMB_180</t>
  </si>
  <si>
    <t>EMB_400</t>
  </si>
  <si>
    <t>EMB_100</t>
  </si>
  <si>
    <t>EMB_100_180</t>
  </si>
  <si>
    <t>EMB_70</t>
  </si>
  <si>
    <t>ESPUMA F VERMELHAS</t>
  </si>
  <si>
    <t>ESPUMA MELANCIA TM</t>
  </si>
  <si>
    <t>EMB_210</t>
  </si>
  <si>
    <t>EMB_120</t>
  </si>
  <si>
    <t>EMB_125</t>
  </si>
  <si>
    <t>EMB_400_600</t>
  </si>
  <si>
    <t>EMB_180_400_600</t>
  </si>
  <si>
    <t>FAIXA_EMBALAGEM</t>
  </si>
  <si>
    <t>EMB_TODAS</t>
  </si>
  <si>
    <t>$AI$2:$AI$2</t>
  </si>
  <si>
    <t>$AM$2:$AM$2</t>
  </si>
  <si>
    <t>$AG$2:$AG$2</t>
  </si>
  <si>
    <t>$AK$2:$AK$2</t>
  </si>
  <si>
    <t>$AC$2:$AC$2</t>
  </si>
  <si>
    <t>$AD$2:$AD$3</t>
  </si>
  <si>
    <t>$AN$2:$AN$2</t>
  </si>
  <si>
    <t>$AJ$2:$AJ$2</t>
  </si>
  <si>
    <t>$AE$2:$AE$2</t>
  </si>
  <si>
    <t>$AF$2:$AF$2</t>
  </si>
  <si>
    <t>$AL$2:$AL$3</t>
  </si>
  <si>
    <t>$AH$2:$AH$4</t>
  </si>
  <si>
    <t>EMB_DESTAK</t>
  </si>
  <si>
    <t>$AP$2:$AP$3</t>
  </si>
  <si>
    <t>$AP$2:$AP$2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</si>
</sst>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
    <numFmt numFmtId="165" formatCode="m/d/yyyy"/>
    <numFmt numFmtId="166" formatCode="[$-F800]dddd&quot;, &quot;mmmm\ dd&quot;, &quot;yyyy"/>
    <numFmt numFmtId="167" formatCode="[$-416]dddd&quot;, &quot;dd/mm/yyyy"/>
    <numFmt numFmtId="168" formatCode="0&quot; ml&quot;"/>
    <numFmt numFmtId="169" formatCode="0.0&quot; h&quot;"/>
    <numFmt numFmtId="170" formatCode="_-&quot;R$ &quot;* #,##0.00_-;&quot;-R$ &quot;* #,##0.00_-;_-&quot;R$ &quot;* \-??_-;_-@_-"/>
    <numFmt numFmtId="171" formatCode="&quot;R$ &quot;#,##0.00"/>
    <numFmt numFmtId="172" formatCode="#,##0.0"/>
    <numFmt numFmtId="173" formatCode="#,##0.00&quot; KG&quot;"/>
    <numFmt numFmtId="174" formatCode="#,##0;;\-"/>
    <numFmt numFmtId="175" formatCode="#,##0;[Red]\(#,##0\);\–"/>
    <numFmt numFmtId="176" formatCode="0.0%;[Red]\(0.0%\);\–"/>
    <numFmt numFmtId="177" formatCode="0.0;[Red]\(0.0\);\–"/>
    <numFmt numFmtId="178" formatCode="#,##0;\-#,##0;\–"/>
    <numFmt numFmtId="179" formatCode="#,##0.0;\-#,##0.0;\–"/>
    <numFmt numFmtId="180" formatCode="0;\-0;\–"/>
    <numFmt numFmtId="181" formatCode="&quot;Feitos: &quot;0"/>
    <numFmt numFmtId="182" formatCode="&quot;Faltam: &quot;0"/>
    <numFmt numFmtId="183" formatCode="&quot;  Saldo a Produzir: &quot;0"/>
    <numFmt numFmtId="185" formatCode="&quot;   Saldo a Produzir: &quot;0"/>
    <numFmt numFmtId="186" formatCode="#,##0;\-#,##0;\-"/>
    <numFmt numFmtId="187" formatCode="0&quot; L&quot;"/>
  </numFmts>
  <fonts count="174" x14ac:knownFonts="1">
    <font>
      <sz val="11"/>
      <color theme="1"/>
      <name val="Calibri"/>
      <charset val="1"/>
    </font>
    <font>
      <sz val="10"/>
      <name val="Arial"/>
      <family val="2"/>
    </font>
    <font>
      <sz val="11"/>
      <color theme="1"/>
      <name val="Calibri"/>
      <family val="2"/>
      <charset val="1"/>
    </font>
    <font>
      <b/>
      <sz val="11"/>
      <color rgb="FFFFFFFF"/>
      <name val="Calibri"/>
      <family val="2"/>
    </font>
    <font>
      <sz val="10"/>
      <color rgb="FF333333"/>
      <name val="Calibri"/>
      <family val="2"/>
    </font>
    <font>
      <b/>
      <sz val="11"/>
      <color rgb="FFFFFFFF"/>
      <name val="Calibri"/>
      <family val="2"/>
      <charset val="1"/>
    </font>
    <font>
      <b/>
      <sz val="11"/>
      <color rgb="FF2F3A4A"/>
      <name val="Calibri"/>
      <family val="2"/>
      <charset val="1"/>
    </font>
    <font>
      <sz val="14"/>
      <color theme="1"/>
      <name val="Arial"/>
      <family val="2"/>
      <charset val="1"/>
    </font>
    <font>
      <sz val="12"/>
      <color theme="1"/>
      <name val="Arial"/>
      <family val="2"/>
      <charset val="1"/>
    </font>
    <font>
      <sz val="11"/>
      <color theme="1"/>
      <name val="Arial"/>
      <family val="2"/>
      <charset val="1"/>
    </font>
    <font>
      <b/>
      <sz val="12"/>
      <color rgb="FFFFFFFF"/>
      <name val="Cambria"/>
      <family val="1"/>
      <charset val="1"/>
    </font>
    <font>
      <i/>
      <sz val="9"/>
      <color rgb="FF475569"/>
      <name val="Cambria"/>
      <family val="1"/>
      <charset val="1"/>
    </font>
    <font>
      <i/>
      <sz val="9"/>
      <color rgb="FF666666"/>
      <name val="Cambria"/>
      <family val="1"/>
      <charset val="1"/>
    </font>
    <font>
      <b/>
      <sz val="10"/>
      <color rgb="FFFFFFFF"/>
      <name val="Cambria"/>
      <family val="1"/>
      <charset val="1"/>
    </font>
    <font>
      <sz val="11"/>
      <color rgb="FFFF0000"/>
      <name val="Calibri"/>
      <family val="2"/>
      <charset val="1"/>
    </font>
    <font>
      <sz val="16"/>
      <color theme="1"/>
      <name val="Calibri"/>
      <family val="2"/>
      <charset val="1"/>
    </font>
    <font>
      <b/>
      <sz val="11"/>
      <color theme="0"/>
      <name val="Calibri"/>
      <family val="2"/>
      <charset val="1"/>
    </font>
    <font>
      <b/>
      <sz val="11"/>
      <name val="Cambria"/>
      <family val="1"/>
      <charset val="1"/>
    </font>
    <font>
      <b/>
      <sz val="11"/>
      <color theme="1"/>
      <name val="Calibri"/>
      <family val="2"/>
      <charset val="1"/>
    </font>
    <font>
      <sz val="10"/>
      <color rgb="FF2B2B2B"/>
      <name val="Calibri"/>
      <family val="2"/>
      <charset val="1"/>
    </font>
    <font>
      <sz val="12"/>
      <color theme="1"/>
      <name val="Calibri"/>
      <family val="2"/>
      <charset val="1"/>
    </font>
    <font>
      <b/>
      <sz val="12"/>
      <color rgb="FFFFFFFF"/>
      <name val="Arial"/>
      <family val="2"/>
      <charset val="1"/>
    </font>
    <font>
      <b/>
      <sz val="12"/>
      <color theme="1"/>
      <name val="Arial"/>
      <family val="2"/>
      <charset val="1"/>
    </font>
    <font>
      <sz val="11"/>
      <color rgb="FF000000"/>
      <name val="Calibri"/>
      <family val="2"/>
      <charset val="1"/>
    </font>
    <font>
      <sz val="14"/>
      <color rgb="FF000000"/>
      <name val="Arial"/>
      <family val="2"/>
      <charset val="1"/>
    </font>
    <font>
      <sz val="11"/>
      <color theme="0"/>
      <name val="Calibri"/>
      <family val="2"/>
      <charset val="1"/>
    </font>
    <font>
      <sz val="11"/>
      <color theme="4"/>
      <name val="Calibri"/>
      <family val="2"/>
      <charset val="1"/>
    </font>
    <font>
      <b/>
      <sz val="18"/>
      <color theme="1"/>
      <name val="Arial"/>
      <family val="2"/>
      <charset val="1"/>
    </font>
    <font>
      <b/>
      <sz val="11"/>
      <color theme="1"/>
      <name val="Arial"/>
      <family val="2"/>
      <charset val="1"/>
    </font>
    <font>
      <b/>
      <sz val="14"/>
      <color rgb="FFFFFFFF"/>
      <name val="Calibri"/>
      <family val="2"/>
      <charset val="1"/>
    </font>
    <font>
      <sz val="11"/>
      <color rgb="FF2F3A4A"/>
      <name val="Calibri"/>
      <family val="2"/>
      <charset val="1"/>
    </font>
    <font>
      <b/>
      <sz val="16"/>
      <color theme="0"/>
      <name val="Calibri"/>
      <family val="2"/>
      <charset val="1"/>
    </font>
    <font>
      <sz val="11"/>
      <name val="Cambria"/>
      <family val="1"/>
      <charset val="1"/>
    </font>
    <font>
      <b/>
      <sz val="9"/>
      <color rgb="FFFFFFFF"/>
      <name val="Calibri"/>
      <family val="2"/>
    </font>
    <font>
      <sz val="9"/>
      <color rgb="FF1A2B3C"/>
      <name val="Calibri"/>
      <family val="2"/>
    </font>
    <font>
      <sz val="11"/>
      <color theme="1"/>
      <name val="Calibri"/>
      <family val="2"/>
    </font>
    <font>
      <b/>
      <sz val="22"/>
      <color rgb="FFFFFFFF"/>
      <name val="Calibri"/>
      <family val="2"/>
    </font>
    <font>
      <b/>
      <sz val="22"/>
      <color rgb="FFE8A020"/>
      <name val="Calibri"/>
      <family val="2"/>
    </font>
    <font>
      <i/>
      <sz val="10"/>
      <color rgb="FFC8D0DA"/>
      <name val="Calibri"/>
      <family val="2"/>
    </font>
    <font>
      <b/>
      <sz val="9"/>
      <color rgb="FFE8A020"/>
      <name val="Calibri"/>
      <family val="2"/>
    </font>
    <font>
      <b/>
      <sz val="9"/>
      <color rgb="FF1A2B3C"/>
      <name val="Calibri"/>
      <family val="2"/>
    </font>
    <font>
      <b/>
      <sz val="22"/>
      <color rgb="FF1A2B3C"/>
      <name val="Calibri"/>
      <family val="2"/>
    </font>
    <font>
      <i/>
      <sz val="9"/>
      <color rgb="FF6B7280"/>
      <name val="Calibri"/>
      <family val="2"/>
    </font>
    <font>
      <i/>
      <sz val="9"/>
      <color rgb="FF8C6010"/>
      <name val="Calibri"/>
      <family val="2"/>
    </font>
    <font>
      <b/>
      <sz val="8"/>
      <color rgb="FFE8A020"/>
      <name val="Calibri"/>
      <family val="2"/>
    </font>
    <font>
      <b/>
      <sz val="12"/>
      <color rgb="FFE8A020"/>
      <name val="Calibri"/>
      <family val="2"/>
    </font>
    <font>
      <i/>
      <sz val="9"/>
      <color rgb="FF8FA0B5"/>
      <name val="Calibri"/>
      <family val="2"/>
    </font>
    <font>
      <b/>
      <sz val="10"/>
      <color rgb="FF1A2B3C"/>
      <name val="Calibri"/>
      <family val="2"/>
    </font>
    <font>
      <i/>
      <sz val="10"/>
      <color rgb="FF7A0014"/>
      <name val="Calibri"/>
      <family val="2"/>
    </font>
    <font>
      <b/>
      <sz val="10"/>
      <color rgb="FFB00020"/>
      <name val="Calibri"/>
      <family val="2"/>
    </font>
    <font>
      <sz val="10"/>
      <color rgb="FF8C6010"/>
      <name val="Calibri"/>
      <family val="2"/>
    </font>
    <font>
      <b/>
      <sz val="10"/>
      <color rgb="FF8C6010"/>
      <name val="Calibri"/>
      <family val="2"/>
    </font>
    <font>
      <b/>
      <sz val="8.1"/>
      <color rgb="FFE8A020"/>
      <name val="Calibri"/>
      <family val="2"/>
    </font>
    <font>
      <i/>
      <sz val="7.65"/>
      <color rgb="FF7A8694"/>
      <name val="Calibri"/>
      <family val="2"/>
    </font>
    <font>
      <b/>
      <sz val="9.9"/>
      <color rgb="FF1A2B3C"/>
      <name val="Calibri"/>
      <family val="2"/>
    </font>
    <font>
      <b/>
      <sz val="10.8"/>
      <color rgb="FF1A2B3C"/>
      <name val="Calibri"/>
      <family val="2"/>
    </font>
    <font>
      <b/>
      <sz val="9.9"/>
      <color rgb="FFFFFFFF"/>
      <name val="Calibri"/>
      <family val="2"/>
    </font>
    <font>
      <i/>
      <sz val="9"/>
      <color rgb="FFC9D1DA"/>
      <name val="Calibri"/>
      <family val="2"/>
    </font>
    <font>
      <b/>
      <sz val="14.6"/>
      <color rgb="FFE8A020"/>
      <name val="Calibri"/>
      <family val="2"/>
    </font>
    <font>
      <b/>
      <sz val="16.2"/>
      <color rgb="FFFFFFFF"/>
      <name val="Calibri"/>
      <family val="2"/>
    </font>
    <font>
      <sz val="9.9"/>
      <color theme="1"/>
      <name val="Calibri"/>
      <family val="2"/>
    </font>
    <font>
      <b/>
      <sz val="7.2"/>
      <color rgb="FFFFFFFF"/>
      <name val="Calibri"/>
      <family val="2"/>
    </font>
    <font>
      <b/>
      <sz val="11.7"/>
      <color rgb="FF1A2B3C"/>
      <name val="Calibri"/>
      <family val="2"/>
    </font>
    <font>
      <b/>
      <sz val="11.7"/>
      <color rgb="FFFFFFFF"/>
      <name val="Calibri"/>
      <family val="2"/>
    </font>
    <font>
      <b/>
      <sz val="16.2"/>
      <color rgb="FFE8A020"/>
      <name val="Calibri"/>
      <family val="2"/>
    </font>
    <font>
      <b/>
      <sz val="10"/>
      <color rgb="FFFFFFFF"/>
      <name val="Calibri"/>
      <family val="2"/>
    </font>
    <font>
      <b/>
      <sz val="11"/>
      <color theme="1"/>
      <name val="Arial"/>
      <family val="2"/>
    </font>
    <font>
      <b/>
      <sz val="11"/>
      <color theme="1"/>
      <name val="Calibri"/>
      <family val="2"/>
    </font>
    <font>
      <sz val="10"/>
      <color theme="1"/>
      <name val="Calibri"/>
      <family val="2"/>
    </font>
    <font>
      <b/>
      <sz val="9"/>
      <color indexed="81"/>
      <name val="Segoe UI"/>
      <family val="2"/>
    </font>
    <font>
      <sz val="9"/>
      <color indexed="81"/>
      <name val="Segoe UI"/>
      <family val="2"/>
    </font>
    <font>
      <b/>
      <sz val="12"/>
      <color theme="1"/>
      <name val="Arial"/>
      <family val="2"/>
    </font>
    <font>
      <sz val="14"/>
      <color theme="1"/>
      <name val="Arial"/>
      <family val="2"/>
    </font>
    <font>
      <b/>
      <sz val="14"/>
      <color rgb="FFFFFFFF"/>
      <name val="Arial"/>
      <family val="2"/>
    </font>
    <font>
      <b/>
      <sz val="18"/>
      <color theme="1"/>
      <name val="Arial"/>
      <family val="2"/>
    </font>
    <font>
      <b/>
      <sz val="22"/>
      <color rgb="FF000000"/>
      <name val="Calibri"/>
      <family val="2"/>
    </font>
    <font>
      <b/>
      <sz val="10"/>
      <color rgb="FFFFFFFF"/>
      <name val="Cambria"/>
      <family val="1"/>
    </font>
    <font>
      <sz val="11"/>
      <color rgb="FFFF0000"/>
      <name val="Calibri"/>
      <family val="2"/>
    </font>
    <font>
      <sz val="14"/>
      <color theme="1"/>
      <name val="Calibri"/>
      <family val="2"/>
    </font>
    <font>
      <b/>
      <sz val="10"/>
      <color rgb="FFFFFFFF"/>
      <name val="Calibri"/>
    </font>
    <font>
      <sz val="11"/>
      <color theme="1"/>
      <name val="Calibri"/>
    </font>
    <font>
      <b/>
      <sz val="11"/>
      <color rgb="FFFFFFFF"/>
      <name val="Calibri"/>
    </font>
    <font>
      <b/>
      <sz val="11"/>
      <color rgb="FF1A2B3C"/>
      <name val="Calibri"/>
    </font>
    <font>
      <sz val="11"/>
      <color rgb="FF1A2B3C"/>
      <name val="Calibri"/>
    </font>
    <font>
      <sz val="11"/>
      <color rgb="FF5B6573"/>
      <name val="Calibri"/>
    </font>
    <font>
      <sz val="11"/>
      <color rgb="FF1F2937"/>
      <name val="Calibri"/>
    </font>
    <font>
      <b/>
      <sz val="11"/>
      <color rgb="FF6B5200"/>
      <name val="Calibri"/>
    </font>
    <font>
      <b/>
      <sz val="11"/>
      <color rgb="FF374151"/>
      <name val="Calibri"/>
    </font>
    <font>
      <b/>
      <sz val="11"/>
      <color rgb="FF7A3510"/>
      <name val="Calibri"/>
    </font>
    <font>
      <i/>
      <sz val="11"/>
      <color rgb="FF1F4E78"/>
      <name val="Calibri"/>
    </font>
    <font>
      <b/>
      <i/>
      <sz val="11"/>
      <color rgb="FF1F4E78"/>
      <name val="Calibri"/>
    </font>
    <font>
      <i/>
      <sz val="11"/>
      <color rgb="FF9E480E"/>
      <name val="Calibri"/>
    </font>
    <font>
      <b/>
      <i/>
      <sz val="11"/>
      <color rgb="FF9E480E"/>
      <name val="Calibri"/>
    </font>
    <font>
      <i/>
      <sz val="11"/>
      <color rgb="FF385723"/>
      <name val="Calibri"/>
    </font>
    <font>
      <b/>
      <i/>
      <sz val="11"/>
      <color rgb="FF385723"/>
      <name val="Calibri"/>
    </font>
    <font>
      <i/>
      <sz val="11"/>
      <color rgb="FF4C3B63"/>
      <name val="Calibri"/>
    </font>
    <font>
      <b/>
      <i/>
      <sz val="11"/>
      <color rgb="FF4C3B63"/>
      <name val="Calibri"/>
    </font>
    <font>
      <b/>
      <sz val="10"/>
      <color rgb="FF1F4E78"/>
      <name val="Calibri"/>
    </font>
    <font>
      <b/>
      <sz val="11"/>
      <color rgb="FF1F4E78"/>
      <name val="Calibri"/>
    </font>
    <font>
      <i/>
      <sz val="10"/>
      <color rgb="FF5B6573"/>
      <name val="Calibri"/>
    </font>
    <font>
      <b/>
      <sz val="11"/>
      <color rgb="FFF2A900"/>
      <name val="Calibri"/>
      <charset val="1"/>
    </font>
    <font>
      <i/>
      <sz val="9"/>
      <color rgb="FF6B7280"/>
      <name val="Calibri"/>
      <charset val="1"/>
    </font>
    <font>
      <b/>
      <sz val="10"/>
      <color rgb="FF1A2B3C"/>
      <name val="Calibri"/>
      <family val="2"/>
      <charset val="1"/>
    </font>
    <font>
      <sz val="10"/>
      <color rgb="FF333333"/>
      <name val="Calibri"/>
      <family val="2"/>
      <charset val="1"/>
    </font>
    <font>
      <sz val="11"/>
      <color rgb="FF1B2D3F"/>
      <name val="Calibri"/>
      <family val="2"/>
    </font>
    <font>
      <b/>
      <sz val="11"/>
      <color rgb="FF1B2D3F"/>
      <name val="Calibri"/>
      <family val="2"/>
    </font>
    <font>
      <sz val="11"/>
      <color rgb="FF374151"/>
      <name val="Calibri"/>
      <family val="2"/>
    </font>
    <font>
      <sz val="9"/>
      <color rgb="FF2B2B2B"/>
      <name val="Calibri"/>
    </font>
    <font>
      <b/>
      <sz val="8.5"/>
      <color rgb="FF1A2B3C"/>
      <name val="Calibri"/>
    </font>
    <font>
      <b/>
      <sz val="8.5"/>
      <color rgb="FF008000"/>
      <name val="Calibri"/>
    </font>
    <font>
      <b/>
      <sz val="10"/>
      <color rgb="FF9C0006"/>
      <name val="Calibri"/>
    </font>
    <font>
      <b/>
      <sz val="10"/>
      <color rgb="FF006100"/>
      <name val="Calibri"/>
    </font>
    <font>
      <b/>
      <sz val="9.5"/>
      <color rgb="FFFFFFFF"/>
      <name val="Calibri"/>
      <family val="2"/>
    </font>
    <font>
      <sz val="9.5"/>
      <color rgb="FF1A2B3C"/>
      <name val="Calibri"/>
    </font>
    <font>
      <b/>
      <sz val="9.5"/>
      <color rgb="FF1A2B3C"/>
      <name val="Calibri"/>
    </font>
    <font>
      <b/>
      <i/>
      <sz val="9.5"/>
      <color rgb="FF1A2B3C"/>
      <name val="Calibri"/>
    </font>
    <font>
      <b/>
      <sz val="9.5"/>
      <color theme="1"/>
      <name val="Calibri"/>
    </font>
    <font>
      <b/>
      <sz val="9"/>
      <color rgb="FFFFFFFF"/>
      <name val="Calibri"/>
    </font>
    <font>
      <i/>
      <sz val="9"/>
      <color rgb="FF2F3A4A"/>
      <name val="Calibri"/>
    </font>
    <font>
      <b/>
      <sz val="11"/>
      <color theme="0"/>
      <name val="Calibri"/>
    </font>
    <font>
      <b/>
      <sz val="9.5"/>
      <color rgb="FFFFFFFF"/>
      <name val="Calibri"/>
    </font>
    <font>
      <b/>
      <sz val="8.5"/>
      <color rgb="FF5B9BD5"/>
      <name val="Calibri"/>
    </font>
    <font>
      <b/>
      <sz val="8.5"/>
      <color rgb="FFC00000"/>
      <name val="Calibri"/>
    </font>
    <font>
      <b/>
      <sz val="8.5"/>
      <color rgb="FF7F8C8D"/>
      <name val="Calibri"/>
    </font>
    <font>
      <b/>
      <sz val="10"/>
      <color theme="0"/>
      <name val="Calibri"/>
    </font>
    <font>
      <sz val="10"/>
      <color theme="1"/>
      <name val="Calibri"/>
    </font>
    <font>
      <b/>
      <sz val="12"/>
      <color theme="1"/>
      <name val="Calibri"/>
    </font>
    <font>
      <b/>
      <sz val="12"/>
      <color rgb="FF1A2B3C"/>
      <name val="Calibri"/>
    </font>
    <font>
      <b/>
      <sz val="10.5"/>
      <color rgb="FFFFFFFF"/>
      <name val="Calibri"/>
    </font>
    <font>
      <b/>
      <sz val="12"/>
      <color rgb="FF008A3B"/>
      <name val="Calibri"/>
    </font>
    <font>
      <b/>
      <sz val="12"/>
      <color rgb="FFC00000"/>
      <name val="Calibri"/>
    </font>
    <font>
      <b/>
      <sz val="12"/>
      <color rgb="FF102A43"/>
      <name val="Calibri"/>
    </font>
    <font>
      <sz val="10.5"/>
      <color rgb="FF0070C0"/>
      <name val="Calibri"/>
    </font>
    <font>
      <b/>
      <sz val="10.5"/>
      <color rgb="FF0070C0"/>
      <name val="Calibri"/>
    </font>
    <font>
      <i/>
      <sz val="10.5"/>
      <color rgb="FF0070C0"/>
      <name val="Calibri"/>
    </font>
    <font>
      <sz val="11"/>
      <color rgb="FFFF0000"/>
      <name val="Calibri"/>
    </font>
    <font>
      <sz val="10"/>
      <color rgb="FFFF0000"/>
      <name val="Calibri"/>
    </font>
    <font>
      <b/>
      <sz val="10"/>
      <color rgb="FF000000"/>
      <name val="Calibri"/>
    </font>
    <font>
      <b/>
      <sz val="10"/>
      <color rgb="FFFFFFFF"/>
      <name val="Cambria"/>
    </font>
    <font>
      <b/>
      <sz val="12"/>
      <color rgb="FFFFFFFF"/>
      <name val="Cambria"/>
    </font>
    <font>
      <i/>
      <sz val="9"/>
      <color rgb="FF475569"/>
      <name val="Cambria"/>
    </font>
    <font>
      <sz val="11"/>
      <color rgb="FF000000"/>
      <name val="Calibri"/>
    </font>
    <font>
      <b/>
      <sz val="11"/>
      <color rgb="FFFFFFFF"/>
      <name val="Cambria"/>
    </font>
    <font>
      <sz val="9"/>
      <color indexed="81"/>
      <name val="Segoe UI"/>
    </font>
    <font>
      <b/>
      <sz val="9"/>
      <color indexed="81"/>
      <name val="Segoe UI"/>
    </font>
    <font>
      <b/>
      <sz val="11"/>
      <color theme="1"/>
      <name val="Calibri"/>
    </font>
    <font>
      <sz val="10"/>
      <color rgb="FF2B2B2B"/>
      <name val="Calibri"/>
    </font>
    <font>
      <b/>
      <sz val="10"/>
      <name val="Calibri"/>
    </font>
    <font>
      <b/>
      <sz val="10"/>
      <color theme="1"/>
      <name val="Calibri"/>
    </font>
    <font>
      <b/>
      <sz val="10"/>
      <color rgb="FF7F7F7F"/>
      <name val="Calibri"/>
    </font>
    <font>
      <b/>
      <sz val="14"/>
      <color rgb="FFFFFFFF"/>
      <name val="Calibri"/>
    </font>
    <font>
      <b/>
      <sz val="12"/>
      <name val="Calibri"/>
    </font>
    <font>
      <b/>
      <sz val="10"/>
      <color rgb="FF2B2B2B"/>
      <name val="Calibri"/>
    </font>
    <font>
      <b/>
      <sz val="22"/>
      <color rgb="FF000000"/>
      <name val="Calibri"/>
    </font>
    <font>
      <sz val="14"/>
      <color rgb="FF000000"/>
      <name val="Arial"/>
    </font>
    <font>
      <b/>
      <sz val="14"/>
      <color rgb="FF000000"/>
      <name val="Arial"/>
    </font>
    <font>
      <b/>
      <sz val="11"/>
      <color rgb="FF0070C0"/>
      <name val="Calibri"/>
    </font>
    <font>
      <b/>
      <sz val="10"/>
      <color rgb="FF4A5563"/>
      <name val="Calibri"/>
    </font>
    <font>
      <i/>
      <sz val="9"/>
      <color rgb="FF666666"/>
      <name val="Calibri"/>
      <family val="2"/>
    </font>
    <font>
      <sz val="9"/>
      <color rgb="FF595959"/>
      <name val="Calibri"/>
      <family val="2"/>
    </font>
    <font>
      <sz val="8"/>
      <color rgb="FF595959"/>
      <name val="Calibri"/>
      <charset val="1"/>
    </font>
    <font>
      <sz val="8"/>
      <color rgb="FF595959"/>
      <name val="Calibri"/>
      <family val="2"/>
    </font>
    <font>
      <sz val="8"/>
      <color rgb="FF595959"/>
      <name val="Cambria"/>
      <family val="1"/>
      <charset val="1"/>
    </font>
    <font>
      <b/>
      <sz val="11"/>
      <color rgb="FFFFFFFF"/>
      <name val="Cambria"/>
      <family val="1"/>
      <charset val="1"/>
    </font>
    <font>
      <b/>
      <sz val="11"/>
      <color rgb="FFF2F2F2"/>
      <name val="Cambria"/>
    </font>
    <font>
      <b/>
      <sz val="10"/>
      <color rgb="FFF2F2F2"/>
      <name val="Calibri"/>
    </font>
    <font>
      <b/>
      <sz val="11"/>
      <color rgb="FFF2F2F2"/>
      <name val="Calibri"/>
      <family val="2"/>
    </font>
    <font>
      <b/>
      <sz val="11"/>
      <color rgb="FFF2F2F2"/>
      <name val="Calibri"/>
      <family val="2"/>
      <charset val="1"/>
    </font>
    <font>
      <b/>
      <sz val="10"/>
      <color rgb="FFF2F2F2"/>
      <name val="Cambria"/>
    </font>
    <font>
      <sz val="11"/>
      <color rgb="FF222222"/>
      <name val="Calibri"/>
    </font>
    <font>
      <b/>
      <sz val="22"/>
      <color rgb="FF222222"/>
      <name val="Calibri"/>
    </font>
    <font>
      <sz val="11"/>
      <color rgb="FF222222"/>
      <name val="Calibri"/>
      <family val="2"/>
    </font>
    <font>
      <b/>
      <sz val="22"/>
      <color rgb="FF222222"/>
      <name val="Calibri"/>
      <family val="2"/>
    </font>
    <font>
      <sz val="11"/>
      <color rgb="FF222222"/>
      <name val="Calibri"/>
      <family val="2"/>
      <charset val="1"/>
    </font>
  </fonts>
  <fills count="76">
    <fill>
      <patternFill patternType="none"/>
    </fill>
    <fill>
      <patternFill patternType="gray125"/>
    </fill>
    <fill>
      <patternFill patternType="solid">
        <fgColor rgb="FF2F3A4A"/>
        <bgColor rgb="FF2F3843"/>
      </patternFill>
    </fill>
    <fill>
      <patternFill patternType="solid">
        <fgColor rgb="FFF7F3EE"/>
        <bgColor rgb="FFF6F1F8"/>
      </patternFill>
    </fill>
    <fill>
      <patternFill patternType="solid">
        <fgColor rgb="FFC65911"/>
        <bgColor rgb="FFC55A11"/>
      </patternFill>
    </fill>
    <fill>
      <patternFill patternType="solid">
        <fgColor rgb="FF2F3843"/>
        <bgColor rgb="FF2F3A4A"/>
      </patternFill>
    </fill>
    <fill>
      <patternFill patternType="solid">
        <fgColor rgb="FFC96B0A"/>
        <bgColor rgb="FFC55A11"/>
      </patternFill>
    </fill>
    <fill>
      <patternFill patternType="solid">
        <fgColor rgb="FFFFF7E8"/>
        <bgColor rgb="FFFBF7ED"/>
      </patternFill>
    </fill>
    <fill>
      <patternFill patternType="solid">
        <fgColor rgb="FF8C4B09"/>
        <bgColor rgb="FF843C0B"/>
      </patternFill>
    </fill>
    <fill>
      <patternFill patternType="solid">
        <fgColor rgb="FFFFFFFF"/>
        <bgColor rgb="FFF8FAFC"/>
      </patternFill>
    </fill>
    <fill>
      <patternFill patternType="solid">
        <fgColor rgb="FFFBF7ED"/>
        <bgColor rgb="FFFFF7E8"/>
      </patternFill>
    </fill>
    <fill>
      <patternFill patternType="solid">
        <fgColor rgb="FF92D050"/>
        <bgColor rgb="FFC9B08A"/>
      </patternFill>
    </fill>
    <fill>
      <patternFill patternType="solid">
        <fgColor rgb="FFF5E5BF"/>
        <bgColor rgb="FFFFF2CC"/>
      </patternFill>
    </fill>
    <fill>
      <patternFill patternType="darkGray">
        <fgColor rgb="FFFEAB01"/>
        <bgColor rgb="FFFFD700"/>
      </patternFill>
    </fill>
    <fill>
      <patternFill patternType="solid">
        <fgColor rgb="FFFF0000"/>
        <bgColor rgb="FFDF3026"/>
      </patternFill>
    </fill>
    <fill>
      <patternFill patternType="solid">
        <fgColor rgb="FFFFFF00"/>
        <bgColor rgb="FFFFD700"/>
      </patternFill>
    </fill>
    <fill>
      <patternFill patternType="solid">
        <fgColor theme="5" tint="-0.499984740745262"/>
        <bgColor rgb="FF8C4B09"/>
      </patternFill>
    </fill>
    <fill>
      <patternFill patternType="solid">
        <fgColor rgb="FFF8FAFC"/>
        <bgColor rgb="FFF4F6F8"/>
      </patternFill>
    </fill>
    <fill>
      <patternFill patternType="solid">
        <fgColor theme="5" tint="-0.249977111117893"/>
        <bgColor rgb="FFC65911"/>
      </patternFill>
    </fill>
    <fill>
      <patternFill patternType="solid">
        <fgColor theme="7" tint="0.59959715567491678"/>
        <bgColor rgb="FFF5E5BF"/>
      </patternFill>
    </fill>
    <fill>
      <patternFill patternType="solid">
        <fgColor rgb="FFE5ECE8"/>
        <bgColor rgb="FFE7E6EA"/>
      </patternFill>
    </fill>
    <fill>
      <patternFill patternType="solid">
        <fgColor theme="7" tint="0.79979857783745845"/>
        <bgColor rgb="FFFFF7E8"/>
      </patternFill>
    </fill>
    <fill>
      <patternFill patternType="solid">
        <fgColor rgb="FFE7E6EA"/>
        <bgColor rgb="FFE5ECE8"/>
      </patternFill>
    </fill>
    <fill>
      <patternFill patternType="solid">
        <fgColor theme="8" tint="0.39899899288918728"/>
        <bgColor rgb="FFC0C3C3"/>
      </patternFill>
    </fill>
    <fill>
      <patternFill patternType="solid">
        <fgColor rgb="FF1A2B3C"/>
        <bgColor rgb="FF2B2B2B"/>
      </patternFill>
    </fill>
    <fill>
      <patternFill patternType="solid">
        <fgColor rgb="FFF4F6F8"/>
        <bgColor rgb="FFF6F1F8"/>
      </patternFill>
    </fill>
    <fill>
      <patternFill patternType="solid">
        <fgColor rgb="FFEDF2F7"/>
        <bgColor rgb="FFF4F6F8"/>
      </patternFill>
    </fill>
    <fill>
      <patternFill patternType="solid">
        <fgColor rgb="FF1A2B3C"/>
        <bgColor indexed="64"/>
      </patternFill>
    </fill>
    <fill>
      <patternFill patternType="solid">
        <fgColor rgb="FFE8A020"/>
        <bgColor indexed="64"/>
      </patternFill>
    </fill>
    <fill>
      <patternFill patternType="solid">
        <fgColor rgb="FFFFFFFF"/>
        <bgColor indexed="64"/>
      </patternFill>
    </fill>
    <fill>
      <patternFill patternType="solid">
        <fgColor rgb="FFF8F9FB"/>
        <bgColor indexed="64"/>
      </patternFill>
    </fill>
    <fill>
      <patternFill patternType="solid">
        <fgColor rgb="FFFFF7E8"/>
        <bgColor indexed="64"/>
      </patternFill>
    </fill>
    <fill>
      <patternFill patternType="solid">
        <fgColor rgb="FFFFF5F5"/>
        <bgColor indexed="64"/>
      </patternFill>
    </fill>
    <fill>
      <patternFill patternType="solid">
        <fgColor rgb="FFFFEEEE"/>
        <bgColor indexed="64"/>
      </patternFill>
    </fill>
    <fill>
      <patternFill patternType="solid">
        <fgColor rgb="FFB00020"/>
        <bgColor indexed="64"/>
      </patternFill>
    </fill>
    <fill>
      <patternFill patternType="solid">
        <fgColor rgb="FFF1F4F8"/>
        <bgColor indexed="64"/>
      </patternFill>
    </fill>
    <fill>
      <patternFill patternType="solid">
        <fgColor rgb="FFCD7F32"/>
        <bgColor indexed="64"/>
      </patternFill>
    </fill>
    <fill>
      <patternFill patternType="solid">
        <fgColor rgb="FFC0C3C3"/>
        <bgColor indexed="64"/>
      </patternFill>
    </fill>
    <fill>
      <patternFill patternType="solid">
        <fgColor rgb="FFFFD700"/>
        <bgColor indexed="64"/>
      </patternFill>
    </fill>
    <fill>
      <patternFill patternType="solid">
        <fgColor rgb="FF2F3A4A"/>
        <bgColor indexed="64"/>
      </patternFill>
    </fill>
    <fill>
      <patternFill patternType="solid">
        <fgColor rgb="FFEDF2F7"/>
        <bgColor indexed="64"/>
      </patternFill>
    </fill>
    <fill>
      <patternFill patternType="solid">
        <fgColor theme="0"/>
        <bgColor rgb="FFFFD700"/>
      </patternFill>
    </fill>
    <fill>
      <patternFill patternType="solid">
        <fgColor rgb="FFD9D9D9"/>
        <bgColor indexed="64"/>
      </patternFill>
    </fill>
    <fill>
      <patternFill patternType="solid">
        <fgColor rgb="FF833C0C"/>
        <bgColor indexed="64"/>
      </patternFill>
    </fill>
    <fill>
      <patternFill patternType="solid">
        <fgColor rgb="FFFFF2CC"/>
        <bgColor indexed="64"/>
      </patternFill>
    </fill>
    <fill>
      <patternFill patternType="solid">
        <fgColor rgb="FF92D050"/>
        <bgColor rgb="FFFFF7E8"/>
      </patternFill>
    </fill>
    <fill>
      <patternFill patternType="solid">
        <fgColor rgb="FF92D050"/>
        <bgColor indexed="64"/>
      </patternFill>
    </fill>
    <fill>
      <patternFill patternType="solid">
        <fgColor rgb="FF92D050"/>
        <bgColor rgb="FFFFF2CC"/>
      </patternFill>
    </fill>
    <fill>
      <patternFill patternType="solid">
        <fgColor rgb="FF92D050"/>
        <bgColor rgb="FFF8FAFC"/>
      </patternFill>
    </fill>
    <fill>
      <patternFill patternType="solid">
        <fgColor rgb="FFFFFF00"/>
        <bgColor indexed="64"/>
      </patternFill>
    </fill>
    <fill>
      <patternFill patternType="solid">
        <fgColor rgb="FFC65911"/>
        <bgColor indexed="64"/>
      </patternFill>
    </fill>
    <fill>
      <patternFill patternType="solid">
        <fgColor rgb="FFF8CBAD"/>
        <bgColor indexed="64"/>
      </patternFill>
    </fill>
    <fill>
      <patternFill patternType="solid">
        <fgColor rgb="FFFFE699"/>
        <bgColor indexed="64"/>
      </patternFill>
    </fill>
    <fill>
      <patternFill patternType="solid">
        <fgColor rgb="FFFF0000"/>
        <bgColor indexed="64"/>
      </patternFill>
    </fill>
    <fill>
      <patternFill patternType="solid">
        <fgColor rgb="FFFF0000"/>
        <bgColor rgb="FFFFF7E8"/>
      </patternFill>
    </fill>
    <fill>
      <patternFill patternType="solid">
        <fgColor rgb="FFE7E6E6"/>
        <bgColor indexed="64"/>
      </patternFill>
    </fill>
    <fill>
      <patternFill patternType="solid">
        <fgColor rgb="FFFCE4D6"/>
        <bgColor indexed="64"/>
      </patternFill>
    </fill>
    <fill>
      <patternFill patternType="solid">
        <fgColor rgb="FFD9EAF7"/>
        <bgColor indexed="64"/>
      </patternFill>
    </fill>
    <fill>
      <patternFill patternType="solid">
        <fgColor rgb="FF26364A"/>
        <bgColor indexed="64"/>
      </patternFill>
    </fill>
    <fill>
      <patternFill patternType="solid">
        <fgColor rgb="FFF4F7FA"/>
        <bgColor indexed="64"/>
      </patternFill>
    </fill>
    <fill>
      <patternFill patternType="solid">
        <fgColor rgb="FF1F4E78"/>
        <bgColor indexed="64"/>
      </patternFill>
    </fill>
    <fill>
      <patternFill patternType="solid">
        <fgColor rgb="FFE2F0D9"/>
        <bgColor indexed="64"/>
      </patternFill>
    </fill>
    <fill>
      <patternFill patternType="solid">
        <fgColor rgb="FFE4DFEC"/>
        <bgColor indexed="64"/>
      </patternFill>
    </fill>
    <fill>
      <patternFill patternType="solid">
        <fgColor rgb="FF1B2D3F"/>
        <bgColor indexed="64"/>
      </patternFill>
    </fill>
    <fill>
      <patternFill patternType="solid">
        <fgColor rgb="FFE8EEF5"/>
        <bgColor indexed="64"/>
      </patternFill>
    </fill>
    <fill>
      <patternFill patternType="solid">
        <fgColor rgb="FFFFF1EC"/>
        <bgColor indexed="64"/>
      </patternFill>
    </fill>
    <fill>
      <patternFill patternType="solid">
        <fgColor rgb="FF344154"/>
        <bgColor indexed="64"/>
      </patternFill>
    </fill>
    <fill>
      <patternFill patternType="solid">
        <fgColor rgb="FFF2F5F8"/>
        <bgColor indexed="64"/>
      </patternFill>
    </fill>
    <fill>
      <patternFill patternType="solid">
        <fgColor rgb="FFE7F1E1"/>
        <bgColor indexed="64"/>
      </patternFill>
    </fill>
    <fill>
      <patternFill patternType="solid">
        <fgColor rgb="FFE5EFF8"/>
        <bgColor indexed="64"/>
      </patternFill>
    </fill>
    <fill>
      <patternFill patternType="solid">
        <fgColor rgb="FF984807"/>
        <bgColor indexed="64"/>
      </patternFill>
    </fill>
    <fill>
      <patternFill patternType="solid">
        <fgColor rgb="FF8C4B09"/>
        <bgColor indexed="64"/>
      </patternFill>
    </fill>
    <fill>
      <patternFill patternType="solid">
        <fgColor rgb="FFE9EEF3"/>
        <bgColor indexed="64"/>
      </patternFill>
    </fill>
    <fill>
      <patternFill patternType="solid">
        <fgColor rgb="FFF7F9FB"/>
        <bgColor indexed="64"/>
      </patternFill>
    </fill>
    <fill>
      <patternFill patternType="solid">
        <fgColor rgb="FFA65A2E"/>
        <bgColor indexed="64"/>
      </patternFill>
    </fill>
    <fill>
      <patternFill patternType="solid">
        <fgColor rgb="FFF7F7F7"/>
        <bgColor indexed="64"/>
      </patternFill>
    </fill>
  </fills>
  <borders count="208">
    <border>
      <left/>
      <right/>
      <top/>
      <bottom/>
      <diagonal/>
    </border>
    <border>
      <left style="thin">
        <color rgb="FFC89F65"/>
      </left>
      <right style="thin">
        <color rgb="FFC89F65"/>
      </right>
      <top style="thin">
        <color rgb="FFC89F65"/>
      </top>
      <bottom style="thin">
        <color rgb="FFC89F65"/>
      </bottom>
      <diagonal/>
    </border>
    <border>
      <left style="thin">
        <color auto="1"/>
      </left>
      <right style="thin">
        <color auto="1"/>
      </right>
      <top style="thin">
        <color auto="1"/>
      </top>
      <bottom style="thin">
        <color auto="1"/>
      </bottom>
      <diagonal/>
    </border>
    <border>
      <left style="thin">
        <color rgb="FFC9B08A"/>
      </left>
      <right style="thin">
        <color rgb="FFC9B08A"/>
      </right>
      <top style="thin">
        <color rgb="FFC9B08A"/>
      </top>
      <bottom/>
      <diagonal/>
    </border>
    <border>
      <left style="thin">
        <color rgb="FFDAD8D8"/>
      </left>
      <right style="thin">
        <color rgb="FFDAD8D8"/>
      </right>
      <top style="thin">
        <color rgb="FFDAD8D8"/>
      </top>
      <bottom style="thin">
        <color rgb="FFDAD8D8"/>
      </bottom>
      <diagonal/>
    </border>
    <border>
      <left style="thin">
        <color rgb="FFDAD8D8"/>
      </left>
      <right style="thin">
        <color auto="1"/>
      </right>
      <top style="thin">
        <color rgb="FFDAD8D8"/>
      </top>
      <bottom style="thin">
        <color rgb="FFDAD8D8"/>
      </bottom>
      <diagonal/>
    </border>
    <border>
      <left style="thin">
        <color auto="1"/>
      </left>
      <right style="thin">
        <color rgb="FFDAD8D8"/>
      </right>
      <top style="thin">
        <color rgb="FFDAD8D8"/>
      </top>
      <bottom style="thin">
        <color rgb="FFDAD8D8"/>
      </bottom>
      <diagonal/>
    </border>
    <border>
      <left style="thin">
        <color auto="1"/>
      </left>
      <right style="thin">
        <color rgb="FFDAD8D8"/>
      </right>
      <top style="thin">
        <color rgb="FFDAD8D8"/>
      </top>
      <bottom style="thin">
        <color auto="1"/>
      </bottom>
      <diagonal/>
    </border>
    <border>
      <left style="thin">
        <color rgb="FFDAD8D8"/>
      </left>
      <right style="thin">
        <color auto="1"/>
      </right>
      <top style="thin">
        <color rgb="FFDAD8D8"/>
      </top>
      <bottom style="thin">
        <color auto="1"/>
      </bottom>
      <diagonal/>
    </border>
    <border>
      <left style="thin">
        <color auto="1"/>
      </left>
      <right/>
      <top style="thin">
        <color auto="1"/>
      </top>
      <bottom style="thin">
        <color rgb="FFD0D5DD"/>
      </bottom>
      <diagonal/>
    </border>
    <border>
      <left/>
      <right/>
      <top style="thin">
        <color auto="1"/>
      </top>
      <bottom/>
      <diagonal/>
    </border>
    <border>
      <left/>
      <right/>
      <top/>
      <bottom style="thin">
        <color rgb="FFD0D5DD"/>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rgb="FFD0D5DD"/>
      </bottom>
      <diagonal/>
    </border>
    <border>
      <left style="thin">
        <color auto="1"/>
      </left>
      <right style="thin">
        <color auto="1"/>
      </right>
      <top style="thin">
        <color rgb="FFD0D5DD"/>
      </top>
      <bottom style="thin">
        <color auto="1"/>
      </bottom>
      <diagonal/>
    </border>
    <border>
      <left style="thin">
        <color auto="1"/>
      </left>
      <right/>
      <top style="thin">
        <color rgb="FFD0D5DD"/>
      </top>
      <bottom style="thin">
        <color auto="1"/>
      </bottom>
      <diagonal/>
    </border>
    <border>
      <left style="thin">
        <color auto="1"/>
      </left>
      <right style="thin">
        <color rgb="FFDAD8D8"/>
      </right>
      <top/>
      <bottom style="thin">
        <color rgb="FFDAD8D8"/>
      </bottom>
      <diagonal/>
    </border>
    <border>
      <left style="thin">
        <color rgb="FFDAD8D8"/>
      </left>
      <right style="thin">
        <color auto="1"/>
      </right>
      <top/>
      <bottom style="thin">
        <color rgb="FFDAD8D8"/>
      </bottom>
      <diagonal/>
    </border>
    <border>
      <left style="thin">
        <color auto="1"/>
      </left>
      <right style="thin">
        <color rgb="FFD0D5DD"/>
      </right>
      <top style="thin">
        <color auto="1"/>
      </top>
      <bottom style="thin">
        <color auto="1"/>
      </bottom>
      <diagonal/>
    </border>
    <border>
      <left style="thin">
        <color rgb="FFD0D5DD"/>
      </left>
      <right style="thin">
        <color rgb="FFD0D5DD"/>
      </right>
      <top style="thin">
        <color auto="1"/>
      </top>
      <bottom style="thin">
        <color auto="1"/>
      </bottom>
      <diagonal/>
    </border>
    <border>
      <left style="thin">
        <color rgb="FFD0D5DD"/>
      </left>
      <right style="thin">
        <color auto="1"/>
      </right>
      <top style="thin">
        <color auto="1"/>
      </top>
      <bottom style="thin">
        <color auto="1"/>
      </bottom>
      <diagonal/>
    </border>
    <border>
      <left style="thin">
        <color rgb="FFC9B08A"/>
      </left>
      <right style="thin">
        <color rgb="FFC9B08A"/>
      </right>
      <top style="thin">
        <color rgb="FFC9B08A"/>
      </top>
      <bottom style="thin">
        <color rgb="FFC9B08A"/>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8C4B09"/>
      </left>
      <right style="medium">
        <color rgb="FF8C4B09"/>
      </right>
      <top style="medium">
        <color rgb="FF8C4B09"/>
      </top>
      <bottom style="medium">
        <color rgb="FF8C4B09"/>
      </bottom>
      <diagonal/>
    </border>
    <border>
      <left style="thin">
        <color rgb="FFE7E6EA"/>
      </left>
      <right style="thin">
        <color rgb="FFE7E6EA"/>
      </right>
      <top style="thin">
        <color rgb="FFE7E6EA"/>
      </top>
      <bottom style="thin">
        <color rgb="FFE7E6EA"/>
      </bottom>
      <diagonal/>
    </border>
    <border>
      <left/>
      <right/>
      <top style="thin">
        <color rgb="FF1A2B3C"/>
      </top>
      <bottom/>
      <diagonal/>
    </border>
    <border>
      <left/>
      <right/>
      <top/>
      <bottom style="thin">
        <color rgb="FFE0E4E9"/>
      </bottom>
      <diagonal/>
    </border>
    <border>
      <left style="medium">
        <color rgb="FFE8A020"/>
      </left>
      <right/>
      <top style="thin">
        <color rgb="FF1A2B3C"/>
      </top>
      <bottom/>
      <diagonal/>
    </border>
    <border>
      <left/>
      <right style="thin">
        <color rgb="FF1A2B3C"/>
      </right>
      <top style="thin">
        <color rgb="FF1A2B3C"/>
      </top>
      <bottom/>
      <diagonal/>
    </border>
    <border>
      <left style="medium">
        <color rgb="FFE8A020"/>
      </left>
      <right/>
      <top style="thin">
        <color rgb="FF1A2B3C"/>
      </top>
      <bottom style="thin">
        <color rgb="FFE0E4E9"/>
      </bottom>
      <diagonal/>
    </border>
    <border>
      <left/>
      <right/>
      <top style="thin">
        <color rgb="FF1A2B3C"/>
      </top>
      <bottom style="thin">
        <color rgb="FFE0E4E9"/>
      </bottom>
      <diagonal/>
    </border>
    <border>
      <left/>
      <right style="thin">
        <color rgb="FFE0E4E9"/>
      </right>
      <top style="thin">
        <color rgb="FF1A2B3C"/>
      </top>
      <bottom style="thin">
        <color rgb="FFE0E4E9"/>
      </bottom>
      <diagonal/>
    </border>
    <border>
      <left/>
      <right/>
      <top style="thin">
        <color rgb="FFE0E4E9"/>
      </top>
      <bottom/>
      <diagonal/>
    </border>
    <border>
      <left/>
      <right style="thin">
        <color rgb="FFE0E4E9"/>
      </right>
      <top style="thin">
        <color rgb="FFE0E4E9"/>
      </top>
      <bottom/>
      <diagonal/>
    </border>
    <border>
      <left/>
      <right/>
      <top style="thin">
        <color rgb="FFE0E4E9"/>
      </top>
      <bottom style="thin">
        <color rgb="FFE0E4E9"/>
      </bottom>
      <diagonal/>
    </border>
    <border>
      <left/>
      <right style="thin">
        <color rgb="FFE0E4E9"/>
      </right>
      <top style="thin">
        <color rgb="FFE0E4E9"/>
      </top>
      <bottom style="thin">
        <color rgb="FFE0E4E9"/>
      </bottom>
      <diagonal/>
    </border>
    <border>
      <left style="medium">
        <color rgb="FFE8A020"/>
      </left>
      <right style="thin">
        <color rgb="FFE0E4E9"/>
      </right>
      <top style="thin">
        <color rgb="FFE0E4E9"/>
      </top>
      <bottom style="thin">
        <color rgb="FFE0E4E9"/>
      </bottom>
      <diagonal/>
    </border>
    <border>
      <left style="medium">
        <color rgb="FFB00020"/>
      </left>
      <right style="thin">
        <color rgb="FFE0E4E9"/>
      </right>
      <top style="thin">
        <color rgb="FFE0E4E9"/>
      </top>
      <bottom/>
      <diagonal/>
    </border>
    <border>
      <left style="medium">
        <color rgb="FFB00020"/>
      </left>
      <right style="thin">
        <color rgb="FFE0E4E9"/>
      </right>
      <top style="thin">
        <color rgb="FFE0E4E9"/>
      </top>
      <bottom style="thin">
        <color rgb="FFE0E4E9"/>
      </bottom>
      <diagonal/>
    </border>
    <border>
      <left style="thin">
        <color rgb="FFE0E4E9"/>
      </left>
      <right style="thin">
        <color rgb="FFCCCCCC"/>
      </right>
      <top style="thin">
        <color rgb="FFE0E4E9"/>
      </top>
      <bottom style="medium">
        <color rgb="FF1A2B3C"/>
      </bottom>
      <diagonal/>
    </border>
    <border>
      <left style="thin">
        <color rgb="FFE0E4E9"/>
      </left>
      <right style="thin">
        <color rgb="FFE0E4E9"/>
      </right>
      <top style="thin">
        <color rgb="FFE0E4E9"/>
      </top>
      <bottom style="medium">
        <color rgb="FF1A2B3C"/>
      </bottom>
      <diagonal/>
    </border>
    <border>
      <left style="thin">
        <color rgb="FFCCCCCC"/>
      </left>
      <right style="thin">
        <color rgb="FFE0E4E9"/>
      </right>
      <top style="thin">
        <color rgb="FFE0E4E9"/>
      </top>
      <bottom style="medium">
        <color rgb="FF1A2B3C"/>
      </bottom>
      <diagonal/>
    </border>
    <border>
      <left style="thin">
        <color rgb="FFE0E4E9"/>
      </left>
      <right style="thin">
        <color rgb="FFCCCCCC"/>
      </right>
      <top style="thin">
        <color rgb="FFE0E4E9"/>
      </top>
      <bottom style="thin">
        <color rgb="FFE0E4E9"/>
      </bottom>
      <diagonal/>
    </border>
    <border>
      <left style="thin">
        <color rgb="FFE0E4E9"/>
      </left>
      <right style="thin">
        <color rgb="FFE0E4E9"/>
      </right>
      <top style="thin">
        <color rgb="FFE0E4E9"/>
      </top>
      <bottom style="thin">
        <color rgb="FFE0E4E9"/>
      </bottom>
      <diagonal/>
    </border>
    <border>
      <left style="thin">
        <color rgb="FFCCCCCC"/>
      </left>
      <right style="thin">
        <color rgb="FFE0E4E9"/>
      </right>
      <top style="thin">
        <color rgb="FFE0E4E9"/>
      </top>
      <bottom style="thin">
        <color rgb="FFE0E4E9"/>
      </bottom>
      <diagonal/>
    </border>
    <border>
      <left style="thin">
        <color rgb="FFE0E4E9"/>
      </left>
      <right style="thin">
        <color rgb="FFCCCCCC"/>
      </right>
      <top style="medium">
        <color rgb="FFE8A020"/>
      </top>
      <bottom style="thin">
        <color rgb="FFE0E4E9"/>
      </bottom>
      <diagonal/>
    </border>
    <border>
      <left style="thin">
        <color rgb="FFE0E4E9"/>
      </left>
      <right style="thin">
        <color rgb="FFE0E4E9"/>
      </right>
      <top style="medium">
        <color rgb="FFE8A020"/>
      </top>
      <bottom style="thin">
        <color rgb="FFE0E4E9"/>
      </bottom>
      <diagonal/>
    </border>
    <border>
      <left style="thin">
        <color rgb="FFCCCCCC"/>
      </left>
      <right style="thin">
        <color rgb="FFE0E4E9"/>
      </right>
      <top style="medium">
        <color rgb="FFE8A020"/>
      </top>
      <bottom style="thin">
        <color rgb="FFE0E4E9"/>
      </bottom>
      <diagonal/>
    </border>
    <border>
      <left style="thin">
        <color rgb="FFCCCCCC"/>
      </left>
      <right style="thin">
        <color rgb="FFCCCCCC"/>
      </right>
      <top style="thin">
        <color rgb="FFCCCCCC"/>
      </top>
      <bottom/>
      <diagonal/>
    </border>
    <border>
      <left/>
      <right style="thin">
        <color rgb="FFCCCCCC"/>
      </right>
      <top style="thin">
        <color indexed="64"/>
      </top>
      <bottom style="thin">
        <color indexed="64"/>
      </bottom>
      <diagonal/>
    </border>
    <border>
      <left style="thin">
        <color rgb="FFCCCCCC"/>
      </left>
      <right style="thin">
        <color rgb="FFCCCCCC"/>
      </right>
      <top style="thin">
        <color indexed="64"/>
      </top>
      <bottom style="thin">
        <color indexed="64"/>
      </bottom>
      <diagonal/>
    </border>
    <border>
      <left style="thin">
        <color rgb="FFCCCCCC"/>
      </left>
      <right/>
      <top style="thin">
        <color indexed="64"/>
      </top>
      <bottom style="thin">
        <color indexed="64"/>
      </bottom>
      <diagonal/>
    </border>
    <border>
      <left style="thin">
        <color rgb="FFDAD8D8"/>
      </left>
      <right/>
      <top/>
      <bottom/>
      <diagonal/>
    </border>
    <border>
      <left/>
      <right style="thin">
        <color rgb="FFDAD8D8"/>
      </right>
      <top/>
      <bottom/>
      <diagonal/>
    </border>
    <border>
      <left style="thin">
        <color rgb="FF000000"/>
      </left>
      <right style="thin">
        <color rgb="FF000000"/>
      </right>
      <top style="thin">
        <color rgb="FF000000"/>
      </top>
      <bottom style="thin">
        <color rgb="FF000000"/>
      </bottom>
      <diagonal/>
    </border>
    <border>
      <left style="thin">
        <color rgb="FFDAD8D8"/>
      </left>
      <right/>
      <top style="thin">
        <color rgb="FFC9B08A"/>
      </top>
      <bottom/>
      <diagonal/>
    </border>
    <border>
      <left/>
      <right/>
      <top style="thin">
        <color rgb="FFC9B08A"/>
      </top>
      <bottom/>
      <diagonal/>
    </border>
    <border>
      <left/>
      <right style="thin">
        <color rgb="FFDAD8D8"/>
      </right>
      <top style="thin">
        <color rgb="FFC9B08A"/>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E0E4E9"/>
      </left>
      <right style="thin">
        <color rgb="FFE0E4E9"/>
      </right>
      <top style="medium">
        <color rgb="FFD6A623"/>
      </top>
      <bottom/>
      <diagonal/>
    </border>
    <border>
      <left style="thin">
        <color rgb="FFD6A623"/>
      </left>
      <right style="thin">
        <color rgb="FFD6A623"/>
      </right>
      <top style="thin">
        <color rgb="FFD6A623"/>
      </top>
      <bottom/>
      <diagonal/>
    </border>
    <border>
      <left style="thick">
        <color rgb="FFBF9000"/>
      </left>
      <right style="thin">
        <color rgb="FFE0E4E9"/>
      </right>
      <top style="medium">
        <color rgb="FFD6A623"/>
      </top>
      <bottom/>
      <diagonal/>
    </border>
    <border>
      <left style="thick">
        <color rgb="FF7F8C8D"/>
      </left>
      <right style="thin">
        <color rgb="FFE0E4E9"/>
      </right>
      <top style="thin">
        <color rgb="FFD9E0E7"/>
      </top>
      <bottom/>
      <diagonal/>
    </border>
    <border>
      <left style="thin">
        <color rgb="FFE0E4E9"/>
      </left>
      <right style="thin">
        <color rgb="FFE0E4E9"/>
      </right>
      <top style="thin">
        <color rgb="FFD9E0E7"/>
      </top>
      <bottom/>
      <diagonal/>
    </border>
    <border>
      <left style="thick">
        <color rgb="FFC65911"/>
      </left>
      <right style="thin">
        <color rgb="FFE0E4E9"/>
      </right>
      <top style="thin">
        <color rgb="FFD9E0E7"/>
      </top>
      <bottom/>
      <diagonal/>
    </border>
    <border>
      <left style="thin">
        <color rgb="FFCCCCCC"/>
      </left>
      <right style="thin">
        <color rgb="FFE0E4E9"/>
      </right>
      <top style="thin">
        <color rgb="FFD9E0E7"/>
      </top>
      <bottom/>
      <diagonal/>
    </border>
    <border>
      <left style="thin">
        <color rgb="FFD6A623"/>
      </left>
      <right/>
      <top style="thin">
        <color rgb="FFD6A623"/>
      </top>
      <bottom/>
      <diagonal/>
    </border>
    <border>
      <left style="thin">
        <color rgb="FFE0E4E9"/>
      </left>
      <right/>
      <top style="medium">
        <color rgb="FFD6A623"/>
      </top>
      <bottom/>
      <diagonal/>
    </border>
    <border>
      <left style="thin">
        <color rgb="FFE0E4E9"/>
      </left>
      <right/>
      <top style="thin">
        <color rgb="FFD9E0E7"/>
      </top>
      <bottom/>
      <diagonal/>
    </border>
    <border>
      <left style="medium">
        <color rgb="FF7F8C8D"/>
      </left>
      <right style="thin">
        <color rgb="FFD6A623"/>
      </right>
      <top style="thin">
        <color rgb="FFD6A623"/>
      </top>
      <bottom/>
      <diagonal/>
    </border>
    <border>
      <left style="medium">
        <color rgb="FF7F8C8D"/>
      </left>
      <right style="thin">
        <color rgb="FFE0E4E9"/>
      </right>
      <top style="medium">
        <color rgb="FFD6A623"/>
      </top>
      <bottom/>
      <diagonal/>
    </border>
    <border>
      <left style="medium">
        <color rgb="FF7F8C8D"/>
      </left>
      <right style="thin">
        <color rgb="FFE0E4E9"/>
      </right>
      <top style="thin">
        <color rgb="FFD9E0E7"/>
      </top>
      <bottom/>
      <diagonal/>
    </border>
    <border>
      <left style="thin">
        <color rgb="FFCCCCCC"/>
      </left>
      <right style="thin">
        <color rgb="FFE0E4E9"/>
      </right>
      <top style="medium">
        <color rgb="FF17365D"/>
      </top>
      <bottom/>
      <diagonal/>
    </border>
    <border>
      <left style="thin">
        <color rgb="FFE0E4E9"/>
      </left>
      <right style="thin">
        <color rgb="FFE0E4E9"/>
      </right>
      <top style="medium">
        <color rgb="FF17365D"/>
      </top>
      <bottom/>
      <diagonal/>
    </border>
    <border>
      <left style="thin">
        <color rgb="FFE0E4E9"/>
      </left>
      <right/>
      <top style="medium">
        <color rgb="FF17365D"/>
      </top>
      <bottom/>
      <diagonal/>
    </border>
    <border>
      <left style="medium">
        <color rgb="FF7F8C8D"/>
      </left>
      <right style="thin">
        <color rgb="FFE0E4E9"/>
      </right>
      <top style="medium">
        <color rgb="FF17365D"/>
      </top>
      <bottom/>
      <diagonal/>
    </border>
    <border>
      <left style="thick">
        <color rgb="FF2F75B5"/>
      </left>
      <right style="thin">
        <color rgb="FFE0E4E9"/>
      </right>
      <top style="medium">
        <color rgb="FF17365D"/>
      </top>
      <bottom/>
      <diagonal/>
    </border>
    <border>
      <left style="thin">
        <color rgb="FFE0E4E9"/>
      </left>
      <right style="thin">
        <color rgb="FFE0E4E9"/>
      </right>
      <top style="thin">
        <color rgb="FFCBD5E1"/>
      </top>
      <bottom style="thin">
        <color rgb="FFCBD5E1"/>
      </bottom>
      <diagonal/>
    </border>
    <border>
      <left style="thin">
        <color rgb="FFE0E4E9"/>
      </left>
      <right/>
      <top style="thin">
        <color rgb="FFCBD5E1"/>
      </top>
      <bottom style="thin">
        <color rgb="FFCBD5E1"/>
      </bottom>
      <diagonal/>
    </border>
    <border>
      <left style="medium">
        <color rgb="FF7F8C8D"/>
      </left>
      <right style="thin">
        <color rgb="FFE0E4E9"/>
      </right>
      <top style="thin">
        <color rgb="FFCBD5E1"/>
      </top>
      <bottom style="thin">
        <color rgb="FFCBD5E1"/>
      </bottom>
      <diagonal/>
    </border>
    <border>
      <left style="thick">
        <color rgb="FFED7D31"/>
      </left>
      <right style="thin">
        <color rgb="FFE0E4E9"/>
      </right>
      <top style="thin">
        <color rgb="FFCBD5E1"/>
      </top>
      <bottom/>
      <diagonal/>
    </border>
    <border>
      <left style="thin">
        <color rgb="FFE0E4E9"/>
      </left>
      <right style="thin">
        <color rgb="FFE0E4E9"/>
      </right>
      <top style="thin">
        <color rgb="FFCBD5E1"/>
      </top>
      <bottom/>
      <diagonal/>
    </border>
    <border>
      <left style="thin">
        <color rgb="FFE0E4E9"/>
      </left>
      <right/>
      <top style="thin">
        <color rgb="FFCBD5E1"/>
      </top>
      <bottom/>
      <diagonal/>
    </border>
    <border>
      <left style="medium">
        <color rgb="FF7F8C8D"/>
      </left>
      <right style="thin">
        <color rgb="FFE0E4E9"/>
      </right>
      <top style="thin">
        <color rgb="FFCBD5E1"/>
      </top>
      <bottom/>
      <diagonal/>
    </border>
    <border>
      <left style="thick">
        <color rgb="FF70AD47"/>
      </left>
      <right style="thin">
        <color rgb="FFE0E4E9"/>
      </right>
      <top style="thin">
        <color rgb="FFCBD5E1"/>
      </top>
      <bottom/>
      <diagonal/>
    </border>
    <border>
      <left style="thick">
        <color rgb="FF8064A2"/>
      </left>
      <right style="thin">
        <color rgb="FFE0E4E9"/>
      </right>
      <top style="thin">
        <color rgb="FFCBD5E1"/>
      </top>
      <bottom style="thin">
        <color rgb="FFCBD5E1"/>
      </bottom>
      <diagonal/>
    </border>
    <border>
      <left/>
      <right/>
      <top/>
      <bottom style="thin">
        <color rgb="FF9FBAD0"/>
      </bottom>
      <diagonal/>
    </border>
    <border>
      <left/>
      <right/>
      <top/>
      <bottom style="medium">
        <color rgb="FFF2A900"/>
      </bottom>
      <diagonal/>
    </border>
    <border>
      <left style="thin">
        <color rgb="FFF2A900"/>
      </left>
      <right/>
      <top style="thin">
        <color rgb="FFF2A900"/>
      </top>
      <bottom style="thin">
        <color rgb="FFF2A900"/>
      </bottom>
      <diagonal/>
    </border>
    <border>
      <left/>
      <right style="thin">
        <color rgb="FFF2A900"/>
      </right>
      <top style="thin">
        <color rgb="FFF2A900"/>
      </top>
      <bottom style="thin">
        <color rgb="FFF2A900"/>
      </bottom>
      <diagonal/>
    </border>
    <border>
      <left style="medium">
        <color rgb="FFE8A020"/>
      </left>
      <right style="thin">
        <color rgb="FFE0E4E9"/>
      </right>
      <top style="thin">
        <color rgb="FFE0E4E9"/>
      </top>
      <bottom/>
      <diagonal/>
    </border>
    <border>
      <left style="thin">
        <color rgb="FF9AA6B2"/>
      </left>
      <right/>
      <top style="thin">
        <color rgb="FF9AA6B2"/>
      </top>
      <bottom style="thin">
        <color rgb="FF9AA6B2"/>
      </bottom>
      <diagonal/>
    </border>
    <border>
      <left/>
      <right style="thin">
        <color rgb="FF9AA6B2"/>
      </right>
      <top style="thin">
        <color rgb="FF9AA6B2"/>
      </top>
      <bottom style="thin">
        <color rgb="FF9AA6B2"/>
      </bottom>
      <diagonal/>
    </border>
    <border>
      <left style="medium">
        <color rgb="FF000000"/>
      </left>
      <right style="thin">
        <color rgb="FFFFFFFF"/>
      </right>
      <top style="medium">
        <color rgb="FF000000"/>
      </top>
      <bottom/>
      <diagonal/>
    </border>
    <border>
      <left style="thin">
        <color rgb="FFFFFFFF"/>
      </left>
      <right style="thin">
        <color rgb="FFFFFFFF"/>
      </right>
      <top style="medium">
        <color rgb="FF000000"/>
      </top>
      <bottom/>
      <diagonal/>
    </border>
    <border>
      <left style="thin">
        <color rgb="FFFFFFFF"/>
      </left>
      <right style="medium">
        <color rgb="FF000000"/>
      </right>
      <top style="medium">
        <color rgb="FF000000"/>
      </top>
      <bottom/>
      <diagonal/>
    </border>
    <border>
      <left/>
      <right/>
      <top style="medium">
        <color rgb="FF000000"/>
      </top>
      <bottom/>
      <diagonal/>
    </border>
    <border>
      <left style="thin">
        <color rgb="FF9AA8B5"/>
      </left>
      <right/>
      <top style="hair">
        <color rgb="FFC8D0D8"/>
      </top>
      <bottom/>
      <diagonal/>
    </border>
    <border>
      <left style="thin">
        <color rgb="FF9AA8B5"/>
      </left>
      <right/>
      <top style="thin">
        <color rgb="FF9AA8B5"/>
      </top>
      <bottom/>
      <diagonal/>
    </border>
    <border>
      <left style="thin">
        <color rgb="FF9AA8B5"/>
      </left>
      <right/>
      <top/>
      <bottom style="thin">
        <color rgb="FF9AA8B5"/>
      </bottom>
      <diagonal/>
    </border>
    <border>
      <left/>
      <right style="thin">
        <color rgb="FF9AA8B5"/>
      </right>
      <top style="thin">
        <color rgb="FF9AA8B5"/>
      </top>
      <bottom/>
      <diagonal/>
    </border>
    <border>
      <left/>
      <right style="thin">
        <color rgb="FF9AA8B5"/>
      </right>
      <top/>
      <bottom style="thin">
        <color rgb="FF9AA8B5"/>
      </bottom>
      <diagonal/>
    </border>
    <border>
      <left/>
      <right/>
      <top style="thin">
        <color rgb="FF9AA8B5"/>
      </top>
      <bottom/>
      <diagonal/>
    </border>
    <border>
      <left/>
      <right/>
      <top/>
      <bottom style="thin">
        <color rgb="FF9AA8B5"/>
      </bottom>
      <diagonal/>
    </border>
    <border>
      <left style="hair">
        <color rgb="FFB8C2CC"/>
      </left>
      <right style="hair">
        <color rgb="FFB8C2CC"/>
      </right>
      <top style="thin">
        <color rgb="FF9AA8B5"/>
      </top>
      <bottom/>
      <diagonal/>
    </border>
    <border>
      <left style="hair">
        <color rgb="FFB8C2CC"/>
      </left>
      <right style="hair">
        <color rgb="FFB8C2CC"/>
      </right>
      <top style="hair">
        <color rgb="FFB8C2CC"/>
      </top>
      <bottom style="hair">
        <color rgb="FFB8C2CC"/>
      </bottom>
      <diagonal/>
    </border>
    <border>
      <left style="hair">
        <color rgb="FFB8C2CC"/>
      </left>
      <right style="hair">
        <color rgb="FFB8C2CC"/>
      </right>
      <top/>
      <bottom style="thin">
        <color rgb="FF9AA8B5"/>
      </bottom>
      <diagonal/>
    </border>
    <border>
      <left style="hair">
        <color rgb="FFB8C2CC"/>
      </left>
      <right/>
      <top style="thin">
        <color rgb="FF9AA8B5"/>
      </top>
      <bottom/>
      <diagonal/>
    </border>
    <border>
      <left style="hair">
        <color rgb="FFB8C2CC"/>
      </left>
      <right/>
      <top/>
      <bottom style="thin">
        <color rgb="FF9AA8B5"/>
      </bottom>
      <diagonal/>
    </border>
    <border>
      <left style="thin">
        <color rgb="FF9AA8B5"/>
      </left>
      <right/>
      <top style="hair">
        <color rgb="FFC8D0D8"/>
      </top>
      <bottom style="hair">
        <color rgb="FFC8D0D8"/>
      </bottom>
      <diagonal/>
    </border>
    <border>
      <left style="hair">
        <color rgb="FFB8C2CC"/>
      </left>
      <right/>
      <top style="hair">
        <color rgb="FFC8D0D8"/>
      </top>
      <bottom style="hair">
        <color rgb="FFC8D0D8"/>
      </bottom>
      <diagonal/>
    </border>
    <border>
      <left style="hair">
        <color rgb="FFB8C2CC"/>
      </left>
      <right style="hair">
        <color rgb="FFB8C2CC"/>
      </right>
      <top style="hair">
        <color rgb="FFC8D0D8"/>
      </top>
      <bottom style="hair">
        <color rgb="FFC8D0D8"/>
      </bottom>
      <diagonal/>
    </border>
    <border>
      <left/>
      <right style="thin">
        <color rgb="FF9AA8B5"/>
      </right>
      <top style="hair">
        <color rgb="FFC8D0D8"/>
      </top>
      <bottom style="hair">
        <color rgb="FFC8D0D8"/>
      </bottom>
      <diagonal/>
    </border>
    <border>
      <left style="hair">
        <color rgb="FFB8C2CC"/>
      </left>
      <right/>
      <top style="hair">
        <color rgb="FFC8D0D8"/>
      </top>
      <bottom/>
      <diagonal/>
    </border>
    <border>
      <left style="hair">
        <color rgb="FFB8C2CC"/>
      </left>
      <right style="hair">
        <color rgb="FFB8C2CC"/>
      </right>
      <top style="hair">
        <color rgb="FFC8D0D8"/>
      </top>
      <bottom/>
      <diagonal/>
    </border>
    <border>
      <left/>
      <right style="thin">
        <color rgb="FF9AA8B5"/>
      </right>
      <top style="hair">
        <color rgb="FFC8D0D8"/>
      </top>
      <bottom/>
      <diagonal/>
    </border>
    <border>
      <left/>
      <right/>
      <top style="thin">
        <color auto="1"/>
      </top>
      <bottom style="medium">
        <color rgb="FF8C4B09"/>
      </bottom>
      <diagonal/>
    </border>
    <border>
      <left style="thin">
        <color rgb="FF9AA8B5"/>
      </left>
      <right/>
      <top style="hair">
        <color rgb="FF9AA8B5"/>
      </top>
      <bottom style="hair">
        <color rgb="FFC8D0D8"/>
      </bottom>
      <diagonal/>
    </border>
    <border>
      <left/>
      <right/>
      <top style="hair">
        <color rgb="FF9AA8B5"/>
      </top>
      <bottom style="hair">
        <color rgb="FFC8D0D8"/>
      </bottom>
      <diagonal/>
    </border>
    <border>
      <left/>
      <right style="thin">
        <color rgb="FF9AA8B5"/>
      </right>
      <top style="hair">
        <color rgb="FF9AA8B5"/>
      </top>
      <bottom style="hair">
        <color rgb="FFC8D0D8"/>
      </bottom>
      <diagonal/>
    </border>
    <border>
      <left/>
      <right style="hair">
        <color rgb="FFC8D0D8"/>
      </right>
      <top style="hair">
        <color rgb="FF9AA8B5"/>
      </top>
      <bottom style="hair">
        <color rgb="FFC8D0D8"/>
      </bottom>
      <diagonal/>
    </border>
    <border>
      <left/>
      <right style="hair">
        <color rgb="FFC8D0D8"/>
      </right>
      <top/>
      <bottom style="thin">
        <color rgb="FF9AA8B5"/>
      </bottom>
      <diagonal/>
    </border>
    <border>
      <left style="thin">
        <color rgb="FF8F9CA8"/>
      </left>
      <right style="hair">
        <color rgb="FFB8C2CC"/>
      </right>
      <top style="thin">
        <color rgb="FF8F9CA8"/>
      </top>
      <bottom style="hair">
        <color rgb="FFB8C2CC"/>
      </bottom>
      <diagonal/>
    </border>
    <border>
      <left style="hair">
        <color rgb="FFB8C2CC"/>
      </left>
      <right style="hair">
        <color rgb="FFB8C2CC"/>
      </right>
      <top style="thin">
        <color rgb="FF8F9CA8"/>
      </top>
      <bottom style="hair">
        <color rgb="FFB8C2CC"/>
      </bottom>
      <diagonal/>
    </border>
    <border>
      <left style="hair">
        <color rgb="FFB8C2CC"/>
      </left>
      <right style="thin">
        <color rgb="FF8F9CA8"/>
      </right>
      <top style="thin">
        <color rgb="FF8F9CA8"/>
      </top>
      <bottom style="hair">
        <color rgb="FFB8C2CC"/>
      </bottom>
      <diagonal/>
    </border>
    <border>
      <left style="thin">
        <color rgb="FF8F9CA8"/>
      </left>
      <right style="hair">
        <color rgb="FFB8C2CC"/>
      </right>
      <top style="hair">
        <color rgb="FFB8C2CC"/>
      </top>
      <bottom style="hair">
        <color rgb="FFB8C2CC"/>
      </bottom>
      <diagonal/>
    </border>
    <border>
      <left style="hair">
        <color rgb="FFB8C2CC"/>
      </left>
      <right style="thin">
        <color rgb="FF8F9CA8"/>
      </right>
      <top style="hair">
        <color rgb="FFB8C2CC"/>
      </top>
      <bottom style="hair">
        <color rgb="FFB8C2CC"/>
      </bottom>
      <diagonal/>
    </border>
    <border>
      <left style="thin">
        <color rgb="FF8F9CA8"/>
      </left>
      <right style="hair">
        <color rgb="FFB8C2CC"/>
      </right>
      <top style="hair">
        <color rgb="FFB8C2CC"/>
      </top>
      <bottom style="thin">
        <color rgb="FF8F9CA8"/>
      </bottom>
      <diagonal/>
    </border>
    <border>
      <left style="hair">
        <color rgb="FFB8C2CC"/>
      </left>
      <right style="hair">
        <color rgb="FFB8C2CC"/>
      </right>
      <top style="hair">
        <color rgb="FFB8C2CC"/>
      </top>
      <bottom style="thin">
        <color rgb="FF8F9CA8"/>
      </bottom>
      <diagonal/>
    </border>
    <border>
      <left style="hair">
        <color rgb="FFB8C2CC"/>
      </left>
      <right style="thin">
        <color rgb="FF8F9CA8"/>
      </right>
      <top style="hair">
        <color rgb="FFB8C2CC"/>
      </top>
      <bottom style="thin">
        <color rgb="FF8F9CA8"/>
      </bottom>
      <diagonal/>
    </border>
    <border>
      <left style="thin">
        <color rgb="FFC4CDD6"/>
      </left>
      <right style="thin">
        <color rgb="FFC4CDD6"/>
      </right>
      <top style="thin">
        <color rgb="FFC4CDD6"/>
      </top>
      <bottom style="thin">
        <color rgb="FFC4CDD6"/>
      </bottom>
      <diagonal/>
    </border>
    <border>
      <left style="thin">
        <color rgb="FFB8C2CC"/>
      </left>
      <right style="thin">
        <color rgb="FFC4CDD6"/>
      </right>
      <top style="thin">
        <color rgb="FFB8C2CC"/>
      </top>
      <bottom style="hair">
        <color rgb="FFC7D0D9"/>
      </bottom>
      <diagonal/>
    </border>
    <border>
      <left style="thin">
        <color rgb="FFC4CDD6"/>
      </left>
      <right style="thin">
        <color rgb="FFB8C2CC"/>
      </right>
      <top style="thin">
        <color rgb="FFB8C2CC"/>
      </top>
      <bottom style="hair">
        <color rgb="FFC7D0D9"/>
      </bottom>
      <diagonal/>
    </border>
    <border>
      <left style="thin">
        <color rgb="FFB8C2CC"/>
      </left>
      <right style="thin">
        <color rgb="FFC4CDD6"/>
      </right>
      <top style="hair">
        <color rgb="FFC7D0D9"/>
      </top>
      <bottom style="thin">
        <color rgb="FFB8C2CC"/>
      </bottom>
      <diagonal/>
    </border>
    <border>
      <left style="thin">
        <color rgb="FFC4CDD6"/>
      </left>
      <right style="thin">
        <color rgb="FFB8C2CC"/>
      </right>
      <top style="hair">
        <color rgb="FFC7D0D9"/>
      </top>
      <bottom style="thin">
        <color rgb="FFB8C2CC"/>
      </bottom>
      <diagonal/>
    </border>
    <border>
      <left style="thin">
        <color rgb="FFC4CDD6"/>
      </left>
      <right/>
      <top style="thin">
        <color rgb="FFB8C2CC"/>
      </top>
      <bottom style="hair">
        <color rgb="FFC7D0D9"/>
      </bottom>
      <diagonal/>
    </border>
    <border>
      <left style="thin">
        <color rgb="FFC4CDD6"/>
      </left>
      <right/>
      <top style="hair">
        <color rgb="FFC7D0D9"/>
      </top>
      <bottom style="thin">
        <color rgb="FFB8C2CC"/>
      </bottom>
      <diagonal/>
    </border>
    <border>
      <left style="thin">
        <color rgb="FF8F9CA8"/>
      </left>
      <right style="hair">
        <color rgb="FFC7D0D9"/>
      </right>
      <top style="thin">
        <color rgb="FF8F9CA8"/>
      </top>
      <bottom style="hair">
        <color rgb="FFC7D0D9"/>
      </bottom>
      <diagonal/>
    </border>
    <border>
      <left style="hair">
        <color rgb="FFC7D0D9"/>
      </left>
      <right style="hair">
        <color rgb="FFC7D0D9"/>
      </right>
      <top style="thin">
        <color rgb="FF8F9CA8"/>
      </top>
      <bottom style="hair">
        <color rgb="FFC7D0D9"/>
      </bottom>
      <diagonal/>
    </border>
    <border>
      <left style="hair">
        <color rgb="FFC7D0D9"/>
      </left>
      <right style="thin">
        <color rgb="FF8F9CA8"/>
      </right>
      <top style="thin">
        <color rgb="FF8F9CA8"/>
      </top>
      <bottom style="hair">
        <color rgb="FFC7D0D9"/>
      </bottom>
      <diagonal/>
    </border>
    <border>
      <left style="thin">
        <color rgb="FF8F9CA8"/>
      </left>
      <right style="hair">
        <color rgb="FFC7D0D9"/>
      </right>
      <top style="hair">
        <color rgb="FFC7D0D9"/>
      </top>
      <bottom style="hair">
        <color rgb="FFC7D0D9"/>
      </bottom>
      <diagonal/>
    </border>
    <border>
      <left style="hair">
        <color rgb="FFC7D0D9"/>
      </left>
      <right style="hair">
        <color rgb="FFC7D0D9"/>
      </right>
      <top style="hair">
        <color rgb="FFC7D0D9"/>
      </top>
      <bottom style="hair">
        <color rgb="FFC7D0D9"/>
      </bottom>
      <diagonal/>
    </border>
    <border>
      <left style="hair">
        <color rgb="FFC7D0D9"/>
      </left>
      <right style="thin">
        <color rgb="FF8F9CA8"/>
      </right>
      <top style="hair">
        <color rgb="FFC7D0D9"/>
      </top>
      <bottom style="hair">
        <color rgb="FFC7D0D9"/>
      </bottom>
      <diagonal/>
    </border>
    <border>
      <left style="thin">
        <color rgb="FF8F9CA8"/>
      </left>
      <right style="hair">
        <color rgb="FFC7D0D9"/>
      </right>
      <top style="hair">
        <color rgb="FFC7D0D9"/>
      </top>
      <bottom style="thin">
        <color rgb="FF8F9CA8"/>
      </bottom>
      <diagonal/>
    </border>
    <border>
      <left style="hair">
        <color rgb="FFC7D0D9"/>
      </left>
      <right style="hair">
        <color rgb="FFC7D0D9"/>
      </right>
      <top style="hair">
        <color rgb="FFC7D0D9"/>
      </top>
      <bottom style="thin">
        <color rgb="FF8F9CA8"/>
      </bottom>
      <diagonal/>
    </border>
    <border>
      <left style="hair">
        <color rgb="FFC7D0D9"/>
      </left>
      <right style="thin">
        <color rgb="FF8F9CA8"/>
      </right>
      <top style="hair">
        <color rgb="FFC7D0D9"/>
      </top>
      <bottom style="thin">
        <color rgb="FF8F9CA8"/>
      </bottom>
      <diagonal/>
    </border>
    <border>
      <left style="thin">
        <color rgb="FF8F9CA8"/>
      </left>
      <right style="hair">
        <color rgb="FFC7D0D9"/>
      </right>
      <top style="hair">
        <color rgb="FFC7D0D9"/>
      </top>
      <bottom/>
      <diagonal/>
    </border>
    <border>
      <left style="hair">
        <color rgb="FFC7D0D9"/>
      </left>
      <right style="hair">
        <color rgb="FFC7D0D9"/>
      </right>
      <top style="hair">
        <color rgb="FFC7D0D9"/>
      </top>
      <bottom/>
      <diagonal/>
    </border>
    <border>
      <left style="hair">
        <color rgb="FFC7D0D9"/>
      </left>
      <right style="thin">
        <color rgb="FF8F9CA8"/>
      </right>
      <top style="hair">
        <color rgb="FFC7D0D9"/>
      </top>
      <bottom/>
      <diagonal/>
    </border>
    <border>
      <left style="thin">
        <color rgb="FF8F9CA8"/>
      </left>
      <right style="hair">
        <color rgb="FFC7D0D9"/>
      </right>
      <top/>
      <bottom style="hair">
        <color rgb="FFC7D0D9"/>
      </bottom>
      <diagonal/>
    </border>
    <border>
      <left style="hair">
        <color rgb="FFC7D0D9"/>
      </left>
      <right style="hair">
        <color rgb="FFC7D0D9"/>
      </right>
      <top/>
      <bottom style="hair">
        <color rgb="FFC7D0D9"/>
      </bottom>
      <diagonal/>
    </border>
    <border>
      <left style="hair">
        <color rgb="FFC7D0D9"/>
      </left>
      <right style="thin">
        <color rgb="FF8F9CA8"/>
      </right>
      <top/>
      <bottom style="hair">
        <color rgb="FFC7D0D9"/>
      </bottom>
      <diagonal/>
    </border>
    <border>
      <left style="thin">
        <color rgb="FF8F9CA8"/>
      </left>
      <right style="hair">
        <color rgb="FFC7D0D9"/>
      </right>
      <top style="medium">
        <color rgb="FF5B9BD5"/>
      </top>
      <bottom style="hair">
        <color rgb="FFC7D0D9"/>
      </bottom>
      <diagonal/>
    </border>
    <border>
      <left style="hair">
        <color rgb="FFC7D0D9"/>
      </left>
      <right style="hair">
        <color rgb="FFC7D0D9"/>
      </right>
      <top style="medium">
        <color rgb="FF5B9BD5"/>
      </top>
      <bottom style="hair">
        <color rgb="FFC7D0D9"/>
      </bottom>
      <diagonal/>
    </border>
    <border>
      <left style="hair">
        <color rgb="FFC7D0D9"/>
      </left>
      <right style="thin">
        <color rgb="FF8F9CA8"/>
      </right>
      <top style="medium">
        <color rgb="FF5B9BD5"/>
      </top>
      <bottom style="hair">
        <color rgb="FFC7D0D9"/>
      </bottom>
      <diagonal/>
    </border>
    <border>
      <left style="thin">
        <color rgb="FFDAD8D8"/>
      </left>
      <right style="thin">
        <color rgb="FFDAD8D8"/>
      </right>
      <top style="thin">
        <color rgb="FFDAD8D8"/>
      </top>
      <bottom/>
      <diagonal/>
    </border>
    <border>
      <left style="thin">
        <color rgb="FFDAD8D8"/>
      </left>
      <right style="thin">
        <color rgb="FFDAD8D8"/>
      </right>
      <top/>
      <bottom style="thin">
        <color rgb="FFDAD8D8"/>
      </bottom>
      <diagonal/>
    </border>
    <border>
      <left style="thin">
        <color rgb="FFDAD8D8"/>
      </left>
      <right/>
      <top style="thin">
        <color rgb="FFDAD8D8"/>
      </top>
      <bottom style="thin">
        <color rgb="FFDAD8D8"/>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rgb="FF000000"/>
      </top>
      <bottom style="thin">
        <color auto="1"/>
      </bottom>
      <diagonal/>
    </border>
    <border>
      <left style="thin">
        <color rgb="FF000000"/>
      </left>
      <right/>
      <top style="thin">
        <color auto="1"/>
      </top>
      <bottom style="thin">
        <color auto="1"/>
      </bottom>
      <diagonal/>
    </border>
    <border>
      <left style="thin">
        <color rgb="FF000000"/>
      </left>
      <right/>
      <top style="thin">
        <color auto="1"/>
      </top>
      <bottom style="thin">
        <color rgb="FF000000"/>
      </bottom>
      <diagonal/>
    </border>
    <border>
      <left style="thin">
        <color auto="1"/>
      </left>
      <right/>
      <top style="thin">
        <color rgb="FF000000"/>
      </top>
      <bottom style="thin">
        <color auto="1"/>
      </bottom>
      <diagonal/>
    </border>
    <border>
      <left style="thin">
        <color auto="1"/>
      </left>
      <right/>
      <top style="thin">
        <color auto="1"/>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C9B08A"/>
      </left>
      <right style="thin">
        <color rgb="FFC9B08A"/>
      </right>
      <top/>
      <bottom style="thin">
        <color rgb="FFC9B08A"/>
      </bottom>
      <diagonal/>
    </border>
    <border>
      <left style="thin">
        <color rgb="FF8F9CA8"/>
      </left>
      <right style="hair">
        <color rgb="FFB8C2CC"/>
      </right>
      <top style="hair">
        <color rgb="FFB8C2CC"/>
      </top>
      <bottom/>
      <diagonal/>
    </border>
    <border>
      <left style="hair">
        <color rgb="FFB8C2CC"/>
      </left>
      <right style="hair">
        <color rgb="FFB8C2CC"/>
      </right>
      <top style="hair">
        <color rgb="FFB8C2CC"/>
      </top>
      <bottom/>
      <diagonal/>
    </border>
    <border>
      <left style="hair">
        <color rgb="FFB8C2CC"/>
      </left>
      <right style="thin">
        <color rgb="FF8F9CA8"/>
      </right>
      <top style="hair">
        <color rgb="FFB8C2CC"/>
      </top>
      <bottom/>
      <diagonal/>
    </border>
    <border>
      <left style="thin">
        <color rgb="FF8F9CA8"/>
      </left>
      <right style="hair">
        <color rgb="FFB8C2CC"/>
      </right>
      <top/>
      <bottom style="hair">
        <color rgb="FFB8C2CC"/>
      </bottom>
      <diagonal/>
    </border>
    <border>
      <left style="hair">
        <color rgb="FFB8C2CC"/>
      </left>
      <right style="hair">
        <color rgb="FFB8C2CC"/>
      </right>
      <top/>
      <bottom style="hair">
        <color rgb="FFB8C2CC"/>
      </bottom>
      <diagonal/>
    </border>
    <border>
      <left style="hair">
        <color rgb="FFB8C2CC"/>
      </left>
      <right style="thin">
        <color rgb="FF8F9CA8"/>
      </right>
      <top/>
      <bottom style="hair">
        <color rgb="FFB8C2CC"/>
      </bottom>
      <diagonal/>
    </border>
    <border>
      <left/>
      <right/>
      <top/>
      <bottom style="thin">
        <color rgb="FFA9C2D8"/>
      </bottom>
      <diagonal/>
    </border>
    <border>
      <left style="thin">
        <color auto="1"/>
      </left>
      <right style="thin">
        <color auto="1"/>
      </right>
      <top style="thin">
        <color auto="1"/>
      </top>
      <bottom style="thick">
        <color rgb="FFD35400"/>
      </bottom>
      <diagonal/>
    </border>
    <border>
      <left/>
      <right/>
      <top/>
      <bottom style="thick">
        <color rgb="FFD35400"/>
      </bottom>
      <diagonal/>
    </border>
    <border>
      <left style="thin">
        <color rgb="FF9AA7B3"/>
      </left>
      <right/>
      <top style="thin">
        <color rgb="FF9AA7B3"/>
      </top>
      <bottom/>
      <diagonal/>
    </border>
    <border>
      <left style="thin">
        <color rgb="FFC5CED8"/>
      </left>
      <right style="thin">
        <color rgb="FFC5CED8"/>
      </right>
      <top style="thin">
        <color rgb="FF9AA7B3"/>
      </top>
      <bottom style="thin">
        <color rgb="FFC5CED8"/>
      </bottom>
      <diagonal/>
    </border>
    <border>
      <left style="thin">
        <color rgb="FFC5CED8"/>
      </left>
      <right/>
      <top style="thin">
        <color rgb="FF9AA7B3"/>
      </top>
      <bottom style="thin">
        <color rgb="FFC5CED8"/>
      </bottom>
      <diagonal/>
    </border>
    <border>
      <left style="thin">
        <color rgb="FF9AA7B3"/>
      </left>
      <right style="thin">
        <color rgb="FF9AA7B3"/>
      </right>
      <top style="thin">
        <color rgb="FF9AA7B3"/>
      </top>
      <bottom/>
      <diagonal/>
    </border>
    <border>
      <left style="thin">
        <color rgb="FFB7B7B7"/>
      </left>
      <right/>
      <top/>
      <bottom/>
      <diagonal/>
    </border>
    <border>
      <left style="hair">
        <color rgb="FFD9D9D9"/>
      </left>
      <right/>
      <top/>
      <bottom/>
      <diagonal/>
    </border>
    <border>
      <left style="thin">
        <color rgb="FFDAD8D8"/>
      </left>
      <right/>
      <top style="thin">
        <color rgb="FFDAD8D8"/>
      </top>
      <bottom/>
      <diagonal/>
    </border>
    <border>
      <left style="thin">
        <color rgb="FFDAD8D8"/>
      </left>
      <right style="thin">
        <color rgb="FFDAD8D8"/>
      </right>
      <top style="thin">
        <color rgb="FFFFFFFF"/>
      </top>
      <bottom style="thin">
        <color rgb="FFFFFFFF"/>
      </bottom>
      <diagonal/>
    </border>
    <border>
      <left style="thin">
        <color rgb="FFC9B08A"/>
      </left>
      <right style="thin">
        <color rgb="FFC9B08A"/>
      </right>
      <top style="thin">
        <color rgb="FFFFFFFF"/>
      </top>
      <bottom style="thin">
        <color rgb="FFFFFFFF"/>
      </bottom>
      <diagonal/>
    </border>
  </borders>
  <cellStyleXfs count="3">
    <xf numFmtId="0" fontId="0" fillId="0" borderId="0"/>
    <xf numFmtId="0" fontId="2" fillId="0" borderId="0"/>
    <xf numFmtId="0" fontId="35" fillId="0" borderId="0"/>
  </cellStyleXfs>
  <cellXfs count="902">
    <xf numFmtId="0" fontId="0" fillId="0" borderId="0" xfId="0"/>
    <xf numFmtId="0" fontId="35" fillId="0" borderId="0" xfId="2"/>
    <xf numFmtId="0" fontId="35" fillId="29" borderId="0" xfId="2" applyFill="1"/>
    <xf numFmtId="0" fontId="35" fillId="27" borderId="0" xfId="2" applyFill="1"/>
    <xf numFmtId="0" fontId="4" fillId="29" borderId="46" xfId="2" applyFont="1" applyFill="1" applyBorder="1" applyAlignment="1">
      <alignment horizontal="left" vertical="center" indent="1"/>
    </xf>
    <xf numFmtId="0" fontId="47" fillId="30" borderId="47" xfId="2" applyFont="1" applyFill="1" applyBorder="1" applyAlignment="1">
      <alignment horizontal="left" vertical="center" indent="1"/>
    </xf>
    <xf numFmtId="0" fontId="48" fillId="32" borderId="46" xfId="2" applyFont="1" applyFill="1" applyBorder="1" applyAlignment="1">
      <alignment horizontal="left" vertical="center" indent="1"/>
    </xf>
    <xf numFmtId="0" fontId="49" fillId="33" borderId="48" xfId="2" applyFont="1" applyFill="1" applyBorder="1" applyAlignment="1">
      <alignment horizontal="left" vertical="center" indent="1"/>
    </xf>
    <xf numFmtId="0" fontId="49" fillId="33" borderId="49" xfId="2" applyFont="1" applyFill="1" applyBorder="1" applyAlignment="1">
      <alignment horizontal="left" vertical="center" indent="1"/>
    </xf>
    <xf numFmtId="0" fontId="35" fillId="34" borderId="0" xfId="2" applyFill="1"/>
    <xf numFmtId="0" fontId="50" fillId="31" borderId="46" xfId="2" applyFont="1" applyFill="1" applyBorder="1" applyAlignment="1">
      <alignment horizontal="left" vertical="center" indent="1"/>
    </xf>
    <xf numFmtId="0" fontId="51" fillId="31" borderId="47" xfId="2" applyFont="1" applyFill="1" applyBorder="1" applyAlignment="1">
      <alignment horizontal="left" vertical="center" indent="1"/>
    </xf>
    <xf numFmtId="0" fontId="35" fillId="28" borderId="0" xfId="2" applyFill="1"/>
    <xf numFmtId="0" fontId="45" fillId="27" borderId="37" xfId="2" applyFont="1" applyFill="1" applyBorder="1" applyAlignment="1">
      <alignment horizontal="center" vertical="center"/>
    </xf>
    <xf numFmtId="0" fontId="45" fillId="27" borderId="45" xfId="2" applyFont="1" applyFill="1" applyBorder="1" applyAlignment="1">
      <alignment horizontal="center" vertical="center"/>
    </xf>
    <xf numFmtId="0" fontId="45" fillId="27" borderId="43" xfId="2" applyFont="1" applyFill="1" applyBorder="1" applyAlignment="1">
      <alignment horizontal="center" vertical="center"/>
    </xf>
    <xf numFmtId="0" fontId="43" fillId="31" borderId="37" xfId="2" applyFont="1" applyFill="1" applyBorder="1" applyAlignment="1">
      <alignment horizontal="center" vertical="center"/>
    </xf>
    <xf numFmtId="164" fontId="41" fillId="31" borderId="0" xfId="2" applyNumberFormat="1" applyFont="1" applyFill="1" applyAlignment="1">
      <alignment horizontal="center" vertical="center"/>
    </xf>
    <xf numFmtId="0" fontId="40" fillId="28" borderId="36" xfId="2" applyFont="1" applyFill="1" applyBorder="1" applyAlignment="1">
      <alignment horizontal="center" vertical="center"/>
    </xf>
    <xf numFmtId="0" fontId="35" fillId="35" borderId="0" xfId="2" applyFill="1"/>
    <xf numFmtId="0" fontId="34" fillId="35" borderId="50" xfId="2" applyFont="1" applyFill="1" applyBorder="1" applyAlignment="1">
      <alignment horizontal="center" vertical="center"/>
    </xf>
    <xf numFmtId="164" fontId="34" fillId="35" borderId="51" xfId="2" applyNumberFormat="1" applyFont="1" applyFill="1" applyBorder="1" applyAlignment="1">
      <alignment horizontal="center" vertical="center"/>
    </xf>
    <xf numFmtId="3" fontId="34" fillId="35" borderId="51" xfId="2" applyNumberFormat="1" applyFont="1" applyFill="1" applyBorder="1" applyAlignment="1">
      <alignment horizontal="right" vertical="center"/>
    </xf>
    <xf numFmtId="0" fontId="34" fillId="35" borderId="51" xfId="2" applyFont="1" applyFill="1" applyBorder="1" applyAlignment="1">
      <alignment horizontal="left" vertical="center" indent="1"/>
    </xf>
    <xf numFmtId="0" fontId="34" fillId="35" borderId="52" xfId="2" applyFont="1" applyFill="1" applyBorder="1" applyAlignment="1">
      <alignment horizontal="center" vertical="center"/>
    </xf>
    <xf numFmtId="0" fontId="34" fillId="29" borderId="53" xfId="2" applyFont="1" applyFill="1" applyBorder="1" applyAlignment="1">
      <alignment horizontal="center" vertical="center"/>
    </xf>
    <xf numFmtId="164" fontId="34" fillId="29" borderId="54" xfId="2" applyNumberFormat="1" applyFont="1" applyFill="1" applyBorder="1" applyAlignment="1">
      <alignment horizontal="center" vertical="center"/>
    </xf>
    <xf numFmtId="3" fontId="34" fillId="29" borderId="54" xfId="2" applyNumberFormat="1" applyFont="1" applyFill="1" applyBorder="1" applyAlignment="1">
      <alignment horizontal="right" vertical="center"/>
    </xf>
    <xf numFmtId="0" fontId="34" fillId="29" borderId="54" xfId="2" applyFont="1" applyFill="1" applyBorder="1" applyAlignment="1">
      <alignment horizontal="left" vertical="center" indent="1"/>
    </xf>
    <xf numFmtId="0" fontId="34" fillId="29" borderId="55" xfId="2" applyFont="1" applyFill="1" applyBorder="1" applyAlignment="1">
      <alignment horizontal="center" vertical="center"/>
    </xf>
    <xf numFmtId="0" fontId="34" fillId="35" borderId="53" xfId="2" applyFont="1" applyFill="1" applyBorder="1" applyAlignment="1">
      <alignment horizontal="center" vertical="center"/>
    </xf>
    <xf numFmtId="164" fontId="34" fillId="35" borderId="54" xfId="2" applyNumberFormat="1" applyFont="1" applyFill="1" applyBorder="1" applyAlignment="1">
      <alignment horizontal="center" vertical="center"/>
    </xf>
    <xf numFmtId="3" fontId="34" fillId="35" borderId="54" xfId="2" applyNumberFormat="1" applyFont="1" applyFill="1" applyBorder="1" applyAlignment="1">
      <alignment horizontal="right" vertical="center"/>
    </xf>
    <xf numFmtId="0" fontId="34" fillId="35" borderId="54" xfId="2" applyFont="1" applyFill="1" applyBorder="1" applyAlignment="1">
      <alignment horizontal="left" vertical="center" indent="1"/>
    </xf>
    <xf numFmtId="0" fontId="34" fillId="35" borderId="55" xfId="2" applyFont="1" applyFill="1" applyBorder="1" applyAlignment="1">
      <alignment horizontal="center" vertical="center"/>
    </xf>
    <xf numFmtId="0" fontId="33" fillId="36" borderId="53" xfId="2" applyFont="1" applyFill="1" applyBorder="1" applyAlignment="1">
      <alignment horizontal="center" vertical="center"/>
    </xf>
    <xf numFmtId="164" fontId="33" fillId="36" borderId="54" xfId="2" applyNumberFormat="1" applyFont="1" applyFill="1" applyBorder="1" applyAlignment="1">
      <alignment horizontal="center" vertical="center"/>
    </xf>
    <xf numFmtId="3" fontId="33" fillId="36" borderId="54" xfId="2" applyNumberFormat="1" applyFont="1" applyFill="1" applyBorder="1" applyAlignment="1">
      <alignment horizontal="right" vertical="center"/>
    </xf>
    <xf numFmtId="0" fontId="56" fillId="36" borderId="54" xfId="2" applyFont="1" applyFill="1" applyBorder="1" applyAlignment="1">
      <alignment horizontal="left" vertical="center" indent="1"/>
    </xf>
    <xf numFmtId="0" fontId="33" fillId="36" borderId="55" xfId="2" applyFont="1" applyFill="1" applyBorder="1" applyAlignment="1">
      <alignment horizontal="center" vertical="center"/>
    </xf>
    <xf numFmtId="0" fontId="40" fillId="37" borderId="53" xfId="2" applyFont="1" applyFill="1" applyBorder="1" applyAlignment="1">
      <alignment horizontal="center" vertical="center"/>
    </xf>
    <xf numFmtId="164" fontId="40" fillId="37" borderId="54" xfId="2" applyNumberFormat="1" applyFont="1" applyFill="1" applyBorder="1" applyAlignment="1">
      <alignment horizontal="center" vertical="center"/>
    </xf>
    <xf numFmtId="3" fontId="40" fillId="37" borderId="54" xfId="2" applyNumberFormat="1" applyFont="1" applyFill="1" applyBorder="1" applyAlignment="1">
      <alignment horizontal="right" vertical="center"/>
    </xf>
    <xf numFmtId="0" fontId="54" fillId="37" borderId="54" xfId="2" applyFont="1" applyFill="1" applyBorder="1" applyAlignment="1">
      <alignment horizontal="left" vertical="center" indent="1"/>
    </xf>
    <xf numFmtId="0" fontId="40" fillId="37" borderId="55" xfId="2" applyFont="1" applyFill="1" applyBorder="1" applyAlignment="1">
      <alignment horizontal="center" vertical="center"/>
    </xf>
    <xf numFmtId="0" fontId="40" fillId="38" borderId="56" xfId="2" applyFont="1" applyFill="1" applyBorder="1" applyAlignment="1">
      <alignment horizontal="center" vertical="center"/>
    </xf>
    <xf numFmtId="164" fontId="40" fillId="38" borderId="57" xfId="2" applyNumberFormat="1" applyFont="1" applyFill="1" applyBorder="1" applyAlignment="1">
      <alignment horizontal="center" vertical="center"/>
    </xf>
    <xf numFmtId="3" fontId="40" fillId="38" borderId="57" xfId="2" applyNumberFormat="1" applyFont="1" applyFill="1" applyBorder="1" applyAlignment="1">
      <alignment horizontal="right" vertical="center"/>
    </xf>
    <xf numFmtId="0" fontId="54" fillId="38" borderId="57" xfId="2" applyFont="1" applyFill="1" applyBorder="1" applyAlignment="1">
      <alignment horizontal="left" vertical="center" indent="1"/>
    </xf>
    <xf numFmtId="0" fontId="40" fillId="38" borderId="58" xfId="2" applyFont="1" applyFill="1" applyBorder="1" applyAlignment="1">
      <alignment horizontal="center" vertical="center"/>
    </xf>
    <xf numFmtId="0" fontId="33" fillId="39" borderId="59" xfId="2" applyFont="1" applyFill="1" applyBorder="1" applyAlignment="1">
      <alignment horizontal="center" vertical="center"/>
    </xf>
    <xf numFmtId="0" fontId="33" fillId="39" borderId="59" xfId="2" applyFont="1" applyFill="1" applyBorder="1" applyAlignment="1">
      <alignment horizontal="left" vertical="center"/>
    </xf>
    <xf numFmtId="0" fontId="58" fillId="27" borderId="0" xfId="2" applyFont="1" applyFill="1" applyAlignment="1">
      <alignment horizontal="right" vertical="center"/>
    </xf>
    <xf numFmtId="0" fontId="60" fillId="0" borderId="0" xfId="2" applyFont="1"/>
    <xf numFmtId="0" fontId="60" fillId="25" borderId="0" xfId="2" applyFont="1" applyFill="1"/>
    <xf numFmtId="0" fontId="60" fillId="4" borderId="0" xfId="2" applyFont="1" applyFill="1"/>
    <xf numFmtId="3" fontId="55" fillId="28" borderId="61" xfId="2" applyNumberFormat="1" applyFont="1" applyFill="1" applyBorder="1" applyAlignment="1">
      <alignment horizontal="right" vertical="center"/>
    </xf>
    <xf numFmtId="0" fontId="35" fillId="30" borderId="0" xfId="2" applyFill="1"/>
    <xf numFmtId="14" fontId="8" fillId="0" borderId="0" xfId="2" applyNumberFormat="1" applyFont="1" applyAlignment="1">
      <alignment horizontal="center" vertical="center"/>
    </xf>
    <xf numFmtId="0" fontId="8" fillId="0" borderId="0" xfId="2" applyFont="1" applyAlignment="1">
      <alignment horizontal="center" vertical="center"/>
    </xf>
    <xf numFmtId="0" fontId="9" fillId="0" borderId="0" xfId="2" applyFont="1" applyAlignment="1">
      <alignment horizontal="center" vertical="center"/>
    </xf>
    <xf numFmtId="0" fontId="7" fillId="0" borderId="0" xfId="2" applyFont="1" applyAlignment="1">
      <alignment horizontal="center" vertical="center"/>
    </xf>
    <xf numFmtId="14" fontId="35" fillId="0" borderId="0" xfId="2" applyNumberFormat="1"/>
    <xf numFmtId="3" fontId="35" fillId="0" borderId="0" xfId="2" applyNumberFormat="1"/>
    <xf numFmtId="166" fontId="35" fillId="0" borderId="0" xfId="2" applyNumberFormat="1"/>
    <xf numFmtId="168" fontId="35" fillId="0" borderId="0" xfId="2" applyNumberFormat="1"/>
    <xf numFmtId="0" fontId="35" fillId="0" borderId="15" xfId="2" applyBorder="1"/>
    <xf numFmtId="0" fontId="35" fillId="0" borderId="14" xfId="2" applyBorder="1"/>
    <xf numFmtId="0" fontId="14" fillId="0" borderId="14" xfId="2" applyFont="1" applyBorder="1"/>
    <xf numFmtId="0" fontId="35" fillId="0" borderId="13" xfId="2" applyBorder="1"/>
    <xf numFmtId="0" fontId="14" fillId="0" borderId="0" xfId="2" applyFont="1"/>
    <xf numFmtId="0" fontId="35" fillId="0" borderId="18" xfId="2" applyBorder="1"/>
    <xf numFmtId="0" fontId="35" fillId="0" borderId="10" xfId="2" applyBorder="1"/>
    <xf numFmtId="0" fontId="14" fillId="0" borderId="10" xfId="2" applyFont="1" applyBorder="1" applyAlignment="1">
      <alignment horizontal="center"/>
    </xf>
    <xf numFmtId="0" fontId="35" fillId="0" borderId="10" xfId="2" applyBorder="1" applyAlignment="1">
      <alignment horizontal="center"/>
    </xf>
    <xf numFmtId="167" fontId="35" fillId="0" borderId="0" xfId="2" applyNumberFormat="1" applyAlignment="1">
      <alignment horizontal="left" vertical="center"/>
    </xf>
    <xf numFmtId="0" fontId="35" fillId="0" borderId="0" xfId="2" applyAlignment="1">
      <alignment vertical="center"/>
    </xf>
    <xf numFmtId="3" fontId="35" fillId="17" borderId="15" xfId="2" applyNumberFormat="1" applyFill="1" applyBorder="1" applyAlignment="1">
      <alignment horizontal="center"/>
    </xf>
    <xf numFmtId="3" fontId="14" fillId="17" borderId="14" xfId="2" applyNumberFormat="1" applyFont="1" applyFill="1" applyBorder="1" applyAlignment="1">
      <alignment horizontal="center"/>
    </xf>
    <xf numFmtId="4" fontId="35" fillId="17" borderId="14" xfId="2" applyNumberFormat="1" applyFill="1" applyBorder="1" applyAlignment="1">
      <alignment horizontal="center"/>
    </xf>
    <xf numFmtId="3" fontId="35" fillId="20" borderId="13" xfId="2" applyNumberFormat="1" applyFill="1" applyBorder="1" applyAlignment="1">
      <alignment horizontal="center"/>
    </xf>
    <xf numFmtId="3" fontId="14" fillId="20" borderId="0" xfId="2" applyNumberFormat="1" applyFont="1" applyFill="1" applyAlignment="1">
      <alignment horizontal="center"/>
    </xf>
    <xf numFmtId="4" fontId="35" fillId="20" borderId="0" xfId="2" applyNumberFormat="1" applyFill="1" applyAlignment="1">
      <alignment horizontal="center"/>
    </xf>
    <xf numFmtId="3" fontId="35" fillId="17" borderId="13" xfId="2" applyNumberFormat="1" applyFill="1" applyBorder="1" applyAlignment="1">
      <alignment horizontal="center"/>
    </xf>
    <xf numFmtId="3" fontId="14" fillId="17" borderId="0" xfId="2" applyNumberFormat="1" applyFont="1" applyFill="1" applyAlignment="1">
      <alignment horizontal="center"/>
    </xf>
    <xf numFmtId="4" fontId="35" fillId="17" borderId="0" xfId="2" applyNumberFormat="1" applyFill="1" applyAlignment="1">
      <alignment horizontal="center"/>
    </xf>
    <xf numFmtId="1" fontId="15" fillId="0" borderId="0" xfId="2" applyNumberFormat="1" applyFont="1" applyAlignment="1">
      <alignment horizontal="center" vertical="center"/>
    </xf>
    <xf numFmtId="0" fontId="13" fillId="5" borderId="11" xfId="2" applyFont="1" applyFill="1" applyBorder="1" applyAlignment="1">
      <alignment horizontal="center" vertical="center"/>
    </xf>
    <xf numFmtId="3" fontId="35" fillId="0" borderId="15" xfId="2" applyNumberFormat="1" applyBorder="1"/>
    <xf numFmtId="3" fontId="14" fillId="0" borderId="14" xfId="2" applyNumberFormat="1" applyFont="1" applyBorder="1"/>
    <xf numFmtId="0" fontId="35" fillId="0" borderId="13" xfId="2" applyBorder="1" applyAlignment="1">
      <alignment horizontal="center"/>
    </xf>
    <xf numFmtId="0" fontId="14" fillId="0" borderId="0" xfId="2" applyFont="1" applyAlignment="1">
      <alignment horizontal="center"/>
    </xf>
    <xf numFmtId="2" fontId="35" fillId="0" borderId="0" xfId="2" applyNumberFormat="1" applyAlignment="1">
      <alignment horizontal="center"/>
    </xf>
    <xf numFmtId="1" fontId="35" fillId="0" borderId="0" xfId="2" applyNumberFormat="1"/>
    <xf numFmtId="0" fontId="35" fillId="0" borderId="0" xfId="2" applyAlignment="1">
      <alignment horizontal="center"/>
    </xf>
    <xf numFmtId="0" fontId="35" fillId="0" borderId="16" xfId="2" applyBorder="1"/>
    <xf numFmtId="3" fontId="35" fillId="20" borderId="15" xfId="2" applyNumberFormat="1" applyFill="1" applyBorder="1" applyAlignment="1">
      <alignment horizontal="center"/>
    </xf>
    <xf numFmtId="3" fontId="14" fillId="20" borderId="14" xfId="2" applyNumberFormat="1" applyFont="1" applyFill="1" applyBorder="1" applyAlignment="1">
      <alignment horizontal="center"/>
    </xf>
    <xf numFmtId="4" fontId="35" fillId="20" borderId="14" xfId="2" applyNumberFormat="1" applyFill="1" applyBorder="1" applyAlignment="1">
      <alignment horizontal="center"/>
    </xf>
    <xf numFmtId="0" fontId="12" fillId="0" borderId="0" xfId="2" applyFont="1" applyAlignment="1">
      <alignment horizontal="left"/>
    </xf>
    <xf numFmtId="3" fontId="19" fillId="0" borderId="0" xfId="2" applyNumberFormat="1" applyFont="1" applyAlignment="1">
      <alignment horizontal="center" vertical="center"/>
    </xf>
    <xf numFmtId="49" fontId="19" fillId="0" borderId="0" xfId="2" applyNumberFormat="1" applyFont="1" applyAlignment="1">
      <alignment horizontal="left" vertical="center"/>
    </xf>
    <xf numFmtId="14" fontId="19" fillId="0" borderId="0" xfId="2" applyNumberFormat="1" applyFont="1" applyAlignment="1">
      <alignment horizontal="center" vertical="center"/>
    </xf>
    <xf numFmtId="0" fontId="35" fillId="15" borderId="2" xfId="2" applyFill="1" applyBorder="1" applyAlignment="1">
      <alignment horizontal="center" vertical="center"/>
    </xf>
    <xf numFmtId="3" fontId="35" fillId="19" borderId="4" xfId="2" applyNumberFormat="1" applyFill="1" applyBorder="1" applyAlignment="1">
      <alignment horizontal="center"/>
    </xf>
    <xf numFmtId="3" fontId="14" fillId="19" borderId="4" xfId="2" applyNumberFormat="1" applyFont="1" applyFill="1" applyBorder="1" applyAlignment="1">
      <alignment horizontal="center"/>
    </xf>
    <xf numFmtId="1" fontId="35" fillId="19" borderId="4" xfId="2" applyNumberFormat="1" applyFill="1" applyBorder="1" applyAlignment="1">
      <alignment horizontal="center"/>
    </xf>
    <xf numFmtId="0" fontId="35" fillId="19" borderId="4" xfId="2" applyFill="1" applyBorder="1" applyAlignment="1">
      <alignment horizontal="center"/>
    </xf>
    <xf numFmtId="168" fontId="35" fillId="19" borderId="4" xfId="2" applyNumberFormat="1" applyFill="1" applyBorder="1" applyAlignment="1">
      <alignment horizontal="center"/>
    </xf>
    <xf numFmtId="0" fontId="35" fillId="19" borderId="4" xfId="2" applyFill="1" applyBorder="1" applyAlignment="1">
      <alignment horizontal="left" vertical="center" wrapText="1"/>
    </xf>
    <xf numFmtId="1" fontId="15" fillId="0" borderId="4" xfId="2" applyNumberFormat="1" applyFont="1" applyBorder="1" applyAlignment="1">
      <alignment horizontal="center" vertical="center"/>
    </xf>
    <xf numFmtId="0" fontId="13" fillId="18" borderId="30" xfId="2" applyFont="1" applyFill="1" applyBorder="1" applyAlignment="1">
      <alignment horizontal="center" vertical="center"/>
    </xf>
    <xf numFmtId="168" fontId="13" fillId="18" borderId="30" xfId="2" applyNumberFormat="1" applyFont="1" applyFill="1" applyBorder="1" applyAlignment="1">
      <alignment horizontal="center" vertical="center"/>
    </xf>
    <xf numFmtId="0" fontId="13" fillId="18" borderId="30" xfId="2" applyFont="1" applyFill="1" applyBorder="1" applyAlignment="1">
      <alignment horizontal="left" vertical="center" wrapText="1"/>
    </xf>
    <xf numFmtId="0" fontId="35" fillId="0" borderId="0" xfId="2" applyAlignment="1">
      <alignment horizontal="left" vertical="center"/>
    </xf>
    <xf numFmtId="0" fontId="35" fillId="0" borderId="2" xfId="2" applyBorder="1"/>
    <xf numFmtId="0" fontId="8" fillId="0" borderId="0" xfId="2" applyFont="1"/>
    <xf numFmtId="14" fontId="8" fillId="0" borderId="0" xfId="2" applyNumberFormat="1" applyFont="1"/>
    <xf numFmtId="0" fontId="8" fillId="15" borderId="2" xfId="2" applyFont="1" applyFill="1" applyBorder="1" applyAlignment="1">
      <alignment vertical="center"/>
    </xf>
    <xf numFmtId="165" fontId="8" fillId="0" borderId="0" xfId="2" applyNumberFormat="1" applyFont="1" applyAlignment="1">
      <alignment horizontal="center" vertical="center"/>
    </xf>
    <xf numFmtId="167" fontId="15" fillId="0" borderId="4" xfId="2" applyNumberFormat="1" applyFont="1" applyBorder="1" applyAlignment="1">
      <alignment horizontal="center" vertical="center"/>
    </xf>
    <xf numFmtId="3" fontId="13" fillId="18" borderId="30" xfId="2" applyNumberFormat="1" applyFont="1" applyFill="1" applyBorder="1" applyAlignment="1">
      <alignment horizontal="center" vertical="center"/>
    </xf>
    <xf numFmtId="167" fontId="15" fillId="0" borderId="0" xfId="2" applyNumberFormat="1" applyFont="1" applyAlignment="1">
      <alignment horizontal="center" vertical="center"/>
    </xf>
    <xf numFmtId="0" fontId="67" fillId="0" borderId="0" xfId="2" applyFont="1"/>
    <xf numFmtId="14" fontId="72" fillId="0" borderId="0" xfId="2" applyNumberFormat="1" applyFont="1"/>
    <xf numFmtId="0" fontId="72" fillId="0" borderId="0" xfId="2" applyFont="1" applyAlignment="1">
      <alignment horizontal="center" vertical="center"/>
    </xf>
    <xf numFmtId="168" fontId="2" fillId="19" borderId="4" xfId="2" applyNumberFormat="1" applyFont="1" applyFill="1" applyBorder="1" applyAlignment="1">
      <alignment horizontal="center"/>
    </xf>
    <xf numFmtId="0" fontId="2" fillId="19" borderId="4" xfId="2" applyFont="1" applyFill="1" applyBorder="1" applyAlignment="1">
      <alignment horizontal="left" vertical="center" wrapText="1"/>
    </xf>
    <xf numFmtId="0" fontId="2" fillId="0" borderId="0" xfId="2" applyFont="1"/>
    <xf numFmtId="3" fontId="2" fillId="19" borderId="4" xfId="2" applyNumberFormat="1" applyFont="1" applyFill="1" applyBorder="1" applyAlignment="1">
      <alignment horizontal="center"/>
    </xf>
    <xf numFmtId="1" fontId="2" fillId="19" borderId="4" xfId="2" applyNumberFormat="1" applyFont="1" applyFill="1" applyBorder="1" applyAlignment="1">
      <alignment horizontal="center"/>
    </xf>
    <xf numFmtId="0" fontId="2" fillId="19" borderId="4" xfId="2" applyFont="1" applyFill="1" applyBorder="1" applyAlignment="1">
      <alignment horizontal="center"/>
    </xf>
    <xf numFmtId="168" fontId="2" fillId="0" borderId="0" xfId="2" applyNumberFormat="1" applyFont="1"/>
    <xf numFmtId="3" fontId="2" fillId="0" borderId="0" xfId="2" applyNumberFormat="1" applyFont="1"/>
    <xf numFmtId="1" fontId="2" fillId="0" borderId="0" xfId="2" applyNumberFormat="1" applyFont="1"/>
    <xf numFmtId="167" fontId="2" fillId="0" borderId="0" xfId="2" applyNumberFormat="1" applyFont="1" applyAlignment="1">
      <alignment horizontal="left" vertical="center"/>
    </xf>
    <xf numFmtId="3" fontId="77" fillId="52" borderId="30" xfId="2" applyNumberFormat="1" applyFont="1" applyFill="1" applyBorder="1" applyAlignment="1">
      <alignment horizontal="center" vertical="center"/>
    </xf>
    <xf numFmtId="0" fontId="76" fillId="50" borderId="3" xfId="2" applyFont="1" applyFill="1" applyBorder="1" applyAlignment="1">
      <alignment horizontal="center" vertical="center"/>
    </xf>
    <xf numFmtId="14" fontId="7" fillId="0" borderId="0" xfId="2" applyNumberFormat="1" applyFont="1" applyAlignment="1">
      <alignment horizontal="center" vertical="center"/>
    </xf>
    <xf numFmtId="14" fontId="78" fillId="0" borderId="0" xfId="2" applyNumberFormat="1" applyFont="1"/>
    <xf numFmtId="0" fontId="78" fillId="0" borderId="0" xfId="2" applyFont="1"/>
    <xf numFmtId="0" fontId="35" fillId="0" borderId="33" xfId="2" applyBorder="1"/>
    <xf numFmtId="0" fontId="24" fillId="0" borderId="33" xfId="2" applyFont="1" applyBorder="1" applyAlignment="1">
      <alignment horizontal="center"/>
    </xf>
    <xf numFmtId="0" fontId="23" fillId="0" borderId="16" xfId="2" applyFont="1" applyBorder="1"/>
    <xf numFmtId="170" fontId="35" fillId="0" borderId="12" xfId="2" applyNumberFormat="1" applyBorder="1"/>
    <xf numFmtId="170" fontId="35" fillId="0" borderId="32" xfId="2" applyNumberFormat="1" applyBorder="1"/>
    <xf numFmtId="3" fontId="23" fillId="0" borderId="32" xfId="2" applyNumberFormat="1" applyFont="1" applyBorder="1" applyAlignment="1">
      <alignment horizontal="center"/>
    </xf>
    <xf numFmtId="0" fontId="23" fillId="0" borderId="32" xfId="2" applyFont="1" applyBorder="1" applyAlignment="1">
      <alignment horizontal="center"/>
    </xf>
    <xf numFmtId="0" fontId="23" fillId="0" borderId="12" xfId="2" applyFont="1" applyBorder="1"/>
    <xf numFmtId="0" fontId="35" fillId="0" borderId="17" xfId="2" applyBorder="1"/>
    <xf numFmtId="0" fontId="35" fillId="0" borderId="31" xfId="2" applyBorder="1"/>
    <xf numFmtId="0" fontId="23" fillId="0" borderId="31" xfId="2" applyFont="1" applyBorder="1"/>
    <xf numFmtId="0" fontId="23" fillId="22" borderId="21" xfId="2" applyFont="1" applyFill="1" applyBorder="1" applyAlignment="1">
      <alignment horizontal="center"/>
    </xf>
    <xf numFmtId="0" fontId="23" fillId="22" borderId="21" xfId="2" applyFont="1" applyFill="1" applyBorder="1" applyAlignment="1">
      <alignment horizontal="center" vertical="center"/>
    </xf>
    <xf numFmtId="0" fontId="23" fillId="22" borderId="21" xfId="2" applyFont="1" applyFill="1" applyBorder="1" applyAlignment="1">
      <alignment horizontal="center" wrapText="1"/>
    </xf>
    <xf numFmtId="0" fontId="23" fillId="22" borderId="2" xfId="2" applyFont="1" applyFill="1" applyBorder="1" applyAlignment="1">
      <alignment horizontal="center" vertical="center"/>
    </xf>
    <xf numFmtId="0" fontId="23" fillId="0" borderId="14" xfId="2" applyFont="1" applyBorder="1" applyAlignment="1">
      <alignment horizontal="center"/>
    </xf>
    <xf numFmtId="0" fontId="23" fillId="0" borderId="33" xfId="2" applyFont="1" applyBorder="1" applyAlignment="1">
      <alignment horizontal="center"/>
    </xf>
    <xf numFmtId="170" fontId="23" fillId="0" borderId="0" xfId="2" applyNumberFormat="1" applyFont="1" applyAlignment="1">
      <alignment horizontal="center"/>
    </xf>
    <xf numFmtId="170" fontId="23" fillId="0" borderId="32" xfId="2" applyNumberFormat="1" applyFont="1" applyBorder="1" applyAlignment="1">
      <alignment horizontal="center"/>
    </xf>
    <xf numFmtId="0" fontId="23" fillId="0" borderId="0" xfId="2" applyFont="1"/>
    <xf numFmtId="0" fontId="23" fillId="22" borderId="20" xfId="2" applyFont="1" applyFill="1" applyBorder="1" applyAlignment="1">
      <alignment horizontal="center"/>
    </xf>
    <xf numFmtId="0" fontId="23" fillId="22" borderId="2" xfId="2" applyFont="1" applyFill="1" applyBorder="1" applyAlignment="1">
      <alignment horizontal="center"/>
    </xf>
    <xf numFmtId="170" fontId="35" fillId="0" borderId="2" xfId="2" applyNumberFormat="1" applyBorder="1"/>
    <xf numFmtId="0" fontId="23" fillId="0" borderId="2" xfId="2" applyFont="1" applyBorder="1" applyAlignment="1">
      <alignment horizontal="center"/>
    </xf>
    <xf numFmtId="0" fontId="23" fillId="0" borderId="19" xfId="2" applyFont="1" applyBorder="1" applyAlignment="1">
      <alignment horizontal="center"/>
    </xf>
    <xf numFmtId="0" fontId="23" fillId="0" borderId="19" xfId="2" applyFont="1" applyBorder="1"/>
    <xf numFmtId="0" fontId="23" fillId="0" borderId="2" xfId="2" applyFont="1" applyBorder="1"/>
    <xf numFmtId="0" fontId="23" fillId="0" borderId="0" xfId="2" applyFont="1" applyAlignment="1">
      <alignment horizontal="center"/>
    </xf>
    <xf numFmtId="0" fontId="24" fillId="0" borderId="0" xfId="2" applyFont="1" applyAlignment="1">
      <alignment horizontal="center"/>
    </xf>
    <xf numFmtId="0" fontId="24" fillId="0" borderId="2" xfId="2" applyFont="1" applyBorder="1" applyAlignment="1">
      <alignment horizontal="center"/>
    </xf>
    <xf numFmtId="170" fontId="23" fillId="0" borderId="19" xfId="2" applyNumberFormat="1" applyFont="1" applyBorder="1" applyAlignment="1">
      <alignment horizontal="center"/>
    </xf>
    <xf numFmtId="170" fontId="23" fillId="0" borderId="2" xfId="2" applyNumberFormat="1" applyFont="1" applyBorder="1" applyAlignment="1">
      <alignment horizontal="center"/>
    </xf>
    <xf numFmtId="0" fontId="23" fillId="22" borderId="19" xfId="2" applyFont="1" applyFill="1" applyBorder="1" applyAlignment="1">
      <alignment horizontal="center"/>
    </xf>
    <xf numFmtId="0" fontId="26" fillId="0" borderId="0" xfId="2" applyFont="1"/>
    <xf numFmtId="0" fontId="35" fillId="0" borderId="0" xfId="2" applyAlignment="1">
      <alignment horizontal="center" vertical="center"/>
    </xf>
    <xf numFmtId="0" fontId="35" fillId="0" borderId="0" xfId="2" applyAlignment="1">
      <alignment horizontal="center" vertical="center" wrapText="1"/>
    </xf>
    <xf numFmtId="0" fontId="23" fillId="0" borderId="15" xfId="2" applyFont="1" applyBorder="1" applyAlignment="1">
      <alignment horizontal="center"/>
    </xf>
    <xf numFmtId="170" fontId="23" fillId="0" borderId="13" xfId="2" applyNumberFormat="1" applyFont="1" applyBorder="1" applyAlignment="1">
      <alignment horizontal="center"/>
    </xf>
    <xf numFmtId="0" fontId="23" fillId="0" borderId="13" xfId="2" applyFont="1" applyBorder="1"/>
    <xf numFmtId="0" fontId="23" fillId="0" borderId="32" xfId="2" applyFont="1" applyBorder="1"/>
    <xf numFmtId="171" fontId="23" fillId="0" borderId="32" xfId="2" applyNumberFormat="1" applyFont="1" applyBorder="1" applyAlignment="1">
      <alignment horizontal="center"/>
    </xf>
    <xf numFmtId="0" fontId="24" fillId="0" borderId="32" xfId="2" applyFont="1" applyBorder="1" applyAlignment="1">
      <alignment horizontal="center"/>
    </xf>
    <xf numFmtId="0" fontId="23" fillId="22" borderId="21" xfId="2" applyFont="1" applyFill="1" applyBorder="1" applyAlignment="1">
      <alignment horizontal="center" vertical="center" wrapText="1"/>
    </xf>
    <xf numFmtId="0" fontId="35" fillId="0" borderId="2" xfId="2" applyBorder="1" applyAlignment="1">
      <alignment horizontal="center" vertical="center"/>
    </xf>
    <xf numFmtId="0" fontId="35" fillId="23" borderId="2" xfId="2" applyFill="1" applyBorder="1" applyAlignment="1">
      <alignment horizontal="center" vertical="center"/>
    </xf>
    <xf numFmtId="2" fontId="28" fillId="19" borderId="2" xfId="2" applyNumberFormat="1" applyFont="1" applyFill="1" applyBorder="1" applyAlignment="1">
      <alignment horizontal="center" vertical="center"/>
    </xf>
    <xf numFmtId="2" fontId="22" fillId="9" borderId="19" xfId="2" applyNumberFormat="1" applyFont="1" applyFill="1" applyBorder="1" applyAlignment="1">
      <alignment horizontal="center" vertical="center"/>
    </xf>
    <xf numFmtId="0" fontId="35" fillId="9" borderId="21" xfId="2" applyFill="1" applyBorder="1" applyAlignment="1">
      <alignment horizontal="center" vertical="center"/>
    </xf>
    <xf numFmtId="0" fontId="35" fillId="19" borderId="21" xfId="2" applyFill="1" applyBorder="1" applyAlignment="1">
      <alignment horizontal="center" vertical="center"/>
    </xf>
    <xf numFmtId="2" fontId="35" fillId="0" borderId="0" xfId="2" applyNumberFormat="1"/>
    <xf numFmtId="2" fontId="71" fillId="9" borderId="19" xfId="2" applyNumberFormat="1" applyFont="1" applyFill="1" applyBorder="1" applyAlignment="1">
      <alignment horizontal="center" vertical="center"/>
    </xf>
    <xf numFmtId="4" fontId="35" fillId="0" borderId="0" xfId="2" applyNumberFormat="1"/>
    <xf numFmtId="0" fontId="2" fillId="19" borderId="21" xfId="2" applyFont="1" applyFill="1" applyBorder="1" applyAlignment="1">
      <alignment horizontal="center" vertical="center"/>
    </xf>
    <xf numFmtId="4" fontId="22" fillId="9" borderId="19" xfId="2" applyNumberFormat="1" applyFont="1" applyFill="1" applyBorder="1" applyAlignment="1">
      <alignment horizontal="center" vertical="center"/>
    </xf>
    <xf numFmtId="0" fontId="18" fillId="0" borderId="0" xfId="2" applyFont="1"/>
    <xf numFmtId="2" fontId="18" fillId="0" borderId="0" xfId="2" applyNumberFormat="1" applyFont="1"/>
    <xf numFmtId="2" fontId="28" fillId="19" borderId="19" xfId="2" applyNumberFormat="1" applyFont="1" applyFill="1" applyBorder="1" applyAlignment="1">
      <alignment horizontal="center" vertical="center"/>
    </xf>
    <xf numFmtId="0" fontId="13" fillId="18" borderId="21" xfId="2" applyFont="1" applyFill="1" applyBorder="1" applyAlignment="1">
      <alignment horizontal="center" vertical="center"/>
    </xf>
    <xf numFmtId="0" fontId="27" fillId="0" borderId="0" xfId="2" applyFont="1" applyAlignment="1">
      <alignment vertical="center"/>
    </xf>
    <xf numFmtId="0" fontId="19" fillId="9" borderId="1" xfId="2" applyFont="1" applyFill="1" applyBorder="1" applyAlignment="1">
      <alignment horizontal="center"/>
    </xf>
    <xf numFmtId="3" fontId="19" fillId="9" borderId="1" xfId="2" applyNumberFormat="1" applyFont="1" applyFill="1" applyBorder="1" applyAlignment="1">
      <alignment horizontal="center"/>
    </xf>
    <xf numFmtId="172" fontId="19" fillId="9" borderId="1" xfId="2" applyNumberFormat="1" applyFont="1" applyFill="1" applyBorder="1" applyAlignment="1">
      <alignment horizontal="center"/>
    </xf>
    <xf numFmtId="164" fontId="19" fillId="9" borderId="1" xfId="2" applyNumberFormat="1" applyFont="1" applyFill="1" applyBorder="1" applyAlignment="1">
      <alignment horizontal="center"/>
    </xf>
    <xf numFmtId="0" fontId="19" fillId="9" borderId="1" xfId="2" applyFont="1" applyFill="1" applyBorder="1" applyAlignment="1">
      <alignment horizontal="left"/>
    </xf>
    <xf numFmtId="0" fontId="19" fillId="3" borderId="1" xfId="2" applyFont="1" applyFill="1" applyBorder="1" applyAlignment="1">
      <alignment horizontal="center"/>
    </xf>
    <xf numFmtId="3" fontId="19" fillId="3" borderId="1" xfId="2" applyNumberFormat="1" applyFont="1" applyFill="1" applyBorder="1" applyAlignment="1">
      <alignment horizontal="center"/>
    </xf>
    <xf numFmtId="172" fontId="19" fillId="3" borderId="1" xfId="2" applyNumberFormat="1" applyFont="1" applyFill="1" applyBorder="1" applyAlignment="1">
      <alignment horizontal="center"/>
    </xf>
    <xf numFmtId="164" fontId="19" fillId="3" borderId="1" xfId="2" applyNumberFormat="1" applyFont="1" applyFill="1" applyBorder="1" applyAlignment="1">
      <alignment horizontal="center"/>
    </xf>
    <xf numFmtId="0" fontId="19" fillId="3" borderId="1" xfId="2" applyFont="1" applyFill="1" applyBorder="1" applyAlignment="1">
      <alignment horizontal="left"/>
    </xf>
    <xf numFmtId="0" fontId="5" fillId="6" borderId="34" xfId="2" applyFont="1" applyFill="1" applyBorder="1" applyAlignment="1">
      <alignment horizontal="center"/>
    </xf>
    <xf numFmtId="3" fontId="30" fillId="7" borderId="1" xfId="2" applyNumberFormat="1" applyFont="1" applyFill="1" applyBorder="1"/>
    <xf numFmtId="0" fontId="6" fillId="7" borderId="1" xfId="2" applyFont="1" applyFill="1" applyBorder="1"/>
    <xf numFmtId="0" fontId="68" fillId="0" borderId="0" xfId="2" applyFont="1"/>
    <xf numFmtId="0" fontId="65" fillId="50" borderId="0" xfId="2" applyFont="1" applyFill="1" applyAlignment="1">
      <alignment horizontal="center"/>
    </xf>
    <xf numFmtId="4" fontId="32" fillId="0" borderId="35" xfId="2" applyNumberFormat="1" applyFont="1" applyBorder="1"/>
    <xf numFmtId="0" fontId="17" fillId="0" borderId="35" xfId="2" applyFont="1" applyBorder="1"/>
    <xf numFmtId="0" fontId="35" fillId="21" borderId="15" xfId="2" applyFill="1" applyBorder="1" applyAlignment="1">
      <alignment vertical="center"/>
    </xf>
    <xf numFmtId="0" fontId="35" fillId="21" borderId="16" xfId="2" applyFill="1" applyBorder="1" applyAlignment="1">
      <alignment vertical="center"/>
    </xf>
    <xf numFmtId="0" fontId="35" fillId="0" borderId="13" xfId="2" applyBorder="1" applyAlignment="1">
      <alignment vertical="center"/>
    </xf>
    <xf numFmtId="0" fontId="35" fillId="0" borderId="12" xfId="2" applyBorder="1" applyAlignment="1">
      <alignment vertical="center"/>
    </xf>
    <xf numFmtId="3" fontId="35" fillId="21" borderId="13" xfId="2" applyNumberFormat="1" applyFill="1" applyBorder="1" applyAlignment="1">
      <alignment vertical="center"/>
    </xf>
    <xf numFmtId="0" fontId="35" fillId="21" borderId="12" xfId="2" applyFill="1" applyBorder="1" applyAlignment="1">
      <alignment vertical="center"/>
    </xf>
    <xf numFmtId="0" fontId="35" fillId="0" borderId="18" xfId="2" applyBorder="1" applyAlignment="1">
      <alignment vertical="center"/>
    </xf>
    <xf numFmtId="0" fontId="35" fillId="0" borderId="17" xfId="2" applyBorder="1" applyAlignment="1">
      <alignment vertical="center"/>
    </xf>
    <xf numFmtId="0" fontId="16" fillId="18" borderId="21" xfId="2" applyFont="1" applyFill="1" applyBorder="1" applyAlignment="1">
      <alignment vertical="center"/>
    </xf>
    <xf numFmtId="0" fontId="16" fillId="18" borderId="19" xfId="2" applyFont="1" applyFill="1" applyBorder="1" applyAlignment="1">
      <alignment vertical="center"/>
    </xf>
    <xf numFmtId="0" fontId="80" fillId="29" borderId="0" xfId="2" applyFont="1" applyFill="1"/>
    <xf numFmtId="0" fontId="80" fillId="0" borderId="0" xfId="2" applyFont="1"/>
    <xf numFmtId="0" fontId="81" fillId="58" borderId="73" xfId="2" applyFont="1" applyFill="1" applyBorder="1" applyAlignment="1">
      <alignment horizontal="center" vertical="center"/>
    </xf>
    <xf numFmtId="3" fontId="81" fillId="58" borderId="73" xfId="2" applyNumberFormat="1" applyFont="1" applyFill="1" applyBorder="1" applyAlignment="1">
      <alignment horizontal="center" vertical="center"/>
    </xf>
    <xf numFmtId="0" fontId="86" fillId="44" borderId="74" xfId="2" applyFont="1" applyFill="1" applyBorder="1" applyAlignment="1">
      <alignment horizontal="center" vertical="center"/>
    </xf>
    <xf numFmtId="0" fontId="86" fillId="44" borderId="72" xfId="2" applyFont="1" applyFill="1" applyBorder="1" applyAlignment="1">
      <alignment horizontal="left" vertical="center"/>
    </xf>
    <xf numFmtId="174" fontId="86" fillId="44" borderId="72" xfId="2" applyNumberFormat="1" applyFont="1" applyFill="1" applyBorder="1" applyAlignment="1">
      <alignment horizontal="right" vertical="center"/>
    </xf>
    <xf numFmtId="0" fontId="87" fillId="55" borderId="75" xfId="2" applyFont="1" applyFill="1" applyBorder="1" applyAlignment="1">
      <alignment horizontal="center" vertical="center"/>
    </xf>
    <xf numFmtId="0" fontId="87" fillId="55" borderId="76" xfId="2" applyFont="1" applyFill="1" applyBorder="1" applyAlignment="1">
      <alignment horizontal="left" vertical="center"/>
    </xf>
    <xf numFmtId="174" fontId="87" fillId="55" borderId="76" xfId="2" applyNumberFormat="1" applyFont="1" applyFill="1" applyBorder="1" applyAlignment="1">
      <alignment horizontal="right" vertical="center"/>
    </xf>
    <xf numFmtId="0" fontId="88" fillId="56" borderId="77" xfId="2" applyFont="1" applyFill="1" applyBorder="1" applyAlignment="1">
      <alignment horizontal="center" vertical="center"/>
    </xf>
    <xf numFmtId="0" fontId="88" fillId="56" borderId="76" xfId="2" applyFont="1" applyFill="1" applyBorder="1" applyAlignment="1">
      <alignment horizontal="left" vertical="center"/>
    </xf>
    <xf numFmtId="174" fontId="88" fillId="56" borderId="76" xfId="2" applyNumberFormat="1" applyFont="1" applyFill="1" applyBorder="1" applyAlignment="1">
      <alignment horizontal="right" vertical="center"/>
    </xf>
    <xf numFmtId="0" fontId="84" fillId="59" borderId="78" xfId="2" applyFont="1" applyFill="1" applyBorder="1" applyAlignment="1">
      <alignment horizontal="center" vertical="center"/>
    </xf>
    <xf numFmtId="0" fontId="85" fillId="59" borderId="76" xfId="2" applyFont="1" applyFill="1" applyBorder="1" applyAlignment="1">
      <alignment horizontal="left" vertical="center"/>
    </xf>
    <xf numFmtId="174" fontId="83" fillId="59" borderId="76" xfId="2" applyNumberFormat="1" applyFont="1" applyFill="1" applyBorder="1" applyAlignment="1">
      <alignment horizontal="right" vertical="center"/>
    </xf>
    <xf numFmtId="0" fontId="84" fillId="29" borderId="78" xfId="2" applyFont="1" applyFill="1" applyBorder="1" applyAlignment="1">
      <alignment horizontal="center" vertical="center"/>
    </xf>
    <xf numFmtId="0" fontId="85" fillId="29" borderId="76" xfId="2" applyFont="1" applyFill="1" applyBorder="1" applyAlignment="1">
      <alignment horizontal="left" vertical="center"/>
    </xf>
    <xf numFmtId="174" fontId="83" fillId="29" borderId="76" xfId="2" applyNumberFormat="1" applyFont="1" applyFill="1" applyBorder="1" applyAlignment="1">
      <alignment horizontal="right" vertical="center"/>
    </xf>
    <xf numFmtId="0" fontId="81" fillId="58" borderId="79" xfId="2" applyFont="1" applyFill="1" applyBorder="1" applyAlignment="1">
      <alignment horizontal="center" vertical="center"/>
    </xf>
    <xf numFmtId="174" fontId="86" fillId="44" borderId="80" xfId="2" applyNumberFormat="1" applyFont="1" applyFill="1" applyBorder="1" applyAlignment="1">
      <alignment horizontal="right" vertical="center"/>
    </xf>
    <xf numFmtId="174" fontId="87" fillId="55" borderId="81" xfId="2" applyNumberFormat="1" applyFont="1" applyFill="1" applyBorder="1" applyAlignment="1">
      <alignment horizontal="right" vertical="center"/>
    </xf>
    <xf numFmtId="174" fontId="88" fillId="56" borderId="81" xfId="2" applyNumberFormat="1" applyFont="1" applyFill="1" applyBorder="1" applyAlignment="1">
      <alignment horizontal="right" vertical="center"/>
    </xf>
    <xf numFmtId="174" fontId="83" fillId="59" borderId="81" xfId="2" applyNumberFormat="1" applyFont="1" applyFill="1" applyBorder="1" applyAlignment="1">
      <alignment horizontal="right" vertical="center"/>
    </xf>
    <xf numFmtId="174" fontId="83" fillId="29" borderId="81" xfId="2" applyNumberFormat="1" applyFont="1" applyFill="1" applyBorder="1" applyAlignment="1">
      <alignment horizontal="right" vertical="center"/>
    </xf>
    <xf numFmtId="0" fontId="81" fillId="58" borderId="82" xfId="2" applyFont="1" applyFill="1" applyBorder="1" applyAlignment="1">
      <alignment horizontal="center" vertical="center"/>
    </xf>
    <xf numFmtId="174" fontId="86" fillId="44" borderId="83" xfId="2" applyNumberFormat="1" applyFont="1" applyFill="1" applyBorder="1" applyAlignment="1">
      <alignment horizontal="right" vertical="center"/>
    </xf>
    <xf numFmtId="174" fontId="87" fillId="55" borderId="84" xfId="2" applyNumberFormat="1" applyFont="1" applyFill="1" applyBorder="1" applyAlignment="1">
      <alignment horizontal="right" vertical="center"/>
    </xf>
    <xf numFmtId="174" fontId="88" fillId="56" borderId="84" xfId="2" applyNumberFormat="1" applyFont="1" applyFill="1" applyBorder="1" applyAlignment="1">
      <alignment horizontal="right" vertical="center"/>
    </xf>
    <xf numFmtId="174" fontId="82" fillId="59" borderId="84" xfId="2" applyNumberFormat="1" applyFont="1" applyFill="1" applyBorder="1" applyAlignment="1">
      <alignment horizontal="right" vertical="center"/>
    </xf>
    <xf numFmtId="174" fontId="82" fillId="29" borderId="84" xfId="2" applyNumberFormat="1" applyFont="1" applyFill="1" applyBorder="1" applyAlignment="1">
      <alignment horizontal="right" vertical="center"/>
    </xf>
    <xf numFmtId="0" fontId="79" fillId="60" borderId="85" xfId="2" applyFont="1" applyFill="1" applyBorder="1" applyAlignment="1">
      <alignment horizontal="center" vertical="center"/>
    </xf>
    <xf numFmtId="0" fontId="79" fillId="60" borderId="86" xfId="2" applyFont="1" applyFill="1" applyBorder="1" applyAlignment="1">
      <alignment horizontal="left" vertical="center"/>
    </xf>
    <xf numFmtId="174" fontId="79" fillId="60" borderId="86" xfId="2" applyNumberFormat="1" applyFont="1" applyFill="1" applyBorder="1" applyAlignment="1">
      <alignment horizontal="right" vertical="center"/>
    </xf>
    <xf numFmtId="174" fontId="79" fillId="60" borderId="87" xfId="2" applyNumberFormat="1" applyFont="1" applyFill="1" applyBorder="1" applyAlignment="1">
      <alignment horizontal="right" vertical="center"/>
    </xf>
    <xf numFmtId="174" fontId="79" fillId="60" borderId="88" xfId="2" applyNumberFormat="1" applyFont="1" applyFill="1" applyBorder="1" applyAlignment="1">
      <alignment horizontal="right" vertical="center"/>
    </xf>
    <xf numFmtId="0" fontId="89" fillId="57" borderId="89" xfId="2" applyFont="1" applyFill="1" applyBorder="1" applyAlignment="1">
      <alignment horizontal="center" vertical="center"/>
    </xf>
    <xf numFmtId="0" fontId="89" fillId="57" borderId="86" xfId="2" applyFont="1" applyFill="1" applyBorder="1" applyAlignment="1">
      <alignment horizontal="left" vertical="center"/>
    </xf>
    <xf numFmtId="174" fontId="89" fillId="57" borderId="86" xfId="2" applyNumberFormat="1" applyFont="1" applyFill="1" applyBorder="1" applyAlignment="1">
      <alignment horizontal="right" vertical="center"/>
    </xf>
    <xf numFmtId="174" fontId="89" fillId="57" borderId="87" xfId="2" applyNumberFormat="1" applyFont="1" applyFill="1" applyBorder="1" applyAlignment="1">
      <alignment horizontal="right" vertical="center"/>
    </xf>
    <xf numFmtId="174" fontId="90" fillId="57" borderId="88" xfId="2" applyNumberFormat="1" applyFont="1" applyFill="1" applyBorder="1" applyAlignment="1">
      <alignment horizontal="right" vertical="center"/>
    </xf>
    <xf numFmtId="0" fontId="91" fillId="56" borderId="93" xfId="2" applyFont="1" applyFill="1" applyBorder="1" applyAlignment="1">
      <alignment horizontal="center" vertical="center"/>
    </xf>
    <xf numFmtId="0" fontId="91" fillId="56" borderId="94" xfId="2" applyFont="1" applyFill="1" applyBorder="1" applyAlignment="1">
      <alignment horizontal="left" vertical="center"/>
    </xf>
    <xf numFmtId="174" fontId="91" fillId="56" borderId="94" xfId="2" applyNumberFormat="1" applyFont="1" applyFill="1" applyBorder="1" applyAlignment="1">
      <alignment horizontal="right" vertical="center"/>
    </xf>
    <xf numFmtId="174" fontId="91" fillId="56" borderId="95" xfId="2" applyNumberFormat="1" applyFont="1" applyFill="1" applyBorder="1" applyAlignment="1">
      <alignment horizontal="right" vertical="center"/>
    </xf>
    <xf numFmtId="174" fontId="92" fillId="56" borderId="96" xfId="2" applyNumberFormat="1" applyFont="1" applyFill="1" applyBorder="1" applyAlignment="1">
      <alignment horizontal="right" vertical="center"/>
    </xf>
    <xf numFmtId="0" fontId="93" fillId="61" borderId="97" xfId="2" applyFont="1" applyFill="1" applyBorder="1" applyAlignment="1">
      <alignment horizontal="center" vertical="center"/>
    </xf>
    <xf numFmtId="0" fontId="93" fillId="61" borderId="94" xfId="2" applyFont="1" applyFill="1" applyBorder="1" applyAlignment="1">
      <alignment horizontal="left" vertical="center"/>
    </xf>
    <xf numFmtId="174" fontId="93" fillId="61" borderId="94" xfId="2" applyNumberFormat="1" applyFont="1" applyFill="1" applyBorder="1" applyAlignment="1">
      <alignment horizontal="right" vertical="center"/>
    </xf>
    <xf numFmtId="174" fontId="93" fillId="61" borderId="95" xfId="2" applyNumberFormat="1" applyFont="1" applyFill="1" applyBorder="1" applyAlignment="1">
      <alignment horizontal="right" vertical="center"/>
    </xf>
    <xf numFmtId="174" fontId="94" fillId="61" borderId="96" xfId="2" applyNumberFormat="1" applyFont="1" applyFill="1" applyBorder="1" applyAlignment="1">
      <alignment horizontal="right" vertical="center"/>
    </xf>
    <xf numFmtId="0" fontId="95" fillId="62" borderId="98" xfId="2" applyFont="1" applyFill="1" applyBorder="1" applyAlignment="1">
      <alignment horizontal="center" vertical="center"/>
    </xf>
    <xf numFmtId="0" fontId="95" fillId="62" borderId="90" xfId="2" applyFont="1" applyFill="1" applyBorder="1" applyAlignment="1">
      <alignment horizontal="left" vertical="center"/>
    </xf>
    <xf numFmtId="174" fontId="95" fillId="62" borderId="90" xfId="2" applyNumberFormat="1" applyFont="1" applyFill="1" applyBorder="1" applyAlignment="1">
      <alignment horizontal="right" vertical="center"/>
    </xf>
    <xf numFmtId="174" fontId="95" fillId="62" borderId="91" xfId="2" applyNumberFormat="1" applyFont="1" applyFill="1" applyBorder="1" applyAlignment="1">
      <alignment horizontal="right" vertical="center"/>
    </xf>
    <xf numFmtId="174" fontId="96" fillId="62" borderId="92" xfId="2" applyNumberFormat="1" applyFont="1" applyFill="1" applyBorder="1" applyAlignment="1">
      <alignment horizontal="right" vertical="center"/>
    </xf>
    <xf numFmtId="0" fontId="97" fillId="59" borderId="99" xfId="2" applyFont="1" applyFill="1" applyBorder="1"/>
    <xf numFmtId="0" fontId="98" fillId="59" borderId="99" xfId="2" applyFont="1" applyFill="1" applyBorder="1"/>
    <xf numFmtId="0" fontId="102" fillId="30" borderId="47" xfId="2" applyFont="1" applyFill="1" applyBorder="1" applyAlignment="1">
      <alignment horizontal="left" vertical="center" indent="1"/>
    </xf>
    <xf numFmtId="0" fontId="103" fillId="29" borderId="46" xfId="2" applyFont="1" applyFill="1" applyBorder="1" applyAlignment="1">
      <alignment horizontal="left" vertical="center" indent="1"/>
    </xf>
    <xf numFmtId="0" fontId="105" fillId="44" borderId="101" xfId="2" applyFont="1" applyFill="1" applyBorder="1" applyAlignment="1">
      <alignment horizontal="left"/>
    </xf>
    <xf numFmtId="0" fontId="104" fillId="44" borderId="102" xfId="2" applyFont="1" applyFill="1" applyBorder="1" applyAlignment="1">
      <alignment horizontal="left"/>
    </xf>
    <xf numFmtId="0" fontId="47" fillId="30" borderId="103" xfId="2" applyFont="1" applyFill="1" applyBorder="1" applyAlignment="1">
      <alignment horizontal="left" vertical="center" indent="1"/>
    </xf>
    <xf numFmtId="0" fontId="105" fillId="64" borderId="104" xfId="2" applyFont="1" applyFill="1" applyBorder="1" applyAlignment="1">
      <alignment horizontal="left"/>
    </xf>
    <xf numFmtId="0" fontId="4" fillId="29" borderId="44" xfId="2" applyFont="1" applyFill="1" applyBorder="1" applyAlignment="1">
      <alignment horizontal="left" vertical="center" indent="1"/>
    </xf>
    <xf numFmtId="0" fontId="106" fillId="64" borderId="105" xfId="2" applyFont="1" applyFill="1" applyBorder="1" applyAlignment="1">
      <alignment horizontal="left"/>
    </xf>
    <xf numFmtId="14" fontId="65" fillId="43" borderId="106" xfId="2" applyNumberFormat="1" applyFont="1" applyFill="1" applyBorder="1" applyAlignment="1">
      <alignment horizontal="center" vertical="center"/>
    </xf>
    <xf numFmtId="0" fontId="65" fillId="43" borderId="107" xfId="2" applyFont="1" applyFill="1" applyBorder="1" applyAlignment="1">
      <alignment horizontal="center" vertical="center"/>
    </xf>
    <xf numFmtId="0" fontId="65" fillId="43" borderId="108" xfId="2" applyFont="1" applyFill="1" applyBorder="1" applyAlignment="1">
      <alignment horizontal="center" vertical="center"/>
    </xf>
    <xf numFmtId="14" fontId="107" fillId="29" borderId="109" xfId="2" applyNumberFormat="1" applyFont="1" applyFill="1" applyBorder="1" applyAlignment="1">
      <alignment horizontal="center" vertical="center"/>
    </xf>
    <xf numFmtId="49" fontId="107" fillId="29" borderId="109" xfId="2" applyNumberFormat="1" applyFont="1" applyFill="1" applyBorder="1" applyAlignment="1">
      <alignment horizontal="center" vertical="center"/>
    </xf>
    <xf numFmtId="3" fontId="107" fillId="29" borderId="109" xfId="2" applyNumberFormat="1" applyFont="1" applyFill="1" applyBorder="1" applyAlignment="1">
      <alignment horizontal="center" vertical="center"/>
    </xf>
    <xf numFmtId="14" fontId="107" fillId="29" borderId="0" xfId="2" applyNumberFormat="1" applyFont="1" applyFill="1" applyAlignment="1">
      <alignment horizontal="center" vertical="center"/>
    </xf>
    <xf numFmtId="49" fontId="107" fillId="29" borderId="0" xfId="2" applyNumberFormat="1" applyFont="1" applyFill="1" applyAlignment="1">
      <alignment horizontal="center" vertical="center"/>
    </xf>
    <xf numFmtId="3" fontId="107" fillId="29" borderId="0" xfId="2" applyNumberFormat="1" applyFont="1" applyFill="1" applyAlignment="1">
      <alignment horizontal="center" vertical="center"/>
    </xf>
    <xf numFmtId="14" fontId="107" fillId="0" borderId="0" xfId="0" applyNumberFormat="1" applyFont="1" applyAlignment="1">
      <alignment horizontal="center" vertical="center"/>
    </xf>
    <xf numFmtId="49" fontId="107" fillId="0" borderId="0" xfId="0" applyNumberFormat="1" applyFont="1" applyAlignment="1">
      <alignment horizontal="center" vertical="center"/>
    </xf>
    <xf numFmtId="3" fontId="107" fillId="0" borderId="0" xfId="0" applyNumberFormat="1" applyFont="1" applyAlignment="1">
      <alignment horizontal="center" vertical="center"/>
    </xf>
    <xf numFmtId="14" fontId="107" fillId="29" borderId="0" xfId="0" applyNumberFormat="1" applyFont="1" applyFill="1" applyAlignment="1">
      <alignment horizontal="center" vertical="center"/>
    </xf>
    <xf numFmtId="49" fontId="107" fillId="29" borderId="0" xfId="0" applyNumberFormat="1" applyFont="1" applyFill="1" applyAlignment="1">
      <alignment horizontal="center" vertical="center"/>
    </xf>
    <xf numFmtId="3" fontId="107" fillId="29" borderId="0" xfId="0" applyNumberFormat="1" applyFont="1" applyFill="1" applyAlignment="1">
      <alignment horizontal="center" vertical="center"/>
    </xf>
    <xf numFmtId="0" fontId="33" fillId="24" borderId="0" xfId="2" applyFont="1" applyFill="1" applyAlignment="1">
      <alignment horizontal="center" vertical="center"/>
    </xf>
    <xf numFmtId="0" fontId="0" fillId="29" borderId="0" xfId="0" applyFill="1"/>
    <xf numFmtId="0" fontId="112" fillId="27" borderId="111" xfId="2" applyFont="1" applyFill="1" applyBorder="1" applyAlignment="1">
      <alignment horizontal="center" vertical="center"/>
    </xf>
    <xf numFmtId="49" fontId="113" fillId="26" borderId="112" xfId="2" applyNumberFormat="1" applyFont="1" applyFill="1" applyBorder="1" applyAlignment="1">
      <alignment horizontal="left" vertical="center" indent="1"/>
    </xf>
    <xf numFmtId="0" fontId="112" fillId="27" borderId="113" xfId="2" applyFont="1" applyFill="1" applyBorder="1" applyAlignment="1">
      <alignment horizontal="center" vertical="center"/>
    </xf>
    <xf numFmtId="177" fontId="116" fillId="0" borderId="114" xfId="2" applyNumberFormat="1" applyFont="1" applyBorder="1" applyAlignment="1">
      <alignment horizontal="center" vertical="center"/>
    </xf>
    <xf numFmtId="0" fontId="112" fillId="27" borderId="117" xfId="2" applyFont="1" applyFill="1" applyBorder="1" applyAlignment="1">
      <alignment horizontal="center" vertical="center"/>
    </xf>
    <xf numFmtId="0" fontId="112" fillId="27" borderId="120" xfId="2" applyFont="1" applyFill="1" applyBorder="1" applyAlignment="1">
      <alignment horizontal="center" vertical="center"/>
    </xf>
    <xf numFmtId="175" fontId="114" fillId="26" borderId="121" xfId="2" applyNumberFormat="1" applyFont="1" applyFill="1" applyBorder="1" applyAlignment="1">
      <alignment horizontal="center" vertical="center"/>
    </xf>
    <xf numFmtId="176" fontId="114" fillId="26" borderId="119" xfId="2" applyNumberFormat="1" applyFont="1" applyFill="1" applyBorder="1" applyAlignment="1">
      <alignment horizontal="center" vertical="center"/>
    </xf>
    <xf numFmtId="49" fontId="113" fillId="9" borderId="122" xfId="2" applyNumberFormat="1" applyFont="1" applyFill="1" applyBorder="1" applyAlignment="1">
      <alignment horizontal="left" vertical="center" indent="1"/>
    </xf>
    <xf numFmtId="175" fontId="114" fillId="9" borderId="123" xfId="2" applyNumberFormat="1" applyFont="1" applyFill="1" applyBorder="1" applyAlignment="1">
      <alignment horizontal="center" vertical="center"/>
    </xf>
    <xf numFmtId="176" fontId="114" fillId="9" borderId="124" xfId="2" applyNumberFormat="1" applyFont="1" applyFill="1" applyBorder="1" applyAlignment="1">
      <alignment horizontal="center" vertical="center"/>
    </xf>
    <xf numFmtId="177" fontId="114" fillId="29" borderId="125" xfId="2" applyNumberFormat="1" applyFont="1" applyFill="1" applyBorder="1" applyAlignment="1">
      <alignment horizontal="center" vertical="center"/>
    </xf>
    <xf numFmtId="49" fontId="113" fillId="9" borderId="110" xfId="2" applyNumberFormat="1" applyFont="1" applyFill="1" applyBorder="1" applyAlignment="1">
      <alignment horizontal="left" vertical="center" indent="1"/>
    </xf>
    <xf numFmtId="175" fontId="114" fillId="9" borderId="126" xfId="2" applyNumberFormat="1" applyFont="1" applyFill="1" applyBorder="1" applyAlignment="1">
      <alignment horizontal="center" vertical="center"/>
    </xf>
    <xf numFmtId="176" fontId="114" fillId="9" borderId="127" xfId="2" applyNumberFormat="1" applyFont="1" applyFill="1" applyBorder="1" applyAlignment="1">
      <alignment horizontal="center" vertical="center"/>
    </xf>
    <xf numFmtId="177" fontId="114" fillId="29" borderId="128" xfId="2" applyNumberFormat="1" applyFont="1" applyFill="1" applyBorder="1" applyAlignment="1">
      <alignment horizontal="center" vertical="center"/>
    </xf>
    <xf numFmtId="49" fontId="113" fillId="26" borderId="110" xfId="2" applyNumberFormat="1" applyFont="1" applyFill="1" applyBorder="1" applyAlignment="1">
      <alignment horizontal="left" vertical="center" indent="1"/>
    </xf>
    <xf numFmtId="175" fontId="114" fillId="26" borderId="126" xfId="2" applyNumberFormat="1" applyFont="1" applyFill="1" applyBorder="1" applyAlignment="1">
      <alignment horizontal="center" vertical="center"/>
    </xf>
    <xf numFmtId="176" fontId="114" fillId="26" borderId="127" xfId="2" applyNumberFormat="1" applyFont="1" applyFill="1" applyBorder="1" applyAlignment="1">
      <alignment horizontal="center" vertical="center"/>
    </xf>
    <xf numFmtId="177" fontId="114" fillId="40" borderId="128" xfId="2" applyNumberFormat="1" applyFont="1" applyFill="1" applyBorder="1" applyAlignment="1">
      <alignment horizontal="center" vertical="center"/>
    </xf>
    <xf numFmtId="177" fontId="115" fillId="40" borderId="128" xfId="2" applyNumberFormat="1" applyFont="1" applyFill="1" applyBorder="1" applyAlignment="1">
      <alignment horizontal="center" vertical="center"/>
    </xf>
    <xf numFmtId="175" fontId="19" fillId="3" borderId="1" xfId="2" applyNumberFormat="1" applyFont="1" applyFill="1" applyBorder="1" applyAlignment="1">
      <alignment horizontal="center"/>
    </xf>
    <xf numFmtId="175" fontId="19" fillId="9" borderId="1" xfId="2" applyNumberFormat="1" applyFont="1" applyFill="1" applyBorder="1" applyAlignment="1">
      <alignment horizontal="center"/>
    </xf>
    <xf numFmtId="3" fontId="0" fillId="0" borderId="0" xfId="0" applyNumberFormat="1"/>
    <xf numFmtId="0" fontId="80" fillId="0" borderId="0" xfId="0" applyFont="1"/>
    <xf numFmtId="3" fontId="80" fillId="0" borderId="0" xfId="0" applyNumberFormat="1" applyFont="1"/>
    <xf numFmtId="0" fontId="120" fillId="50" borderId="138" xfId="2" applyFont="1" applyFill="1" applyBorder="1" applyAlignment="1">
      <alignment horizontal="center" vertical="center"/>
    </xf>
    <xf numFmtId="0" fontId="120" fillId="50" borderId="118" xfId="2" applyFont="1" applyFill="1" applyBorder="1" applyAlignment="1">
      <alignment horizontal="center" vertical="center"/>
    </xf>
    <xf numFmtId="0" fontId="120" fillId="50" borderId="139" xfId="2" applyFont="1" applyFill="1" applyBorder="1" applyAlignment="1">
      <alignment horizontal="center" vertical="center"/>
    </xf>
    <xf numFmtId="49" fontId="113" fillId="9" borderId="138" xfId="2" applyNumberFormat="1" applyFont="1" applyFill="1" applyBorder="1" applyAlignment="1">
      <alignment horizontal="left" vertical="center" indent="1"/>
    </xf>
    <xf numFmtId="3" fontId="114" fillId="9" borderId="118" xfId="2" applyNumberFormat="1" applyFont="1" applyFill="1" applyBorder="1" applyAlignment="1">
      <alignment horizontal="center" vertical="center"/>
    </xf>
    <xf numFmtId="164" fontId="114" fillId="9" borderId="118" xfId="2" applyNumberFormat="1" applyFont="1" applyFill="1" applyBorder="1" applyAlignment="1">
      <alignment horizontal="center" vertical="center"/>
    </xf>
    <xf numFmtId="49" fontId="114" fillId="9" borderId="118" xfId="2" applyNumberFormat="1" applyFont="1" applyFill="1" applyBorder="1" applyAlignment="1">
      <alignment horizontal="center" vertical="center"/>
    </xf>
    <xf numFmtId="49" fontId="113" fillId="26" borderId="138" xfId="2" applyNumberFormat="1" applyFont="1" applyFill="1" applyBorder="1" applyAlignment="1">
      <alignment horizontal="left" vertical="center" indent="1"/>
    </xf>
    <xf numFmtId="3" fontId="114" fillId="26" borderId="118" xfId="2" applyNumberFormat="1" applyFont="1" applyFill="1" applyBorder="1" applyAlignment="1">
      <alignment horizontal="center" vertical="center"/>
    </xf>
    <xf numFmtId="164" fontId="114" fillId="26" borderId="118" xfId="2" applyNumberFormat="1" applyFont="1" applyFill="1" applyBorder="1" applyAlignment="1">
      <alignment horizontal="center" vertical="center"/>
    </xf>
    <xf numFmtId="49" fontId="114" fillId="26" borderId="118" xfId="2" applyNumberFormat="1" applyFont="1" applyFill="1" applyBorder="1" applyAlignment="1">
      <alignment horizontal="center" vertical="center"/>
    </xf>
    <xf numFmtId="49" fontId="113" fillId="26" borderId="140" xfId="2" applyNumberFormat="1" applyFont="1" applyFill="1" applyBorder="1" applyAlignment="1">
      <alignment horizontal="left" vertical="center" indent="1"/>
    </xf>
    <xf numFmtId="3" fontId="114" fillId="26" borderId="141" xfId="2" applyNumberFormat="1" applyFont="1" applyFill="1" applyBorder="1" applyAlignment="1">
      <alignment horizontal="center" vertical="center"/>
    </xf>
    <xf numFmtId="164" fontId="114" fillId="26" borderId="141" xfId="2" applyNumberFormat="1" applyFont="1" applyFill="1" applyBorder="1" applyAlignment="1">
      <alignment horizontal="center" vertical="center"/>
    </xf>
    <xf numFmtId="49" fontId="114" fillId="26" borderId="141" xfId="2" applyNumberFormat="1" applyFont="1" applyFill="1" applyBorder="1" applyAlignment="1">
      <alignment horizontal="center" vertical="center"/>
    </xf>
    <xf numFmtId="0" fontId="128" fillId="27" borderId="150" xfId="2" applyFont="1" applyFill="1" applyBorder="1" applyAlignment="1">
      <alignment horizontal="center" vertical="center"/>
    </xf>
    <xf numFmtId="0" fontId="128" fillId="27" borderId="151" xfId="2" applyFont="1" applyFill="1" applyBorder="1" applyAlignment="1">
      <alignment horizontal="center" vertical="center"/>
    </xf>
    <xf numFmtId="0" fontId="128" fillId="27" borderId="152" xfId="2" applyFont="1" applyFill="1" applyBorder="1" applyAlignment="1">
      <alignment horizontal="center" vertical="center"/>
    </xf>
    <xf numFmtId="0" fontId="133" fillId="68" borderId="153" xfId="2" applyFont="1" applyFill="1" applyBorder="1" applyAlignment="1">
      <alignment horizontal="left" vertical="center" indent="1"/>
    </xf>
    <xf numFmtId="0" fontId="132" fillId="68" borderId="154" xfId="2" applyFont="1" applyFill="1" applyBorder="1" applyAlignment="1">
      <alignment horizontal="center" vertical="center"/>
    </xf>
    <xf numFmtId="3" fontId="133" fillId="68" borderId="154" xfId="2" applyNumberFormat="1" applyFont="1" applyFill="1" applyBorder="1" applyAlignment="1">
      <alignment horizontal="center" vertical="center"/>
    </xf>
    <xf numFmtId="0" fontId="134" fillId="68" borderId="155" xfId="2" applyFont="1" applyFill="1" applyBorder="1" applyAlignment="1">
      <alignment horizontal="center" vertical="center"/>
    </xf>
    <xf numFmtId="0" fontId="133" fillId="69" borderId="153" xfId="2" applyFont="1" applyFill="1" applyBorder="1" applyAlignment="1">
      <alignment horizontal="left" vertical="center" indent="1"/>
    </xf>
    <xf numFmtId="0" fontId="132" fillId="69" borderId="154" xfId="2" applyFont="1" applyFill="1" applyBorder="1" applyAlignment="1">
      <alignment horizontal="center" vertical="center"/>
    </xf>
    <xf numFmtId="3" fontId="133" fillId="69" borderId="154" xfId="2" applyNumberFormat="1" applyFont="1" applyFill="1" applyBorder="1" applyAlignment="1">
      <alignment horizontal="center" vertical="center"/>
    </xf>
    <xf numFmtId="0" fontId="134" fillId="69" borderId="155" xfId="2" applyFont="1" applyFill="1" applyBorder="1" applyAlignment="1">
      <alignment horizontal="center" vertical="center"/>
    </xf>
    <xf numFmtId="0" fontId="133" fillId="69" borderId="156" xfId="2" applyFont="1" applyFill="1" applyBorder="1" applyAlignment="1">
      <alignment horizontal="left" vertical="center" indent="1"/>
    </xf>
    <xf numFmtId="0" fontId="132" fillId="69" borderId="157" xfId="2" applyFont="1" applyFill="1" applyBorder="1" applyAlignment="1">
      <alignment horizontal="center" vertical="center"/>
    </xf>
    <xf numFmtId="3" fontId="133" fillId="69" borderId="157" xfId="2" applyNumberFormat="1" applyFont="1" applyFill="1" applyBorder="1" applyAlignment="1">
      <alignment horizontal="center" vertical="center"/>
    </xf>
    <xf numFmtId="0" fontId="134" fillId="69" borderId="158" xfId="2" applyFont="1" applyFill="1" applyBorder="1" applyAlignment="1">
      <alignment horizontal="center" vertical="center"/>
    </xf>
    <xf numFmtId="0" fontId="133" fillId="68" borderId="159" xfId="2" applyFont="1" applyFill="1" applyBorder="1" applyAlignment="1">
      <alignment horizontal="left" vertical="center" indent="1"/>
    </xf>
    <xf numFmtId="0" fontId="132" fillId="68" borderId="160" xfId="2" applyFont="1" applyFill="1" applyBorder="1" applyAlignment="1">
      <alignment horizontal="center" vertical="center"/>
    </xf>
    <xf numFmtId="3" fontId="133" fillId="68" borderId="160" xfId="2" applyNumberFormat="1" applyFont="1" applyFill="1" applyBorder="1" applyAlignment="1">
      <alignment horizontal="center" vertical="center"/>
    </xf>
    <xf numFmtId="0" fontId="134" fillId="68" borderId="161" xfId="2" applyFont="1" applyFill="1" applyBorder="1" applyAlignment="1">
      <alignment horizontal="center" vertical="center"/>
    </xf>
    <xf numFmtId="0" fontId="133" fillId="69" borderId="162" xfId="2" applyFont="1" applyFill="1" applyBorder="1" applyAlignment="1">
      <alignment horizontal="left" vertical="center" indent="1"/>
    </xf>
    <xf numFmtId="0" fontId="132" fillId="69" borderId="163" xfId="2" applyFont="1" applyFill="1" applyBorder="1" applyAlignment="1">
      <alignment horizontal="center" vertical="center"/>
    </xf>
    <xf numFmtId="3" fontId="133" fillId="69" borderId="163" xfId="2" applyNumberFormat="1" applyFont="1" applyFill="1" applyBorder="1" applyAlignment="1">
      <alignment horizontal="center" vertical="center"/>
    </xf>
    <xf numFmtId="0" fontId="134" fillId="69" borderId="164" xfId="2" applyFont="1" applyFill="1" applyBorder="1" applyAlignment="1">
      <alignment horizontal="center" vertical="center"/>
    </xf>
    <xf numFmtId="0" fontId="133" fillId="69" borderId="165" xfId="2" applyFont="1" applyFill="1" applyBorder="1" applyAlignment="1">
      <alignment horizontal="left" vertical="center" indent="1"/>
    </xf>
    <xf numFmtId="0" fontId="132" fillId="69" borderId="166" xfId="2" applyFont="1" applyFill="1" applyBorder="1" applyAlignment="1">
      <alignment horizontal="center" vertical="center"/>
    </xf>
    <xf numFmtId="3" fontId="133" fillId="69" borderId="166" xfId="2" applyNumberFormat="1" applyFont="1" applyFill="1" applyBorder="1" applyAlignment="1">
      <alignment horizontal="center" vertical="center"/>
    </xf>
    <xf numFmtId="0" fontId="134" fillId="69" borderId="167" xfId="2" applyFont="1" applyFill="1" applyBorder="1" applyAlignment="1">
      <alignment horizontal="center" vertical="center"/>
    </xf>
    <xf numFmtId="0" fontId="125" fillId="0" borderId="0" xfId="2" applyFont="1"/>
    <xf numFmtId="166" fontId="125" fillId="0" borderId="0" xfId="2" applyNumberFormat="1" applyFont="1"/>
    <xf numFmtId="168" fontId="125" fillId="0" borderId="0" xfId="2" applyNumberFormat="1" applyFont="1"/>
    <xf numFmtId="167" fontId="125" fillId="0" borderId="4" xfId="2" applyNumberFormat="1" applyFont="1" applyBorder="1" applyAlignment="1">
      <alignment horizontal="center"/>
    </xf>
    <xf numFmtId="0" fontId="125" fillId="0" borderId="4" xfId="2" applyFont="1" applyBorder="1" applyAlignment="1">
      <alignment horizontal="left" vertical="center" wrapText="1"/>
    </xf>
    <xf numFmtId="168" fontId="125" fillId="0" borderId="4" xfId="2" applyNumberFormat="1" applyFont="1" applyBorder="1"/>
    <xf numFmtId="0" fontId="125" fillId="0" borderId="4" xfId="2" applyFont="1" applyBorder="1"/>
    <xf numFmtId="0" fontId="136" fillId="0" borderId="4" xfId="2" applyFont="1" applyBorder="1"/>
    <xf numFmtId="166" fontId="125" fillId="0" borderId="4" xfId="2" applyNumberFormat="1" applyFont="1" applyBorder="1"/>
    <xf numFmtId="0" fontId="125" fillId="0" borderId="4" xfId="2" applyFont="1" applyBorder="1" applyAlignment="1">
      <alignment horizontal="center"/>
    </xf>
    <xf numFmtId="0" fontId="136" fillId="0" borderId="4" xfId="2" applyFont="1" applyBorder="1" applyAlignment="1">
      <alignment horizontal="center"/>
    </xf>
    <xf numFmtId="167" fontId="125" fillId="0" borderId="4" xfId="2" applyNumberFormat="1" applyFont="1" applyBorder="1"/>
    <xf numFmtId="167" fontId="141" fillId="29" borderId="4" xfId="2" applyNumberFormat="1" applyFont="1" applyFill="1" applyBorder="1" applyAlignment="1">
      <alignment horizontal="left" vertical="center"/>
    </xf>
    <xf numFmtId="168" fontId="138" fillId="50" borderId="4" xfId="2" applyNumberFormat="1" applyFont="1" applyFill="1" applyBorder="1" applyAlignment="1">
      <alignment horizontal="center" vertical="center"/>
    </xf>
    <xf numFmtId="0" fontId="138" fillId="50" borderId="4" xfId="2" applyFont="1" applyFill="1" applyBorder="1" applyAlignment="1">
      <alignment horizontal="center" vertical="center"/>
    </xf>
    <xf numFmtId="0" fontId="138" fillId="50" borderId="4" xfId="2" applyFont="1" applyFill="1" applyBorder="1" applyAlignment="1">
      <alignment horizontal="left" vertical="center"/>
    </xf>
    <xf numFmtId="0" fontId="141" fillId="52" borderId="4" xfId="2" applyFont="1" applyFill="1" applyBorder="1" applyAlignment="1">
      <alignment horizontal="left" vertical="center" wrapText="1"/>
    </xf>
    <xf numFmtId="168" fontId="141" fillId="52" borderId="4" xfId="2" applyNumberFormat="1" applyFont="1" applyFill="1" applyBorder="1" applyAlignment="1">
      <alignment horizontal="center"/>
    </xf>
    <xf numFmtId="3" fontId="141" fillId="52" borderId="4" xfId="2" applyNumberFormat="1" applyFont="1" applyFill="1" applyBorder="1" applyAlignment="1">
      <alignment horizontal="center"/>
    </xf>
    <xf numFmtId="0" fontId="141" fillId="52" borderId="4" xfId="2" applyFont="1" applyFill="1" applyBorder="1" applyAlignment="1">
      <alignment horizontal="center"/>
    </xf>
    <xf numFmtId="1" fontId="141" fillId="52" borderId="4" xfId="2" applyNumberFormat="1" applyFont="1" applyFill="1" applyBorder="1" applyAlignment="1">
      <alignment horizontal="center"/>
    </xf>
    <xf numFmtId="3" fontId="135" fillId="52" borderId="4" xfId="2" applyNumberFormat="1" applyFont="1" applyFill="1" applyBorder="1" applyAlignment="1">
      <alignment horizontal="center"/>
    </xf>
    <xf numFmtId="1" fontId="141" fillId="29" borderId="4" xfId="2" applyNumberFormat="1" applyFont="1" applyFill="1" applyBorder="1" applyAlignment="1">
      <alignment horizontal="left" vertical="center"/>
    </xf>
    <xf numFmtId="166" fontId="141" fillId="29" borderId="4" xfId="2" applyNumberFormat="1" applyFont="1" applyFill="1" applyBorder="1" applyAlignment="1">
      <alignment horizontal="left" vertical="center"/>
    </xf>
    <xf numFmtId="3" fontId="138" fillId="50" borderId="4" xfId="2" applyNumberFormat="1" applyFont="1" applyFill="1" applyBorder="1" applyAlignment="1">
      <alignment horizontal="center" vertical="center"/>
    </xf>
    <xf numFmtId="1" fontId="138" fillId="50" borderId="4" xfId="2" applyNumberFormat="1" applyFont="1" applyFill="1" applyBorder="1" applyAlignment="1">
      <alignment horizontal="center" vertical="center"/>
    </xf>
    <xf numFmtId="169" fontId="138" fillId="50" borderId="4" xfId="2" applyNumberFormat="1" applyFont="1" applyFill="1" applyBorder="1" applyAlignment="1">
      <alignment horizontal="center" vertical="center"/>
    </xf>
    <xf numFmtId="0" fontId="141" fillId="29" borderId="4" xfId="2" applyFont="1" applyFill="1" applyBorder="1" applyAlignment="1">
      <alignment horizontal="left" vertical="center"/>
    </xf>
    <xf numFmtId="0" fontId="135" fillId="0" borderId="4" xfId="2" applyFont="1" applyBorder="1" applyAlignment="1">
      <alignment horizontal="center"/>
    </xf>
    <xf numFmtId="167" fontId="141" fillId="0" borderId="4" xfId="2" applyNumberFormat="1" applyFont="1" applyBorder="1" applyAlignment="1">
      <alignment horizontal="left" vertical="center"/>
    </xf>
    <xf numFmtId="0" fontId="141" fillId="0" borderId="4" xfId="2" applyFont="1" applyBorder="1" applyAlignment="1">
      <alignment horizontal="left" vertical="center" wrapText="1"/>
    </xf>
    <xf numFmtId="168" fontId="141" fillId="0" borderId="4" xfId="2" applyNumberFormat="1" applyFont="1" applyBorder="1" applyAlignment="1">
      <alignment horizontal="center"/>
    </xf>
    <xf numFmtId="0" fontId="141" fillId="0" borderId="4" xfId="2" applyFont="1" applyBorder="1" applyAlignment="1">
      <alignment horizontal="center"/>
    </xf>
    <xf numFmtId="166" fontId="141" fillId="0" borderId="4" xfId="2" applyNumberFormat="1" applyFont="1" applyBorder="1" applyAlignment="1">
      <alignment horizontal="left" vertical="center"/>
    </xf>
    <xf numFmtId="14" fontId="146" fillId="21" borderId="2" xfId="2" applyNumberFormat="1" applyFont="1" applyFill="1" applyBorder="1" applyAlignment="1">
      <alignment horizontal="center" vertical="center"/>
    </xf>
    <xf numFmtId="14" fontId="146" fillId="0" borderId="2" xfId="2" applyNumberFormat="1" applyFont="1" applyBorder="1" applyAlignment="1">
      <alignment horizontal="center" vertical="center"/>
    </xf>
    <xf numFmtId="1" fontId="146" fillId="21" borderId="2" xfId="2" applyNumberFormat="1" applyFont="1" applyFill="1" applyBorder="1" applyAlignment="1">
      <alignment horizontal="center" vertical="center"/>
    </xf>
    <xf numFmtId="3" fontId="146" fillId="21" borderId="2" xfId="2" applyNumberFormat="1" applyFont="1" applyFill="1" applyBorder="1" applyAlignment="1">
      <alignment horizontal="center" vertical="center"/>
    </xf>
    <xf numFmtId="1" fontId="146" fillId="0" borderId="2" xfId="2" applyNumberFormat="1" applyFont="1" applyBorder="1" applyAlignment="1">
      <alignment horizontal="center" vertical="center"/>
    </xf>
    <xf numFmtId="0" fontId="124" fillId="16" borderId="2" xfId="2" applyFont="1" applyFill="1" applyBorder="1" applyAlignment="1">
      <alignment horizontal="left" vertical="center"/>
    </xf>
    <xf numFmtId="0" fontId="111" fillId="21" borderId="25" xfId="2" applyFont="1" applyFill="1" applyBorder="1" applyAlignment="1">
      <alignment horizontal="left" vertical="center"/>
    </xf>
    <xf numFmtId="3" fontId="147" fillId="21" borderId="26" xfId="2" applyNumberFormat="1" applyFont="1" applyFill="1" applyBorder="1" applyAlignment="1">
      <alignment horizontal="left" vertical="center"/>
    </xf>
    <xf numFmtId="0" fontId="110" fillId="21" borderId="6" xfId="2" applyFont="1" applyFill="1" applyBorder="1" applyAlignment="1">
      <alignment horizontal="left" vertical="center"/>
    </xf>
    <xf numFmtId="0" fontId="148" fillId="21" borderId="5" xfId="2" applyFont="1" applyFill="1" applyBorder="1" applyAlignment="1">
      <alignment horizontal="left" vertical="center"/>
    </xf>
    <xf numFmtId="0" fontId="149" fillId="21" borderId="7" xfId="2" applyFont="1" applyFill="1" applyBorder="1" applyAlignment="1">
      <alignment horizontal="left" vertical="center"/>
    </xf>
    <xf numFmtId="0" fontId="148" fillId="21" borderId="8" xfId="2" applyFont="1" applyFill="1" applyBorder="1" applyAlignment="1">
      <alignment horizontal="left" vertical="center"/>
    </xf>
    <xf numFmtId="0" fontId="125" fillId="0" borderId="0" xfId="2" applyFont="1" applyAlignment="1">
      <alignment vertical="center"/>
    </xf>
    <xf numFmtId="14" fontId="125" fillId="0" borderId="0" xfId="2" applyNumberFormat="1" applyFont="1" applyAlignment="1">
      <alignment vertical="center"/>
    </xf>
    <xf numFmtId="0" fontId="79" fillId="16" borderId="22" xfId="2" applyFont="1" applyFill="1" applyBorder="1" applyAlignment="1">
      <alignment horizontal="center" vertical="center"/>
    </xf>
    <xf numFmtId="0" fontId="124" fillId="16" borderId="22" xfId="2" applyFont="1" applyFill="1" applyBorder="1" applyAlignment="1">
      <alignment horizontal="center" vertical="center"/>
    </xf>
    <xf numFmtId="3" fontId="147" fillId="21" borderId="23" xfId="2" applyNumberFormat="1" applyFont="1" applyFill="1" applyBorder="1" applyAlignment="1">
      <alignment horizontal="center" vertical="center"/>
    </xf>
    <xf numFmtId="164" fontId="147" fillId="21" borderId="24" xfId="2" applyNumberFormat="1" applyFont="1" applyFill="1" applyBorder="1" applyAlignment="1">
      <alignment horizontal="center" vertical="center"/>
    </xf>
    <xf numFmtId="0" fontId="150" fillId="0" borderId="0" xfId="2" applyFont="1" applyAlignment="1">
      <alignment vertical="center"/>
    </xf>
    <xf numFmtId="0" fontId="81" fillId="16" borderId="22" xfId="2" applyFont="1" applyFill="1" applyBorder="1" applyAlignment="1">
      <alignment horizontal="center" vertical="center"/>
    </xf>
    <xf numFmtId="0" fontId="119" fillId="16" borderId="22" xfId="2" applyFont="1" applyFill="1" applyBorder="1" applyAlignment="1">
      <alignment horizontal="center" vertical="center"/>
    </xf>
    <xf numFmtId="0" fontId="81" fillId="16" borderId="9" xfId="2" applyFont="1" applyFill="1" applyBorder="1" applyAlignment="1">
      <alignment horizontal="center" vertical="center"/>
    </xf>
    <xf numFmtId="0" fontId="119" fillId="16" borderId="2" xfId="2" applyFont="1" applyFill="1" applyBorder="1" applyAlignment="1">
      <alignment horizontal="center" vertical="center"/>
    </xf>
    <xf numFmtId="3" fontId="151" fillId="21" borderId="23" xfId="2" applyNumberFormat="1" applyFont="1" applyFill="1" applyBorder="1" applyAlignment="1">
      <alignment horizontal="center" vertical="center"/>
    </xf>
    <xf numFmtId="164" fontId="151" fillId="21" borderId="24" xfId="2" applyNumberFormat="1" applyFont="1" applyFill="1" applyBorder="1" applyAlignment="1">
      <alignment horizontal="center" vertical="center"/>
    </xf>
    <xf numFmtId="14" fontId="81" fillId="16" borderId="2" xfId="2" applyNumberFormat="1" applyFont="1" applyFill="1" applyBorder="1" applyAlignment="1">
      <alignment horizontal="center" vertical="center"/>
    </xf>
    <xf numFmtId="0" fontId="81" fillId="16" borderId="2" xfId="2" applyFont="1" applyFill="1" applyBorder="1" applyAlignment="1">
      <alignment horizontal="center" vertical="center"/>
    </xf>
    <xf numFmtId="0" fontId="81" fillId="16" borderId="21" xfId="2" applyFont="1" applyFill="1" applyBorder="1" applyAlignment="1">
      <alignment horizontal="center" vertical="center"/>
    </xf>
    <xf numFmtId="3" fontId="152" fillId="21" borderId="2" xfId="2" applyNumberFormat="1" applyFont="1" applyFill="1" applyBorder="1" applyAlignment="1">
      <alignment horizontal="center" vertical="center"/>
    </xf>
    <xf numFmtId="0" fontId="148" fillId="0" borderId="21" xfId="2" applyFont="1" applyBorder="1" applyAlignment="1">
      <alignment horizontal="left" vertical="center" wrapText="1"/>
    </xf>
    <xf numFmtId="0" fontId="125" fillId="0" borderId="2" xfId="2" applyFont="1" applyBorder="1" applyAlignment="1">
      <alignment vertical="center"/>
    </xf>
    <xf numFmtId="0" fontId="148" fillId="0" borderId="2" xfId="2" applyFont="1" applyBorder="1" applyAlignment="1">
      <alignment vertical="center"/>
    </xf>
    <xf numFmtId="0" fontId="148" fillId="0" borderId="2" xfId="2" applyFont="1" applyBorder="1" applyAlignment="1">
      <alignment horizontal="left" vertical="center" wrapText="1"/>
    </xf>
    <xf numFmtId="0" fontId="147" fillId="0" borderId="2" xfId="2" applyFont="1" applyBorder="1" applyAlignment="1">
      <alignment horizontal="left" vertical="center" wrapText="1"/>
    </xf>
    <xf numFmtId="0" fontId="81" fillId="16" borderId="28" xfId="2" applyFont="1" applyFill="1" applyBorder="1" applyAlignment="1">
      <alignment horizontal="center" vertical="center" wrapText="1"/>
    </xf>
    <xf numFmtId="0" fontId="79" fillId="16" borderId="29" xfId="2" applyFont="1" applyFill="1" applyBorder="1" applyAlignment="1">
      <alignment horizontal="center" vertical="center"/>
    </xf>
    <xf numFmtId="0" fontId="148" fillId="15" borderId="2" xfId="2" applyFont="1" applyFill="1" applyBorder="1" applyAlignment="1">
      <alignment horizontal="center" vertical="center"/>
    </xf>
    <xf numFmtId="0" fontId="145" fillId="0" borderId="0" xfId="2" applyFont="1" applyAlignment="1">
      <alignment horizontal="center" vertical="center"/>
    </xf>
    <xf numFmtId="0" fontId="126" fillId="0" borderId="0" xfId="2" applyFont="1" applyAlignment="1">
      <alignment horizontal="center" vertical="center"/>
    </xf>
    <xf numFmtId="14" fontId="81" fillId="16" borderId="27" xfId="2" applyNumberFormat="1" applyFont="1" applyFill="1" applyBorder="1" applyAlignment="1">
      <alignment horizontal="center" vertical="center"/>
    </xf>
    <xf numFmtId="0" fontId="81" fillId="16" borderId="28" xfId="2" applyFont="1" applyFill="1" applyBorder="1" applyAlignment="1">
      <alignment horizontal="center" vertical="center"/>
    </xf>
    <xf numFmtId="3" fontId="152" fillId="21" borderId="2" xfId="2" applyNumberFormat="1" applyFont="1" applyFill="1" applyBorder="1" applyAlignment="1">
      <alignment horizontal="left" vertical="center" wrapText="1"/>
    </xf>
    <xf numFmtId="0" fontId="81" fillId="16" borderId="2" xfId="2" applyFont="1" applyFill="1" applyBorder="1" applyAlignment="1">
      <alignment horizontal="center" vertical="center" wrapText="1"/>
    </xf>
    <xf numFmtId="1" fontId="146" fillId="44" borderId="2" xfId="2" applyNumberFormat="1" applyFont="1" applyFill="1" applyBorder="1" applyAlignment="1">
      <alignment horizontal="center" vertical="center"/>
    </xf>
    <xf numFmtId="3" fontId="146" fillId="44" borderId="2" xfId="2" applyNumberFormat="1" applyFont="1" applyFill="1" applyBorder="1" applyAlignment="1">
      <alignment horizontal="center" vertical="center"/>
    </xf>
    <xf numFmtId="3" fontId="110" fillId="44" borderId="2" xfId="2" applyNumberFormat="1" applyFont="1" applyFill="1" applyBorder="1" applyAlignment="1">
      <alignment horizontal="center" vertical="center"/>
    </xf>
    <xf numFmtId="0" fontId="148" fillId="9" borderId="2" xfId="2" applyFont="1" applyFill="1" applyBorder="1" applyAlignment="1">
      <alignment horizontal="left" vertical="center" wrapText="1"/>
    </xf>
    <xf numFmtId="0" fontId="148" fillId="15" borderId="2" xfId="2" applyFont="1" applyFill="1" applyBorder="1" applyAlignment="1">
      <alignment horizontal="left" vertical="center" wrapText="1"/>
    </xf>
    <xf numFmtId="0" fontId="81" fillId="16" borderId="31" xfId="2" applyFont="1" applyFill="1" applyBorder="1" applyAlignment="1">
      <alignment horizontal="center" vertical="center" wrapText="1"/>
    </xf>
    <xf numFmtId="14" fontId="146" fillId="44" borderId="65" xfId="2" applyNumberFormat="1" applyFont="1" applyFill="1" applyBorder="1" applyAlignment="1">
      <alignment horizontal="center" vertical="center"/>
    </xf>
    <xf numFmtId="1" fontId="146" fillId="44" borderId="65" xfId="2" applyNumberFormat="1" applyFont="1" applyFill="1" applyBorder="1" applyAlignment="1">
      <alignment horizontal="center" vertical="center"/>
    </xf>
    <xf numFmtId="0" fontId="137" fillId="0" borderId="65" xfId="2" applyFont="1" applyBorder="1" applyAlignment="1">
      <alignment horizontal="left" vertical="center" wrapText="1"/>
    </xf>
    <xf numFmtId="0" fontId="137" fillId="0" borderId="71" xfId="2" applyFont="1" applyBorder="1" applyAlignment="1">
      <alignment horizontal="left" vertical="center" wrapText="1"/>
    </xf>
    <xf numFmtId="14" fontId="81" fillId="16" borderId="31" xfId="2" applyNumberFormat="1" applyFont="1" applyFill="1" applyBorder="1" applyAlignment="1">
      <alignment horizontal="center" vertical="center"/>
    </xf>
    <xf numFmtId="0" fontId="81" fillId="16" borderId="31" xfId="2" applyFont="1" applyFill="1" applyBorder="1" applyAlignment="1">
      <alignment horizontal="center" vertical="center"/>
    </xf>
    <xf numFmtId="0" fontId="137" fillId="0" borderId="70" xfId="2" applyFont="1" applyBorder="1" applyAlignment="1">
      <alignment horizontal="left" vertical="center" wrapText="1"/>
    </xf>
    <xf numFmtId="0" fontId="137" fillId="49" borderId="65" xfId="2" applyFont="1" applyFill="1" applyBorder="1" applyAlignment="1">
      <alignment horizontal="left" vertical="center" wrapText="1"/>
    </xf>
    <xf numFmtId="0" fontId="137" fillId="29" borderId="2" xfId="2" applyFont="1" applyFill="1" applyBorder="1" applyAlignment="1">
      <alignment horizontal="left" vertical="center" wrapText="1"/>
    </xf>
    <xf numFmtId="0" fontId="148" fillId="41" borderId="2" xfId="2" applyFont="1" applyFill="1" applyBorder="1" applyAlignment="1">
      <alignment horizontal="left" vertical="center" wrapText="1"/>
    </xf>
    <xf numFmtId="0" fontId="148" fillId="49" borderId="21" xfId="2" applyFont="1" applyFill="1" applyBorder="1" applyAlignment="1">
      <alignment horizontal="center" vertical="center" wrapText="1"/>
    </xf>
    <xf numFmtId="0" fontId="148" fillId="15" borderId="21" xfId="2" applyFont="1" applyFill="1" applyBorder="1" applyAlignment="1">
      <alignment horizontal="center" vertical="center" wrapText="1"/>
    </xf>
    <xf numFmtId="3" fontId="146" fillId="44" borderId="176" xfId="2" applyNumberFormat="1" applyFont="1" applyFill="1" applyBorder="1" applyAlignment="1">
      <alignment horizontal="center" vertical="center"/>
    </xf>
    <xf numFmtId="3" fontId="146" fillId="44" borderId="174" xfId="2" applyNumberFormat="1" applyFont="1" applyFill="1" applyBorder="1" applyAlignment="1">
      <alignment horizontal="center" vertical="center"/>
    </xf>
    <xf numFmtId="3" fontId="146" fillId="44" borderId="173" xfId="2" applyNumberFormat="1" applyFont="1" applyFill="1" applyBorder="1" applyAlignment="1">
      <alignment horizontal="center" vertical="center"/>
    </xf>
    <xf numFmtId="14" fontId="146" fillId="44" borderId="179" xfId="2" applyNumberFormat="1" applyFont="1" applyFill="1" applyBorder="1" applyAlignment="1">
      <alignment horizontal="center" vertical="center"/>
    </xf>
    <xf numFmtId="14" fontId="146" fillId="44" borderId="180" xfId="2" applyNumberFormat="1" applyFont="1" applyFill="1" applyBorder="1" applyAlignment="1">
      <alignment horizontal="center" vertical="center"/>
    </xf>
    <xf numFmtId="14" fontId="146" fillId="44" borderId="181" xfId="2" applyNumberFormat="1" applyFont="1" applyFill="1" applyBorder="1" applyAlignment="1">
      <alignment horizontal="center" vertical="center"/>
    </xf>
    <xf numFmtId="167" fontId="141" fillId="29" borderId="170" xfId="2" applyNumberFormat="1" applyFont="1" applyFill="1" applyBorder="1" applyAlignment="1">
      <alignment horizontal="left" vertical="center"/>
    </xf>
    <xf numFmtId="166" fontId="141" fillId="29" borderId="170" xfId="2" applyNumberFormat="1" applyFont="1" applyFill="1" applyBorder="1" applyAlignment="1">
      <alignment horizontal="left" vertical="center"/>
    </xf>
    <xf numFmtId="0" fontId="138" fillId="50" borderId="168" xfId="2" applyFont="1" applyFill="1" applyBorder="1" applyAlignment="1">
      <alignment horizontal="left" vertical="center"/>
    </xf>
    <xf numFmtId="168" fontId="138" fillId="50" borderId="168" xfId="2" applyNumberFormat="1" applyFont="1" applyFill="1" applyBorder="1" applyAlignment="1">
      <alignment horizontal="center" vertical="center"/>
    </xf>
    <xf numFmtId="3" fontId="138" fillId="50" borderId="168" xfId="2" applyNumberFormat="1" applyFont="1" applyFill="1" applyBorder="1" applyAlignment="1">
      <alignment horizontal="center" vertical="center"/>
    </xf>
    <xf numFmtId="0" fontId="138" fillId="50" borderId="168" xfId="2" applyFont="1" applyFill="1" applyBorder="1" applyAlignment="1">
      <alignment horizontal="center" vertical="center"/>
    </xf>
    <xf numFmtId="1" fontId="138" fillId="50" borderId="168" xfId="2" applyNumberFormat="1" applyFont="1" applyFill="1" applyBorder="1" applyAlignment="1">
      <alignment horizontal="center" vertical="center"/>
    </xf>
    <xf numFmtId="167" fontId="15" fillId="0" borderId="170" xfId="2" applyNumberFormat="1" applyFont="1" applyBorder="1" applyAlignment="1">
      <alignment horizontal="center" vertical="center"/>
    </xf>
    <xf numFmtId="0" fontId="13" fillId="18" borderId="3" xfId="2" applyFont="1" applyFill="1" applyBorder="1" applyAlignment="1">
      <alignment horizontal="left" vertical="center" wrapText="1"/>
    </xf>
    <xf numFmtId="168" fontId="13" fillId="18" borderId="3" xfId="2" applyNumberFormat="1" applyFont="1" applyFill="1" applyBorder="1" applyAlignment="1">
      <alignment horizontal="center" vertical="center"/>
    </xf>
    <xf numFmtId="0" fontId="13" fillId="18" borderId="3" xfId="2" applyFont="1" applyFill="1" applyBorder="1" applyAlignment="1">
      <alignment horizontal="center" vertical="center"/>
    </xf>
    <xf numFmtId="3" fontId="13" fillId="18" borderId="3" xfId="2" applyNumberFormat="1" applyFont="1" applyFill="1" applyBorder="1" applyAlignment="1">
      <alignment horizontal="center" vertical="center"/>
    </xf>
    <xf numFmtId="0" fontId="137" fillId="0" borderId="21" xfId="2" applyFont="1" applyBorder="1" applyAlignment="1">
      <alignment horizontal="left" vertical="center" wrapText="1"/>
    </xf>
    <xf numFmtId="0" fontId="137" fillId="0" borderId="2" xfId="2" applyFont="1" applyBorder="1" applyAlignment="1">
      <alignment horizontal="left" vertical="center" wrapText="1"/>
    </xf>
    <xf numFmtId="0" fontId="154" fillId="0" borderId="0" xfId="2" applyFont="1" applyAlignment="1">
      <alignment horizontal="center" vertical="center"/>
    </xf>
    <xf numFmtId="0" fontId="154" fillId="15" borderId="0" xfId="2" applyFont="1" applyFill="1" applyAlignment="1">
      <alignment horizontal="center" vertical="center"/>
    </xf>
    <xf numFmtId="0" fontId="150" fillId="8" borderId="175" xfId="2" applyFont="1" applyFill="1" applyBorder="1" applyAlignment="1">
      <alignment horizontal="center" vertical="center"/>
    </xf>
    <xf numFmtId="0" fontId="154" fillId="10" borderId="65" xfId="2" applyFont="1" applyFill="1" applyBorder="1" applyAlignment="1">
      <alignment horizontal="center" vertical="center"/>
    </xf>
    <xf numFmtId="3" fontId="154" fillId="10" borderId="65" xfId="2" applyNumberFormat="1" applyFont="1" applyFill="1" applyBorder="1" applyAlignment="1">
      <alignment horizontal="center" vertical="center"/>
    </xf>
    <xf numFmtId="14" fontId="154" fillId="11" borderId="65" xfId="2" applyNumberFormat="1" applyFont="1" applyFill="1" applyBorder="1" applyAlignment="1">
      <alignment horizontal="center" vertical="center"/>
    </xf>
    <xf numFmtId="0" fontId="154" fillId="12" borderId="65" xfId="2" applyFont="1" applyFill="1" applyBorder="1" applyAlignment="1">
      <alignment horizontal="center" vertical="center"/>
    </xf>
    <xf numFmtId="3" fontId="154" fillId="12" borderId="65" xfId="2" applyNumberFormat="1" applyFont="1" applyFill="1" applyBorder="1" applyAlignment="1">
      <alignment horizontal="center" vertical="center"/>
    </xf>
    <xf numFmtId="14" fontId="154" fillId="14" borderId="65" xfId="2" applyNumberFormat="1" applyFont="1" applyFill="1" applyBorder="1" applyAlignment="1">
      <alignment horizontal="center" vertical="center"/>
    </xf>
    <xf numFmtId="0" fontId="150" fillId="8" borderId="65" xfId="2" applyFont="1" applyFill="1" applyBorder="1" applyAlignment="1">
      <alignment horizontal="center" vertical="center"/>
    </xf>
    <xf numFmtId="0" fontId="154" fillId="15" borderId="21" xfId="2" applyFont="1" applyFill="1" applyBorder="1" applyAlignment="1">
      <alignment horizontal="center" vertical="center"/>
    </xf>
    <xf numFmtId="0" fontId="154" fillId="11" borderId="65" xfId="2" applyFont="1" applyFill="1" applyBorder="1" applyAlignment="1">
      <alignment horizontal="center" vertical="center"/>
    </xf>
    <xf numFmtId="3" fontId="154" fillId="11" borderId="65" xfId="2" applyNumberFormat="1" applyFont="1" applyFill="1" applyBorder="1" applyAlignment="1">
      <alignment horizontal="center" vertical="center"/>
    </xf>
    <xf numFmtId="0" fontId="154" fillId="45" borderId="65" xfId="2" applyFont="1" applyFill="1" applyBorder="1" applyAlignment="1">
      <alignment horizontal="center" vertical="center"/>
    </xf>
    <xf numFmtId="3" fontId="154" fillId="45" borderId="65" xfId="2" applyNumberFormat="1" applyFont="1" applyFill="1" applyBorder="1" applyAlignment="1">
      <alignment horizontal="center" vertical="center"/>
    </xf>
    <xf numFmtId="0" fontId="154" fillId="47" borderId="65" xfId="2" applyFont="1" applyFill="1" applyBorder="1" applyAlignment="1">
      <alignment horizontal="center" vertical="center"/>
    </xf>
    <xf numFmtId="3" fontId="154" fillId="47" borderId="65" xfId="2" applyNumberFormat="1" applyFont="1" applyFill="1" applyBorder="1" applyAlignment="1">
      <alignment horizontal="center" vertical="center"/>
    </xf>
    <xf numFmtId="14" fontId="154" fillId="46" borderId="65" xfId="2" applyNumberFormat="1" applyFont="1" applyFill="1" applyBorder="1" applyAlignment="1">
      <alignment horizontal="center" vertical="center"/>
    </xf>
    <xf numFmtId="0" fontId="154" fillId="48" borderId="65" xfId="2" applyFont="1" applyFill="1" applyBorder="1" applyAlignment="1">
      <alignment horizontal="center" vertical="center"/>
    </xf>
    <xf numFmtId="0" fontId="154" fillId="54" borderId="65" xfId="2" applyFont="1" applyFill="1" applyBorder="1" applyAlignment="1">
      <alignment horizontal="center" vertical="center"/>
    </xf>
    <xf numFmtId="14" fontId="154" fillId="53" borderId="65" xfId="2" applyNumberFormat="1" applyFont="1" applyFill="1" applyBorder="1" applyAlignment="1">
      <alignment horizontal="center" vertical="center"/>
    </xf>
    <xf numFmtId="0" fontId="29" fillId="8" borderId="65" xfId="2" applyFont="1" applyFill="1" applyBorder="1" applyAlignment="1">
      <alignment horizontal="center" vertical="center"/>
    </xf>
    <xf numFmtId="0" fontId="72" fillId="45" borderId="65" xfId="2" applyFont="1" applyFill="1" applyBorder="1" applyAlignment="1">
      <alignment horizontal="center" vertical="center"/>
    </xf>
    <xf numFmtId="14" fontId="7" fillId="46" borderId="65" xfId="2" applyNumberFormat="1" applyFont="1" applyFill="1" applyBorder="1" applyAlignment="1">
      <alignment horizontal="center" vertical="center"/>
    </xf>
    <xf numFmtId="0" fontId="72" fillId="47" borderId="65" xfId="2" applyFont="1" applyFill="1" applyBorder="1" applyAlignment="1">
      <alignment horizontal="center" vertical="center"/>
    </xf>
    <xf numFmtId="14" fontId="72" fillId="46" borderId="65" xfId="2" applyNumberFormat="1" applyFont="1" applyFill="1" applyBorder="1" applyAlignment="1">
      <alignment horizontal="center" vertical="center"/>
    </xf>
    <xf numFmtId="0" fontId="72" fillId="12" borderId="65" xfId="2" applyFont="1" applyFill="1" applyBorder="1" applyAlignment="1">
      <alignment horizontal="center" vertical="center"/>
    </xf>
    <xf numFmtId="14" fontId="7" fillId="0" borderId="65" xfId="2" applyNumberFormat="1" applyFont="1" applyBorder="1" applyAlignment="1">
      <alignment horizontal="center" vertical="center"/>
    </xf>
    <xf numFmtId="0" fontId="72" fillId="10" borderId="65" xfId="2" applyFont="1" applyFill="1" applyBorder="1" applyAlignment="1">
      <alignment horizontal="center" vertical="center"/>
    </xf>
    <xf numFmtId="3" fontId="72" fillId="45" borderId="65" xfId="2" applyNumberFormat="1" applyFont="1" applyFill="1" applyBorder="1" applyAlignment="1">
      <alignment horizontal="center" vertical="center"/>
    </xf>
    <xf numFmtId="3" fontId="72" fillId="47" borderId="65" xfId="2" applyNumberFormat="1" applyFont="1" applyFill="1" applyBorder="1" applyAlignment="1">
      <alignment horizontal="center" vertical="center"/>
    </xf>
    <xf numFmtId="14" fontId="72" fillId="0" borderId="65" xfId="2" applyNumberFormat="1" applyFont="1" applyBorder="1" applyAlignment="1">
      <alignment horizontal="center" vertical="center"/>
    </xf>
    <xf numFmtId="14" fontId="154" fillId="0" borderId="65" xfId="2" applyNumberFormat="1" applyFont="1" applyBorder="1" applyAlignment="1">
      <alignment horizontal="center" vertical="center"/>
    </xf>
    <xf numFmtId="0" fontId="150" fillId="71" borderId="65" xfId="2" applyFont="1" applyFill="1" applyBorder="1" applyAlignment="1">
      <alignment horizontal="center" vertical="center"/>
    </xf>
    <xf numFmtId="0" fontId="150" fillId="8" borderId="181" xfId="2" applyFont="1" applyFill="1" applyBorder="1" applyAlignment="1">
      <alignment horizontal="center" vertical="center"/>
    </xf>
    <xf numFmtId="14" fontId="154" fillId="11" borderId="71" xfId="2" applyNumberFormat="1" applyFont="1" applyFill="1" applyBorder="1" applyAlignment="1">
      <alignment horizontal="center" vertical="center"/>
    </xf>
    <xf numFmtId="0" fontId="150" fillId="8" borderId="69" xfId="2" applyFont="1" applyFill="1" applyBorder="1" applyAlignment="1">
      <alignment horizontal="center" vertical="center"/>
    </xf>
    <xf numFmtId="14" fontId="154" fillId="46" borderId="71" xfId="2" applyNumberFormat="1" applyFont="1" applyFill="1" applyBorder="1" applyAlignment="1">
      <alignment horizontal="center" vertical="center"/>
    </xf>
    <xf numFmtId="0" fontId="29" fillId="8" borderId="69" xfId="2" applyFont="1" applyFill="1" applyBorder="1" applyAlignment="1">
      <alignment horizontal="center" vertical="center"/>
    </xf>
    <xf numFmtId="14" fontId="7" fillId="46" borderId="71" xfId="2" applyNumberFormat="1" applyFont="1" applyFill="1" applyBorder="1" applyAlignment="1">
      <alignment horizontal="center" vertical="center"/>
    </xf>
    <xf numFmtId="14" fontId="154" fillId="0" borderId="71" xfId="2" applyNumberFormat="1" applyFont="1" applyBorder="1" applyAlignment="1">
      <alignment horizontal="center" vertical="center"/>
    </xf>
    <xf numFmtId="1" fontId="0" fillId="0" borderId="0" xfId="0" applyNumberFormat="1"/>
    <xf numFmtId="3" fontId="35" fillId="17" borderId="0" xfId="2" applyNumberFormat="1" applyFill="1" applyAlignment="1">
      <alignment horizontal="center"/>
    </xf>
    <xf numFmtId="3" fontId="35" fillId="20" borderId="0" xfId="2" applyNumberFormat="1" applyFill="1" applyAlignment="1">
      <alignment horizontal="center"/>
    </xf>
    <xf numFmtId="0" fontId="13" fillId="5" borderId="0" xfId="2" applyFont="1" applyFill="1" applyAlignment="1">
      <alignment horizontal="center" vertical="center"/>
    </xf>
    <xf numFmtId="178" fontId="114" fillId="9" borderId="118" xfId="2" applyNumberFormat="1" applyFont="1" applyFill="1" applyBorder="1" applyAlignment="1">
      <alignment horizontal="center" vertical="center"/>
    </xf>
    <xf numFmtId="178" fontId="114" fillId="26" borderId="118" xfId="2" applyNumberFormat="1" applyFont="1" applyFill="1" applyBorder="1" applyAlignment="1">
      <alignment horizontal="center" vertical="center"/>
    </xf>
    <xf numFmtId="178" fontId="114" fillId="26" borderId="141" xfId="2" applyNumberFormat="1" applyFont="1" applyFill="1" applyBorder="1" applyAlignment="1">
      <alignment horizontal="center" vertical="center"/>
    </xf>
    <xf numFmtId="179" fontId="113" fillId="9" borderId="118" xfId="2" applyNumberFormat="1" applyFont="1" applyFill="1" applyBorder="1" applyAlignment="1">
      <alignment horizontal="center" vertical="center"/>
    </xf>
    <xf numFmtId="179" fontId="113" fillId="26" borderId="118" xfId="2" applyNumberFormat="1" applyFont="1" applyFill="1" applyBorder="1" applyAlignment="1">
      <alignment horizontal="center" vertical="center"/>
    </xf>
    <xf numFmtId="179" fontId="113" fillId="26" borderId="141" xfId="2" applyNumberFormat="1" applyFont="1" applyFill="1" applyBorder="1" applyAlignment="1">
      <alignment horizontal="center" vertical="center"/>
    </xf>
    <xf numFmtId="178" fontId="113" fillId="9" borderId="118" xfId="2" applyNumberFormat="1" applyFont="1" applyFill="1" applyBorder="1" applyAlignment="1">
      <alignment horizontal="center" vertical="center"/>
    </xf>
    <xf numFmtId="178" fontId="113" fillId="26" borderId="118" xfId="2" applyNumberFormat="1" applyFont="1" applyFill="1" applyBorder="1" applyAlignment="1">
      <alignment horizontal="center" vertical="center"/>
    </xf>
    <xf numFmtId="178" fontId="113" fillId="26" borderId="141" xfId="2" applyNumberFormat="1" applyFont="1" applyFill="1" applyBorder="1" applyAlignment="1">
      <alignment horizontal="center" vertical="center"/>
    </xf>
    <xf numFmtId="180" fontId="113" fillId="9" borderId="139" xfId="2" applyNumberFormat="1" applyFont="1" applyFill="1" applyBorder="1" applyAlignment="1">
      <alignment horizontal="center" vertical="center"/>
    </xf>
    <xf numFmtId="180" fontId="113" fillId="26" borderId="139" xfId="2" applyNumberFormat="1" applyFont="1" applyFill="1" applyBorder="1" applyAlignment="1">
      <alignment horizontal="center" vertical="center"/>
    </xf>
    <xf numFmtId="180" fontId="113" fillId="26" borderId="142" xfId="2" applyNumberFormat="1" applyFont="1" applyFill="1" applyBorder="1" applyAlignment="1">
      <alignment horizontal="center" vertical="center"/>
    </xf>
    <xf numFmtId="49" fontId="113" fillId="26" borderId="190" xfId="2" applyNumberFormat="1" applyFont="1" applyFill="1" applyBorder="1" applyAlignment="1">
      <alignment horizontal="left" vertical="center" indent="1"/>
    </xf>
    <xf numFmtId="178" fontId="114" fillId="26" borderId="191" xfId="2" applyNumberFormat="1" applyFont="1" applyFill="1" applyBorder="1" applyAlignment="1">
      <alignment horizontal="center" vertical="center"/>
    </xf>
    <xf numFmtId="3" fontId="114" fillId="26" borderId="191" xfId="2" applyNumberFormat="1" applyFont="1" applyFill="1" applyBorder="1" applyAlignment="1">
      <alignment horizontal="center" vertical="center"/>
    </xf>
    <xf numFmtId="164" fontId="114" fillId="26" borderId="191" xfId="2" applyNumberFormat="1" applyFont="1" applyFill="1" applyBorder="1" applyAlignment="1">
      <alignment horizontal="center" vertical="center"/>
    </xf>
    <xf numFmtId="49" fontId="114" fillId="26" borderId="191" xfId="2" applyNumberFormat="1" applyFont="1" applyFill="1" applyBorder="1" applyAlignment="1">
      <alignment horizontal="center" vertical="center"/>
    </xf>
    <xf numFmtId="179" fontId="113" fillId="26" borderId="191" xfId="2" applyNumberFormat="1" applyFont="1" applyFill="1" applyBorder="1" applyAlignment="1">
      <alignment horizontal="center" vertical="center"/>
    </xf>
    <xf numFmtId="178" fontId="113" fillId="26" borderId="191" xfId="2" applyNumberFormat="1" applyFont="1" applyFill="1" applyBorder="1" applyAlignment="1">
      <alignment horizontal="center" vertical="center"/>
    </xf>
    <xf numFmtId="180" fontId="113" fillId="26" borderId="192" xfId="2" applyNumberFormat="1" applyFont="1" applyFill="1" applyBorder="1" applyAlignment="1">
      <alignment horizontal="center" vertical="center"/>
    </xf>
    <xf numFmtId="49" fontId="113" fillId="26" borderId="193" xfId="2" applyNumberFormat="1" applyFont="1" applyFill="1" applyBorder="1" applyAlignment="1">
      <alignment horizontal="left" vertical="center" indent="1"/>
    </xf>
    <xf numFmtId="178" fontId="114" fillId="26" borderId="194" xfId="2" applyNumberFormat="1" applyFont="1" applyFill="1" applyBorder="1" applyAlignment="1">
      <alignment horizontal="center" vertical="center"/>
    </xf>
    <xf numFmtId="3" fontId="114" fillId="26" borderId="194" xfId="2" applyNumberFormat="1" applyFont="1" applyFill="1" applyBorder="1" applyAlignment="1">
      <alignment horizontal="center" vertical="center"/>
    </xf>
    <xf numFmtId="164" fontId="114" fillId="26" borderId="194" xfId="2" applyNumberFormat="1" applyFont="1" applyFill="1" applyBorder="1" applyAlignment="1">
      <alignment horizontal="center" vertical="center"/>
    </xf>
    <xf numFmtId="49" fontId="114" fillId="26" borderId="194" xfId="2" applyNumberFormat="1" applyFont="1" applyFill="1" applyBorder="1" applyAlignment="1">
      <alignment horizontal="center" vertical="center"/>
    </xf>
    <xf numFmtId="179" fontId="113" fillId="26" borderId="194" xfId="2" applyNumberFormat="1" applyFont="1" applyFill="1" applyBorder="1" applyAlignment="1">
      <alignment horizontal="center" vertical="center"/>
    </xf>
    <xf numFmtId="178" fontId="113" fillId="26" borderId="194" xfId="2" applyNumberFormat="1" applyFont="1" applyFill="1" applyBorder="1" applyAlignment="1">
      <alignment horizontal="center" vertical="center"/>
    </xf>
    <xf numFmtId="180" fontId="113" fillId="26" borderId="195" xfId="2" applyNumberFormat="1" applyFont="1" applyFill="1" applyBorder="1" applyAlignment="1">
      <alignment horizontal="center" vertical="center"/>
    </xf>
    <xf numFmtId="49" fontId="113" fillId="9" borderId="190" xfId="2" applyNumberFormat="1" applyFont="1" applyFill="1" applyBorder="1" applyAlignment="1">
      <alignment horizontal="left" vertical="center" indent="1"/>
    </xf>
    <xf numFmtId="178" fontId="114" fillId="9" borderId="191" xfId="2" applyNumberFormat="1" applyFont="1" applyFill="1" applyBorder="1" applyAlignment="1">
      <alignment horizontal="center" vertical="center"/>
    </xf>
    <xf numFmtId="3" fontId="114" fillId="9" borderId="191" xfId="2" applyNumberFormat="1" applyFont="1" applyFill="1" applyBorder="1" applyAlignment="1">
      <alignment horizontal="center" vertical="center"/>
    </xf>
    <xf numFmtId="164" fontId="114" fillId="9" borderId="191" xfId="2" applyNumberFormat="1" applyFont="1" applyFill="1" applyBorder="1" applyAlignment="1">
      <alignment horizontal="center" vertical="center"/>
    </xf>
    <xf numFmtId="49" fontId="114" fillId="9" borderId="191" xfId="2" applyNumberFormat="1" applyFont="1" applyFill="1" applyBorder="1" applyAlignment="1">
      <alignment horizontal="center" vertical="center"/>
    </xf>
    <xf numFmtId="179" fontId="113" fillId="9" borderId="191" xfId="2" applyNumberFormat="1" applyFont="1" applyFill="1" applyBorder="1" applyAlignment="1">
      <alignment horizontal="center" vertical="center"/>
    </xf>
    <xf numFmtId="178" fontId="113" fillId="9" borderId="191" xfId="2" applyNumberFormat="1" applyFont="1" applyFill="1" applyBorder="1" applyAlignment="1">
      <alignment horizontal="center" vertical="center"/>
    </xf>
    <xf numFmtId="180" fontId="113" fillId="9" borderId="192" xfId="2" applyNumberFormat="1" applyFont="1" applyFill="1" applyBorder="1" applyAlignment="1">
      <alignment horizontal="center" vertical="center"/>
    </xf>
    <xf numFmtId="0" fontId="97" fillId="59" borderId="196" xfId="2" applyFont="1" applyFill="1" applyBorder="1" applyAlignment="1">
      <alignment horizontal="left"/>
    </xf>
    <xf numFmtId="0" fontId="157" fillId="29" borderId="0" xfId="2" applyFont="1" applyFill="1" applyAlignment="1">
      <alignment horizontal="left"/>
    </xf>
    <xf numFmtId="0" fontId="99" fillId="29" borderId="0" xfId="2" applyFont="1" applyFill="1" applyAlignment="1">
      <alignment horizontal="left"/>
    </xf>
    <xf numFmtId="0" fontId="150" fillId="63" borderId="197" xfId="2" applyFont="1" applyFill="1" applyBorder="1" applyAlignment="1">
      <alignment horizontal="left"/>
    </xf>
    <xf numFmtId="0" fontId="150" fillId="63" borderId="198" xfId="2" applyFont="1" applyFill="1" applyBorder="1" applyAlignment="1">
      <alignment horizontal="left"/>
    </xf>
    <xf numFmtId="0" fontId="79" fillId="63" borderId="199" xfId="2" applyFont="1" applyFill="1" applyBorder="1" applyAlignment="1">
      <alignment horizontal="left"/>
    </xf>
    <xf numFmtId="0" fontId="97" fillId="72" borderId="201" xfId="2" applyFont="1" applyFill="1" applyBorder="1" applyAlignment="1">
      <alignment horizontal="left"/>
    </xf>
    <xf numFmtId="3" fontId="156" fillId="44" borderId="202" xfId="2" applyNumberFormat="1" applyFont="1" applyFill="1" applyBorder="1" applyAlignment="1">
      <alignment horizontal="right"/>
    </xf>
    <xf numFmtId="0" fontId="99" fillId="73" borderId="200" xfId="2" applyFont="1" applyFill="1" applyBorder="1" applyAlignment="1">
      <alignment horizontal="left" wrapText="1"/>
    </xf>
    <xf numFmtId="182" fontId="158" fillId="0" borderId="0" xfId="2" applyNumberFormat="1" applyFont="1" applyAlignment="1">
      <alignment horizontal="center"/>
    </xf>
    <xf numFmtId="181" fontId="159" fillId="0" borderId="0" xfId="2" applyNumberFormat="1" applyFont="1" applyAlignment="1">
      <alignment horizontal="right"/>
    </xf>
    <xf numFmtId="183" fontId="159" fillId="0" borderId="203" xfId="2" applyNumberFormat="1" applyFont="1" applyBorder="1" applyAlignment="1">
      <alignment horizontal="left"/>
    </xf>
    <xf numFmtId="181" fontId="160" fillId="0" borderId="0" xfId="0" applyNumberFormat="1" applyFont="1" applyAlignment="1">
      <alignment horizontal="right"/>
    </xf>
    <xf numFmtId="181" fontId="161" fillId="0" borderId="0" xfId="2" applyNumberFormat="1" applyFont="1" applyAlignment="1">
      <alignment horizontal="right"/>
    </xf>
    <xf numFmtId="0" fontId="161" fillId="0" borderId="0" xfId="2" applyFont="1" applyAlignment="1">
      <alignment horizontal="right"/>
    </xf>
    <xf numFmtId="0" fontId="160" fillId="0" borderId="0" xfId="0" applyFont="1" applyAlignment="1">
      <alignment horizontal="right"/>
    </xf>
    <xf numFmtId="0" fontId="161" fillId="0" borderId="0" xfId="2" applyFont="1" applyAlignment="1">
      <alignment horizontal="left"/>
    </xf>
    <xf numFmtId="0" fontId="160" fillId="0" borderId="0" xfId="0" applyFont="1" applyAlignment="1">
      <alignment horizontal="left"/>
    </xf>
    <xf numFmtId="181" fontId="161" fillId="0" borderId="0" xfId="2" applyNumberFormat="1" applyFont="1" applyAlignment="1">
      <alignment horizontal="right" vertical="center" wrapText="1"/>
    </xf>
    <xf numFmtId="0" fontId="161" fillId="0" borderId="0" xfId="2" applyFont="1" applyAlignment="1">
      <alignment horizontal="right" vertical="center" wrapText="1"/>
    </xf>
    <xf numFmtId="0" fontId="162" fillId="0" borderId="0" xfId="2" applyFont="1" applyAlignment="1">
      <alignment horizontal="right"/>
    </xf>
    <xf numFmtId="3" fontId="161" fillId="0" borderId="0" xfId="2" applyNumberFormat="1" applyFont="1" applyAlignment="1">
      <alignment horizontal="left"/>
    </xf>
    <xf numFmtId="0" fontId="10" fillId="16" borderId="0" xfId="2" applyFont="1" applyFill="1" applyAlignment="1">
      <alignment horizontal="center" vertical="center"/>
    </xf>
    <xf numFmtId="0" fontId="11" fillId="17" borderId="0" xfId="2" applyFont="1" applyFill="1" applyAlignment="1">
      <alignment horizontal="left" vertical="center"/>
    </xf>
    <xf numFmtId="0" fontId="3" fillId="34" borderId="0" xfId="2" applyFont="1" applyFill="1" applyAlignment="1">
      <alignment horizontal="center" vertical="center"/>
    </xf>
    <xf numFmtId="0" fontId="46" fillId="27" borderId="0" xfId="2" applyFont="1" applyFill="1" applyAlignment="1">
      <alignment horizontal="center" vertical="center"/>
    </xf>
    <xf numFmtId="0" fontId="36" fillId="27" borderId="0" xfId="2" applyFont="1" applyFill="1" applyAlignment="1">
      <alignment horizontal="left" vertical="center"/>
    </xf>
    <xf numFmtId="0" fontId="38" fillId="27" borderId="0" xfId="2" applyFont="1" applyFill="1" applyAlignment="1">
      <alignment horizontal="left" vertical="center"/>
    </xf>
    <xf numFmtId="0" fontId="44" fillId="27" borderId="0" xfId="2" applyFont="1" applyFill="1" applyAlignment="1">
      <alignment horizontal="center" vertical="center"/>
    </xf>
    <xf numFmtId="0" fontId="39" fillId="27" borderId="36" xfId="2" applyFont="1" applyFill="1" applyBorder="1" applyAlignment="1">
      <alignment horizontal="center" vertical="center"/>
    </xf>
    <xf numFmtId="1" fontId="37" fillId="27" borderId="0" xfId="2" applyNumberFormat="1" applyFont="1" applyFill="1" applyAlignment="1">
      <alignment horizontal="left" vertical="center"/>
    </xf>
    <xf numFmtId="1" fontId="37" fillId="27" borderId="0" xfId="2" applyNumberFormat="1" applyFont="1" applyFill="1" applyAlignment="1">
      <alignment horizontal="center" vertical="center"/>
    </xf>
    <xf numFmtId="0" fontId="37" fillId="27" borderId="0" xfId="2" applyFont="1" applyFill="1" applyAlignment="1">
      <alignment horizontal="right" vertical="center"/>
    </xf>
    <xf numFmtId="0" fontId="44" fillId="27" borderId="0" xfId="2" applyFont="1" applyFill="1" applyAlignment="1">
      <alignment horizontal="center"/>
    </xf>
    <xf numFmtId="0" fontId="4" fillId="29" borderId="0" xfId="2" applyFont="1" applyFill="1" applyAlignment="1">
      <alignment horizontal="center"/>
    </xf>
    <xf numFmtId="3" fontId="41" fillId="30" borderId="0" xfId="2" applyNumberFormat="1" applyFont="1" applyFill="1" applyAlignment="1">
      <alignment horizontal="center" vertical="center"/>
    </xf>
    <xf numFmtId="0" fontId="42" fillId="30" borderId="37" xfId="2" applyFont="1" applyFill="1" applyBorder="1" applyAlignment="1">
      <alignment horizontal="center" vertical="center"/>
    </xf>
    <xf numFmtId="0" fontId="41" fillId="30" borderId="0" xfId="2" applyFont="1" applyFill="1" applyAlignment="1">
      <alignment horizontal="center" vertical="center"/>
    </xf>
    <xf numFmtId="0" fontId="4" fillId="30" borderId="45" xfId="2" applyFont="1" applyFill="1" applyBorder="1" applyAlignment="1">
      <alignment horizontal="left" vertical="center" indent="1"/>
    </xf>
    <xf numFmtId="0" fontId="4" fillId="30" borderId="46" xfId="2" applyFont="1" applyFill="1" applyBorder="1" applyAlignment="1">
      <alignment horizontal="left" vertical="center" indent="1"/>
    </xf>
    <xf numFmtId="0" fontId="4" fillId="30" borderId="43" xfId="2" applyFont="1" applyFill="1" applyBorder="1" applyAlignment="1">
      <alignment horizontal="left" vertical="center" indent="1"/>
    </xf>
    <xf numFmtId="0" fontId="4" fillId="30" borderId="44" xfId="2" applyFont="1" applyFill="1" applyBorder="1" applyAlignment="1">
      <alignment horizontal="left" vertical="center" indent="1"/>
    </xf>
    <xf numFmtId="0" fontId="3" fillId="27" borderId="38" xfId="2" applyFont="1" applyFill="1" applyBorder="1" applyAlignment="1">
      <alignment horizontal="left" vertical="center" indent="1"/>
    </xf>
    <xf numFmtId="0" fontId="3" fillId="27" borderId="36" xfId="2" applyFont="1" applyFill="1" applyBorder="1" applyAlignment="1">
      <alignment horizontal="left" vertical="center" indent="1"/>
    </xf>
    <xf numFmtId="0" fontId="4" fillId="30" borderId="40" xfId="2" applyFont="1" applyFill="1" applyBorder="1" applyAlignment="1">
      <alignment horizontal="left" vertical="center" wrapText="1" indent="1"/>
    </xf>
    <xf numFmtId="0" fontId="4" fillId="30" borderId="41" xfId="2" applyFont="1" applyFill="1" applyBorder="1" applyAlignment="1">
      <alignment horizontal="left" vertical="center" wrapText="1" indent="1"/>
    </xf>
    <xf numFmtId="0" fontId="3" fillId="27" borderId="39" xfId="2" applyFont="1" applyFill="1" applyBorder="1" applyAlignment="1">
      <alignment horizontal="left" vertical="center" indent="1"/>
    </xf>
    <xf numFmtId="0" fontId="4" fillId="30" borderId="42" xfId="2" applyFont="1" applyFill="1" applyBorder="1" applyAlignment="1">
      <alignment horizontal="left" vertical="center" wrapText="1" indent="1"/>
    </xf>
    <xf numFmtId="0" fontId="99" fillId="0" borderId="0" xfId="2" applyFont="1" applyAlignment="1">
      <alignment horizontal="left" wrapText="1"/>
    </xf>
    <xf numFmtId="0" fontId="99" fillId="0" borderId="0" xfId="2" applyFont="1" applyAlignment="1">
      <alignment horizontal="left" vertical="center" wrapText="1"/>
    </xf>
    <xf numFmtId="0" fontId="53" fillId="29" borderId="0" xfId="2" applyFont="1" applyFill="1" applyAlignment="1">
      <alignment horizontal="left" vertical="center" indent="1"/>
    </xf>
    <xf numFmtId="0" fontId="59" fillId="27" borderId="0" xfId="2" applyFont="1" applyFill="1" applyAlignment="1">
      <alignment horizontal="left" vertical="center"/>
    </xf>
    <xf numFmtId="0" fontId="52" fillId="27" borderId="19" xfId="2" applyFont="1" applyFill="1" applyBorder="1" applyAlignment="1">
      <alignment horizontal="center" vertical="center"/>
    </xf>
    <xf numFmtId="0" fontId="52" fillId="27" borderId="20" xfId="2" applyFont="1" applyFill="1" applyBorder="1" applyAlignment="1">
      <alignment horizontal="center" vertical="center"/>
    </xf>
    <xf numFmtId="0" fontId="52" fillId="27" borderId="21" xfId="2" applyFont="1" applyFill="1" applyBorder="1" applyAlignment="1">
      <alignment horizontal="center" vertical="center"/>
    </xf>
    <xf numFmtId="0" fontId="57" fillId="27" borderId="0" xfId="2" applyFont="1" applyFill="1" applyAlignment="1">
      <alignment horizontal="left" vertical="center"/>
    </xf>
    <xf numFmtId="0" fontId="52" fillId="27" borderId="0" xfId="2" applyFont="1" applyFill="1" applyAlignment="1">
      <alignment horizontal="center" vertical="center"/>
    </xf>
    <xf numFmtId="0" fontId="56" fillId="27" borderId="19" xfId="2" applyFont="1" applyFill="1" applyBorder="1" applyAlignment="1">
      <alignment horizontal="left" vertical="center" indent="1"/>
    </xf>
    <xf numFmtId="0" fontId="56" fillId="27" borderId="60" xfId="2" applyFont="1" applyFill="1" applyBorder="1" applyAlignment="1">
      <alignment horizontal="left" vertical="center" indent="1"/>
    </xf>
    <xf numFmtId="9" fontId="54" fillId="28" borderId="62" xfId="2" applyNumberFormat="1" applyFont="1" applyFill="1" applyBorder="1" applyAlignment="1">
      <alignment horizontal="center" vertical="center"/>
    </xf>
    <xf numFmtId="0" fontId="54" fillId="28" borderId="21" xfId="2" applyFont="1" applyFill="1" applyBorder="1" applyAlignment="1">
      <alignment horizontal="center" vertical="center"/>
    </xf>
    <xf numFmtId="0" fontId="100" fillId="63" borderId="100" xfId="0" applyFont="1" applyFill="1" applyBorder="1" applyAlignment="1">
      <alignment horizontal="center" vertical="center"/>
    </xf>
    <xf numFmtId="0" fontId="101" fillId="29" borderId="0" xfId="0" applyFont="1" applyFill="1" applyAlignment="1">
      <alignment horizontal="left" vertical="center"/>
    </xf>
    <xf numFmtId="0" fontId="154" fillId="12" borderId="65" xfId="2" applyFont="1" applyFill="1" applyBorder="1" applyAlignment="1">
      <alignment horizontal="center" vertical="center"/>
    </xf>
    <xf numFmtId="0" fontId="154" fillId="10" borderId="65" xfId="2" applyFont="1" applyFill="1" applyBorder="1" applyAlignment="1">
      <alignment horizontal="center" vertical="center"/>
    </xf>
    <xf numFmtId="0" fontId="150" fillId="8" borderId="2" xfId="2" applyFont="1" applyFill="1" applyBorder="1" applyAlignment="1">
      <alignment horizontal="center" vertical="center"/>
    </xf>
    <xf numFmtId="0" fontId="5" fillId="8" borderId="31" xfId="2" applyFont="1" applyFill="1" applyBorder="1" applyAlignment="1">
      <alignment horizontal="center" vertical="center"/>
    </xf>
    <xf numFmtId="0" fontId="150" fillId="8" borderId="175" xfId="2" applyFont="1" applyFill="1" applyBorder="1" applyAlignment="1">
      <alignment horizontal="center" vertical="center"/>
    </xf>
    <xf numFmtId="0" fontId="155" fillId="10" borderId="65" xfId="2" applyFont="1" applyFill="1" applyBorder="1" applyAlignment="1">
      <alignment horizontal="center" vertical="center"/>
    </xf>
    <xf numFmtId="0" fontId="154" fillId="13" borderId="21" xfId="2" applyFont="1" applyFill="1" applyBorder="1" applyAlignment="1">
      <alignment horizontal="center" vertical="center"/>
    </xf>
    <xf numFmtId="0" fontId="35" fillId="13" borderId="2" xfId="2" applyFill="1" applyBorder="1" applyAlignment="1">
      <alignment horizontal="center"/>
    </xf>
    <xf numFmtId="0" fontId="155" fillId="12" borderId="65" xfId="2" applyFont="1" applyFill="1" applyBorder="1" applyAlignment="1">
      <alignment horizontal="center" vertical="center"/>
    </xf>
    <xf numFmtId="0" fontId="35" fillId="0" borderId="0" xfId="2"/>
    <xf numFmtId="0" fontId="139" fillId="70" borderId="0" xfId="2" applyFont="1" applyFill="1" applyAlignment="1">
      <alignment horizontal="center" vertical="center"/>
    </xf>
    <xf numFmtId="0" fontId="140" fillId="29" borderId="0" xfId="2" applyFont="1" applyFill="1" applyAlignment="1">
      <alignment horizontal="left" vertical="center"/>
    </xf>
    <xf numFmtId="0" fontId="153" fillId="42" borderId="185" xfId="0" applyFont="1" applyFill="1" applyBorder="1" applyAlignment="1">
      <alignment horizontal="center" vertical="center" wrapText="1"/>
    </xf>
    <xf numFmtId="0" fontId="153" fillId="42" borderId="184" xfId="0" applyFont="1" applyFill="1" applyBorder="1" applyAlignment="1">
      <alignment horizontal="center" vertical="center" wrapText="1"/>
    </xf>
    <xf numFmtId="0" fontId="153" fillId="42" borderId="187" xfId="0" applyFont="1" applyFill="1" applyBorder="1" applyAlignment="1">
      <alignment horizontal="center" vertical="center" wrapText="1"/>
    </xf>
    <xf numFmtId="0" fontId="153" fillId="42" borderId="186" xfId="0" applyFont="1" applyFill="1" applyBorder="1" applyAlignment="1">
      <alignment horizontal="center" vertical="center" wrapText="1"/>
    </xf>
    <xf numFmtId="0" fontId="153" fillId="42" borderId="0" xfId="0" applyFont="1" applyFill="1" applyAlignment="1">
      <alignment horizontal="center" vertical="center" wrapText="1"/>
    </xf>
    <xf numFmtId="0" fontId="153" fillId="42" borderId="188" xfId="0" applyFont="1" applyFill="1" applyBorder="1" applyAlignment="1">
      <alignment horizontal="center" vertical="center" wrapText="1"/>
    </xf>
    <xf numFmtId="0" fontId="150" fillId="16" borderId="2" xfId="2" applyFont="1" applyFill="1" applyBorder="1" applyAlignment="1">
      <alignment horizontal="left" vertical="center"/>
    </xf>
    <xf numFmtId="0" fontId="150" fillId="8" borderId="65" xfId="2" applyFont="1" applyFill="1" applyBorder="1" applyAlignment="1">
      <alignment horizontal="center" vertical="center"/>
    </xf>
    <xf numFmtId="1" fontId="141" fillId="29" borderId="4" xfId="2" applyNumberFormat="1" applyFont="1" applyFill="1" applyBorder="1" applyAlignment="1">
      <alignment horizontal="left" vertical="center"/>
    </xf>
    <xf numFmtId="1" fontId="141" fillId="29" borderId="170" xfId="2" applyNumberFormat="1" applyFont="1" applyFill="1" applyBorder="1" applyAlignment="1">
      <alignment horizontal="left" vertical="center"/>
    </xf>
    <xf numFmtId="0" fontId="154" fillId="11" borderId="65" xfId="2" applyFont="1" applyFill="1" applyBorder="1" applyAlignment="1">
      <alignment horizontal="center" vertical="center"/>
    </xf>
    <xf numFmtId="0" fontId="155" fillId="11" borderId="65" xfId="2" applyFont="1" applyFill="1" applyBorder="1" applyAlignment="1">
      <alignment horizontal="center" vertical="center"/>
    </xf>
    <xf numFmtId="3" fontId="35" fillId="17" borderId="0" xfId="2" applyNumberFormat="1" applyFill="1" applyAlignment="1">
      <alignment horizontal="center" vertical="center" wrapText="1"/>
    </xf>
    <xf numFmtId="0" fontId="21" fillId="8" borderId="31" xfId="2" applyFont="1" applyFill="1" applyBorder="1" applyAlignment="1">
      <alignment horizontal="center" vertical="center"/>
    </xf>
    <xf numFmtId="0" fontId="153" fillId="51" borderId="185" xfId="0" applyFont="1" applyFill="1" applyBorder="1" applyAlignment="1">
      <alignment horizontal="center" vertical="center" wrapText="1"/>
    </xf>
    <xf numFmtId="0" fontId="153" fillId="51" borderId="184" xfId="0" applyFont="1" applyFill="1" applyBorder="1" applyAlignment="1">
      <alignment horizontal="center" vertical="center" wrapText="1"/>
    </xf>
    <xf numFmtId="0" fontId="153" fillId="51" borderId="187" xfId="0" applyFont="1" applyFill="1" applyBorder="1" applyAlignment="1">
      <alignment horizontal="center" vertical="center" wrapText="1"/>
    </xf>
    <xf numFmtId="0" fontId="153" fillId="51" borderId="186" xfId="0" applyFont="1" applyFill="1" applyBorder="1" applyAlignment="1">
      <alignment horizontal="center" vertical="center" wrapText="1"/>
    </xf>
    <xf numFmtId="0" fontId="153" fillId="51" borderId="0" xfId="0" applyFont="1" applyFill="1" applyAlignment="1">
      <alignment horizontal="center" vertical="center" wrapText="1"/>
    </xf>
    <xf numFmtId="0" fontId="153" fillId="51" borderId="188" xfId="0" applyFont="1" applyFill="1" applyBorder="1" applyAlignment="1">
      <alignment horizontal="center" vertical="center" wrapText="1"/>
    </xf>
    <xf numFmtId="0" fontId="154" fillId="47" borderId="65" xfId="2" applyFont="1" applyFill="1" applyBorder="1" applyAlignment="1">
      <alignment horizontal="center" vertical="center"/>
    </xf>
    <xf numFmtId="0" fontId="154" fillId="45" borderId="65" xfId="2" applyFont="1" applyFill="1" applyBorder="1" applyAlignment="1">
      <alignment horizontal="center" vertical="center"/>
    </xf>
    <xf numFmtId="0" fontId="154" fillId="48" borderId="65" xfId="2" applyFont="1" applyFill="1" applyBorder="1" applyAlignment="1">
      <alignment horizontal="center" vertical="center"/>
    </xf>
    <xf numFmtId="0" fontId="155" fillId="48" borderId="65" xfId="2" applyFont="1" applyFill="1" applyBorder="1" applyAlignment="1">
      <alignment horizontal="center" vertical="center"/>
    </xf>
    <xf numFmtId="0" fontId="155" fillId="47" borderId="65" xfId="2" applyFont="1" applyFill="1" applyBorder="1" applyAlignment="1">
      <alignment horizontal="center" vertical="center"/>
    </xf>
    <xf numFmtId="0" fontId="155" fillId="45" borderId="65" xfId="2" applyFont="1" applyFill="1" applyBorder="1" applyAlignment="1">
      <alignment horizontal="center" vertical="center"/>
    </xf>
    <xf numFmtId="0" fontId="154" fillId="46" borderId="65" xfId="2" applyFont="1" applyFill="1" applyBorder="1" applyAlignment="1">
      <alignment horizontal="center" vertical="center"/>
    </xf>
    <xf numFmtId="0" fontId="73" fillId="8" borderId="31" xfId="2" applyFont="1" applyFill="1" applyBorder="1" applyAlignment="1">
      <alignment horizontal="center" vertical="center"/>
    </xf>
    <xf numFmtId="0" fontId="154" fillId="54" borderId="65" xfId="2" applyFont="1" applyFill="1" applyBorder="1" applyAlignment="1">
      <alignment horizontal="center" vertical="center"/>
    </xf>
    <xf numFmtId="0" fontId="75" fillId="51" borderId="66" xfId="2" applyFont="1" applyFill="1" applyBorder="1" applyAlignment="1">
      <alignment horizontal="center" vertical="center"/>
    </xf>
    <xf numFmtId="0" fontId="75" fillId="51" borderId="67" xfId="2" applyFont="1" applyFill="1" applyBorder="1" applyAlignment="1">
      <alignment horizontal="center" vertical="center"/>
    </xf>
    <xf numFmtId="0" fontId="75" fillId="51" borderId="68" xfId="2" applyFont="1" applyFill="1" applyBorder="1" applyAlignment="1">
      <alignment horizontal="center" vertical="center"/>
    </xf>
    <xf numFmtId="0" fontId="75" fillId="51" borderId="63" xfId="2" applyFont="1" applyFill="1" applyBorder="1" applyAlignment="1">
      <alignment horizontal="center" vertical="center"/>
    </xf>
    <xf numFmtId="0" fontId="75" fillId="51" borderId="0" xfId="2" applyFont="1" applyFill="1" applyAlignment="1">
      <alignment horizontal="center" vertical="center"/>
    </xf>
    <xf numFmtId="0" fontId="75" fillId="51" borderId="64" xfId="2" applyFont="1" applyFill="1" applyBorder="1" applyAlignment="1">
      <alignment horizontal="center" vertical="center"/>
    </xf>
    <xf numFmtId="0" fontId="75" fillId="42" borderId="66" xfId="2" applyFont="1" applyFill="1" applyBorder="1" applyAlignment="1">
      <alignment horizontal="center" vertical="center"/>
    </xf>
    <xf numFmtId="0" fontId="75" fillId="42" borderId="67" xfId="2" applyFont="1" applyFill="1" applyBorder="1" applyAlignment="1">
      <alignment horizontal="center" vertical="center"/>
    </xf>
    <xf numFmtId="0" fontId="75" fillId="42" borderId="68" xfId="2" applyFont="1" applyFill="1" applyBorder="1" applyAlignment="1">
      <alignment horizontal="center" vertical="center"/>
    </xf>
    <xf numFmtId="0" fontId="75" fillId="42" borderId="63" xfId="2" applyFont="1" applyFill="1" applyBorder="1" applyAlignment="1">
      <alignment horizontal="center" vertical="center"/>
    </xf>
    <xf numFmtId="0" fontId="75" fillId="42" borderId="0" xfId="2" applyFont="1" applyFill="1" applyAlignment="1">
      <alignment horizontal="center" vertical="center"/>
    </xf>
    <xf numFmtId="0" fontId="75" fillId="42" borderId="64" xfId="2" applyFont="1" applyFill="1" applyBorder="1" applyAlignment="1">
      <alignment horizontal="center" vertical="center"/>
    </xf>
    <xf numFmtId="0" fontId="72" fillId="12" borderId="65" xfId="2" applyFont="1" applyFill="1" applyBorder="1" applyAlignment="1">
      <alignment horizontal="center" vertical="center"/>
    </xf>
    <xf numFmtId="0" fontId="29" fillId="8" borderId="2" xfId="2" applyFont="1" applyFill="1" applyBorder="1" applyAlignment="1">
      <alignment horizontal="center" vertical="center"/>
    </xf>
    <xf numFmtId="0" fontId="29" fillId="8" borderId="31" xfId="2" applyFont="1" applyFill="1" applyBorder="1" applyAlignment="1">
      <alignment horizontal="center" vertical="center"/>
    </xf>
    <xf numFmtId="0" fontId="29" fillId="8" borderId="65" xfId="2" applyFont="1" applyFill="1" applyBorder="1" applyAlignment="1">
      <alignment horizontal="center" vertical="center"/>
    </xf>
    <xf numFmtId="0" fontId="72" fillId="45" borderId="65" xfId="2" applyFont="1" applyFill="1" applyBorder="1" applyAlignment="1">
      <alignment horizontal="center" vertical="center"/>
    </xf>
    <xf numFmtId="0" fontId="72" fillId="47" borderId="65" xfId="2" applyFont="1" applyFill="1" applyBorder="1" applyAlignment="1">
      <alignment horizontal="center" vertical="center"/>
    </xf>
    <xf numFmtId="0" fontId="74" fillId="45" borderId="65" xfId="2" applyFont="1" applyFill="1" applyBorder="1" applyAlignment="1">
      <alignment horizontal="center" vertical="center"/>
    </xf>
    <xf numFmtId="0" fontId="72" fillId="10" borderId="65" xfId="2" applyFont="1" applyFill="1" applyBorder="1" applyAlignment="1">
      <alignment horizontal="center" vertical="center"/>
    </xf>
    <xf numFmtId="0" fontId="74" fillId="47" borderId="65" xfId="2" applyFont="1" applyFill="1" applyBorder="1" applyAlignment="1">
      <alignment horizontal="center" vertical="center"/>
    </xf>
    <xf numFmtId="0" fontId="74" fillId="12" borderId="65" xfId="2" applyFont="1" applyFill="1" applyBorder="1" applyAlignment="1">
      <alignment horizontal="center" vertical="center"/>
    </xf>
    <xf numFmtId="0" fontId="35" fillId="0" borderId="14" xfId="2" applyBorder="1" applyAlignment="1">
      <alignment horizontal="center"/>
    </xf>
    <xf numFmtId="0" fontId="35" fillId="15" borderId="2" xfId="2" applyFill="1" applyBorder="1" applyAlignment="1">
      <alignment horizontal="center" vertical="center" wrapText="1"/>
    </xf>
    <xf numFmtId="0" fontId="35" fillId="15" borderId="31" xfId="2" applyFill="1" applyBorder="1" applyAlignment="1">
      <alignment horizontal="left" vertical="center" wrapText="1"/>
    </xf>
    <xf numFmtId="0" fontId="25" fillId="14" borderId="0" xfId="2" applyFont="1" applyFill="1" applyAlignment="1">
      <alignment horizontal="center" vertical="center" wrapText="1"/>
    </xf>
    <xf numFmtId="0" fontId="35" fillId="0" borderId="2" xfId="2" applyBorder="1" applyAlignment="1">
      <alignment horizontal="center" vertical="center" wrapText="1"/>
    </xf>
    <xf numFmtId="0" fontId="35" fillId="15" borderId="2" xfId="2" applyFill="1" applyBorder="1" applyAlignment="1">
      <alignment horizontal="center" vertical="center"/>
    </xf>
    <xf numFmtId="0" fontId="35" fillId="0" borderId="18" xfId="2" applyBorder="1" applyAlignment="1">
      <alignment horizontal="center"/>
    </xf>
    <xf numFmtId="0" fontId="35" fillId="0" borderId="17" xfId="2" applyBorder="1" applyAlignment="1">
      <alignment horizontal="center"/>
    </xf>
    <xf numFmtId="0" fontId="25" fillId="14" borderId="2" xfId="2" applyFont="1" applyFill="1" applyBorder="1" applyAlignment="1">
      <alignment horizontal="center" vertical="center" wrapText="1"/>
    </xf>
    <xf numFmtId="0" fontId="35" fillId="0" borderId="20" xfId="2" applyBorder="1" applyAlignment="1">
      <alignment horizontal="center"/>
    </xf>
    <xf numFmtId="0" fontId="13" fillId="18" borderId="14" xfId="2" applyFont="1" applyFill="1" applyBorder="1" applyAlignment="1">
      <alignment horizontal="center" vertical="center"/>
    </xf>
    <xf numFmtId="14" fontId="13" fillId="18" borderId="14" xfId="2" applyNumberFormat="1" applyFont="1" applyFill="1" applyBorder="1" applyAlignment="1">
      <alignment horizontal="center" vertical="center"/>
    </xf>
    <xf numFmtId="14" fontId="13" fillId="18" borderId="2" xfId="2" applyNumberFormat="1" applyFont="1" applyFill="1" applyBorder="1" applyAlignment="1">
      <alignment horizontal="center" vertical="center"/>
    </xf>
    <xf numFmtId="0" fontId="13" fillId="18" borderId="2" xfId="2" applyFont="1" applyFill="1" applyBorder="1" applyAlignment="1">
      <alignment horizontal="center" vertical="center"/>
    </xf>
    <xf numFmtId="14" fontId="35" fillId="19" borderId="2" xfId="2" applyNumberFormat="1" applyFill="1" applyBorder="1" applyAlignment="1">
      <alignment horizontal="center" vertical="center"/>
    </xf>
    <xf numFmtId="165" fontId="35" fillId="19" borderId="2" xfId="2" applyNumberFormat="1" applyFill="1" applyBorder="1" applyAlignment="1">
      <alignment horizontal="center" vertical="center"/>
    </xf>
    <xf numFmtId="0" fontId="28" fillId="19" borderId="2" xfId="2" applyFont="1" applyFill="1" applyBorder="1" applyAlignment="1">
      <alignment horizontal="center" vertical="center"/>
    </xf>
    <xf numFmtId="0" fontId="35" fillId="19" borderId="2" xfId="2" applyFill="1" applyBorder="1" applyAlignment="1">
      <alignment horizontal="center" vertical="center"/>
    </xf>
    <xf numFmtId="0" fontId="66" fillId="19" borderId="2" xfId="2" applyFont="1" applyFill="1" applyBorder="1" applyAlignment="1">
      <alignment horizontal="center" vertical="center"/>
    </xf>
    <xf numFmtId="14" fontId="20" fillId="9" borderId="2" xfId="2" applyNumberFormat="1" applyFont="1" applyFill="1" applyBorder="1" applyAlignment="1">
      <alignment horizontal="center" vertical="center"/>
    </xf>
    <xf numFmtId="165" fontId="20" fillId="9" borderId="2" xfId="2" applyNumberFormat="1" applyFont="1" applyFill="1" applyBorder="1" applyAlignment="1">
      <alignment horizontal="center" vertical="center"/>
    </xf>
    <xf numFmtId="0" fontId="28" fillId="9" borderId="2" xfId="2" applyFont="1" applyFill="1" applyBorder="1" applyAlignment="1">
      <alignment horizontal="center" vertical="center"/>
    </xf>
    <xf numFmtId="0" fontId="35" fillId="9" borderId="2" xfId="2" applyFill="1" applyBorder="1" applyAlignment="1">
      <alignment horizontal="center" vertical="center"/>
    </xf>
    <xf numFmtId="0" fontId="29" fillId="5" borderId="2" xfId="2" applyFont="1" applyFill="1" applyBorder="1" applyAlignment="1">
      <alignment horizontal="center" vertical="center"/>
    </xf>
    <xf numFmtId="0" fontId="116" fillId="44" borderId="129" xfId="2" applyFont="1" applyFill="1" applyBorder="1" applyAlignment="1">
      <alignment horizontal="center" vertical="center"/>
    </xf>
    <xf numFmtId="0" fontId="116" fillId="44" borderId="129" xfId="0" applyFont="1" applyFill="1" applyBorder="1" applyAlignment="1">
      <alignment horizontal="center" vertical="center"/>
    </xf>
    <xf numFmtId="0" fontId="31" fillId="16" borderId="0" xfId="2" applyFont="1" applyFill="1"/>
    <xf numFmtId="0" fontId="129" fillId="67" borderId="143" xfId="0" applyFont="1" applyFill="1" applyBorder="1" applyAlignment="1">
      <alignment horizontal="center" vertical="center"/>
    </xf>
    <xf numFmtId="0" fontId="130" fillId="67" borderId="143" xfId="0" applyFont="1" applyFill="1" applyBorder="1" applyAlignment="1">
      <alignment horizontal="center" vertical="center"/>
    </xf>
    <xf numFmtId="0" fontId="127" fillId="67" borderId="143" xfId="0" applyFont="1" applyFill="1" applyBorder="1" applyAlignment="1">
      <alignment horizontal="center" vertical="center"/>
    </xf>
    <xf numFmtId="0" fontId="122" fillId="40" borderId="112" xfId="0" applyFont="1" applyFill="1" applyBorder="1" applyAlignment="1">
      <alignment horizontal="center" vertical="center"/>
    </xf>
    <xf numFmtId="0" fontId="122" fillId="40" borderId="116" xfId="0" applyFont="1" applyFill="1" applyBorder="1" applyAlignment="1">
      <alignment horizontal="center" vertical="center"/>
    </xf>
    <xf numFmtId="0" fontId="108" fillId="40" borderId="116" xfId="0" applyFont="1" applyFill="1" applyBorder="1" applyAlignment="1">
      <alignment horizontal="left" vertical="center"/>
    </xf>
    <xf numFmtId="0" fontId="108" fillId="40" borderId="134" xfId="0" applyFont="1" applyFill="1" applyBorder="1" applyAlignment="1">
      <alignment horizontal="left" vertical="center"/>
    </xf>
    <xf numFmtId="0" fontId="123" fillId="40" borderId="116" xfId="0" applyFont="1" applyFill="1" applyBorder="1" applyAlignment="1">
      <alignment horizontal="center" vertical="center"/>
    </xf>
    <xf numFmtId="0" fontId="108" fillId="40" borderId="114" xfId="0" applyFont="1" applyFill="1" applyBorder="1" applyAlignment="1">
      <alignment horizontal="left" vertical="center"/>
    </xf>
    <xf numFmtId="0" fontId="61" fillId="2" borderId="0" xfId="2" applyFont="1" applyFill="1" applyAlignment="1">
      <alignment horizontal="center" vertical="center"/>
    </xf>
    <xf numFmtId="173" fontId="55" fillId="25" borderId="0" xfId="2" applyNumberFormat="1" applyFont="1" applyFill="1" applyAlignment="1">
      <alignment horizontal="center" vertical="center"/>
    </xf>
    <xf numFmtId="49" fontId="55" fillId="25" borderId="0" xfId="2" applyNumberFormat="1" applyFont="1" applyFill="1" applyAlignment="1">
      <alignment horizontal="center" vertical="center"/>
    </xf>
    <xf numFmtId="49" fontId="40" fillId="25" borderId="0" xfId="2" applyNumberFormat="1" applyFont="1" applyFill="1" applyAlignment="1">
      <alignment horizontal="center" vertical="center" wrapText="1"/>
    </xf>
    <xf numFmtId="0" fontId="117" fillId="27" borderId="0" xfId="0" applyFont="1" applyFill="1" applyAlignment="1">
      <alignment horizontal="center" vertical="center"/>
    </xf>
    <xf numFmtId="0" fontId="118" fillId="65" borderId="0" xfId="0" applyFont="1" applyFill="1" applyAlignment="1">
      <alignment horizontal="center" vertical="center" wrapText="1"/>
    </xf>
    <xf numFmtId="0" fontId="117" fillId="27" borderId="111" xfId="0" applyFont="1" applyFill="1" applyBorder="1" applyAlignment="1">
      <alignment horizontal="center" vertical="center"/>
    </xf>
    <xf numFmtId="0" fontId="117" fillId="27" borderId="115" xfId="0" applyFont="1" applyFill="1" applyBorder="1" applyAlignment="1">
      <alignment horizontal="center" vertical="center"/>
    </xf>
    <xf numFmtId="0" fontId="117" fillId="27" borderId="113" xfId="0" applyFont="1" applyFill="1" applyBorder="1" applyAlignment="1">
      <alignment horizontal="center" vertical="center"/>
    </xf>
    <xf numFmtId="0" fontId="121" fillId="29" borderId="130" xfId="0" applyFont="1" applyFill="1" applyBorder="1" applyAlignment="1">
      <alignment horizontal="center" vertical="center"/>
    </xf>
    <xf numFmtId="0" fontId="121" fillId="29" borderId="131" xfId="0" applyFont="1" applyFill="1" applyBorder="1" applyAlignment="1">
      <alignment horizontal="center" vertical="center"/>
    </xf>
    <xf numFmtId="0" fontId="108" fillId="29" borderId="131" xfId="0" applyFont="1" applyFill="1" applyBorder="1" applyAlignment="1">
      <alignment horizontal="left" vertical="center"/>
    </xf>
    <xf numFmtId="0" fontId="108" fillId="29" borderId="133" xfId="0" applyFont="1" applyFill="1" applyBorder="1" applyAlignment="1">
      <alignment horizontal="left" vertical="center"/>
    </xf>
    <xf numFmtId="0" fontId="109" fillId="29" borderId="131" xfId="0" applyFont="1" applyFill="1" applyBorder="1" applyAlignment="1">
      <alignment horizontal="center" vertical="center"/>
    </xf>
    <xf numFmtId="0" fontId="108" fillId="29" borderId="132" xfId="0" applyFont="1" applyFill="1" applyBorder="1" applyAlignment="1">
      <alignment horizontal="left" vertical="center"/>
    </xf>
    <xf numFmtId="0" fontId="60" fillId="24" borderId="0" xfId="2" applyFont="1" applyFill="1"/>
    <xf numFmtId="0" fontId="63" fillId="24" borderId="0" xfId="2" applyFont="1" applyFill="1" applyAlignment="1">
      <alignment horizontal="center" vertical="center"/>
    </xf>
    <xf numFmtId="3" fontId="62" fillId="25" borderId="0" xfId="2" applyNumberFormat="1" applyFont="1" applyFill="1" applyAlignment="1">
      <alignment horizontal="center" vertical="center"/>
    </xf>
    <xf numFmtId="164" fontId="62" fillId="25" borderId="0" xfId="2" applyNumberFormat="1" applyFont="1" applyFill="1" applyAlignment="1">
      <alignment horizontal="center" vertical="center"/>
    </xf>
    <xf numFmtId="49" fontId="62" fillId="25" borderId="0" xfId="2" applyNumberFormat="1" applyFont="1" applyFill="1" applyAlignment="1">
      <alignment horizontal="center" vertical="center"/>
    </xf>
    <xf numFmtId="0" fontId="128" fillId="27" borderId="135" xfId="2" applyFont="1" applyFill="1" applyBorder="1" applyAlignment="1">
      <alignment horizontal="center" vertical="center"/>
    </xf>
    <xf numFmtId="0" fontId="128" fillId="27" borderId="136" xfId="2" applyFont="1" applyFill="1" applyBorder="1" applyAlignment="1">
      <alignment horizontal="center" vertical="center"/>
    </xf>
    <xf numFmtId="0" fontId="128" fillId="27" borderId="137" xfId="2" applyFont="1" applyFill="1" applyBorder="1" applyAlignment="1">
      <alignment horizontal="center" vertical="center"/>
    </xf>
    <xf numFmtId="0" fontId="56" fillId="4" borderId="0" xfId="2" applyFont="1" applyFill="1" applyAlignment="1">
      <alignment horizontal="center" vertical="center"/>
    </xf>
    <xf numFmtId="0" fontId="120" fillId="66" borderId="143" xfId="0" applyFont="1" applyFill="1" applyBorder="1" applyAlignment="1">
      <alignment horizontal="center" vertical="center"/>
    </xf>
    <xf numFmtId="0" fontId="120" fillId="66" borderId="144" xfId="0" applyFont="1" applyFill="1" applyBorder="1" applyAlignment="1">
      <alignment horizontal="center" vertical="center"/>
    </xf>
    <xf numFmtId="0" fontId="120" fillId="66" borderId="148" xfId="0" applyFont="1" applyFill="1" applyBorder="1" applyAlignment="1">
      <alignment horizontal="center" vertical="center"/>
    </xf>
    <xf numFmtId="3" fontId="131" fillId="67" borderId="146" xfId="0" applyNumberFormat="1" applyFont="1" applyFill="1" applyBorder="1" applyAlignment="1">
      <alignment horizontal="center" vertical="center"/>
    </xf>
    <xf numFmtId="3" fontId="131" fillId="67" borderId="149" xfId="0" applyNumberFormat="1" applyFont="1" applyFill="1" applyBorder="1" applyAlignment="1">
      <alignment horizontal="center" vertical="center"/>
    </xf>
    <xf numFmtId="0" fontId="120" fillId="66" borderId="145" xfId="0" applyFont="1" applyFill="1" applyBorder="1" applyAlignment="1">
      <alignment horizontal="center" vertical="center"/>
    </xf>
    <xf numFmtId="164" fontId="131" fillId="67" borderId="146" xfId="0" applyNumberFormat="1" applyFont="1" applyFill="1" applyBorder="1" applyAlignment="1">
      <alignment horizontal="center" vertical="center"/>
    </xf>
    <xf numFmtId="164" fontId="131" fillId="67" borderId="147" xfId="0" applyNumberFormat="1" applyFont="1" applyFill="1" applyBorder="1" applyAlignment="1">
      <alignment horizontal="center" vertical="center"/>
    </xf>
    <xf numFmtId="0" fontId="64" fillId="27" borderId="0" xfId="2" applyFont="1" applyFill="1" applyAlignment="1">
      <alignment horizontal="right" vertical="center"/>
    </xf>
    <xf numFmtId="185" fontId="160" fillId="0" borderId="204" xfId="0" applyNumberFormat="1" applyFont="1" applyBorder="1" applyAlignment="1">
      <alignment horizontal="left"/>
    </xf>
    <xf numFmtId="185" fontId="161" fillId="0" borderId="204" xfId="2" applyNumberFormat="1" applyFont="1" applyBorder="1" applyAlignment="1">
      <alignment horizontal="left"/>
    </xf>
    <xf numFmtId="167" fontId="141" fillId="29" borderId="168" xfId="2" applyNumberFormat="1" applyFont="1" applyFill="1" applyBorder="1" applyAlignment="1">
      <alignment horizontal="left" vertical="center"/>
    </xf>
    <xf numFmtId="0" fontId="141" fillId="52" borderId="168" xfId="2" applyFont="1" applyFill="1" applyBorder="1" applyAlignment="1">
      <alignment horizontal="left" vertical="center" wrapText="1"/>
    </xf>
    <xf numFmtId="168" fontId="141" fillId="52" borderId="168" xfId="2" applyNumberFormat="1" applyFont="1" applyFill="1" applyBorder="1" applyAlignment="1">
      <alignment horizontal="center"/>
    </xf>
    <xf numFmtId="3" fontId="141" fillId="52" borderId="168" xfId="2" applyNumberFormat="1" applyFont="1" applyFill="1" applyBorder="1" applyAlignment="1">
      <alignment horizontal="center"/>
    </xf>
    <xf numFmtId="0" fontId="141" fillId="52" borderId="168" xfId="2" applyFont="1" applyFill="1" applyBorder="1" applyAlignment="1">
      <alignment horizontal="center"/>
    </xf>
    <xf numFmtId="1" fontId="141" fillId="52" borderId="168" xfId="2" applyNumberFormat="1" applyFont="1" applyFill="1" applyBorder="1" applyAlignment="1">
      <alignment horizontal="center"/>
    </xf>
    <xf numFmtId="3" fontId="135" fillId="52" borderId="168" xfId="2" applyNumberFormat="1" applyFont="1" applyFill="1" applyBorder="1" applyAlignment="1">
      <alignment horizontal="center"/>
    </xf>
    <xf numFmtId="166" fontId="125" fillId="29" borderId="169" xfId="2" applyNumberFormat="1" applyFont="1" applyFill="1" applyBorder="1"/>
    <xf numFmtId="0" fontId="125" fillId="29" borderId="169" xfId="2" applyFont="1" applyFill="1" applyBorder="1" applyAlignment="1">
      <alignment horizontal="left" vertical="center" wrapText="1"/>
    </xf>
    <xf numFmtId="168" fontId="125" fillId="29" borderId="169" xfId="2" applyNumberFormat="1" applyFont="1" applyFill="1" applyBorder="1"/>
    <xf numFmtId="0" fontId="125" fillId="29" borderId="169" xfId="2" applyFont="1" applyFill="1" applyBorder="1"/>
    <xf numFmtId="167" fontId="125" fillId="29" borderId="169" xfId="2" applyNumberFormat="1" applyFont="1" applyFill="1" applyBorder="1" applyAlignment="1">
      <alignment horizontal="center"/>
    </xf>
    <xf numFmtId="0" fontId="124" fillId="29" borderId="169" xfId="2" applyFont="1" applyFill="1" applyBorder="1" applyAlignment="1">
      <alignment horizontal="center" vertical="center"/>
    </xf>
    <xf numFmtId="168" fontId="124" fillId="29" borderId="169" xfId="2" applyNumberFormat="1" applyFont="1" applyFill="1" applyBorder="1" applyAlignment="1">
      <alignment horizontal="center"/>
    </xf>
    <xf numFmtId="3" fontId="124" fillId="29" borderId="169" xfId="2" applyNumberFormat="1" applyFont="1" applyFill="1" applyBorder="1" applyAlignment="1">
      <alignment horizontal="center"/>
    </xf>
    <xf numFmtId="0" fontId="124" fillId="29" borderId="169" xfId="2" applyFont="1" applyFill="1" applyBorder="1" applyAlignment="1">
      <alignment horizontal="center"/>
    </xf>
    <xf numFmtId="0" fontId="124" fillId="29" borderId="169" xfId="2" applyFont="1" applyFill="1" applyBorder="1"/>
    <xf numFmtId="1" fontId="124" fillId="29" borderId="169" xfId="2" applyNumberFormat="1" applyFont="1" applyFill="1" applyBorder="1" applyAlignment="1">
      <alignment horizontal="center"/>
    </xf>
    <xf numFmtId="168" fontId="125" fillId="29" borderId="169" xfId="2" applyNumberFormat="1" applyFont="1" applyFill="1" applyBorder="1" applyAlignment="1">
      <alignment horizontal="center"/>
    </xf>
    <xf numFmtId="3" fontId="125" fillId="29" borderId="169" xfId="2" applyNumberFormat="1" applyFont="1" applyFill="1" applyBorder="1" applyAlignment="1">
      <alignment horizontal="center"/>
    </xf>
    <xf numFmtId="0" fontId="125" fillId="29" borderId="169" xfId="2" applyFont="1" applyFill="1" applyBorder="1" applyAlignment="1">
      <alignment horizontal="center"/>
    </xf>
    <xf numFmtId="1" fontId="125" fillId="29" borderId="169" xfId="2" applyNumberFormat="1" applyFont="1" applyFill="1" applyBorder="1" applyAlignment="1">
      <alignment horizontal="center"/>
    </xf>
    <xf numFmtId="3" fontId="136" fillId="29" borderId="169" xfId="2" applyNumberFormat="1" applyFont="1" applyFill="1" applyBorder="1" applyAlignment="1">
      <alignment horizontal="center"/>
    </xf>
    <xf numFmtId="166" fontId="141" fillId="29" borderId="168" xfId="2" applyNumberFormat="1" applyFont="1" applyFill="1" applyBorder="1" applyAlignment="1">
      <alignment horizontal="left" vertical="center"/>
    </xf>
    <xf numFmtId="1" fontId="141" fillId="29" borderId="168" xfId="2" applyNumberFormat="1" applyFont="1" applyFill="1" applyBorder="1" applyAlignment="1">
      <alignment horizontal="left" vertical="center"/>
    </xf>
    <xf numFmtId="1" fontId="125" fillId="29" borderId="169" xfId="2" applyNumberFormat="1" applyFont="1" applyFill="1" applyBorder="1" applyAlignment="1">
      <alignment horizontal="center" vertical="center"/>
    </xf>
    <xf numFmtId="0" fontId="79" fillId="29" borderId="169" xfId="2" applyFont="1" applyFill="1" applyBorder="1" applyAlignment="1">
      <alignment horizontal="left" vertical="center" wrapText="1"/>
    </xf>
    <xf numFmtId="168" fontId="79" fillId="29" borderId="169" xfId="2" applyNumberFormat="1" applyFont="1" applyFill="1" applyBorder="1" applyAlignment="1">
      <alignment horizontal="center" vertical="center"/>
    </xf>
    <xf numFmtId="0" fontId="79" fillId="29" borderId="169" xfId="2" applyFont="1" applyFill="1" applyBorder="1" applyAlignment="1">
      <alignment horizontal="center" vertical="center"/>
    </xf>
    <xf numFmtId="169" fontId="125" fillId="29" borderId="169" xfId="2" applyNumberFormat="1" applyFont="1" applyFill="1" applyBorder="1" applyAlignment="1">
      <alignment horizontal="center"/>
    </xf>
    <xf numFmtId="1" fontId="141" fillId="29" borderId="205" xfId="2" applyNumberFormat="1" applyFont="1" applyFill="1" applyBorder="1" applyAlignment="1">
      <alignment horizontal="left" vertical="center"/>
    </xf>
    <xf numFmtId="0" fontId="153" fillId="42" borderId="0" xfId="0" applyFont="1" applyFill="1" applyBorder="1" applyAlignment="1">
      <alignment horizontal="center" vertical="center" wrapText="1"/>
    </xf>
    <xf numFmtId="0" fontId="136" fillId="29" borderId="169" xfId="2" applyFont="1" applyFill="1" applyBorder="1"/>
    <xf numFmtId="166" fontId="141" fillId="0" borderId="168" xfId="2" applyNumberFormat="1" applyFont="1" applyBorder="1" applyAlignment="1">
      <alignment horizontal="left" vertical="center"/>
    </xf>
    <xf numFmtId="0" fontId="141" fillId="0" borderId="168" xfId="2" applyFont="1" applyBorder="1" applyAlignment="1">
      <alignment horizontal="left" vertical="center" wrapText="1"/>
    </xf>
    <xf numFmtId="168" fontId="141" fillId="0" borderId="168" xfId="2" applyNumberFormat="1" applyFont="1" applyBorder="1" applyAlignment="1">
      <alignment horizontal="center"/>
    </xf>
    <xf numFmtId="0" fontId="141" fillId="0" borderId="168" xfId="2" applyFont="1" applyBorder="1" applyAlignment="1">
      <alignment horizontal="center"/>
    </xf>
    <xf numFmtId="0" fontId="135" fillId="0" borderId="168" xfId="2" applyFont="1" applyBorder="1" applyAlignment="1">
      <alignment horizontal="center"/>
    </xf>
    <xf numFmtId="167" fontId="141" fillId="29" borderId="205" xfId="2" applyNumberFormat="1" applyFont="1" applyFill="1" applyBorder="1" applyAlignment="1">
      <alignment horizontal="left" vertical="center"/>
    </xf>
    <xf numFmtId="166" fontId="125" fillId="0" borderId="169" xfId="2" applyNumberFormat="1" applyFont="1" applyBorder="1"/>
    <xf numFmtId="0" fontId="125" fillId="0" borderId="169" xfId="2" applyFont="1" applyBorder="1" applyAlignment="1">
      <alignment horizontal="left" vertical="center" wrapText="1"/>
    </xf>
    <xf numFmtId="168" fontId="125" fillId="0" borderId="169" xfId="2" applyNumberFormat="1" applyFont="1" applyBorder="1"/>
    <xf numFmtId="0" fontId="125" fillId="0" borderId="169" xfId="2" applyFont="1" applyBorder="1"/>
    <xf numFmtId="166" fontId="125" fillId="0" borderId="168" xfId="2" applyNumberFormat="1" applyFont="1" applyBorder="1"/>
    <xf numFmtId="0" fontId="125" fillId="0" borderId="168" xfId="2" applyFont="1" applyBorder="1"/>
    <xf numFmtId="168" fontId="125" fillId="0" borderId="168" xfId="2" applyNumberFormat="1" applyFont="1" applyBorder="1"/>
    <xf numFmtId="1" fontId="15" fillId="0" borderId="168" xfId="2" applyNumberFormat="1" applyFont="1" applyBorder="1" applyAlignment="1">
      <alignment horizontal="center" vertical="center"/>
    </xf>
    <xf numFmtId="0" fontId="35" fillId="19" borderId="168" xfId="2" applyFill="1" applyBorder="1" applyAlignment="1">
      <alignment horizontal="left" vertical="center" wrapText="1"/>
    </xf>
    <xf numFmtId="168" fontId="35" fillId="19" borderId="168" xfId="2" applyNumberFormat="1" applyFill="1" applyBorder="1" applyAlignment="1">
      <alignment horizontal="center"/>
    </xf>
    <xf numFmtId="3" fontId="35" fillId="19" borderId="168" xfId="2" applyNumberFormat="1" applyFill="1" applyBorder="1" applyAlignment="1">
      <alignment horizontal="center"/>
    </xf>
    <xf numFmtId="0" fontId="35" fillId="19" borderId="168" xfId="2" applyFill="1" applyBorder="1" applyAlignment="1">
      <alignment horizontal="center"/>
    </xf>
    <xf numFmtId="1" fontId="35" fillId="19" borderId="168" xfId="2" applyNumberFormat="1" applyFill="1" applyBorder="1" applyAlignment="1">
      <alignment horizontal="center"/>
    </xf>
    <xf numFmtId="3" fontId="14" fillId="19" borderId="168" xfId="2" applyNumberFormat="1" applyFont="1" applyFill="1" applyBorder="1" applyAlignment="1">
      <alignment horizontal="center"/>
    </xf>
    <xf numFmtId="167" fontId="15" fillId="0" borderId="168" xfId="2" applyNumberFormat="1" applyFont="1" applyBorder="1" applyAlignment="1">
      <alignment horizontal="center" vertical="center"/>
    </xf>
    <xf numFmtId="167" fontId="15" fillId="0" borderId="205" xfId="2" applyNumberFormat="1" applyFont="1" applyBorder="1" applyAlignment="1">
      <alignment horizontal="center" vertical="center"/>
    </xf>
    <xf numFmtId="0" fontId="153" fillId="51" borderId="0" xfId="0" applyFont="1" applyFill="1" applyBorder="1" applyAlignment="1">
      <alignment horizontal="center" vertical="center" wrapText="1"/>
    </xf>
    <xf numFmtId="0" fontId="75" fillId="51" borderId="0" xfId="2" applyFont="1" applyFill="1" applyBorder="1" applyAlignment="1">
      <alignment horizontal="center" vertical="center"/>
    </xf>
    <xf numFmtId="0" fontId="75" fillId="42" borderId="0" xfId="2" applyFont="1" applyFill="1" applyBorder="1" applyAlignment="1">
      <alignment horizontal="center" vertical="center"/>
    </xf>
    <xf numFmtId="0" fontId="2" fillId="19" borderId="168" xfId="2" applyFont="1" applyFill="1" applyBorder="1" applyAlignment="1">
      <alignment horizontal="left" vertical="center" wrapText="1"/>
    </xf>
    <xf numFmtId="168" fontId="2" fillId="19" borderId="168" xfId="2" applyNumberFormat="1" applyFont="1" applyFill="1" applyBorder="1" applyAlignment="1">
      <alignment horizontal="center"/>
    </xf>
    <xf numFmtId="3" fontId="2" fillId="19" borderId="168" xfId="2" applyNumberFormat="1" applyFont="1" applyFill="1" applyBorder="1" applyAlignment="1">
      <alignment horizontal="center"/>
    </xf>
    <xf numFmtId="0" fontId="2" fillId="19" borderId="168" xfId="2" applyFont="1" applyFill="1" applyBorder="1" applyAlignment="1">
      <alignment horizontal="center"/>
    </xf>
    <xf numFmtId="1" fontId="2" fillId="19" borderId="168" xfId="2" applyNumberFormat="1" applyFont="1" applyFill="1" applyBorder="1" applyAlignment="1">
      <alignment horizontal="center"/>
    </xf>
    <xf numFmtId="0" fontId="13" fillId="18" borderId="189" xfId="2" applyFont="1" applyFill="1" applyBorder="1" applyAlignment="1">
      <alignment horizontal="left" vertical="center" wrapText="1"/>
    </xf>
    <xf numFmtId="168" fontId="13" fillId="18" borderId="189" xfId="2" applyNumberFormat="1" applyFont="1" applyFill="1" applyBorder="1" applyAlignment="1">
      <alignment horizontal="center" vertical="center"/>
    </xf>
    <xf numFmtId="0" fontId="13" fillId="18" borderId="189" xfId="2" applyFont="1" applyFill="1" applyBorder="1" applyAlignment="1">
      <alignment horizontal="center" vertical="center"/>
    </xf>
    <xf numFmtId="0" fontId="142" fillId="50" borderId="206" xfId="2" applyFont="1" applyFill="1" applyBorder="1" applyAlignment="1">
      <alignment horizontal="center" vertical="center"/>
    </xf>
    <xf numFmtId="168" fontId="142" fillId="50" borderId="206" xfId="2" applyNumberFormat="1" applyFont="1" applyFill="1" applyBorder="1" applyAlignment="1">
      <alignment horizontal="center" vertical="center"/>
    </xf>
    <xf numFmtId="3" fontId="142" fillId="50" borderId="206" xfId="2" applyNumberFormat="1" applyFont="1" applyFill="1" applyBorder="1" applyAlignment="1">
      <alignment horizontal="center" vertical="center"/>
    </xf>
    <xf numFmtId="1" fontId="142" fillId="50" borderId="206" xfId="2" applyNumberFormat="1" applyFont="1" applyFill="1" applyBorder="1" applyAlignment="1">
      <alignment horizontal="center" vertical="center"/>
    </xf>
    <xf numFmtId="0" fontId="79" fillId="50" borderId="206" xfId="2" applyFont="1" applyFill="1" applyBorder="1" applyAlignment="1">
      <alignment horizontal="center" vertical="center"/>
    </xf>
    <xf numFmtId="168" fontId="79" fillId="50" borderId="206" xfId="2" applyNumberFormat="1" applyFont="1" applyFill="1" applyBorder="1" applyAlignment="1">
      <alignment horizontal="center"/>
    </xf>
    <xf numFmtId="3" fontId="79" fillId="50" borderId="206" xfId="2" applyNumberFormat="1" applyFont="1" applyFill="1" applyBorder="1" applyAlignment="1">
      <alignment horizontal="center" vertical="center"/>
    </xf>
    <xf numFmtId="0" fontId="79" fillId="50" borderId="206" xfId="2" applyFont="1" applyFill="1" applyBorder="1" applyAlignment="1">
      <alignment horizontal="center"/>
    </xf>
    <xf numFmtId="1" fontId="79" fillId="50" borderId="206" xfId="2" applyNumberFormat="1" applyFont="1" applyFill="1" applyBorder="1" applyAlignment="1">
      <alignment horizontal="center" vertical="center"/>
    </xf>
    <xf numFmtId="0" fontId="163" fillId="50" borderId="207" xfId="2" applyFont="1" applyFill="1" applyBorder="1" applyAlignment="1">
      <alignment horizontal="center" vertical="center"/>
    </xf>
    <xf numFmtId="168" fontId="3" fillId="50" borderId="207" xfId="2" applyNumberFormat="1" applyFont="1" applyFill="1" applyBorder="1"/>
    <xf numFmtId="3" fontId="163" fillId="50" borderId="207" xfId="2" applyNumberFormat="1" applyFont="1" applyFill="1" applyBorder="1" applyAlignment="1">
      <alignment horizontal="center" vertical="center"/>
    </xf>
    <xf numFmtId="0" fontId="3" fillId="50" borderId="207" xfId="2" applyFont="1" applyFill="1" applyBorder="1"/>
    <xf numFmtId="1" fontId="163" fillId="50" borderId="207" xfId="2" applyNumberFormat="1" applyFont="1" applyFill="1" applyBorder="1" applyAlignment="1">
      <alignment horizontal="center" vertical="center"/>
    </xf>
    <xf numFmtId="168" fontId="5" fillId="50" borderId="207" xfId="2" applyNumberFormat="1" applyFont="1" applyFill="1" applyBorder="1"/>
    <xf numFmtId="0" fontId="5" fillId="50" borderId="207" xfId="2" applyFont="1" applyFill="1" applyBorder="1"/>
    <xf numFmtId="0" fontId="142" fillId="74" borderId="206" xfId="2" applyFont="1" applyFill="1" applyBorder="1" applyAlignment="1">
      <alignment horizontal="center" vertical="center"/>
    </xf>
    <xf numFmtId="0" fontId="164" fillId="74" borderId="206" xfId="2" applyFont="1" applyFill="1" applyBorder="1" applyAlignment="1">
      <alignment horizontal="center" vertical="center"/>
    </xf>
    <xf numFmtId="0" fontId="165" fillId="74" borderId="206" xfId="2" applyFont="1" applyFill="1" applyBorder="1" applyAlignment="1">
      <alignment horizontal="center"/>
    </xf>
    <xf numFmtId="0" fontId="166" fillId="74" borderId="207" xfId="2" applyFont="1" applyFill="1" applyBorder="1" applyAlignment="1">
      <alignment horizontal="center"/>
    </xf>
    <xf numFmtId="0" fontId="167" fillId="74" borderId="207" xfId="2" applyFont="1" applyFill="1" applyBorder="1" applyAlignment="1">
      <alignment horizontal="center"/>
    </xf>
    <xf numFmtId="0" fontId="168" fillId="74" borderId="4" xfId="2" applyFont="1" applyFill="1" applyBorder="1" applyAlignment="1">
      <alignment horizontal="center" vertical="center"/>
    </xf>
    <xf numFmtId="0" fontId="168" fillId="74" borderId="168" xfId="2" applyFont="1" applyFill="1" applyBorder="1" applyAlignment="1">
      <alignment horizontal="center" vertical="center"/>
    </xf>
    <xf numFmtId="0" fontId="166" fillId="74" borderId="30" xfId="2" applyFont="1" applyFill="1" applyBorder="1" applyAlignment="1">
      <alignment horizontal="center"/>
    </xf>
    <xf numFmtId="0" fontId="166" fillId="74" borderId="3" xfId="2" applyFont="1" applyFill="1" applyBorder="1" applyAlignment="1">
      <alignment horizontal="center"/>
    </xf>
    <xf numFmtId="0" fontId="167" fillId="74" borderId="30" xfId="2" applyFont="1" applyFill="1" applyBorder="1" applyAlignment="1">
      <alignment horizontal="center"/>
    </xf>
    <xf numFmtId="0" fontId="167" fillId="74" borderId="189" xfId="2" applyFont="1" applyFill="1" applyBorder="1" applyAlignment="1">
      <alignment horizontal="center"/>
    </xf>
    <xf numFmtId="1" fontId="169" fillId="75" borderId="4" xfId="2" applyNumberFormat="1" applyFont="1" applyFill="1" applyBorder="1" applyAlignment="1">
      <alignment horizontal="center"/>
    </xf>
    <xf numFmtId="1" fontId="169" fillId="75" borderId="168" xfId="2" applyNumberFormat="1" applyFont="1" applyFill="1" applyBorder="1" applyAlignment="1">
      <alignment horizontal="center"/>
    </xf>
    <xf numFmtId="0" fontId="170" fillId="75" borderId="184" xfId="0" applyFont="1" applyFill="1" applyBorder="1" applyAlignment="1">
      <alignment horizontal="center" vertical="center" wrapText="1"/>
    </xf>
    <xf numFmtId="0" fontId="170" fillId="75" borderId="0" xfId="0" applyFont="1" applyFill="1" applyAlignment="1">
      <alignment horizontal="center" vertical="center" wrapText="1"/>
    </xf>
    <xf numFmtId="0" fontId="170" fillId="75" borderId="0" xfId="0" applyFont="1" applyFill="1" applyBorder="1" applyAlignment="1">
      <alignment horizontal="center" vertical="center" wrapText="1"/>
    </xf>
    <xf numFmtId="0" fontId="169" fillId="75" borderId="4" xfId="2" applyFont="1" applyFill="1" applyBorder="1" applyAlignment="1">
      <alignment horizontal="center"/>
    </xf>
    <xf numFmtId="0" fontId="169" fillId="75" borderId="168" xfId="2" applyFont="1" applyFill="1" applyBorder="1" applyAlignment="1">
      <alignment horizontal="center"/>
    </xf>
    <xf numFmtId="0" fontId="171" fillId="75" borderId="4" xfId="2" applyFont="1" applyFill="1" applyBorder="1"/>
    <xf numFmtId="0" fontId="171" fillId="75" borderId="168" xfId="2" applyFont="1" applyFill="1" applyBorder="1"/>
    <xf numFmtId="0" fontId="171" fillId="75" borderId="0" xfId="2" applyFont="1" applyFill="1"/>
    <xf numFmtId="0" fontId="172" fillId="75" borderId="67" xfId="2" applyFont="1" applyFill="1" applyBorder="1" applyAlignment="1">
      <alignment horizontal="center" vertical="center"/>
    </xf>
    <xf numFmtId="0" fontId="172" fillId="75" borderId="0" xfId="2" applyFont="1" applyFill="1" applyAlignment="1">
      <alignment horizontal="center" vertical="center"/>
    </xf>
    <xf numFmtId="0" fontId="172" fillId="75" borderId="0" xfId="2" applyFont="1" applyFill="1" applyBorder="1" applyAlignment="1">
      <alignment horizontal="center" vertical="center"/>
    </xf>
    <xf numFmtId="0" fontId="173" fillId="75" borderId="4" xfId="2" applyFont="1" applyFill="1" applyBorder="1"/>
    <xf numFmtId="0" fontId="173" fillId="75" borderId="168" xfId="2" applyFont="1" applyFill="1" applyBorder="1"/>
    <xf numFmtId="186" fontId="146" fillId="44" borderId="171" xfId="2" applyNumberFormat="1" applyFont="1" applyFill="1" applyBorder="1" applyAlignment="1">
      <alignment horizontal="center" vertical="center"/>
    </xf>
    <xf numFmtId="186" fontId="146" fillId="44" borderId="182" xfId="2" applyNumberFormat="1" applyFont="1" applyFill="1" applyBorder="1" applyAlignment="1">
      <alignment horizontal="center" vertical="center"/>
    </xf>
    <xf numFmtId="186" fontId="152" fillId="44" borderId="177" xfId="2" applyNumberFormat="1" applyFont="1" applyFill="1" applyBorder="1" applyAlignment="1">
      <alignment horizontal="center" vertical="center"/>
    </xf>
    <xf numFmtId="186" fontId="146" fillId="44" borderId="2" xfId="2" applyNumberFormat="1" applyFont="1" applyFill="1" applyBorder="1" applyAlignment="1">
      <alignment horizontal="center" vertical="center"/>
    </xf>
    <xf numFmtId="186" fontId="146" fillId="44" borderId="19" xfId="2" applyNumberFormat="1" applyFont="1" applyFill="1" applyBorder="1" applyAlignment="1">
      <alignment horizontal="center" vertical="center"/>
    </xf>
    <xf numFmtId="186" fontId="152" fillId="44" borderId="178" xfId="2" applyNumberFormat="1" applyFont="1" applyFill="1" applyBorder="1" applyAlignment="1">
      <alignment horizontal="center" vertical="center"/>
    </xf>
    <xf numFmtId="186" fontId="146" fillId="44" borderId="172" xfId="2" applyNumberFormat="1" applyFont="1" applyFill="1" applyBorder="1" applyAlignment="1">
      <alignment horizontal="center" vertical="center"/>
    </xf>
    <xf numFmtId="186" fontId="146" fillId="44" borderId="183" xfId="2" applyNumberFormat="1" applyFont="1" applyFill="1" applyBorder="1" applyAlignment="1">
      <alignment horizontal="center" vertical="center"/>
    </xf>
    <xf numFmtId="186" fontId="152" fillId="44" borderId="175" xfId="2" applyNumberFormat="1" applyFont="1" applyFill="1" applyBorder="1" applyAlignment="1">
      <alignment horizontal="center" vertical="center"/>
    </xf>
    <xf numFmtId="186" fontId="146" fillId="21" borderId="2" xfId="2" applyNumberFormat="1" applyFont="1" applyFill="1" applyBorder="1" applyAlignment="1">
      <alignment horizontal="center" vertical="center"/>
    </xf>
    <xf numFmtId="186" fontId="152" fillId="21" borderId="2" xfId="2" applyNumberFormat="1" applyFont="1" applyFill="1" applyBorder="1" applyAlignment="1">
      <alignment horizontal="center" vertical="center"/>
    </xf>
    <xf numFmtId="186" fontId="146" fillId="0" borderId="2" xfId="2" applyNumberFormat="1" applyFont="1" applyBorder="1" applyAlignment="1">
      <alignment horizontal="center" vertical="center"/>
    </xf>
    <xf numFmtId="186" fontId="152" fillId="0" borderId="2" xfId="2" applyNumberFormat="1" applyFont="1" applyBorder="1" applyAlignment="1">
      <alignment horizontal="center" vertical="center"/>
    </xf>
    <xf numFmtId="186" fontId="110" fillId="44" borderId="2" xfId="2" applyNumberFormat="1" applyFont="1" applyFill="1" applyBorder="1" applyAlignment="1">
      <alignment horizontal="center" vertical="center"/>
    </xf>
    <xf numFmtId="186" fontId="146" fillId="44" borderId="65" xfId="2" applyNumberFormat="1" applyFont="1" applyFill="1" applyBorder="1" applyAlignment="1">
      <alignment horizontal="center" vertical="center"/>
    </xf>
    <xf numFmtId="186" fontId="110" fillId="44" borderId="65" xfId="2" applyNumberFormat="1" applyFont="1" applyFill="1" applyBorder="1" applyAlignment="1">
      <alignment horizontal="center" vertical="center"/>
    </xf>
    <xf numFmtId="186" fontId="111" fillId="44" borderId="65" xfId="2" applyNumberFormat="1" applyFont="1" applyFill="1" applyBorder="1" applyAlignment="1">
      <alignment horizontal="center" vertical="center"/>
    </xf>
    <xf numFmtId="186" fontId="149" fillId="44" borderId="65" xfId="2" applyNumberFormat="1" applyFont="1" applyFill="1" applyBorder="1" applyAlignment="1">
      <alignment horizontal="center" vertical="center"/>
    </xf>
    <xf numFmtId="186" fontId="110" fillId="44" borderId="69" xfId="2" applyNumberFormat="1" applyFont="1" applyFill="1" applyBorder="1" applyAlignment="1">
      <alignment horizontal="center" vertical="center"/>
    </xf>
    <xf numFmtId="0" fontId="79" fillId="74" borderId="206" xfId="2" applyFont="1" applyFill="1" applyBorder="1" applyAlignment="1">
      <alignment horizontal="center" vertical="center"/>
    </xf>
    <xf numFmtId="0" fontId="163" fillId="74" borderId="207" xfId="2" applyFont="1" applyFill="1" applyBorder="1" applyAlignment="1">
      <alignment horizontal="center" vertical="center"/>
    </xf>
    <xf numFmtId="168" fontId="0" fillId="0" borderId="0" xfId="0" applyNumberFormat="1"/>
    <xf numFmtId="187" fontId="35" fillId="0" borderId="0" xfId="2" applyNumberFormat="1"/>
  </cellXfs>
  <cellStyles count="3">
    <cellStyle name="Normal" xfId="0" builtinId="0"/>
    <cellStyle name="Normal 2" xfId="2" xr:uid="{2035D7CF-6914-4313-97B1-17FCD22C6F6A}"/>
    <cellStyle name="Pivot Table Value" xfId="1" xr:uid="{00000000-0005-0000-0000-000006000000}"/>
  </cellStyles>
  <dxfs count="505">
    <dxf>
      <font>
        <b/>
        <sz val="13"/>
        <color rgb="FFC0392B"/>
        <name val="Calibri"/>
        <charset val="1"/>
      </font>
      <fill>
        <patternFill>
          <bgColor rgb="FFFDECEA"/>
        </patternFill>
      </fill>
    </dxf>
    <dxf>
      <font>
        <b/>
        <sz val="13"/>
        <color rgb="FF1A7A4A"/>
        <name val="Calibri"/>
        <charset val="1"/>
      </font>
      <fill>
        <patternFill>
          <bgColor rgb="FFD5F5E3"/>
        </patternFill>
      </fill>
    </dxf>
    <dxf>
      <font>
        <b/>
        <sz val="9"/>
        <color rgb="FFC0392B"/>
        <name val="Calibri"/>
        <charset val="1"/>
      </font>
      <fill>
        <patternFill>
          <bgColor rgb="FFFDECEA"/>
        </patternFill>
      </fill>
    </dxf>
    <dxf>
      <font>
        <b/>
        <sz val="9"/>
        <color rgb="FF1A7A4A"/>
        <name val="Calibri"/>
        <charset val="1"/>
      </font>
      <fill>
        <patternFill>
          <bgColor rgb="FFD5F5E3"/>
        </patternFill>
      </fill>
    </dxf>
    <dxf>
      <font>
        <b/>
        <i val="0"/>
        <color rgb="FF1A7A4A"/>
      </font>
      <fill>
        <patternFill patternType="solid">
          <fgColor indexed="64"/>
          <bgColor rgb="FFD5F5E3"/>
        </patternFill>
      </fill>
    </dxf>
    <dxf>
      <font>
        <b/>
        <i val="0"/>
        <color rgb="FF856404"/>
      </font>
      <fill>
        <patternFill patternType="solid">
          <fgColor indexed="64"/>
          <bgColor rgb="FFFFF3CD"/>
        </patternFill>
      </fill>
    </dxf>
    <dxf>
      <font>
        <b/>
        <i val="0"/>
        <color rgb="FFC0392B"/>
      </font>
      <fill>
        <patternFill patternType="solid">
          <fgColor indexed="64"/>
          <bgColor rgb="FFFDECEA"/>
        </patternFill>
      </fill>
    </dxf>
    <dxf>
      <font>
        <b/>
        <i val="0"/>
        <color rgb="FF008000"/>
      </font>
    </dxf>
    <dxf>
      <font>
        <b/>
        <i val="0"/>
        <color rgb="FFBF9000"/>
      </font>
    </dxf>
    <dxf>
      <font>
        <b/>
        <i val="0"/>
        <color rgb="FFC00000"/>
      </font>
    </dxf>
    <dxf>
      <font>
        <b/>
        <i val="0"/>
        <color rgb="FF006100"/>
      </font>
    </dxf>
    <dxf>
      <font>
        <b/>
        <i val="0"/>
        <color rgb="FF9C0006"/>
      </font>
    </dxf>
    <dxf>
      <font>
        <b/>
        <i val="0"/>
        <color rgb="FF006100"/>
      </font>
      <fill>
        <patternFill patternType="solid">
          <fgColor indexed="64"/>
          <bgColor rgb="FFE8F5E9"/>
        </patternFill>
      </fill>
    </dxf>
    <dxf>
      <font>
        <b/>
        <i val="0"/>
        <color rgb="FF9C0006"/>
      </font>
      <fill>
        <patternFill patternType="solid">
          <fgColor indexed="64"/>
          <bgColor rgb="FFFDECEA"/>
        </patternFill>
      </fill>
    </dxf>
    <dxf>
      <font>
        <b/>
        <i val="0"/>
        <color rgb="FFC00000"/>
      </font>
      <fill>
        <patternFill patternType="solid">
          <fgColor indexed="64"/>
          <bgColor rgb="FFFCE8E6"/>
        </patternFill>
      </fill>
    </dxf>
    <dxf>
      <font>
        <b/>
        <color rgb="FFFFFFFF"/>
      </font>
      <fill>
        <patternFill>
          <bgColor rgb="FF00AA44"/>
        </patternFill>
      </fill>
    </dxf>
    <dxf>
      <fill>
        <patternFill>
          <bgColor rgb="FFFFA500"/>
        </patternFill>
      </fill>
    </dxf>
    <dxf>
      <font>
        <b/>
        <color rgb="FFFFFFFF"/>
      </font>
      <fill>
        <patternFill>
          <bgColor rgb="FFFF4444"/>
        </patternFill>
      </fill>
    </dxf>
    <dxf>
      <fill>
        <patternFill>
          <bgColor rgb="FFEAF4EA"/>
        </patternFill>
      </fill>
    </dxf>
    <dxf>
      <font>
        <color rgb="FF7F7F7F"/>
      </font>
    </dxf>
    <dxf>
      <font>
        <b/>
        <i val="0"/>
        <color rgb="FF9C0006"/>
      </font>
    </dxf>
    <dxf>
      <font>
        <b/>
        <i val="0"/>
        <color rgb="FF006100"/>
      </font>
    </dxf>
    <dxf>
      <font>
        <b/>
        <i val="0"/>
        <color rgb="FF7A3A00"/>
      </font>
    </dxf>
    <dxf>
      <border>
        <top style="thin">
          <color rgb="FFC69214"/>
        </top>
      </border>
    </dxf>
    <dxf>
      <fill>
        <patternFill patternType="solid">
          <fgColor indexed="64"/>
          <bgColor rgb="FFFFF2CC"/>
        </patternFill>
      </fill>
    </dxf>
    <dxf>
      <fill>
        <patternFill>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sz val="11"/>
        <color rgb="FF7F7F7F"/>
        <name val="Calibri"/>
        <family val="2"/>
        <charset val="1"/>
      </font>
    </dxf>
    <dxf>
      <font>
        <b/>
        <sz val="11"/>
        <color rgb="FF9C0006"/>
        <name val="Calibri"/>
        <family val="2"/>
        <charset val="1"/>
      </font>
    </dxf>
    <dxf>
      <font>
        <b/>
        <sz val="11"/>
        <color rgb="FF006100"/>
        <name val="Calibri"/>
        <family val="2"/>
        <charset val="1"/>
      </font>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s>
  <tableStyles count="0" defaultTableStyle="TableStyleMedium2" defaultPivotStyle="PivotStyleLight16"/>
  <colors>
    <indexedColors>
      <rgbColor rgb="FF000000"/>
      <rgbColor rgb="FFFFFFFF"/>
      <rgbColor rgb="FFFF0000"/>
      <rgbColor rgb="FFF7F3EE"/>
      <rgbColor rgb="FFFBF7ED"/>
      <rgbColor rgb="FFFFFF00"/>
      <rgbColor rgb="FFFEEEEA"/>
      <rgbColor rgb="FFE5ECE8"/>
      <rgbColor rgb="FFA10005"/>
      <rgbColor rgb="FF006100"/>
      <rgbColor rgb="FF2F3A4A"/>
      <rgbColor rgb="FF7A8468"/>
      <rgbColor rgb="FFC65911"/>
      <rgbColor rgb="FF0F766E"/>
      <rgbColor rgb="FFC0C3C3"/>
      <rgbColor rgb="FF7C7C7D"/>
      <rgbColor rgb="FFABBACA"/>
      <rgbColor rgb="FFC0392B"/>
      <rgbColor rgb="FFFFF2CC"/>
      <rgbColor rgb="FFE8F3EA"/>
      <rgbColor rgb="FFCD7F32"/>
      <rgbColor rgb="FFF28B82"/>
      <rgbColor rgb="FFF6F1F8"/>
      <rgbColor rgb="FFD0D5DD"/>
      <rgbColor rgb="FFFFF7E8"/>
      <rgbColor rgb="FFF4F6F8"/>
      <rgbColor rgb="FFCEE3C8"/>
      <rgbColor rgb="FFE7E6EA"/>
      <rgbColor rgb="FFC55A11"/>
      <rgbColor rgb="FFDF3026"/>
      <rgbColor rgb="FF078D48"/>
      <rgbColor rgb="FFF8FAFC"/>
      <rgbColor rgb="FFDBDBDB"/>
      <rgbColor rgb="FFEDF2F7"/>
      <rgbColor rgb="FFD5F5E3"/>
      <rgbColor rgb="FFFFE699"/>
      <rgbColor rgb="FF99CCFF"/>
      <rgbColor rgb="FFC9B08A"/>
      <rgbColor rgb="FFCCCCCC"/>
      <rgbColor rgb="FFF5E5BF"/>
      <rgbColor rgb="FF4574C3"/>
      <rgbColor rgb="FFDAD8D8"/>
      <rgbColor rgb="FF92D050"/>
      <rgbColor rgb="FFFFD700"/>
      <rgbColor rgb="FFFEAB01"/>
      <rgbColor rgb="FFC96B0A"/>
      <rgbColor rgb="FF53585E"/>
      <rgbColor rgb="FFA2A2A2"/>
      <rgbColor rgb="FF1A2B3C"/>
      <rgbColor rgb="FFC89F65"/>
      <rgbColor rgb="FF2F3843"/>
      <rgbColor rgb="FF2B2B2B"/>
      <rgbColor rgb="FF843C0B"/>
      <rgbColor rgb="FF8C4B09"/>
      <rgbColor rgb="FF4E275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500" b="1">
                <a:solidFill>
                  <a:srgbClr val="1B2D3F"/>
                </a:solidFill>
                <a:latin typeface="Aptos Display"/>
                <a:ea typeface="Aptos Display"/>
                <a:cs typeface="Aptos Display"/>
              </a:defRPr>
            </a:pPr>
            <a:r>
              <a:rPr lang="en-US"/>
              <a:t>TOP 10 — LATAS PRODUZIDAS NO ANO</a:t>
            </a:r>
          </a:p>
        </c:rich>
      </c:tx>
      <c:overlay val="0"/>
    </c:title>
    <c:autoTitleDeleted val="0"/>
    <c:plotArea>
      <c:layout/>
      <c:barChart>
        <c:barDir val="bar"/>
        <c:grouping val="clustered"/>
        <c:varyColors val="0"/>
        <c:ser>
          <c:idx val="0"/>
          <c:order val="0"/>
          <c:tx>
            <c:strRef>
              <c:f>CLASSIFICAÇÃO!$C$5</c:f>
              <c:strCache>
                <c:ptCount val="1"/>
                <c:pt idx="0">
                  <c:v>Latas Produzidas</c:v>
                </c:pt>
              </c:strCache>
            </c:strRef>
          </c:tx>
          <c:spPr>
            <a:solidFill>
              <a:srgbClr val="2F5597"/>
            </a:solidFill>
            <a:ln w="6350">
              <a:solidFill>
                <a:srgbClr val="FFFFFF"/>
              </a:solidFill>
              <a:prstDash val="solid"/>
            </a:ln>
          </c:spPr>
          <c:invertIfNegative val="0"/>
          <c:dPt>
            <c:idx val="0"/>
            <c:invertIfNegative val="0"/>
            <c:bubble3D val="0"/>
            <c:spPr>
              <a:solidFill>
                <a:srgbClr val="FFD400"/>
              </a:solidFill>
              <a:ln w="6350">
                <a:solidFill>
                  <a:srgbClr val="FFFFFF"/>
                </a:solidFill>
                <a:prstDash val="solid"/>
              </a:ln>
            </c:spPr>
            <c:extLst>
              <c:ext xmlns:c16="http://schemas.microsoft.com/office/drawing/2014/chart" uri="{C3380CC4-5D6E-409C-BE32-E72D297353CC}">
                <c16:uniqueId val="{00000000-06AC-458D-B0A8-D2D16165F2A2}"/>
              </c:ext>
            </c:extLst>
          </c:dPt>
          <c:dPt>
            <c:idx val="1"/>
            <c:invertIfNegative val="0"/>
            <c:bubble3D val="0"/>
            <c:spPr>
              <a:solidFill>
                <a:srgbClr val="BFC3C6"/>
              </a:solidFill>
              <a:ln w="6350">
                <a:solidFill>
                  <a:srgbClr val="FFFFFF"/>
                </a:solidFill>
                <a:prstDash val="solid"/>
              </a:ln>
            </c:spPr>
            <c:extLst>
              <c:ext xmlns:c16="http://schemas.microsoft.com/office/drawing/2014/chart" uri="{C3380CC4-5D6E-409C-BE32-E72D297353CC}">
                <c16:uniqueId val="{00000001-06AC-458D-B0A8-D2D16165F2A2}"/>
              </c:ext>
            </c:extLst>
          </c:dPt>
          <c:dPt>
            <c:idx val="2"/>
            <c:invertIfNegative val="0"/>
            <c:bubble3D val="0"/>
            <c:spPr>
              <a:solidFill>
                <a:srgbClr val="D5842F"/>
              </a:solidFill>
              <a:ln w="6350">
                <a:solidFill>
                  <a:srgbClr val="FFFFFF"/>
                </a:solidFill>
                <a:prstDash val="solid"/>
              </a:ln>
            </c:spPr>
            <c:extLst>
              <c:ext xmlns:c16="http://schemas.microsoft.com/office/drawing/2014/chart" uri="{C3380CC4-5D6E-409C-BE32-E72D297353CC}">
                <c16:uniqueId val="{00000002-06AC-458D-B0A8-D2D16165F2A2}"/>
              </c:ext>
            </c:extLst>
          </c:dPt>
          <c:dPt>
            <c:idx val="3"/>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3-06AC-458D-B0A8-D2D16165F2A2}"/>
              </c:ext>
            </c:extLst>
          </c:dPt>
          <c:dPt>
            <c:idx val="4"/>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4-06AC-458D-B0A8-D2D16165F2A2}"/>
              </c:ext>
            </c:extLst>
          </c:dPt>
          <c:dPt>
            <c:idx val="5"/>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5-06AC-458D-B0A8-D2D16165F2A2}"/>
              </c:ext>
            </c:extLst>
          </c:dPt>
          <c:dPt>
            <c:idx val="6"/>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6-06AC-458D-B0A8-D2D16165F2A2}"/>
              </c:ext>
            </c:extLst>
          </c:dPt>
          <c:dPt>
            <c:idx val="7"/>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7-06AC-458D-B0A8-D2D16165F2A2}"/>
              </c:ext>
            </c:extLst>
          </c:dPt>
          <c:dPt>
            <c:idx val="8"/>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8-06AC-458D-B0A8-D2D16165F2A2}"/>
              </c:ext>
            </c:extLst>
          </c:dPt>
          <c:dPt>
            <c:idx val="9"/>
            <c:invertIfNegative val="0"/>
            <c:bubble3D val="0"/>
            <c:spPr>
              <a:solidFill>
                <a:srgbClr val="355C9A"/>
              </a:solidFill>
              <a:ln w="6350">
                <a:solidFill>
                  <a:srgbClr val="FFFFFF"/>
                </a:solidFill>
                <a:prstDash val="solid"/>
              </a:ln>
            </c:spPr>
            <c:extLst>
              <c:ext xmlns:c16="http://schemas.microsoft.com/office/drawing/2014/chart" uri="{C3380CC4-5D6E-409C-BE32-E72D297353CC}">
                <c16:uniqueId val="{00000009-06AC-458D-B0A8-D2D16165F2A2}"/>
              </c:ext>
            </c:extLst>
          </c:dPt>
          <c:dLbls>
            <c:spPr>
              <a:noFill/>
              <a:ln>
                <a:noFill/>
              </a:ln>
              <a:effectLst/>
            </c:spPr>
            <c:txPr>
              <a:bodyPr wrap="square" lIns="38100" tIns="19050" rIns="38100" bIns="19050" anchor="ctr">
                <a:spAutoFit/>
              </a:bodyPr>
              <a:lstStyle/>
              <a:p>
                <a:pPr>
                  <a:defRPr sz="900" b="1">
                    <a:solidFill>
                      <a:srgbClr val="374151"/>
                    </a:solidFill>
                    <a:latin typeface="Aptos"/>
                    <a:ea typeface="Aptos"/>
                    <a:cs typeface="Apto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CLASSIFICAÇÃO!$B$6:$B$15</c:f>
              <c:strCache>
                <c:ptCount val="10"/>
                <c:pt idx="0">
                  <c:v>UNTA FACIL</c:v>
                </c:pt>
                <c:pt idx="1">
                  <c:v>PURATOS</c:v>
                </c:pt>
                <c:pt idx="2">
                  <c:v>ICEBERG CHEF</c:v>
                </c:pt>
                <c:pt idx="3">
                  <c:v>ADIMIX</c:v>
                </c:pt>
                <c:pt idx="4">
                  <c:v>ALLBREAD</c:v>
                </c:pt>
                <c:pt idx="5">
                  <c:v>FESTPAN</c:v>
                </c:pt>
                <c:pt idx="6">
                  <c:v>QUALICOCO</c:v>
                </c:pt>
                <c:pt idx="7">
                  <c:v>ITAIQUARA</c:v>
                </c:pt>
                <c:pt idx="8">
                  <c:v>DONA JURA</c:v>
                </c:pt>
                <c:pt idx="9">
                  <c:v>DONA LELLA</c:v>
                </c:pt>
              </c:strCache>
            </c:strRef>
          </c:cat>
          <c:val>
            <c:numRef>
              <c:f>CLASSIFICAÇÃO!$C$6:$C$15</c:f>
              <c:numCache>
                <c:formatCode>#,##0</c:formatCode>
                <c:ptCount val="10"/>
                <c:pt idx="0">
                  <c:v>384444</c:v>
                </c:pt>
                <c:pt idx="1">
                  <c:v>252246</c:v>
                </c:pt>
                <c:pt idx="2">
                  <c:v>168427</c:v>
                </c:pt>
                <c:pt idx="3">
                  <c:v>120624</c:v>
                </c:pt>
                <c:pt idx="4">
                  <c:v>44124</c:v>
                </c:pt>
                <c:pt idx="5">
                  <c:v>43632</c:v>
                </c:pt>
                <c:pt idx="6">
                  <c:v>34008</c:v>
                </c:pt>
                <c:pt idx="7">
                  <c:v>25176</c:v>
                </c:pt>
                <c:pt idx="8">
                  <c:v>24888</c:v>
                </c:pt>
                <c:pt idx="9">
                  <c:v>19800</c:v>
                </c:pt>
              </c:numCache>
            </c:numRef>
          </c:val>
          <c:extLst>
            <c:ext xmlns:c16="http://schemas.microsoft.com/office/drawing/2014/chart" uri="{C3380CC4-5D6E-409C-BE32-E72D297353CC}">
              <c16:uniqueId val="{00000000-406A-4979-91BE-60F07D167AF1}"/>
            </c:ext>
          </c:extLst>
        </c:ser>
        <c:dLbls>
          <c:showLegendKey val="0"/>
          <c:showVal val="0"/>
          <c:showCatName val="0"/>
          <c:showSerName val="0"/>
          <c:showPercent val="0"/>
          <c:showBubbleSize val="0"/>
        </c:dLbls>
        <c:gapWidth val="55"/>
        <c:axId val="1117245535"/>
        <c:axId val="1117256575"/>
      </c:barChart>
      <c:catAx>
        <c:axId val="1117245535"/>
        <c:scaling>
          <c:orientation val="maxMin"/>
        </c:scaling>
        <c:delete val="0"/>
        <c:axPos val="l"/>
        <c:numFmt formatCode="General" sourceLinked="1"/>
        <c:majorTickMark val="none"/>
        <c:minorTickMark val="none"/>
        <c:tickLblPos val="nextTo"/>
        <c:spPr>
          <a:ln w="9525">
            <a:solidFill>
              <a:srgbClr val="D1D5DB"/>
            </a:solidFill>
            <a:prstDash val="solid"/>
          </a:ln>
        </c:spPr>
        <c:txPr>
          <a:bodyPr/>
          <a:lstStyle/>
          <a:p>
            <a:pPr>
              <a:defRPr sz="1000" b="1">
                <a:solidFill>
                  <a:srgbClr val="374151"/>
                </a:solidFill>
                <a:latin typeface="Aptos"/>
                <a:ea typeface="Aptos"/>
                <a:cs typeface="Aptos"/>
              </a:defRPr>
            </a:pPr>
            <a:endParaRPr lang="pt-BR"/>
          </a:p>
        </c:txPr>
        <c:crossAx val="1117256575"/>
        <c:crosses val="autoZero"/>
        <c:auto val="1"/>
        <c:lblAlgn val="ctr"/>
        <c:lblOffset val="100"/>
        <c:noMultiLvlLbl val="0"/>
      </c:catAx>
      <c:valAx>
        <c:axId val="1117256575"/>
        <c:scaling>
          <c:orientation val="minMax"/>
        </c:scaling>
        <c:delete val="0"/>
        <c:axPos val="t"/>
        <c:title>
          <c:tx>
            <c:rich>
              <a:bodyPr/>
              <a:lstStyle/>
              <a:p>
                <a:pPr>
                  <a:defRPr/>
                </a:pPr>
                <a:r>
                  <a:rPr lang="en-US"/>
                  <a:t>Quantidade de Latas</a:t>
                </a:r>
              </a:p>
            </c:rich>
          </c:tx>
          <c:overlay val="0"/>
        </c:title>
        <c:numFmt formatCode="#,##0" sourceLinked="1"/>
        <c:majorTickMark val="none"/>
        <c:minorTickMark val="none"/>
        <c:tickLblPos val="nextTo"/>
        <c:spPr>
          <a:ln w="9525">
            <a:solidFill>
              <a:srgbClr val="D1D5DB"/>
            </a:solidFill>
            <a:prstDash val="solid"/>
          </a:ln>
        </c:spPr>
        <c:txPr>
          <a:bodyPr/>
          <a:lstStyle/>
          <a:p>
            <a:pPr>
              <a:defRPr sz="900">
                <a:solidFill>
                  <a:srgbClr val="6B7280"/>
                </a:solidFill>
                <a:latin typeface="Aptos"/>
                <a:ea typeface="Aptos"/>
                <a:cs typeface="Aptos"/>
              </a:defRPr>
            </a:pPr>
            <a:endParaRPr lang="pt-BR"/>
          </a:p>
        </c:txPr>
        <c:crossAx val="1117245535"/>
        <c:crosses val="autoZero"/>
        <c:crossBetween val="between"/>
      </c:valAx>
      <c:spPr>
        <a:solidFill>
          <a:srgbClr val="FAFBFC"/>
        </a:solid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solidFill>
        <a:srgbClr val="8A97A8"/>
      </a:solidFill>
      <a:prstDash val="solid"/>
    </a:ln>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JANEIRO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JANEIRO'!$Q$8</c:f>
              <c:strCache>
                <c:ptCount val="1"/>
                <c:pt idx="0">
                  <c:v>Abaixo da meta</c:v>
                </c:pt>
              </c:strCache>
            </c:strRef>
          </c:tx>
          <c:spPr>
            <a:solidFill>
              <a:srgbClr val="C00000"/>
            </a:solidFill>
            <a:ln w="7620">
              <a:solidFill>
                <a:srgbClr val="8F0000"/>
              </a:solidFill>
              <a:prstDash val="solid"/>
            </a:ln>
            <a:effectLst/>
          </c:spPr>
          <c:invertIfNegative val="0"/>
          <c:cat>
            <c:strRef>
              <c:f>'GRAFICO JANEIRO'!$P$9:$P$30</c:f>
              <c:strCache>
                <c:ptCount val="22"/>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20">
                  <c:v>18</c:v>
                </c:pt>
                <c:pt idx="21">
                  <c:v>19</c:v>
                </c:pt>
              </c:strCache>
            </c:strRef>
          </c:cat>
          <c:val>
            <c:numRef>
              <c:f>'GRAFICO JANEIRO'!$Q$9:$Q$30</c:f>
              <c:numCache>
                <c:formatCode>General</c:formatCode>
                <c:ptCount val="22"/>
                <c:pt idx="0">
                  <c:v>#N/A</c:v>
                </c:pt>
                <c:pt idx="1">
                  <c:v>#N/A</c:v>
                </c:pt>
                <c:pt idx="2">
                  <c:v>8352</c:v>
                </c:pt>
                <c:pt idx="3">
                  <c:v>1872</c:v>
                </c:pt>
                <c:pt idx="4">
                  <c:v>#N/A</c:v>
                </c:pt>
                <c:pt idx="5">
                  <c:v>9852</c:v>
                </c:pt>
                <c:pt idx="6">
                  <c:v>6498</c:v>
                </c:pt>
                <c:pt idx="7">
                  <c:v>6432</c:v>
                </c:pt>
                <c:pt idx="8">
                  <c:v>5772</c:v>
                </c:pt>
                <c:pt idx="9">
                  <c:v>9000</c:v>
                </c:pt>
                <c:pt idx="10">
                  <c:v>4872</c:v>
                </c:pt>
                <c:pt idx="11">
                  <c:v>9978</c:v>
                </c:pt>
                <c:pt idx="12">
                  <c:v>10644</c:v>
                </c:pt>
                <c:pt idx="13">
                  <c:v>6396</c:v>
                </c:pt>
                <c:pt idx="14">
                  <c:v>10080</c:v>
                </c:pt>
                <c:pt idx="15">
                  <c:v>#N/A</c:v>
                </c:pt>
                <c:pt idx="16">
                  <c:v>8130</c:v>
                </c:pt>
                <c:pt idx="17">
                  <c:v>#N/A</c:v>
                </c:pt>
                <c:pt idx="18">
                  <c:v>7848</c:v>
                </c:pt>
                <c:pt idx="19">
                  <c:v>#N/A</c:v>
                </c:pt>
                <c:pt idx="20">
                  <c:v>#N/A</c:v>
                </c:pt>
                <c:pt idx="21">
                  <c:v>9048</c:v>
                </c:pt>
              </c:numCache>
            </c:numRef>
          </c:val>
          <c:extLst>
            <c:ext xmlns:c16="http://schemas.microsoft.com/office/drawing/2014/chart" uri="{C3380CC4-5D6E-409C-BE32-E72D297353CC}">
              <c16:uniqueId val="{00000000-D39A-4110-8F29-22B37EE3BADD}"/>
            </c:ext>
          </c:extLst>
        </c:ser>
        <c:ser>
          <c:idx val="1"/>
          <c:order val="1"/>
          <c:tx>
            <c:strRef>
              <c:f>'GRAFICO JANEIRO'!$R$8</c:f>
              <c:strCache>
                <c:ptCount val="1"/>
                <c:pt idx="0">
                  <c:v>Igual à meta</c:v>
                </c:pt>
              </c:strCache>
            </c:strRef>
          </c:tx>
          <c:spPr>
            <a:solidFill>
              <a:srgbClr val="A6A6A6"/>
            </a:solidFill>
            <a:ln w="7620">
              <a:solidFill>
                <a:srgbClr val="7F7F7F"/>
              </a:solidFill>
              <a:prstDash val="solid"/>
            </a:ln>
            <a:effectLst/>
          </c:spPr>
          <c:invertIfNegative val="0"/>
          <c:cat>
            <c:strRef>
              <c:f>'GRAFICO JANEIRO'!$P$9:$P$30</c:f>
              <c:strCache>
                <c:ptCount val="22"/>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20">
                  <c:v>18</c:v>
                </c:pt>
                <c:pt idx="21">
                  <c:v>19</c:v>
                </c:pt>
              </c:strCache>
            </c:strRef>
          </c:cat>
          <c:val>
            <c:numRef>
              <c:f>'GRAFICO JANEIRO'!$R$9:$R$30</c:f>
              <c:numCache>
                <c:formatCode>General</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val>
          <c:extLst>
            <c:ext xmlns:c16="http://schemas.microsoft.com/office/drawing/2014/chart" uri="{C3380CC4-5D6E-409C-BE32-E72D297353CC}">
              <c16:uniqueId val="{00000001-D39A-4110-8F29-22B37EE3BADD}"/>
            </c:ext>
          </c:extLst>
        </c:ser>
        <c:ser>
          <c:idx val="2"/>
          <c:order val="2"/>
          <c:tx>
            <c:strRef>
              <c:f>'GRAFICO JANEIRO'!$S$8</c:f>
              <c:strCache>
                <c:ptCount val="1"/>
                <c:pt idx="0">
                  <c:v>Acima da meta</c:v>
                </c:pt>
              </c:strCache>
            </c:strRef>
          </c:tx>
          <c:spPr>
            <a:solidFill>
              <a:srgbClr val="00B050"/>
            </a:solidFill>
            <a:ln w="7620">
              <a:solidFill>
                <a:srgbClr val="007A38"/>
              </a:solidFill>
              <a:prstDash val="solid"/>
            </a:ln>
            <a:effectLst/>
          </c:spPr>
          <c:invertIfNegative val="0"/>
          <c:cat>
            <c:strRef>
              <c:f>'GRAFICO JANEIRO'!$P$9:$P$30</c:f>
              <c:strCache>
                <c:ptCount val="22"/>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20">
                  <c:v>18</c:v>
                </c:pt>
                <c:pt idx="21">
                  <c:v>19</c:v>
                </c:pt>
              </c:strCache>
            </c:strRef>
          </c:cat>
          <c:val>
            <c:numRef>
              <c:f>'GRAFICO JANEIRO'!$S$9:$S$30</c:f>
              <c:numCache>
                <c:formatCode>General</c:formatCode>
                <c:ptCount val="22"/>
                <c:pt idx="0">
                  <c:v>#N/A</c:v>
                </c:pt>
                <c:pt idx="1">
                  <c:v>#N/A</c:v>
                </c:pt>
                <c:pt idx="2">
                  <c:v>#N/A</c:v>
                </c:pt>
                <c:pt idx="3">
                  <c:v>#N/A</c:v>
                </c:pt>
                <c:pt idx="4">
                  <c:v>12036</c:v>
                </c:pt>
                <c:pt idx="5">
                  <c:v>#N/A</c:v>
                </c:pt>
                <c:pt idx="6">
                  <c:v>#N/A</c:v>
                </c:pt>
                <c:pt idx="7">
                  <c:v>#N/A</c:v>
                </c:pt>
                <c:pt idx="8">
                  <c:v>#N/A</c:v>
                </c:pt>
                <c:pt idx="9">
                  <c:v>#N/A</c:v>
                </c:pt>
                <c:pt idx="10">
                  <c:v>#N/A</c:v>
                </c:pt>
                <c:pt idx="11">
                  <c:v>#N/A</c:v>
                </c:pt>
                <c:pt idx="12">
                  <c:v>#N/A</c:v>
                </c:pt>
                <c:pt idx="13">
                  <c:v>#N/A</c:v>
                </c:pt>
                <c:pt idx="14">
                  <c:v>#N/A</c:v>
                </c:pt>
                <c:pt idx="15">
                  <c:v>12288</c:v>
                </c:pt>
                <c:pt idx="16">
                  <c:v>#N/A</c:v>
                </c:pt>
                <c:pt idx="17">
                  <c:v>14931</c:v>
                </c:pt>
                <c:pt idx="18">
                  <c:v>#N/A</c:v>
                </c:pt>
                <c:pt idx="19">
                  <c:v>#N/A</c:v>
                </c:pt>
                <c:pt idx="20">
                  <c:v>12264</c:v>
                </c:pt>
                <c:pt idx="21">
                  <c:v>#N/A</c:v>
                </c:pt>
              </c:numCache>
            </c:numRef>
          </c:val>
          <c:extLst>
            <c:ext xmlns:c16="http://schemas.microsoft.com/office/drawing/2014/chart" uri="{C3380CC4-5D6E-409C-BE32-E72D297353CC}">
              <c16:uniqueId val="{00000002-D39A-4110-8F29-22B37EE3BADD}"/>
            </c:ext>
          </c:extLst>
        </c:ser>
        <c:dLbls>
          <c:showLegendKey val="0"/>
          <c:showVal val="0"/>
          <c:showCatName val="0"/>
          <c:showSerName val="0"/>
          <c:showPercent val="0"/>
          <c:showBubbleSize val="0"/>
        </c:dLbls>
        <c:gapWidth val="130"/>
        <c:overlap val="100"/>
        <c:axId val="825307440"/>
        <c:axId val="62001712"/>
      </c:barChart>
      <c:catAx>
        <c:axId val="825307440"/>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01712"/>
        <c:crosses val="autoZero"/>
        <c:auto val="1"/>
        <c:lblAlgn val="ctr"/>
        <c:lblOffset val="100"/>
        <c:noMultiLvlLbl val="0"/>
      </c:catAx>
      <c:valAx>
        <c:axId val="6200171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825307440"/>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FEVEREIRO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FEVEREIRO'!$Q$8</c:f>
              <c:strCache>
                <c:ptCount val="1"/>
                <c:pt idx="0">
                  <c:v>Abaixo da meta</c:v>
                </c:pt>
              </c:strCache>
            </c:strRef>
          </c:tx>
          <c:spPr>
            <a:solidFill>
              <a:srgbClr val="C00000"/>
            </a:solidFill>
            <a:ln w="7620">
              <a:solidFill>
                <a:srgbClr val="8F0000"/>
              </a:solidFill>
              <a:prstDash val="solid"/>
            </a:ln>
            <a:effectLst/>
          </c:spPr>
          <c:invertIfNegative val="0"/>
          <c:cat>
            <c:strRef>
              <c:f>'GRAFICO FEVEREIRO'!$P$9:$P$28</c:f>
              <c:strCache>
                <c:ptCount val="20"/>
                <c:pt idx="0">
                  <c:v>1</c:v>
                </c:pt>
                <c:pt idx="1">
                  <c:v>2</c:v>
                </c:pt>
                <c:pt idx="2">
                  <c:v>3</c:v>
                </c:pt>
                <c:pt idx="3">
                  <c:v>4</c:v>
                </c:pt>
                <c:pt idx="5">
                  <c:v>5</c:v>
                </c:pt>
                <c:pt idx="6">
                  <c:v>6</c:v>
                </c:pt>
                <c:pt idx="7">
                  <c:v>7</c:v>
                </c:pt>
                <c:pt idx="8">
                  <c:v>8</c:v>
                </c:pt>
                <c:pt idx="9">
                  <c:v>9</c:v>
                </c:pt>
                <c:pt idx="12">
                  <c:v>10</c:v>
                </c:pt>
                <c:pt idx="13">
                  <c:v>11</c:v>
                </c:pt>
                <c:pt idx="14">
                  <c:v>12</c:v>
                </c:pt>
                <c:pt idx="15">
                  <c:v>13</c:v>
                </c:pt>
                <c:pt idx="16">
                  <c:v>14</c:v>
                </c:pt>
                <c:pt idx="17">
                  <c:v>15</c:v>
                </c:pt>
                <c:pt idx="18">
                  <c:v>16</c:v>
                </c:pt>
                <c:pt idx="19">
                  <c:v>17</c:v>
                </c:pt>
              </c:strCache>
            </c:strRef>
          </c:cat>
          <c:val>
            <c:numRef>
              <c:f>'GRAFICO FEVEREIRO'!$Q$9:$Q$28</c:f>
              <c:numCache>
                <c:formatCode>General</c:formatCode>
                <c:ptCount val="20"/>
                <c:pt idx="0">
                  <c:v>#N/A</c:v>
                </c:pt>
                <c:pt idx="1">
                  <c:v>8424</c:v>
                </c:pt>
                <c:pt idx="2">
                  <c:v>7998</c:v>
                </c:pt>
                <c:pt idx="3">
                  <c:v>6786</c:v>
                </c:pt>
                <c:pt idx="4">
                  <c:v>#N/A</c:v>
                </c:pt>
                <c:pt idx="5">
                  <c:v>#N/A</c:v>
                </c:pt>
                <c:pt idx="6">
                  <c:v>#N/A</c:v>
                </c:pt>
                <c:pt idx="7">
                  <c:v>#N/A</c:v>
                </c:pt>
                <c:pt idx="8">
                  <c:v>#N/A</c:v>
                </c:pt>
                <c:pt idx="9">
                  <c:v>9624</c:v>
                </c:pt>
                <c:pt idx="10">
                  <c:v>#N/A</c:v>
                </c:pt>
                <c:pt idx="11">
                  <c:v>#N/A</c:v>
                </c:pt>
                <c:pt idx="12">
                  <c:v>5268</c:v>
                </c:pt>
                <c:pt idx="13">
                  <c:v>#N/A</c:v>
                </c:pt>
                <c:pt idx="14">
                  <c:v>#N/A</c:v>
                </c:pt>
                <c:pt idx="15">
                  <c:v>#N/A</c:v>
                </c:pt>
                <c:pt idx="16">
                  <c:v>#N/A</c:v>
                </c:pt>
                <c:pt idx="17">
                  <c:v>9132</c:v>
                </c:pt>
                <c:pt idx="18">
                  <c:v>#N/A</c:v>
                </c:pt>
                <c:pt idx="19">
                  <c:v>7632</c:v>
                </c:pt>
              </c:numCache>
            </c:numRef>
          </c:val>
          <c:extLst>
            <c:ext xmlns:c16="http://schemas.microsoft.com/office/drawing/2014/chart" uri="{C3380CC4-5D6E-409C-BE32-E72D297353CC}">
              <c16:uniqueId val="{00000000-4F5C-4466-85C9-712B3DC7FF9F}"/>
            </c:ext>
          </c:extLst>
        </c:ser>
        <c:ser>
          <c:idx val="1"/>
          <c:order val="1"/>
          <c:tx>
            <c:strRef>
              <c:f>'GRAFICO FEVEREIRO'!$R$8</c:f>
              <c:strCache>
                <c:ptCount val="1"/>
                <c:pt idx="0">
                  <c:v>Igual à meta</c:v>
                </c:pt>
              </c:strCache>
            </c:strRef>
          </c:tx>
          <c:spPr>
            <a:solidFill>
              <a:srgbClr val="A6A6A6"/>
            </a:solidFill>
            <a:ln w="7620">
              <a:solidFill>
                <a:srgbClr val="7F7F7F"/>
              </a:solidFill>
              <a:prstDash val="solid"/>
            </a:ln>
            <a:effectLst/>
          </c:spPr>
          <c:invertIfNegative val="0"/>
          <c:cat>
            <c:strRef>
              <c:f>'GRAFICO FEVEREIRO'!$P$9:$P$28</c:f>
              <c:strCache>
                <c:ptCount val="20"/>
                <c:pt idx="0">
                  <c:v>1</c:v>
                </c:pt>
                <c:pt idx="1">
                  <c:v>2</c:v>
                </c:pt>
                <c:pt idx="2">
                  <c:v>3</c:v>
                </c:pt>
                <c:pt idx="3">
                  <c:v>4</c:v>
                </c:pt>
                <c:pt idx="5">
                  <c:v>5</c:v>
                </c:pt>
                <c:pt idx="6">
                  <c:v>6</c:v>
                </c:pt>
                <c:pt idx="7">
                  <c:v>7</c:v>
                </c:pt>
                <c:pt idx="8">
                  <c:v>8</c:v>
                </c:pt>
                <c:pt idx="9">
                  <c:v>9</c:v>
                </c:pt>
                <c:pt idx="12">
                  <c:v>10</c:v>
                </c:pt>
                <c:pt idx="13">
                  <c:v>11</c:v>
                </c:pt>
                <c:pt idx="14">
                  <c:v>12</c:v>
                </c:pt>
                <c:pt idx="15">
                  <c:v>13</c:v>
                </c:pt>
                <c:pt idx="16">
                  <c:v>14</c:v>
                </c:pt>
                <c:pt idx="17">
                  <c:v>15</c:v>
                </c:pt>
                <c:pt idx="18">
                  <c:v>16</c:v>
                </c:pt>
                <c:pt idx="19">
                  <c:v>17</c:v>
                </c:pt>
              </c:strCache>
            </c:strRef>
          </c:cat>
          <c:val>
            <c:numRef>
              <c:f>'GRAFICO FEVEREIRO'!$R$9:$R$28</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4F5C-4466-85C9-712B3DC7FF9F}"/>
            </c:ext>
          </c:extLst>
        </c:ser>
        <c:ser>
          <c:idx val="2"/>
          <c:order val="2"/>
          <c:tx>
            <c:strRef>
              <c:f>'GRAFICO FEVEREIRO'!$S$8</c:f>
              <c:strCache>
                <c:ptCount val="1"/>
                <c:pt idx="0">
                  <c:v>Acima da meta</c:v>
                </c:pt>
              </c:strCache>
            </c:strRef>
          </c:tx>
          <c:spPr>
            <a:solidFill>
              <a:srgbClr val="00B050"/>
            </a:solidFill>
            <a:ln w="7620">
              <a:solidFill>
                <a:srgbClr val="007A38"/>
              </a:solidFill>
              <a:prstDash val="solid"/>
            </a:ln>
            <a:effectLst/>
          </c:spPr>
          <c:invertIfNegative val="0"/>
          <c:cat>
            <c:strRef>
              <c:f>'GRAFICO FEVEREIRO'!$P$9:$P$28</c:f>
              <c:strCache>
                <c:ptCount val="20"/>
                <c:pt idx="0">
                  <c:v>1</c:v>
                </c:pt>
                <c:pt idx="1">
                  <c:v>2</c:v>
                </c:pt>
                <c:pt idx="2">
                  <c:v>3</c:v>
                </c:pt>
                <c:pt idx="3">
                  <c:v>4</c:v>
                </c:pt>
                <c:pt idx="5">
                  <c:v>5</c:v>
                </c:pt>
                <c:pt idx="6">
                  <c:v>6</c:v>
                </c:pt>
                <c:pt idx="7">
                  <c:v>7</c:v>
                </c:pt>
                <c:pt idx="8">
                  <c:v>8</c:v>
                </c:pt>
                <c:pt idx="9">
                  <c:v>9</c:v>
                </c:pt>
                <c:pt idx="12">
                  <c:v>10</c:v>
                </c:pt>
                <c:pt idx="13">
                  <c:v>11</c:v>
                </c:pt>
                <c:pt idx="14">
                  <c:v>12</c:v>
                </c:pt>
                <c:pt idx="15">
                  <c:v>13</c:v>
                </c:pt>
                <c:pt idx="16">
                  <c:v>14</c:v>
                </c:pt>
                <c:pt idx="17">
                  <c:v>15</c:v>
                </c:pt>
                <c:pt idx="18">
                  <c:v>16</c:v>
                </c:pt>
                <c:pt idx="19">
                  <c:v>17</c:v>
                </c:pt>
              </c:strCache>
            </c:strRef>
          </c:cat>
          <c:val>
            <c:numRef>
              <c:f>'GRAFICO FEVEREIRO'!$S$9:$S$28</c:f>
              <c:numCache>
                <c:formatCode>General</c:formatCode>
                <c:ptCount val="20"/>
                <c:pt idx="0">
                  <c:v>11328</c:v>
                </c:pt>
                <c:pt idx="1">
                  <c:v>#N/A</c:v>
                </c:pt>
                <c:pt idx="2">
                  <c:v>#N/A</c:v>
                </c:pt>
                <c:pt idx="3">
                  <c:v>#N/A</c:v>
                </c:pt>
                <c:pt idx="4">
                  <c:v>#N/A</c:v>
                </c:pt>
                <c:pt idx="5">
                  <c:v>14532</c:v>
                </c:pt>
                <c:pt idx="6">
                  <c:v>12324</c:v>
                </c:pt>
                <c:pt idx="7">
                  <c:v>14532</c:v>
                </c:pt>
                <c:pt idx="8">
                  <c:v>17172</c:v>
                </c:pt>
                <c:pt idx="9">
                  <c:v>#N/A</c:v>
                </c:pt>
                <c:pt idx="10">
                  <c:v>#N/A</c:v>
                </c:pt>
                <c:pt idx="11">
                  <c:v>#N/A</c:v>
                </c:pt>
                <c:pt idx="12">
                  <c:v>#N/A</c:v>
                </c:pt>
                <c:pt idx="13">
                  <c:v>11796</c:v>
                </c:pt>
                <c:pt idx="14">
                  <c:v>13164</c:v>
                </c:pt>
                <c:pt idx="15">
                  <c:v>15888</c:v>
                </c:pt>
                <c:pt idx="16">
                  <c:v>12732</c:v>
                </c:pt>
                <c:pt idx="17">
                  <c:v>#N/A</c:v>
                </c:pt>
                <c:pt idx="18">
                  <c:v>12786</c:v>
                </c:pt>
                <c:pt idx="19">
                  <c:v>#N/A</c:v>
                </c:pt>
              </c:numCache>
            </c:numRef>
          </c:val>
          <c:extLst>
            <c:ext xmlns:c16="http://schemas.microsoft.com/office/drawing/2014/chart" uri="{C3380CC4-5D6E-409C-BE32-E72D297353CC}">
              <c16:uniqueId val="{00000002-4F5C-4466-85C9-712B3DC7FF9F}"/>
            </c:ext>
          </c:extLst>
        </c:ser>
        <c:dLbls>
          <c:showLegendKey val="0"/>
          <c:showVal val="0"/>
          <c:showCatName val="0"/>
          <c:showSerName val="0"/>
          <c:showPercent val="0"/>
          <c:showBubbleSize val="0"/>
        </c:dLbls>
        <c:gapWidth val="130"/>
        <c:overlap val="100"/>
        <c:axId val="2040121951"/>
        <c:axId val="62092432"/>
      </c:barChart>
      <c:catAx>
        <c:axId val="2040121951"/>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92432"/>
        <c:crosses val="autoZero"/>
        <c:auto val="1"/>
        <c:lblAlgn val="ctr"/>
        <c:lblOffset val="100"/>
        <c:noMultiLvlLbl val="0"/>
      </c:catAx>
      <c:valAx>
        <c:axId val="6209243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040121951"/>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MARÇO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MARÇO'!$Q$8</c:f>
              <c:strCache>
                <c:ptCount val="1"/>
                <c:pt idx="0">
                  <c:v>Abaixo da meta</c:v>
                </c:pt>
              </c:strCache>
            </c:strRef>
          </c:tx>
          <c:spPr>
            <a:solidFill>
              <a:srgbClr val="C00000"/>
            </a:solidFill>
            <a:ln w="7620">
              <a:solidFill>
                <a:srgbClr val="8F0000"/>
              </a:solidFill>
              <a:prstDash val="solid"/>
            </a:ln>
            <a:effectLst/>
          </c:spPr>
          <c:invertIfNegative val="0"/>
          <c:cat>
            <c:numRef>
              <c:f>'GRAFICO MARÇO'!$P$9:$P$30</c:f>
              <c:numCache>
                <c:formatCode>0</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'GRAFICO MARÇO'!$Q$9:$Q$30</c:f>
              <c:numCache>
                <c:formatCode>General</c:formatCode>
                <c:ptCount val="22"/>
                <c:pt idx="0">
                  <c:v>#N/A</c:v>
                </c:pt>
                <c:pt idx="1">
                  <c:v>#N/A</c:v>
                </c:pt>
                <c:pt idx="2">
                  <c:v>#N/A</c:v>
                </c:pt>
                <c:pt idx="3">
                  <c:v>#N/A</c:v>
                </c:pt>
                <c:pt idx="4">
                  <c:v>#N/A</c:v>
                </c:pt>
                <c:pt idx="5">
                  <c:v>#N/A</c:v>
                </c:pt>
                <c:pt idx="6">
                  <c:v>#N/A</c:v>
                </c:pt>
                <c:pt idx="7">
                  <c:v>#N/A</c:v>
                </c:pt>
                <c:pt idx="8">
                  <c:v>9900</c:v>
                </c:pt>
                <c:pt idx="9">
                  <c:v>#N/A</c:v>
                </c:pt>
                <c:pt idx="10">
                  <c:v>#N/A</c:v>
                </c:pt>
                <c:pt idx="11">
                  <c:v>#N/A</c:v>
                </c:pt>
                <c:pt idx="12">
                  <c:v>#N/A</c:v>
                </c:pt>
                <c:pt idx="13">
                  <c:v>10548</c:v>
                </c:pt>
                <c:pt idx="14">
                  <c:v>5172</c:v>
                </c:pt>
                <c:pt idx="15">
                  <c:v>8652</c:v>
                </c:pt>
                <c:pt idx="16">
                  <c:v>5592</c:v>
                </c:pt>
                <c:pt idx="17">
                  <c:v>9060</c:v>
                </c:pt>
                <c:pt idx="18">
                  <c:v>#N/A</c:v>
                </c:pt>
                <c:pt idx="19">
                  <c:v>#N/A</c:v>
                </c:pt>
                <c:pt idx="20">
                  <c:v>#N/A</c:v>
                </c:pt>
                <c:pt idx="21">
                  <c:v>#N/A</c:v>
                </c:pt>
              </c:numCache>
            </c:numRef>
          </c:val>
          <c:extLst>
            <c:ext xmlns:c16="http://schemas.microsoft.com/office/drawing/2014/chart" uri="{C3380CC4-5D6E-409C-BE32-E72D297353CC}">
              <c16:uniqueId val="{00000000-4ECD-4E3E-9651-8FADAC49C8B4}"/>
            </c:ext>
          </c:extLst>
        </c:ser>
        <c:ser>
          <c:idx val="1"/>
          <c:order val="1"/>
          <c:tx>
            <c:strRef>
              <c:f>'GRAFICO MARÇO'!$R$8</c:f>
              <c:strCache>
                <c:ptCount val="1"/>
                <c:pt idx="0">
                  <c:v>Igual à meta</c:v>
                </c:pt>
              </c:strCache>
            </c:strRef>
          </c:tx>
          <c:spPr>
            <a:solidFill>
              <a:srgbClr val="A6A6A6"/>
            </a:solidFill>
            <a:ln w="7620">
              <a:solidFill>
                <a:srgbClr val="7F7F7F"/>
              </a:solidFill>
              <a:prstDash val="solid"/>
            </a:ln>
            <a:effectLst/>
          </c:spPr>
          <c:invertIfNegative val="0"/>
          <c:cat>
            <c:numRef>
              <c:f>'GRAFICO MARÇO'!$P$9:$P$30</c:f>
              <c:numCache>
                <c:formatCode>0</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'GRAFICO MARÇO'!$R$9:$R$30</c:f>
              <c:numCache>
                <c:formatCode>General</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val>
          <c:extLst>
            <c:ext xmlns:c16="http://schemas.microsoft.com/office/drawing/2014/chart" uri="{C3380CC4-5D6E-409C-BE32-E72D297353CC}">
              <c16:uniqueId val="{00000001-4ECD-4E3E-9651-8FADAC49C8B4}"/>
            </c:ext>
          </c:extLst>
        </c:ser>
        <c:ser>
          <c:idx val="2"/>
          <c:order val="2"/>
          <c:tx>
            <c:strRef>
              <c:f>'GRAFICO MARÇO'!$S$8</c:f>
              <c:strCache>
                <c:ptCount val="1"/>
                <c:pt idx="0">
                  <c:v>Acima da meta</c:v>
                </c:pt>
              </c:strCache>
            </c:strRef>
          </c:tx>
          <c:spPr>
            <a:solidFill>
              <a:srgbClr val="00B050"/>
            </a:solidFill>
            <a:ln w="7620">
              <a:solidFill>
                <a:srgbClr val="007A38"/>
              </a:solidFill>
              <a:prstDash val="solid"/>
            </a:ln>
            <a:effectLst/>
          </c:spPr>
          <c:invertIfNegative val="0"/>
          <c:cat>
            <c:numRef>
              <c:f>'GRAFICO MARÇO'!$P$9:$P$30</c:f>
              <c:numCache>
                <c:formatCode>0</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'GRAFICO MARÇO'!$S$9:$S$30</c:f>
              <c:numCache>
                <c:formatCode>General</c:formatCode>
                <c:ptCount val="22"/>
                <c:pt idx="0">
                  <c:v>11988</c:v>
                </c:pt>
                <c:pt idx="1">
                  <c:v>15948</c:v>
                </c:pt>
                <c:pt idx="2">
                  <c:v>11472</c:v>
                </c:pt>
                <c:pt idx="3">
                  <c:v>13308</c:v>
                </c:pt>
                <c:pt idx="4">
                  <c:v>11340</c:v>
                </c:pt>
                <c:pt idx="5">
                  <c:v>15336</c:v>
                </c:pt>
                <c:pt idx="6">
                  <c:v>13176</c:v>
                </c:pt>
                <c:pt idx="7">
                  <c:v>13728</c:v>
                </c:pt>
                <c:pt idx="8">
                  <c:v>#N/A</c:v>
                </c:pt>
                <c:pt idx="9">
                  <c:v>13452</c:v>
                </c:pt>
                <c:pt idx="10">
                  <c:v>16524</c:v>
                </c:pt>
                <c:pt idx="11">
                  <c:v>17784</c:v>
                </c:pt>
                <c:pt idx="12">
                  <c:v>15612</c:v>
                </c:pt>
                <c:pt idx="13">
                  <c:v>#N/A</c:v>
                </c:pt>
                <c:pt idx="14">
                  <c:v>#N/A</c:v>
                </c:pt>
                <c:pt idx="15">
                  <c:v>#N/A</c:v>
                </c:pt>
                <c:pt idx="16">
                  <c:v>#N/A</c:v>
                </c:pt>
                <c:pt idx="17">
                  <c:v>#N/A</c:v>
                </c:pt>
                <c:pt idx="18">
                  <c:v>17856</c:v>
                </c:pt>
                <c:pt idx="19">
                  <c:v>12420</c:v>
                </c:pt>
                <c:pt idx="20">
                  <c:v>17604</c:v>
                </c:pt>
                <c:pt idx="21">
                  <c:v>14292</c:v>
                </c:pt>
              </c:numCache>
            </c:numRef>
          </c:val>
          <c:extLst>
            <c:ext xmlns:c16="http://schemas.microsoft.com/office/drawing/2014/chart" uri="{C3380CC4-5D6E-409C-BE32-E72D297353CC}">
              <c16:uniqueId val="{00000002-4ECD-4E3E-9651-8FADAC49C8B4}"/>
            </c:ext>
          </c:extLst>
        </c:ser>
        <c:dLbls>
          <c:showLegendKey val="0"/>
          <c:showVal val="0"/>
          <c:showCatName val="0"/>
          <c:showSerName val="0"/>
          <c:showPercent val="0"/>
          <c:showBubbleSize val="0"/>
        </c:dLbls>
        <c:gapWidth val="130"/>
        <c:overlap val="100"/>
        <c:axId val="72600623"/>
        <c:axId val="61926352"/>
      </c:barChart>
      <c:catAx>
        <c:axId val="72600623"/>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0"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926352"/>
        <c:crosses val="autoZero"/>
        <c:auto val="1"/>
        <c:lblAlgn val="ctr"/>
        <c:lblOffset val="100"/>
        <c:noMultiLvlLbl val="0"/>
      </c:catAx>
      <c:valAx>
        <c:axId val="6192635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72600623"/>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ABRIL</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_BASE_GRAFICO_ABRIL!$Q$8</c:f>
              <c:strCache>
                <c:ptCount val="1"/>
                <c:pt idx="0">
                  <c:v>Abaixo da meta</c:v>
                </c:pt>
              </c:strCache>
            </c:strRef>
          </c:tx>
          <c:spPr>
            <a:solidFill>
              <a:srgbClr val="C00000"/>
            </a:solidFill>
            <a:ln w="7620">
              <a:solidFill>
                <a:srgbClr val="8F0000"/>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_BASE_GRAFICO_ABRIL!$Q$9:$Q$34</c:f>
              <c:numCache>
                <c:formatCode>General</c:formatCode>
                <c:ptCount val="26"/>
                <c:pt idx="0">
                  <c:v>#N/A</c:v>
                </c:pt>
                <c:pt idx="1">
                  <c:v>#N/A</c:v>
                </c:pt>
                <c:pt idx="2">
                  <c:v>#N/A</c:v>
                </c:pt>
                <c:pt idx="3">
                  <c:v>#N/A</c:v>
                </c:pt>
                <c:pt idx="4">
                  <c:v>#N/A</c:v>
                </c:pt>
                <c:pt idx="5">
                  <c:v>#N/A</c:v>
                </c:pt>
                <c:pt idx="6">
                  <c:v>6720</c:v>
                </c:pt>
                <c:pt idx="7">
                  <c:v>#N/A</c:v>
                </c:pt>
                <c:pt idx="8">
                  <c:v>10242</c:v>
                </c:pt>
                <c:pt idx="9">
                  <c:v>10668</c:v>
                </c:pt>
                <c:pt idx="10">
                  <c:v>#N/A</c:v>
                </c:pt>
                <c:pt idx="11">
                  <c:v>7872</c:v>
                </c:pt>
                <c:pt idx="12">
                  <c:v>#N/A</c:v>
                </c:pt>
                <c:pt idx="13">
                  <c:v>#N/A</c:v>
                </c:pt>
                <c:pt idx="14">
                  <c:v>8610</c:v>
                </c:pt>
                <c:pt idx="15">
                  <c:v>8370</c:v>
                </c:pt>
                <c:pt idx="16">
                  <c:v>10164</c:v>
                </c:pt>
                <c:pt idx="17">
                  <c:v>#N/A</c:v>
                </c:pt>
                <c:pt idx="18">
                  <c:v>#N/A</c:v>
                </c:pt>
                <c:pt idx="19">
                  <c:v>#N/A</c:v>
                </c:pt>
                <c:pt idx="20">
                  <c:v>9468</c:v>
                </c:pt>
                <c:pt idx="21">
                  <c:v>#N/A</c:v>
                </c:pt>
              </c:numCache>
            </c:numRef>
          </c:val>
          <c:extLst>
            <c:ext xmlns:c16="http://schemas.microsoft.com/office/drawing/2014/chart" uri="{C3380CC4-5D6E-409C-BE32-E72D297353CC}">
              <c16:uniqueId val="{00000000-BAF0-4DE6-B812-F80CC3DE3426}"/>
            </c:ext>
          </c:extLst>
        </c:ser>
        <c:ser>
          <c:idx val="1"/>
          <c:order val="1"/>
          <c:tx>
            <c:strRef>
              <c:f>_BASE_GRAFICO_ABRIL!$R$8</c:f>
              <c:strCache>
                <c:ptCount val="1"/>
                <c:pt idx="0">
                  <c:v>Igual à meta</c:v>
                </c:pt>
              </c:strCache>
            </c:strRef>
          </c:tx>
          <c:spPr>
            <a:solidFill>
              <a:srgbClr val="A6A6A6"/>
            </a:solidFill>
            <a:ln w="7620">
              <a:solidFill>
                <a:srgbClr val="7F7F7F"/>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val>
          <c:extLst>
            <c:ext xmlns:c16="http://schemas.microsoft.com/office/drawing/2014/chart" uri="{C3380CC4-5D6E-409C-BE32-E72D297353CC}">
              <c16:uniqueId val="{00000001-BAF0-4DE6-B812-F80CC3DE3426}"/>
            </c:ext>
          </c:extLst>
        </c:ser>
        <c:ser>
          <c:idx val="2"/>
          <c:order val="2"/>
          <c:tx>
            <c:strRef>
              <c:f>_BASE_GRAFICO_ABRIL!$S$8</c:f>
              <c:strCache>
                <c:ptCount val="1"/>
                <c:pt idx="0">
                  <c:v>Acima da meta</c:v>
                </c:pt>
              </c:strCache>
            </c:strRef>
          </c:tx>
          <c:spPr>
            <a:solidFill>
              <a:srgbClr val="00B050"/>
            </a:solidFill>
            <a:ln w="7620">
              <a:solidFill>
                <a:srgbClr val="007A38"/>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_BASE_GRAFICO_ABRIL!$S$9:$S$34</c:f>
              <c:numCache>
                <c:formatCode>General</c:formatCode>
                <c:ptCount val="26"/>
                <c:pt idx="0">
                  <c:v>13872</c:v>
                </c:pt>
                <c:pt idx="1">
                  <c:v>12600</c:v>
                </c:pt>
                <c:pt idx="2">
                  <c:v>12780</c:v>
                </c:pt>
                <c:pt idx="3">
                  <c:v>11046</c:v>
                </c:pt>
                <c:pt idx="4">
                  <c:v>18036</c:v>
                </c:pt>
                <c:pt idx="5">
                  <c:v>12060</c:v>
                </c:pt>
                <c:pt idx="6">
                  <c:v>#N/A</c:v>
                </c:pt>
                <c:pt idx="7">
                  <c:v>11916</c:v>
                </c:pt>
                <c:pt idx="8">
                  <c:v>#N/A</c:v>
                </c:pt>
                <c:pt idx="9">
                  <c:v>#N/A</c:v>
                </c:pt>
                <c:pt idx="10">
                  <c:v>11964</c:v>
                </c:pt>
                <c:pt idx="11">
                  <c:v>#N/A</c:v>
                </c:pt>
                <c:pt idx="12">
                  <c:v>11112</c:v>
                </c:pt>
                <c:pt idx="13">
                  <c:v>11976</c:v>
                </c:pt>
                <c:pt idx="14">
                  <c:v>#N/A</c:v>
                </c:pt>
                <c:pt idx="15">
                  <c:v>#N/A</c:v>
                </c:pt>
                <c:pt idx="16">
                  <c:v>#N/A</c:v>
                </c:pt>
                <c:pt idx="17">
                  <c:v>13692</c:v>
                </c:pt>
                <c:pt idx="18">
                  <c:v>20196</c:v>
                </c:pt>
                <c:pt idx="19">
                  <c:v>11238</c:v>
                </c:pt>
                <c:pt idx="20">
                  <c:v>#N/A</c:v>
                </c:pt>
                <c:pt idx="21">
                  <c:v>11880</c:v>
                </c:pt>
              </c:numCache>
            </c:numRef>
          </c:val>
          <c:extLst>
            <c:ext xmlns:c16="http://schemas.microsoft.com/office/drawing/2014/chart" uri="{C3380CC4-5D6E-409C-BE32-E72D297353CC}">
              <c16:uniqueId val="{00000002-BAF0-4DE6-B812-F80CC3DE3426}"/>
            </c:ext>
          </c:extLst>
        </c:ser>
        <c:dLbls>
          <c:showLegendKey val="0"/>
          <c:showVal val="0"/>
          <c:showCatName val="0"/>
          <c:showSerName val="0"/>
          <c:showPercent val="0"/>
          <c:showBubbleSize val="0"/>
        </c:dLbls>
        <c:gapWidth val="130"/>
        <c:overlap val="100"/>
        <c:axId val="825255936"/>
        <c:axId val="61878832"/>
      </c:barChart>
      <c:catAx>
        <c:axId val="825255936"/>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0"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878832"/>
        <c:crosses val="autoZero"/>
        <c:auto val="1"/>
        <c:lblAlgn val="ctr"/>
        <c:lblOffset val="100"/>
        <c:noMultiLvlLbl val="0"/>
      </c:catAx>
      <c:valAx>
        <c:axId val="6187883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825255936"/>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MAIO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MAIO'!$Q$8</c:f>
              <c:strCache>
                <c:ptCount val="1"/>
                <c:pt idx="0">
                  <c:v>Abaixo da meta</c:v>
                </c:pt>
              </c:strCache>
            </c:strRef>
          </c:tx>
          <c:spPr>
            <a:solidFill>
              <a:srgbClr val="C00000"/>
            </a:solidFill>
            <a:ln w="7620">
              <a:solidFill>
                <a:srgbClr val="8F0000"/>
              </a:solidFill>
              <a:prstDash val="solid"/>
            </a:ln>
            <a:effectLst/>
          </c:spPr>
          <c:invertIfNegative val="0"/>
          <c:cat>
            <c:numRef>
              <c:f>'GRAFICO MAIO'!$P$9:$P$34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numCache>
            </c:numRef>
          </c:cat>
          <c:val>
            <c:numRef>
              <c:f>'GRAFICO MAIO'!$Q$9:$Q$34</c:f>
              <c:numCache>
                <c:formatCode>General</c:formatCode>
                <c:ptCount val="26"/>
                <c:pt idx="0">
                  <c:v>#N/A</c:v>
                </c:pt>
                <c:pt idx="1">
                  <c:v>#N/A</c:v>
                </c:pt>
                <c:pt idx="2">
                  <c:v>#N/A</c:v>
                </c:pt>
                <c:pt idx="3">
                  <c:v>8640</c:v>
                </c:pt>
                <c:pt idx="4">
                  <c:v>#N/A</c:v>
                </c:pt>
                <c:pt idx="5">
                  <c:v>#N/A</c:v>
                </c:pt>
                <c:pt idx="6">
                  <c:v>6372</c:v>
                </c:pt>
                <c:pt idx="7">
                  <c:v>8136</c:v>
                </c:pt>
                <c:pt idx="8">
                  <c:v>3396</c:v>
                </c:pt>
                <c:pt idx="9">
                  <c:v>10860</c:v>
                </c:pt>
                <c:pt idx="10">
                  <c:v>10902</c:v>
                </c:pt>
                <c:pt idx="11">
                  <c:v>7866</c:v>
                </c:pt>
                <c:pt idx="12">
                  <c:v>5856</c:v>
                </c:pt>
                <c:pt idx="13">
                  <c:v>7596</c:v>
                </c:pt>
                <c:pt idx="14">
                  <c:v>#N/A</c:v>
                </c:pt>
                <c:pt idx="15">
                  <c:v>#N/A</c:v>
                </c:pt>
                <c:pt idx="16">
                  <c:v>#N/A</c:v>
                </c:pt>
                <c:pt idx="17">
                  <c:v>#N/A</c:v>
                </c:pt>
                <c:pt idx="18">
                  <c:v>6324</c:v>
                </c:pt>
                <c:pt idx="19">
                  <c:v>10500</c:v>
                </c:pt>
                <c:pt idx="20">
                  <c:v>#N/A</c:v>
                </c:pt>
                <c:pt idx="21">
                  <c:v>9060</c:v>
                </c:pt>
                <c:pt idx="22">
                  <c:v>8640</c:v>
                </c:pt>
                <c:pt idx="23">
                  <c:v>#N/A</c:v>
                </c:pt>
                <c:pt idx="24">
                  <c:v>9084</c:v>
                </c:pt>
                <c:pt idx="25">
                  <c:v>6984</c:v>
                </c:pt>
              </c:numCache>
            </c:numRef>
          </c:val>
          <c:extLst>
            <c:ext xmlns:c16="http://schemas.microsoft.com/office/drawing/2014/chart" uri="{C3380CC4-5D6E-409C-BE32-E72D297353CC}">
              <c16:uniqueId val="{00000000-BA0D-4628-BC62-10982B94F269}"/>
            </c:ext>
          </c:extLst>
        </c:ser>
        <c:ser>
          <c:idx val="1"/>
          <c:order val="1"/>
          <c:tx>
            <c:strRef>
              <c:f>'GRAFICO MAIO'!$R$8</c:f>
              <c:strCache>
                <c:ptCount val="1"/>
                <c:pt idx="0">
                  <c:v>Igual à meta</c:v>
                </c:pt>
              </c:strCache>
            </c:strRef>
          </c:tx>
          <c:spPr>
            <a:solidFill>
              <a:srgbClr val="A6A6A6"/>
            </a:solidFill>
            <a:ln w="7620">
              <a:solidFill>
                <a:srgbClr val="7F7F7F"/>
              </a:solidFill>
              <a:prstDash val="solid"/>
            </a:ln>
            <a:effectLst/>
          </c:spPr>
          <c:invertIfNegative val="0"/>
          <c:cat>
            <c:numRef>
              <c:f>'GRAFICO MAIO'!$P$9:$P$34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numCache>
            </c:numRef>
          </c:cat>
          <c:val>
            <c:numRef>
              <c:f>'GRAFICO MAIO'!$R$9:$R$34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1-BA0D-4628-BC62-10982B94F269}"/>
            </c:ext>
          </c:extLst>
        </c:ser>
        <c:ser>
          <c:idx val="2"/>
          <c:order val="2"/>
          <c:tx>
            <c:strRef>
              <c:f>'GRAFICO MAIO'!$S$8</c:f>
              <c:strCache>
                <c:ptCount val="1"/>
                <c:pt idx="0">
                  <c:v>Acima da meta</c:v>
                </c:pt>
              </c:strCache>
            </c:strRef>
          </c:tx>
          <c:spPr>
            <a:solidFill>
              <a:srgbClr val="00B050"/>
            </a:solidFill>
            <a:ln w="7620">
              <a:solidFill>
                <a:srgbClr val="007A38"/>
              </a:solidFill>
              <a:prstDash val="solid"/>
            </a:ln>
            <a:effectLst/>
          </c:spPr>
          <c:invertIfNegative val="0"/>
          <c:cat>
            <c:numRef>
              <c:f>'GRAFICO MAIO'!$P$9:$P$34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numCache>
            </c:numRef>
          </c:cat>
          <c:val>
            <c:numRef>
              <c:f>'GRAFICO MAIO'!$S$9:$S$34</c:f>
              <c:numCache>
                <c:formatCode>General</c:formatCode>
                <c:ptCount val="26"/>
                <c:pt idx="0">
                  <c:v>11634</c:v>
                </c:pt>
                <c:pt idx="1">
                  <c:v>12324</c:v>
                </c:pt>
                <c:pt idx="2">
                  <c:v>17748</c:v>
                </c:pt>
                <c:pt idx="3">
                  <c:v>#N/A</c:v>
                </c:pt>
                <c:pt idx="4">
                  <c:v>12558</c:v>
                </c:pt>
                <c:pt idx="5">
                  <c:v>13044</c:v>
                </c:pt>
                <c:pt idx="6">
                  <c:v>#N/A</c:v>
                </c:pt>
                <c:pt idx="7">
                  <c:v>#N/A</c:v>
                </c:pt>
                <c:pt idx="8">
                  <c:v>#N/A</c:v>
                </c:pt>
                <c:pt idx="9">
                  <c:v>#N/A</c:v>
                </c:pt>
                <c:pt idx="10">
                  <c:v>#N/A</c:v>
                </c:pt>
                <c:pt idx="11">
                  <c:v>#N/A</c:v>
                </c:pt>
                <c:pt idx="12">
                  <c:v>#N/A</c:v>
                </c:pt>
                <c:pt idx="13">
                  <c:v>#N/A</c:v>
                </c:pt>
                <c:pt idx="14">
                  <c:v>11580</c:v>
                </c:pt>
                <c:pt idx="15">
                  <c:v>15060</c:v>
                </c:pt>
                <c:pt idx="16">
                  <c:v>13524</c:v>
                </c:pt>
                <c:pt idx="17">
                  <c:v>18852</c:v>
                </c:pt>
                <c:pt idx="18">
                  <c:v>#N/A</c:v>
                </c:pt>
                <c:pt idx="19">
                  <c:v>#N/A</c:v>
                </c:pt>
                <c:pt idx="20">
                  <c:v>13296</c:v>
                </c:pt>
                <c:pt idx="21">
                  <c:v>#N/A</c:v>
                </c:pt>
                <c:pt idx="22">
                  <c:v>#N/A</c:v>
                </c:pt>
                <c:pt idx="23">
                  <c:v>17244</c:v>
                </c:pt>
                <c:pt idx="24">
                  <c:v>#N/A</c:v>
                </c:pt>
                <c:pt idx="25">
                  <c:v>#N/A</c:v>
                </c:pt>
              </c:numCache>
            </c:numRef>
          </c:val>
          <c:extLst>
            <c:ext xmlns:c16="http://schemas.microsoft.com/office/drawing/2014/chart" uri="{C3380CC4-5D6E-409C-BE32-E72D297353CC}">
              <c16:uniqueId val="{00000002-BA0D-4628-BC62-10982B94F269}"/>
            </c:ext>
          </c:extLst>
        </c:ser>
        <c:dLbls>
          <c:showLegendKey val="0"/>
          <c:showVal val="0"/>
          <c:showCatName val="0"/>
          <c:showSerName val="0"/>
          <c:showPercent val="0"/>
          <c:showBubbleSize val="0"/>
        </c:dLbls>
        <c:gapWidth val="130"/>
        <c:overlap val="100"/>
        <c:axId val="825255936"/>
        <c:axId val="61878832"/>
      </c:barChart>
      <c:catAx>
        <c:axId val="825255936"/>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0"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878832"/>
        <c:crosses val="autoZero"/>
        <c:auto val="1"/>
        <c:lblAlgn val="ctr"/>
        <c:lblOffset val="100"/>
        <c:noMultiLvlLbl val="0"/>
      </c:catAx>
      <c:valAx>
        <c:axId val="6187883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825255936"/>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ABRIL</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_BASE_GRAFICO_ABRIL!$Q$8</c:f>
              <c:strCache>
                <c:ptCount val="1"/>
                <c:pt idx="0">
                  <c:v>Abaixo da meta</c:v>
                </c:pt>
              </c:strCache>
            </c:strRef>
          </c:tx>
          <c:spPr>
            <a:solidFill>
              <a:srgbClr val="C00000"/>
            </a:solidFill>
            <a:ln w="7620">
              <a:solidFill>
                <a:srgbClr val="8F0000"/>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_BASE_GRAFICO_ABRIL!$Q$9:$Q$34</c:f>
              <c:numCache>
                <c:formatCode>General</c:formatCode>
                <c:ptCount val="26"/>
                <c:pt idx="0">
                  <c:v>#N/A</c:v>
                </c:pt>
                <c:pt idx="1">
                  <c:v>#N/A</c:v>
                </c:pt>
                <c:pt idx="2">
                  <c:v>#N/A</c:v>
                </c:pt>
                <c:pt idx="3">
                  <c:v>#N/A</c:v>
                </c:pt>
                <c:pt idx="4">
                  <c:v>#N/A</c:v>
                </c:pt>
                <c:pt idx="5">
                  <c:v>#N/A</c:v>
                </c:pt>
                <c:pt idx="6">
                  <c:v>6720</c:v>
                </c:pt>
                <c:pt idx="7">
                  <c:v>#N/A</c:v>
                </c:pt>
                <c:pt idx="8">
                  <c:v>10242</c:v>
                </c:pt>
                <c:pt idx="9">
                  <c:v>10668</c:v>
                </c:pt>
                <c:pt idx="10">
                  <c:v>#N/A</c:v>
                </c:pt>
                <c:pt idx="11">
                  <c:v>7872</c:v>
                </c:pt>
                <c:pt idx="12">
                  <c:v>#N/A</c:v>
                </c:pt>
                <c:pt idx="13">
                  <c:v>#N/A</c:v>
                </c:pt>
                <c:pt idx="14">
                  <c:v>8610</c:v>
                </c:pt>
                <c:pt idx="15">
                  <c:v>8370</c:v>
                </c:pt>
                <c:pt idx="16">
                  <c:v>10164</c:v>
                </c:pt>
                <c:pt idx="17">
                  <c:v>#N/A</c:v>
                </c:pt>
                <c:pt idx="18">
                  <c:v>#N/A</c:v>
                </c:pt>
                <c:pt idx="19">
                  <c:v>#N/A</c:v>
                </c:pt>
                <c:pt idx="20">
                  <c:v>9468</c:v>
                </c:pt>
                <c:pt idx="21">
                  <c:v>#N/A</c:v>
                </c:pt>
              </c:numCache>
            </c:numRef>
          </c:val>
          <c:extLst>
            <c:ext xmlns:c16="http://schemas.microsoft.com/office/drawing/2014/chart" uri="{C3380CC4-5D6E-409C-BE32-E72D297353CC}">
              <c16:uniqueId val="{00000000-4588-4C42-85EC-E97C287DA980}"/>
            </c:ext>
          </c:extLst>
        </c:ser>
        <c:ser>
          <c:idx val="1"/>
          <c:order val="1"/>
          <c:tx>
            <c:strRef>
              <c:f>_BASE_GRAFICO_ABRIL!$R$8</c:f>
              <c:strCache>
                <c:ptCount val="1"/>
                <c:pt idx="0">
                  <c:v>Igual à meta</c:v>
                </c:pt>
              </c:strCache>
            </c:strRef>
          </c:tx>
          <c:spPr>
            <a:solidFill>
              <a:srgbClr val="A6A6A6"/>
            </a:solidFill>
            <a:ln w="7620">
              <a:solidFill>
                <a:srgbClr val="7F7F7F"/>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val>
          <c:extLst>
            <c:ext xmlns:c16="http://schemas.microsoft.com/office/drawing/2014/chart" uri="{C3380CC4-5D6E-409C-BE32-E72D297353CC}">
              <c16:uniqueId val="{00000001-4588-4C42-85EC-E97C287DA980}"/>
            </c:ext>
          </c:extLst>
        </c:ser>
        <c:ser>
          <c:idx val="2"/>
          <c:order val="2"/>
          <c:tx>
            <c:strRef>
              <c:f>_BASE_GRAFICO_ABRIL!$S$8</c:f>
              <c:strCache>
                <c:ptCount val="1"/>
                <c:pt idx="0">
                  <c:v>Acima da meta</c:v>
                </c:pt>
              </c:strCache>
            </c:strRef>
          </c:tx>
          <c:spPr>
            <a:solidFill>
              <a:srgbClr val="00B050"/>
            </a:solidFill>
            <a:ln w="7620">
              <a:solidFill>
                <a:srgbClr val="007A38"/>
              </a:solidFill>
              <a:prstDash val="solid"/>
            </a:ln>
            <a:effectLst/>
          </c:spPr>
          <c:invertIfNegative val="0"/>
          <c:cat>
            <c:numRef>
              <c:f>_BASE_GRAFICO_ABRIL!$P$9:$P$34</c:f>
              <c:numCache>
                <c:formatCode>0</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cat>
          <c:val>
            <c:numRef>
              <c:f>_BASE_GRAFICO_ABRIL!$S$9:$S$34</c:f>
              <c:numCache>
                <c:formatCode>General</c:formatCode>
                <c:ptCount val="26"/>
                <c:pt idx="0">
                  <c:v>13872</c:v>
                </c:pt>
                <c:pt idx="1">
                  <c:v>12600</c:v>
                </c:pt>
                <c:pt idx="2">
                  <c:v>12780</c:v>
                </c:pt>
                <c:pt idx="3">
                  <c:v>11046</c:v>
                </c:pt>
                <c:pt idx="4">
                  <c:v>18036</c:v>
                </c:pt>
                <c:pt idx="5">
                  <c:v>12060</c:v>
                </c:pt>
                <c:pt idx="6">
                  <c:v>#N/A</c:v>
                </c:pt>
                <c:pt idx="7">
                  <c:v>11916</c:v>
                </c:pt>
                <c:pt idx="8">
                  <c:v>#N/A</c:v>
                </c:pt>
                <c:pt idx="9">
                  <c:v>#N/A</c:v>
                </c:pt>
                <c:pt idx="10">
                  <c:v>11964</c:v>
                </c:pt>
                <c:pt idx="11">
                  <c:v>#N/A</c:v>
                </c:pt>
                <c:pt idx="12">
                  <c:v>11112</c:v>
                </c:pt>
                <c:pt idx="13">
                  <c:v>11976</c:v>
                </c:pt>
                <c:pt idx="14">
                  <c:v>#N/A</c:v>
                </c:pt>
                <c:pt idx="15">
                  <c:v>#N/A</c:v>
                </c:pt>
                <c:pt idx="16">
                  <c:v>#N/A</c:v>
                </c:pt>
                <c:pt idx="17">
                  <c:v>13692</c:v>
                </c:pt>
                <c:pt idx="18">
                  <c:v>20196</c:v>
                </c:pt>
                <c:pt idx="19">
                  <c:v>11238</c:v>
                </c:pt>
                <c:pt idx="20">
                  <c:v>#N/A</c:v>
                </c:pt>
                <c:pt idx="21">
                  <c:v>11880</c:v>
                </c:pt>
              </c:numCache>
            </c:numRef>
          </c:val>
          <c:extLst>
            <c:ext xmlns:c16="http://schemas.microsoft.com/office/drawing/2014/chart" uri="{C3380CC4-5D6E-409C-BE32-E72D297353CC}">
              <c16:uniqueId val="{00000002-4588-4C42-85EC-E97C287DA980}"/>
            </c:ext>
          </c:extLst>
        </c:ser>
        <c:dLbls>
          <c:showLegendKey val="0"/>
          <c:showVal val="0"/>
          <c:showCatName val="0"/>
          <c:showSerName val="0"/>
          <c:showPercent val="0"/>
          <c:showBubbleSize val="0"/>
        </c:dLbls>
        <c:gapWidth val="130"/>
        <c:overlap val="100"/>
        <c:axId val="825255936"/>
        <c:axId val="61878832"/>
      </c:barChart>
      <c:catAx>
        <c:axId val="825255936"/>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0"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878832"/>
        <c:crosses val="autoZero"/>
        <c:auto val="1"/>
        <c:lblAlgn val="ctr"/>
        <c:lblOffset val="100"/>
        <c:noMultiLvlLbl val="0"/>
      </c:catAx>
      <c:valAx>
        <c:axId val="6187883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825255936"/>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JUNHO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JUNHO'!$Q$8</c:f>
              <c:strCache>
                <c:ptCount val="1"/>
                <c:pt idx="0">
                  <c:v>Abaixo da meta</c:v>
                </c:pt>
              </c:strCache>
            </c:strRef>
          </c:tx>
          <c:spPr>
            <a:solidFill>
              <a:srgbClr val="C00000"/>
            </a:solidFill>
            <a:ln w="7620">
              <a:solidFill>
                <a:srgbClr val="8F0000"/>
              </a:solidFill>
              <a:prstDash val="solid"/>
            </a:ln>
            <a:effectLst/>
          </c:spPr>
          <c:invertIfNegative val="0"/>
          <c:cat>
            <c:strRef>
              <c:f>'GRAFICO JUNHO'!$P$9:$P$34</c:f>
              <c:strCache>
                <c:ptCount val="26"/>
                <c:pt idx="0">
                  <c:v>1</c:v>
                </c:pt>
                <c:pt idx="1">
                  <c:v>2</c:v>
                </c:pt>
                <c:pt idx="2">
                  <c:v>3</c:v>
                </c:pt>
                <c:pt idx="3">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'GRAFICO JUNHO'!$Q$9:$Q$34</c:f>
              <c:numCache>
                <c:formatCode>General</c:formatCode>
                <c:ptCount val="26"/>
                <c:pt idx="0">
                  <c:v>8778</c:v>
                </c:pt>
                <c:pt idx="1">
                  <c:v>8496</c:v>
                </c:pt>
                <c:pt idx="2">
                  <c:v>10626</c:v>
                </c:pt>
                <c:pt idx="3">
                  <c:v>#N/A</c:v>
                </c:pt>
                <c:pt idx="4">
                  <c:v>#N/A</c:v>
                </c:pt>
                <c:pt idx="5">
                  <c:v>#N/A</c:v>
                </c:pt>
                <c:pt idx="6">
                  <c:v>7428</c:v>
                </c:pt>
                <c:pt idx="7">
                  <c:v>8580</c:v>
                </c:pt>
                <c:pt idx="8">
                  <c:v>#N/A</c:v>
                </c:pt>
                <c:pt idx="9">
                  <c:v>#N/A</c:v>
                </c:pt>
                <c:pt idx="10">
                  <c:v>9624</c:v>
                </c:pt>
                <c:pt idx="11">
                  <c:v>7176</c:v>
                </c:pt>
                <c:pt idx="12">
                  <c:v>#N/A</c:v>
                </c:pt>
                <c:pt idx="13">
                  <c:v>#N/A</c:v>
                </c:pt>
                <c:pt idx="14">
                  <c:v>#N/A</c:v>
                </c:pt>
                <c:pt idx="15">
                  <c:v>#N/A</c:v>
                </c:pt>
                <c:pt idx="16">
                  <c:v>9960</c:v>
                </c:pt>
                <c:pt idx="17">
                  <c:v>7404</c:v>
                </c:pt>
                <c:pt idx="18">
                  <c:v>#N/A</c:v>
                </c:pt>
                <c:pt idx="19">
                  <c:v>6156</c:v>
                </c:pt>
                <c:pt idx="20">
                  <c:v>#N/A</c:v>
                </c:pt>
                <c:pt idx="21">
                  <c:v>#N/A</c:v>
                </c:pt>
                <c:pt idx="22">
                  <c:v>#N/A</c:v>
                </c:pt>
                <c:pt idx="23">
                  <c:v>#N/A</c:v>
                </c:pt>
                <c:pt idx="24">
                  <c:v>10698</c:v>
                </c:pt>
                <c:pt idx="25">
                  <c:v>7944</c:v>
                </c:pt>
              </c:numCache>
            </c:numRef>
          </c:val>
          <c:extLst>
            <c:ext xmlns:c16="http://schemas.microsoft.com/office/drawing/2014/chart" uri="{C3380CC4-5D6E-409C-BE32-E72D297353CC}">
              <c16:uniqueId val="{00000000-3771-44CF-A218-5DCB13F1D8F5}"/>
            </c:ext>
          </c:extLst>
        </c:ser>
        <c:ser>
          <c:idx val="1"/>
          <c:order val="1"/>
          <c:tx>
            <c:strRef>
              <c:f>'GRAFICO JUNHO'!$R$8</c:f>
              <c:strCache>
                <c:ptCount val="1"/>
                <c:pt idx="0">
                  <c:v>Igual à meta</c:v>
                </c:pt>
              </c:strCache>
            </c:strRef>
          </c:tx>
          <c:spPr>
            <a:solidFill>
              <a:srgbClr val="A6A6A6"/>
            </a:solidFill>
            <a:ln w="7620">
              <a:solidFill>
                <a:srgbClr val="7F7F7F"/>
              </a:solidFill>
              <a:prstDash val="solid"/>
            </a:ln>
            <a:effectLst/>
          </c:spPr>
          <c:invertIfNegative val="0"/>
          <c:cat>
            <c:strRef>
              <c:f>'GRAFICO JUNHO'!$P$9:$P$34</c:f>
              <c:strCache>
                <c:ptCount val="26"/>
                <c:pt idx="0">
                  <c:v>1</c:v>
                </c:pt>
                <c:pt idx="1">
                  <c:v>2</c:v>
                </c:pt>
                <c:pt idx="2">
                  <c:v>3</c:v>
                </c:pt>
                <c:pt idx="3">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'GRAFICO JUNHO'!$R$9:$R$34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1-3771-44CF-A218-5DCB13F1D8F5}"/>
            </c:ext>
          </c:extLst>
        </c:ser>
        <c:ser>
          <c:idx val="2"/>
          <c:order val="2"/>
          <c:tx>
            <c:strRef>
              <c:f>'GRAFICO JUNHO'!$S$8</c:f>
              <c:strCache>
                <c:ptCount val="1"/>
                <c:pt idx="0">
                  <c:v>Acima da meta</c:v>
                </c:pt>
              </c:strCache>
            </c:strRef>
          </c:tx>
          <c:spPr>
            <a:solidFill>
              <a:srgbClr val="00B050"/>
            </a:solidFill>
            <a:ln w="7620">
              <a:solidFill>
                <a:srgbClr val="007A38"/>
              </a:solidFill>
              <a:prstDash val="solid"/>
            </a:ln>
            <a:effectLst/>
          </c:spPr>
          <c:invertIfNegative val="0"/>
          <c:cat>
            <c:strRef>
              <c:f>'GRAFICO JUNHO'!$P$9:$P$34</c:f>
              <c:strCache>
                <c:ptCount val="26"/>
                <c:pt idx="0">
                  <c:v>1</c:v>
                </c:pt>
                <c:pt idx="1">
                  <c:v>2</c:v>
                </c:pt>
                <c:pt idx="2">
                  <c:v>3</c:v>
                </c:pt>
                <c:pt idx="3">
                  <c:v>4</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'GRAFICO JUNHO'!$S$9:$S$34</c:f>
              <c:numCache>
                <c:formatCode>General</c:formatCode>
                <c:ptCount val="26"/>
                <c:pt idx="0">
                  <c:v>#N/A</c:v>
                </c:pt>
                <c:pt idx="1">
                  <c:v>#N/A</c:v>
                </c:pt>
                <c:pt idx="2">
                  <c:v>#N/A</c:v>
                </c:pt>
                <c:pt idx="3">
                  <c:v>11148</c:v>
                </c:pt>
                <c:pt idx="4">
                  <c:v>#N/A</c:v>
                </c:pt>
                <c:pt idx="5">
                  <c:v>#N/A</c:v>
                </c:pt>
                <c:pt idx="6">
                  <c:v>#N/A</c:v>
                </c:pt>
                <c:pt idx="7">
                  <c:v>#N/A</c:v>
                </c:pt>
                <c:pt idx="8">
                  <c:v>11280</c:v>
                </c:pt>
                <c:pt idx="9">
                  <c:v>11148</c:v>
                </c:pt>
                <c:pt idx="10">
                  <c:v>#N/A</c:v>
                </c:pt>
                <c:pt idx="11">
                  <c:v>#N/A</c:v>
                </c:pt>
                <c:pt idx="12">
                  <c:v>14308</c:v>
                </c:pt>
                <c:pt idx="13">
                  <c:v>16104</c:v>
                </c:pt>
                <c:pt idx="14">
                  <c:v>13752</c:v>
                </c:pt>
                <c:pt idx="15">
                  <c:v>13524</c:v>
                </c:pt>
                <c:pt idx="16">
                  <c:v>#N/A</c:v>
                </c:pt>
                <c:pt idx="17">
                  <c:v>#N/A</c:v>
                </c:pt>
                <c:pt idx="18">
                  <c:v>11100</c:v>
                </c:pt>
                <c:pt idx="19">
                  <c:v>#N/A</c:v>
                </c:pt>
                <c:pt idx="20">
                  <c:v>12408</c:v>
                </c:pt>
                <c:pt idx="21">
                  <c:v>16164</c:v>
                </c:pt>
                <c:pt idx="22">
                  <c:v>14208</c:v>
                </c:pt>
                <c:pt idx="23">
                  <c:v>14040</c:v>
                </c:pt>
                <c:pt idx="24">
                  <c:v>#N/A</c:v>
                </c:pt>
                <c:pt idx="25">
                  <c:v>#N/A</c:v>
                </c:pt>
              </c:numCache>
            </c:numRef>
          </c:val>
          <c:extLst>
            <c:ext xmlns:c16="http://schemas.microsoft.com/office/drawing/2014/chart" uri="{C3380CC4-5D6E-409C-BE32-E72D297353CC}">
              <c16:uniqueId val="{00000002-3771-44CF-A218-5DCB13F1D8F5}"/>
            </c:ext>
          </c:extLst>
        </c:ser>
        <c:dLbls>
          <c:showLegendKey val="0"/>
          <c:showVal val="0"/>
          <c:showCatName val="0"/>
          <c:showSerName val="0"/>
          <c:showPercent val="0"/>
          <c:showBubbleSize val="0"/>
        </c:dLbls>
        <c:gapWidth val="130"/>
        <c:overlap val="100"/>
        <c:axId val="214074400"/>
        <c:axId val="62002192"/>
      </c:barChart>
      <c:catAx>
        <c:axId val="214074400"/>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02192"/>
        <c:crosses val="autoZero"/>
        <c:auto val="1"/>
        <c:lblAlgn val="ctr"/>
        <c:lblOffset val="100"/>
        <c:noMultiLvlLbl val="0"/>
      </c:catAx>
      <c:valAx>
        <c:axId val="6200219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4074400"/>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JULHO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JULHO'!$Q$8</c:f>
              <c:strCache>
                <c:ptCount val="1"/>
                <c:pt idx="0">
                  <c:v>Abaixo da meta</c:v>
                </c:pt>
              </c:strCache>
            </c:strRef>
          </c:tx>
          <c:spPr>
            <a:solidFill>
              <a:srgbClr val="C00000"/>
            </a:solidFill>
            <a:ln w="7620">
              <a:solidFill>
                <a:srgbClr val="8F0000"/>
              </a:solidFill>
              <a:prstDash val="solid"/>
            </a:ln>
            <a:effectLst/>
          </c:spPr>
          <c:invertIfNegative val="0"/>
          <c:cat>
            <c:strRef>
              <c:f>'GRAFICO JULHO'!$P$9:$P$35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'GRAFICO JULHO'!$Q$9:$Q$35</c:f>
              <c:numCache>
                <c:formatCode>General</c:formatCode>
                <c:ptCount val="27"/>
                <c:pt idx="0">
                  <c:v>10626</c:v>
                </c:pt>
                <c:pt idx="1">
                  <c:v>7872</c:v>
                </c:pt>
                <c:pt idx="2">
                  <c:v>9480</c:v>
                </c:pt>
                <c:pt idx="3">
                  <c:v>10704</c:v>
                </c:pt>
                <c:pt idx="4">
                  <c:v>#N/A</c:v>
                </c:pt>
                <c:pt idx="5">
                  <c:v>8352</c:v>
                </c:pt>
                <c:pt idx="6">
                  <c:v>#N/A</c:v>
                </c:pt>
                <c:pt idx="7">
                  <c:v>#N/A</c:v>
                </c:pt>
                <c:pt idx="8">
                  <c:v>#N/A</c:v>
                </c:pt>
                <c:pt idx="9">
                  <c:v>#N/A</c:v>
                </c:pt>
                <c:pt idx="10">
                  <c:v>#N/A</c:v>
                </c:pt>
                <c:pt idx="11">
                  <c:v>#N/A</c:v>
                </c:pt>
                <c:pt idx="12">
                  <c:v>10776</c:v>
                </c:pt>
                <c:pt idx="13">
                  <c:v>#N/A</c:v>
                </c:pt>
                <c:pt idx="14">
                  <c:v>7176</c:v>
                </c:pt>
                <c:pt idx="15">
                  <c:v>8496</c:v>
                </c:pt>
                <c:pt idx="16">
                  <c:v>10848</c:v>
                </c:pt>
                <c:pt idx="17">
                  <c:v>#N/A</c:v>
                </c:pt>
                <c:pt idx="18">
                  <c:v>#N/A</c:v>
                </c:pt>
                <c:pt idx="19">
                  <c:v>6720</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0-FCF6-4289-A3C9-2BE22A97E750}"/>
            </c:ext>
          </c:extLst>
        </c:ser>
        <c:ser>
          <c:idx val="1"/>
          <c:order val="1"/>
          <c:tx>
            <c:strRef>
              <c:f>'GRAFICO JULHO'!$R$8</c:f>
              <c:strCache>
                <c:ptCount val="1"/>
                <c:pt idx="0">
                  <c:v>Igual à meta</c:v>
                </c:pt>
              </c:strCache>
            </c:strRef>
          </c:tx>
          <c:spPr>
            <a:solidFill>
              <a:srgbClr val="A6A6A6"/>
            </a:solidFill>
            <a:ln w="7620">
              <a:solidFill>
                <a:srgbClr val="7F7F7F"/>
              </a:solidFill>
              <a:prstDash val="solid"/>
            </a:ln>
            <a:effectLst/>
          </c:spPr>
          <c:invertIfNegative val="0"/>
          <c:cat>
            <c:strRef>
              <c:f>'GRAFICO JULHO'!$P$9:$P$35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'GRAFICO JULHO'!$R$9:$R$35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1-FCF6-4289-A3C9-2BE22A97E750}"/>
            </c:ext>
          </c:extLst>
        </c:ser>
        <c:ser>
          <c:idx val="2"/>
          <c:order val="2"/>
          <c:tx>
            <c:strRef>
              <c:f>'GRAFICO JULHO'!$S$8</c:f>
              <c:strCache>
                <c:ptCount val="1"/>
                <c:pt idx="0">
                  <c:v>Acima da meta</c:v>
                </c:pt>
              </c:strCache>
            </c:strRef>
          </c:tx>
          <c:spPr>
            <a:solidFill>
              <a:srgbClr val="00B050"/>
            </a:solidFill>
            <a:ln w="7620">
              <a:solidFill>
                <a:srgbClr val="007A38"/>
              </a:solidFill>
              <a:prstDash val="solid"/>
            </a:ln>
            <a:effectLst/>
          </c:spPr>
          <c:invertIfNegative val="0"/>
          <c:cat>
            <c:strRef>
              <c:f>'GRAFICO JULHO'!$P$9:$P$35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'GRAFICO JULHO'!$S$9:$S$35</c:f>
              <c:numCache>
                <c:formatCode>General</c:formatCode>
                <c:ptCount val="27"/>
                <c:pt idx="0">
                  <c:v>#N/A</c:v>
                </c:pt>
                <c:pt idx="1">
                  <c:v>#N/A</c:v>
                </c:pt>
                <c:pt idx="2">
                  <c:v>#N/A</c:v>
                </c:pt>
                <c:pt idx="3">
                  <c:v>#N/A</c:v>
                </c:pt>
                <c:pt idx="4">
                  <c:v>14940</c:v>
                </c:pt>
                <c:pt idx="5">
                  <c:v>#N/A</c:v>
                </c:pt>
                <c:pt idx="6">
                  <c:v>12066</c:v>
                </c:pt>
                <c:pt idx="7">
                  <c:v>17208</c:v>
                </c:pt>
                <c:pt idx="8">
                  <c:v>15600</c:v>
                </c:pt>
                <c:pt idx="9">
                  <c:v>12264</c:v>
                </c:pt>
                <c:pt idx="10">
                  <c:v>16596</c:v>
                </c:pt>
                <c:pt idx="11">
                  <c:v>14424</c:v>
                </c:pt>
                <c:pt idx="12">
                  <c:v>#N/A</c:v>
                </c:pt>
                <c:pt idx="13">
                  <c:v>11532</c:v>
                </c:pt>
                <c:pt idx="14">
                  <c:v>#N/A</c:v>
                </c:pt>
                <c:pt idx="15">
                  <c:v>#N/A</c:v>
                </c:pt>
                <c:pt idx="16">
                  <c:v>#N/A</c:v>
                </c:pt>
                <c:pt idx="17">
                  <c:v>15324</c:v>
                </c:pt>
                <c:pt idx="18">
                  <c:v>20076</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2-FCF6-4289-A3C9-2BE22A97E750}"/>
            </c:ext>
          </c:extLst>
        </c:ser>
        <c:dLbls>
          <c:showLegendKey val="0"/>
          <c:showVal val="0"/>
          <c:showCatName val="0"/>
          <c:showSerName val="0"/>
          <c:showPercent val="0"/>
          <c:showBubbleSize val="0"/>
        </c:dLbls>
        <c:gapWidth val="130"/>
        <c:overlap val="100"/>
        <c:axId val="214124048"/>
        <c:axId val="62063152"/>
      </c:barChart>
      <c:catAx>
        <c:axId val="214124048"/>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63152"/>
        <c:crosses val="autoZero"/>
        <c:auto val="1"/>
        <c:lblAlgn val="ctr"/>
        <c:lblOffset val="100"/>
        <c:noMultiLvlLbl val="0"/>
      </c:catAx>
      <c:valAx>
        <c:axId val="6206315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4124048"/>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AGOSTO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AGOSTO'!$Q$8</c:f>
              <c:strCache>
                <c:ptCount val="1"/>
                <c:pt idx="0">
                  <c:v>Abaixo da meta</c:v>
                </c:pt>
              </c:strCache>
            </c:strRef>
          </c:tx>
          <c:spPr>
            <a:solidFill>
              <a:srgbClr val="C00000"/>
            </a:solidFill>
            <a:ln w="7620">
              <a:solidFill>
                <a:srgbClr val="8F0000"/>
              </a:solidFill>
              <a:prstDash val="solid"/>
            </a:ln>
            <a:effectLst/>
          </c:spPr>
          <c:invertIfNegative val="0"/>
          <c:cat>
            <c:multiLvlStrRef>
              <c:f>'GRAFICO AGOSTO'!$P$9:$P$34</c:f>
            </c:multiLvlStrRef>
          </c:cat>
          <c:val>
            <c:numRef>
              <c:f>'GRAFICO AGOSTO'!$Q$9:$Q$34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0-BF52-4E63-8446-1873B08A4716}"/>
            </c:ext>
          </c:extLst>
        </c:ser>
        <c:ser>
          <c:idx val="1"/>
          <c:order val="1"/>
          <c:tx>
            <c:strRef>
              <c:f>'GRAFICO AGOSTO'!$R$8</c:f>
              <c:strCache>
                <c:ptCount val="1"/>
                <c:pt idx="0">
                  <c:v>Igual à meta</c:v>
                </c:pt>
              </c:strCache>
            </c:strRef>
          </c:tx>
          <c:spPr>
            <a:solidFill>
              <a:srgbClr val="A6A6A6"/>
            </a:solidFill>
            <a:ln w="7620">
              <a:solidFill>
                <a:srgbClr val="7F7F7F"/>
              </a:solidFill>
              <a:prstDash val="solid"/>
            </a:ln>
            <a:effectLst/>
          </c:spPr>
          <c:invertIfNegative val="0"/>
          <c:cat>
            <c:multiLvlStrRef>
              <c:f>'GRAFICO AGOSTO'!$P$9:$P$34</c:f>
            </c:multiLvlStrRef>
          </c:cat>
          <c:val>
            <c:numRef>
              <c:f>'GRAFICO AGOSTO'!$R$9:$R$34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1-BF52-4E63-8446-1873B08A4716}"/>
            </c:ext>
          </c:extLst>
        </c:ser>
        <c:ser>
          <c:idx val="2"/>
          <c:order val="2"/>
          <c:tx>
            <c:strRef>
              <c:f>'GRAFICO AGOSTO'!$S$8</c:f>
              <c:strCache>
                <c:ptCount val="1"/>
                <c:pt idx="0">
                  <c:v>Acima da meta</c:v>
                </c:pt>
              </c:strCache>
            </c:strRef>
          </c:tx>
          <c:spPr>
            <a:solidFill>
              <a:srgbClr val="00B050"/>
            </a:solidFill>
            <a:ln w="7620">
              <a:solidFill>
                <a:srgbClr val="007A38"/>
              </a:solidFill>
              <a:prstDash val="solid"/>
            </a:ln>
            <a:effectLst/>
          </c:spPr>
          <c:invertIfNegative val="0"/>
          <c:cat>
            <c:multiLvlStrRef>
              <c:f>'GRAFICO AGOSTO'!$P$9:$P$34</c:f>
            </c:multiLvlStrRef>
          </c:cat>
          <c:val>
            <c:numRef>
              <c:f>'GRAFICO AGOSTO'!$S$9:$S$34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2-BF52-4E63-8446-1873B08A4716}"/>
            </c:ext>
          </c:extLst>
        </c:ser>
        <c:dLbls>
          <c:showLegendKey val="0"/>
          <c:showVal val="0"/>
          <c:showCatName val="0"/>
          <c:showSerName val="0"/>
          <c:showPercent val="0"/>
          <c:showBubbleSize val="0"/>
        </c:dLbls>
        <c:gapWidth val="130"/>
        <c:overlap val="100"/>
        <c:axId val="213948192"/>
        <c:axId val="61986352"/>
      </c:barChart>
      <c:catAx>
        <c:axId val="213948192"/>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0"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986352"/>
        <c:crosses val="autoZero"/>
        <c:auto val="1"/>
        <c:lblAlgn val="ctr"/>
        <c:lblOffset val="100"/>
        <c:noMultiLvlLbl val="0"/>
      </c:catAx>
      <c:valAx>
        <c:axId val="6198635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3948192"/>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SETEMBRO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SETEMBRO'!$Q$8</c:f>
              <c:strCache>
                <c:ptCount val="1"/>
                <c:pt idx="0">
                  <c:v>Abaixo da meta</c:v>
                </c:pt>
              </c:strCache>
            </c:strRef>
          </c:tx>
          <c:spPr>
            <a:solidFill>
              <a:srgbClr val="C00000"/>
            </a:solidFill>
            <a:ln w="7620">
              <a:solidFill>
                <a:srgbClr val="8F0000"/>
              </a:solidFill>
              <a:prstDash val="solid"/>
            </a:ln>
            <a:effectLst/>
          </c:spPr>
          <c:invertIfNegative val="0"/>
          <c:cat>
            <c:multiLvlStrRef>
              <c:f>'GRAFICO SETEMBRO'!$P$9:$P$34</c:f>
            </c:multiLvlStrRef>
          </c:cat>
          <c:val>
            <c:numRef>
              <c:f>'GRAFICO SETEMBRO'!$Q$9:$Q$34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0-AC05-4F50-A161-EF7C1A467137}"/>
            </c:ext>
          </c:extLst>
        </c:ser>
        <c:ser>
          <c:idx val="1"/>
          <c:order val="1"/>
          <c:tx>
            <c:strRef>
              <c:f>'GRAFICO SETEMBRO'!$R$8</c:f>
              <c:strCache>
                <c:ptCount val="1"/>
                <c:pt idx="0">
                  <c:v>Igual à meta</c:v>
                </c:pt>
              </c:strCache>
            </c:strRef>
          </c:tx>
          <c:spPr>
            <a:solidFill>
              <a:srgbClr val="A6A6A6"/>
            </a:solidFill>
            <a:ln w="7620">
              <a:solidFill>
                <a:srgbClr val="7F7F7F"/>
              </a:solidFill>
              <a:prstDash val="solid"/>
            </a:ln>
            <a:effectLst/>
          </c:spPr>
          <c:invertIfNegative val="0"/>
          <c:cat>
            <c:multiLvlStrRef>
              <c:f>'GRAFICO SETEMBRO'!$P$9:$P$34</c:f>
            </c:multiLvlStrRef>
          </c:cat>
          <c:val>
            <c:numRef>
              <c:f>'GRAFICO SETEMBRO'!$R$9:$R$34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1-AC05-4F50-A161-EF7C1A467137}"/>
            </c:ext>
          </c:extLst>
        </c:ser>
        <c:ser>
          <c:idx val="2"/>
          <c:order val="2"/>
          <c:tx>
            <c:strRef>
              <c:f>'GRAFICO SETEMBRO'!$S$8</c:f>
              <c:strCache>
                <c:ptCount val="1"/>
                <c:pt idx="0">
                  <c:v>Acima da meta</c:v>
                </c:pt>
              </c:strCache>
            </c:strRef>
          </c:tx>
          <c:spPr>
            <a:solidFill>
              <a:srgbClr val="00B050"/>
            </a:solidFill>
            <a:ln w="7620">
              <a:solidFill>
                <a:srgbClr val="007A38"/>
              </a:solidFill>
              <a:prstDash val="solid"/>
            </a:ln>
            <a:effectLst/>
          </c:spPr>
          <c:invertIfNegative val="0"/>
          <c:cat>
            <c:multiLvlStrRef>
              <c:f>'GRAFICO SETEMBRO'!$P$9:$P$34</c:f>
            </c:multiLvlStrRef>
          </c:cat>
          <c:val>
            <c:numRef>
              <c:f>'GRAFICO SETEMBRO'!$S$9:$S$34</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2-AC05-4F50-A161-EF7C1A467137}"/>
            </c:ext>
          </c:extLst>
        </c:ser>
        <c:dLbls>
          <c:showLegendKey val="0"/>
          <c:showVal val="0"/>
          <c:showCatName val="0"/>
          <c:showSerName val="0"/>
          <c:showPercent val="0"/>
          <c:showBubbleSize val="0"/>
        </c:dLbls>
        <c:gapWidth val="130"/>
        <c:overlap val="100"/>
        <c:axId val="214165344"/>
        <c:axId val="62059792"/>
      </c:barChart>
      <c:catAx>
        <c:axId val="214165344"/>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59792"/>
        <c:crosses val="autoZero"/>
        <c:auto val="1"/>
        <c:lblAlgn val="ctr"/>
        <c:lblOffset val="100"/>
        <c:noMultiLvlLbl val="0"/>
      </c:catAx>
      <c:valAx>
        <c:axId val="6205979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4165344"/>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OUTUBRO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OUTUBRO'!$Q$8</c:f>
              <c:strCache>
                <c:ptCount val="1"/>
                <c:pt idx="0">
                  <c:v>Abaixo da meta</c:v>
                </c:pt>
              </c:strCache>
            </c:strRef>
          </c:tx>
          <c:spPr>
            <a:solidFill>
              <a:srgbClr val="C00000"/>
            </a:solidFill>
            <a:ln w="7620">
              <a:solidFill>
                <a:srgbClr val="8F0000"/>
              </a:solidFill>
              <a:prstDash val="solid"/>
            </a:ln>
            <a:effectLst/>
          </c:spPr>
          <c:invertIfNegative val="0"/>
          <c:cat>
            <c:multiLvlStrRef>
              <c:f>'GRAFICO OUTUBRO'!$P$9:$P$35</c:f>
            </c:multiLvlStrRef>
          </c:cat>
          <c:val>
            <c:numRef>
              <c:f>'GRAFICO OUTUBRO'!$Q$9:$Q$35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0-F90B-4A73-BB1C-A8852BB4785D}"/>
            </c:ext>
          </c:extLst>
        </c:ser>
        <c:ser>
          <c:idx val="1"/>
          <c:order val="1"/>
          <c:tx>
            <c:strRef>
              <c:f>'GRAFICO OUTUBRO'!$R$8</c:f>
              <c:strCache>
                <c:ptCount val="1"/>
                <c:pt idx="0">
                  <c:v>Igual à meta</c:v>
                </c:pt>
              </c:strCache>
            </c:strRef>
          </c:tx>
          <c:spPr>
            <a:solidFill>
              <a:srgbClr val="A6A6A6"/>
            </a:solidFill>
            <a:ln w="7620">
              <a:solidFill>
                <a:srgbClr val="7F7F7F"/>
              </a:solidFill>
              <a:prstDash val="solid"/>
            </a:ln>
            <a:effectLst/>
          </c:spPr>
          <c:invertIfNegative val="0"/>
          <c:cat>
            <c:multiLvlStrRef>
              <c:f>'GRAFICO OUTUBRO'!$P$9:$P$35</c:f>
            </c:multiLvlStrRef>
          </c:cat>
          <c:val>
            <c:numRef>
              <c:f>'GRAFICO OUTUBRO'!$R$9:$R$35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1-F90B-4A73-BB1C-A8852BB4785D}"/>
            </c:ext>
          </c:extLst>
        </c:ser>
        <c:ser>
          <c:idx val="2"/>
          <c:order val="2"/>
          <c:tx>
            <c:strRef>
              <c:f>'GRAFICO OUTUBRO'!$S$8</c:f>
              <c:strCache>
                <c:ptCount val="1"/>
                <c:pt idx="0">
                  <c:v>Acima da meta</c:v>
                </c:pt>
              </c:strCache>
            </c:strRef>
          </c:tx>
          <c:spPr>
            <a:solidFill>
              <a:srgbClr val="00B050"/>
            </a:solidFill>
            <a:ln w="7620">
              <a:solidFill>
                <a:srgbClr val="007A38"/>
              </a:solidFill>
              <a:prstDash val="solid"/>
            </a:ln>
            <a:effectLst/>
          </c:spPr>
          <c:invertIfNegative val="0"/>
          <c:cat>
            <c:multiLvlStrRef>
              <c:f>'GRAFICO OUTUBRO'!$P$9:$P$35</c:f>
            </c:multiLvlStrRef>
          </c:cat>
          <c:val>
            <c:numRef>
              <c:f>'GRAFICO OUTUBRO'!$S$9:$S$35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2-F90B-4A73-BB1C-A8852BB4785D}"/>
            </c:ext>
          </c:extLst>
        </c:ser>
        <c:dLbls>
          <c:showLegendKey val="0"/>
          <c:showVal val="0"/>
          <c:showCatName val="0"/>
          <c:showSerName val="0"/>
          <c:showPercent val="0"/>
          <c:showBubbleSize val="0"/>
        </c:dLbls>
        <c:gapWidth val="130"/>
        <c:overlap val="100"/>
        <c:axId val="214161168"/>
        <c:axId val="61911472"/>
      </c:barChart>
      <c:catAx>
        <c:axId val="214161168"/>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911472"/>
        <c:crosses val="autoZero"/>
        <c:auto val="1"/>
        <c:lblAlgn val="ctr"/>
        <c:lblOffset val="100"/>
        <c:noMultiLvlLbl val="0"/>
      </c:catAx>
      <c:valAx>
        <c:axId val="6191147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4161168"/>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NOVEMBRO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NOVEMBRO'!$Q$8</c:f>
              <c:strCache>
                <c:ptCount val="1"/>
                <c:pt idx="0">
                  <c:v>Abaixo da meta</c:v>
                </c:pt>
              </c:strCache>
            </c:strRef>
          </c:tx>
          <c:spPr>
            <a:solidFill>
              <a:srgbClr val="C00000"/>
            </a:solidFill>
            <a:ln w="7620">
              <a:solidFill>
                <a:srgbClr val="8F0000"/>
              </a:solidFill>
              <a:prstDash val="solid"/>
            </a:ln>
            <a:effectLst/>
          </c:spPr>
          <c:invertIfNegative val="0"/>
          <c:cat>
            <c:multiLvlStrRef>
              <c:f>'GRAFICO NOVEMBRO'!$P$9:$P$33</c:f>
            </c:multiLvlStrRef>
          </c:cat>
          <c:val>
            <c:numRef>
              <c:f>'GRAFICO NOVEMBRO'!$Q$9:$Q$33</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extLst>
            <c:ext xmlns:c16="http://schemas.microsoft.com/office/drawing/2014/chart" uri="{C3380CC4-5D6E-409C-BE32-E72D297353CC}">
              <c16:uniqueId val="{00000000-E165-4D1C-807B-D8E38EB7528B}"/>
            </c:ext>
          </c:extLst>
        </c:ser>
        <c:ser>
          <c:idx val="1"/>
          <c:order val="1"/>
          <c:tx>
            <c:strRef>
              <c:f>'GRAFICO NOVEMBRO'!$R$8</c:f>
              <c:strCache>
                <c:ptCount val="1"/>
                <c:pt idx="0">
                  <c:v>Igual à meta</c:v>
                </c:pt>
              </c:strCache>
            </c:strRef>
          </c:tx>
          <c:spPr>
            <a:solidFill>
              <a:srgbClr val="A6A6A6"/>
            </a:solidFill>
            <a:ln w="7620">
              <a:solidFill>
                <a:srgbClr val="7F7F7F"/>
              </a:solidFill>
              <a:prstDash val="solid"/>
            </a:ln>
            <a:effectLst/>
          </c:spPr>
          <c:invertIfNegative val="0"/>
          <c:cat>
            <c:multiLvlStrRef>
              <c:f>'GRAFICO NOVEMBRO'!$P$9:$P$33</c:f>
            </c:multiLvlStrRef>
          </c:cat>
          <c:val>
            <c:numRef>
              <c:f>'GRAFICO NOVEMBRO'!$R$9:$R$33</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extLst>
            <c:ext xmlns:c16="http://schemas.microsoft.com/office/drawing/2014/chart" uri="{C3380CC4-5D6E-409C-BE32-E72D297353CC}">
              <c16:uniqueId val="{00000001-E165-4D1C-807B-D8E38EB7528B}"/>
            </c:ext>
          </c:extLst>
        </c:ser>
        <c:ser>
          <c:idx val="2"/>
          <c:order val="2"/>
          <c:tx>
            <c:strRef>
              <c:f>'GRAFICO NOVEMBRO'!$S$8</c:f>
              <c:strCache>
                <c:ptCount val="1"/>
                <c:pt idx="0">
                  <c:v>Acima da meta</c:v>
                </c:pt>
              </c:strCache>
            </c:strRef>
          </c:tx>
          <c:spPr>
            <a:solidFill>
              <a:srgbClr val="00B050"/>
            </a:solidFill>
            <a:ln w="7620">
              <a:solidFill>
                <a:srgbClr val="007A38"/>
              </a:solidFill>
              <a:prstDash val="solid"/>
            </a:ln>
            <a:effectLst/>
          </c:spPr>
          <c:invertIfNegative val="0"/>
          <c:cat>
            <c:multiLvlStrRef>
              <c:f>'GRAFICO NOVEMBRO'!$P$9:$P$33</c:f>
            </c:multiLvlStrRef>
          </c:cat>
          <c:val>
            <c:numRef>
              <c:f>'GRAFICO NOVEMBRO'!$S$9:$S$33</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extLst>
            <c:ext xmlns:c16="http://schemas.microsoft.com/office/drawing/2014/chart" uri="{C3380CC4-5D6E-409C-BE32-E72D297353CC}">
              <c16:uniqueId val="{00000002-E165-4D1C-807B-D8E38EB7528B}"/>
            </c:ext>
          </c:extLst>
        </c:ser>
        <c:dLbls>
          <c:showLegendKey val="0"/>
          <c:showVal val="0"/>
          <c:showCatName val="0"/>
          <c:showSerName val="0"/>
          <c:showPercent val="0"/>
          <c:showBubbleSize val="0"/>
        </c:dLbls>
        <c:gapWidth val="130"/>
        <c:overlap val="100"/>
        <c:axId val="214067904"/>
        <c:axId val="61992112"/>
      </c:barChart>
      <c:catAx>
        <c:axId val="214067904"/>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1992112"/>
        <c:crosses val="autoZero"/>
        <c:auto val="1"/>
        <c:lblAlgn val="ctr"/>
        <c:lblOffset val="100"/>
        <c:noMultiLvlLbl val="0"/>
      </c:catAx>
      <c:valAx>
        <c:axId val="6199211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214067904"/>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r>
              <a:rPr lang="en-US"/>
              <a:t>Produção diária x meta - DEZEMBRO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04040"/>
              </a:solidFill>
              <a:latin typeface="Calibri"/>
              <a:ea typeface="Calibri"/>
              <a:cs typeface="Calibri"/>
            </a:defRPr>
          </a:pPr>
          <a:endParaRPr lang="pt-BR"/>
        </a:p>
      </c:txPr>
    </c:title>
    <c:autoTitleDeleted val="0"/>
    <c:plotArea>
      <c:layout/>
      <c:barChart>
        <c:barDir val="col"/>
        <c:grouping val="clustered"/>
        <c:varyColors val="0"/>
        <c:ser>
          <c:idx val="0"/>
          <c:order val="0"/>
          <c:tx>
            <c:strRef>
              <c:f>'GRAFICO DEZEMBRO'!$Q$8</c:f>
              <c:strCache>
                <c:ptCount val="1"/>
                <c:pt idx="0">
                  <c:v>Abaixo da meta</c:v>
                </c:pt>
              </c:strCache>
            </c:strRef>
          </c:tx>
          <c:spPr>
            <a:solidFill>
              <a:srgbClr val="C00000"/>
            </a:solidFill>
            <a:ln w="7620">
              <a:solidFill>
                <a:srgbClr val="8F0000"/>
              </a:solidFill>
              <a:prstDash val="solid"/>
            </a:ln>
            <a:effectLst/>
          </c:spPr>
          <c:invertIfNegative val="0"/>
          <c:cat>
            <c:multiLvlStrRef>
              <c:f>'GRAFICO DEZEMBRO'!$P$9:$P$35</c:f>
            </c:multiLvlStrRef>
          </c:cat>
          <c:val>
            <c:numRef>
              <c:f>'GRAFICO DEZEMBRO'!$Q$9:$Q$35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0-1EF1-418D-94A2-0286F933F6C0}"/>
            </c:ext>
          </c:extLst>
        </c:ser>
        <c:ser>
          <c:idx val="1"/>
          <c:order val="1"/>
          <c:tx>
            <c:strRef>
              <c:f>'GRAFICO DEZEMBRO'!$R$8</c:f>
              <c:strCache>
                <c:ptCount val="1"/>
                <c:pt idx="0">
                  <c:v>Igual à meta</c:v>
                </c:pt>
              </c:strCache>
            </c:strRef>
          </c:tx>
          <c:spPr>
            <a:solidFill>
              <a:srgbClr val="A6A6A6"/>
            </a:solidFill>
            <a:ln w="7620">
              <a:solidFill>
                <a:srgbClr val="7F7F7F"/>
              </a:solidFill>
              <a:prstDash val="solid"/>
            </a:ln>
            <a:effectLst/>
          </c:spPr>
          <c:invertIfNegative val="0"/>
          <c:cat>
            <c:multiLvlStrRef>
              <c:f>'GRAFICO DEZEMBRO'!$P$9:$P$35</c:f>
            </c:multiLvlStrRef>
          </c:cat>
          <c:val>
            <c:numRef>
              <c:f>'GRAFICO DEZEMBRO'!$R$9:$R$35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1-1EF1-418D-94A2-0286F933F6C0}"/>
            </c:ext>
          </c:extLst>
        </c:ser>
        <c:ser>
          <c:idx val="2"/>
          <c:order val="2"/>
          <c:tx>
            <c:strRef>
              <c:f>'GRAFICO DEZEMBRO'!$S$8</c:f>
              <c:strCache>
                <c:ptCount val="1"/>
                <c:pt idx="0">
                  <c:v>Acima da meta</c:v>
                </c:pt>
              </c:strCache>
            </c:strRef>
          </c:tx>
          <c:spPr>
            <a:solidFill>
              <a:srgbClr val="00B050"/>
            </a:solidFill>
            <a:ln w="7620">
              <a:solidFill>
                <a:srgbClr val="007A38"/>
              </a:solidFill>
              <a:prstDash val="solid"/>
            </a:ln>
            <a:effectLst/>
          </c:spPr>
          <c:invertIfNegative val="0"/>
          <c:cat>
            <c:multiLvlStrRef>
              <c:f>'GRAFICO DEZEMBRO'!$P$9:$P$35</c:f>
            </c:multiLvlStrRef>
          </c:cat>
          <c:val>
            <c:numRef>
              <c:f>'GRAFICO DEZEMBRO'!$S$9:$S$35</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numCache>
            </c:numRef>
          </c:val>
          <c:extLst>
            <c:ext xmlns:c16="http://schemas.microsoft.com/office/drawing/2014/chart" uri="{C3380CC4-5D6E-409C-BE32-E72D297353CC}">
              <c16:uniqueId val="{00000002-1EF1-418D-94A2-0286F933F6C0}"/>
            </c:ext>
          </c:extLst>
        </c:ser>
        <c:dLbls>
          <c:showLegendKey val="0"/>
          <c:showVal val="0"/>
          <c:showCatName val="0"/>
          <c:showSerName val="0"/>
          <c:showPercent val="0"/>
          <c:showBubbleSize val="0"/>
        </c:dLbls>
        <c:gapWidth val="130"/>
        <c:overlap val="100"/>
        <c:axId val="139475167"/>
        <c:axId val="62037232"/>
      </c:barChart>
      <c:catAx>
        <c:axId val="139475167"/>
        <c:scaling>
          <c:orientation val="minMax"/>
        </c:scaling>
        <c:delete val="0"/>
        <c:axPos val="b"/>
        <c:title>
          <c:tx>
            <c:rich>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Dias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cap="flat" cmpd="sng" algn="ctr">
            <a:solidFill>
              <a:srgbClr val="A6A6A6"/>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62037232"/>
        <c:crosses val="autoZero"/>
        <c:auto val="1"/>
        <c:lblAlgn val="ctr"/>
        <c:lblOffset val="100"/>
        <c:noMultiLvlLbl val="0"/>
      </c:catAx>
      <c:valAx>
        <c:axId val="62037232"/>
        <c:scaling>
          <c:orientation val="minMax"/>
        </c:scaling>
        <c:delete val="0"/>
        <c:axPos val="l"/>
        <c:majorGridlines>
          <c:spPr>
            <a:ln w="6350" cap="flat" cmpd="sng" algn="ctr">
              <a:solidFill>
                <a:srgbClr val="D9D9D9"/>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r>
                  <a:rPr lang="pt-BR"/>
                  <a:t>Latas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595959"/>
                  </a:solidFill>
                  <a:latin typeface="Calibri"/>
                  <a:ea typeface="Calibri"/>
                  <a:cs typeface="Calibri"/>
                </a:defRPr>
              </a:pPr>
              <a:endParaRPr lang="pt-BR"/>
            </a:p>
          </c:txPr>
        </c:title>
        <c:numFmt formatCode="General" sourceLinked="1"/>
        <c:majorTickMark val="none"/>
        <c:minorTickMark val="none"/>
        <c:tickLblPos val="nextTo"/>
        <c:spPr>
          <a:noFill/>
          <a:ln w="9525">
            <a:solidFill>
              <a:srgbClr val="A6A6A6"/>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Calibri"/>
                <a:ea typeface="Calibri"/>
                <a:cs typeface="Calibri"/>
              </a:defRPr>
            </a:pPr>
            <a:endParaRPr lang="pt-BR"/>
          </a:p>
        </c:txPr>
        <c:crossAx val="139475167"/>
        <c:crosses val="autoZero"/>
        <c:crossBetween val="between"/>
      </c:valAx>
      <c:spPr>
        <a:solidFill>
          <a:srgbClr val="FFFFFF"/>
        </a:solidFill>
        <a:ln w="25400">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PAINEL!$Q$33</c:f>
              <c:strCache>
                <c:ptCount val="1"/>
                <c:pt idx="0">
                  <c:v>Consumo mensal</c:v>
                </c:pt>
              </c:strCache>
            </c:strRef>
          </c:tx>
          <c:spPr>
            <a:solidFill>
              <a:srgbClr val="5B9BD5"/>
            </a:solidFill>
            <a:ln>
              <a:solidFill>
                <a:srgbClr val="5B9BD5"/>
              </a:solidFill>
              <a:prstDash val="solid"/>
            </a:ln>
            <a:effectLst/>
          </c:spPr>
          <c:invertIfNegative val="0"/>
          <c:cat>
            <c:strRef>
              <c:f>PAINEL!$P$34:$P$45</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PAINEL!$Q$34:$Q$45</c:f>
              <c:numCache>
                <c:formatCode>#,##0</c:formatCode>
                <c:ptCount val="12"/>
                <c:pt idx="0">
                  <c:v>17099</c:v>
                </c:pt>
                <c:pt idx="1">
                  <c:v>#N/A</c:v>
                </c:pt>
                <c:pt idx="2">
                  <c:v>21091</c:v>
                </c:pt>
                <c:pt idx="3">
                  <c:v>20961</c:v>
                </c:pt>
                <c:pt idx="4">
                  <c:v>24551</c:v>
                </c:pt>
                <c:pt idx="5">
                  <c:v>#N/A</c:v>
                </c:pt>
                <c:pt idx="6">
                  <c:v>20040</c:v>
                </c:pt>
                <c:pt idx="7">
                  <c:v>#N/A</c:v>
                </c:pt>
                <c:pt idx="8">
                  <c:v>#N/A</c:v>
                </c:pt>
                <c:pt idx="9">
                  <c:v>#N/A</c:v>
                </c:pt>
                <c:pt idx="10">
                  <c:v>#N/A</c:v>
                </c:pt>
                <c:pt idx="11">
                  <c:v>#N/A</c:v>
                </c:pt>
              </c:numCache>
            </c:numRef>
          </c:val>
          <c:extLst>
            <c:ext xmlns:c16="http://schemas.microsoft.com/office/drawing/2014/chart" uri="{C3380CC4-5D6E-409C-BE32-E72D297353CC}">
              <c16:uniqueId val="{00000000-F2DE-4DCC-B2F7-2C5D6A6A397D}"/>
            </c:ext>
          </c:extLst>
        </c:ser>
        <c:ser>
          <c:idx val="1"/>
          <c:order val="1"/>
          <c:tx>
            <c:strRef>
              <c:f>PAINEL!$R$33</c:f>
              <c:strCache>
                <c:ptCount val="1"/>
                <c:pt idx="0">
                  <c:v>Menor consumo (&gt;0)</c:v>
                </c:pt>
              </c:strCache>
            </c:strRef>
          </c:tx>
          <c:spPr>
            <a:solidFill>
              <a:srgbClr val="008000"/>
            </a:solidFill>
            <a:ln>
              <a:solidFill>
                <a:srgbClr val="008000"/>
              </a:solidFill>
              <a:prstDash val="solid"/>
            </a:ln>
            <a:effectLst/>
          </c:spPr>
          <c:invertIfNegative val="0"/>
          <c:cat>
            <c:strRef>
              <c:f>PAINEL!$P$34:$P$45</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PAINEL!$R$34:$R$45</c:f>
              <c:numCache>
                <c:formatCode>#,##0</c:formatCode>
                <c:ptCount val="12"/>
                <c:pt idx="0">
                  <c:v>#N/A</c:v>
                </c:pt>
                <c:pt idx="1">
                  <c:v>15153</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F2DE-4DCC-B2F7-2C5D6A6A397D}"/>
            </c:ext>
          </c:extLst>
        </c:ser>
        <c:ser>
          <c:idx val="2"/>
          <c:order val="2"/>
          <c:tx>
            <c:strRef>
              <c:f>PAINEL!$S$33</c:f>
              <c:strCache>
                <c:ptCount val="1"/>
                <c:pt idx="0">
                  <c:v>Maior consumo</c:v>
                </c:pt>
              </c:strCache>
            </c:strRef>
          </c:tx>
          <c:spPr>
            <a:solidFill>
              <a:srgbClr val="C00000"/>
            </a:solidFill>
            <a:ln>
              <a:solidFill>
                <a:srgbClr val="C00000"/>
              </a:solidFill>
              <a:prstDash val="solid"/>
            </a:ln>
            <a:effectLst/>
          </c:spPr>
          <c:invertIfNegative val="0"/>
          <c:cat>
            <c:strRef>
              <c:f>PAINEL!$P$34:$P$45</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PAINEL!$S$34:$S$45</c:f>
              <c:numCache>
                <c:formatCode>#,##0</c:formatCode>
                <c:ptCount val="12"/>
                <c:pt idx="0">
                  <c:v>#N/A</c:v>
                </c:pt>
                <c:pt idx="1">
                  <c:v>#N/A</c:v>
                </c:pt>
                <c:pt idx="2">
                  <c:v>#N/A</c:v>
                </c:pt>
                <c:pt idx="3">
                  <c:v>#N/A</c:v>
                </c:pt>
                <c:pt idx="4">
                  <c:v>#N/A</c:v>
                </c:pt>
                <c:pt idx="5">
                  <c:v>30202</c:v>
                </c:pt>
                <c:pt idx="6">
                  <c:v>#N/A</c:v>
                </c:pt>
                <c:pt idx="7">
                  <c:v>#N/A</c:v>
                </c:pt>
                <c:pt idx="8">
                  <c:v>#N/A</c:v>
                </c:pt>
                <c:pt idx="9">
                  <c:v>#N/A</c:v>
                </c:pt>
                <c:pt idx="10">
                  <c:v>#N/A</c:v>
                </c:pt>
                <c:pt idx="11">
                  <c:v>#N/A</c:v>
                </c:pt>
              </c:numCache>
            </c:numRef>
          </c:val>
          <c:extLst>
            <c:ext xmlns:c16="http://schemas.microsoft.com/office/drawing/2014/chart" uri="{C3380CC4-5D6E-409C-BE32-E72D297353CC}">
              <c16:uniqueId val="{00000002-F2DE-4DCC-B2F7-2C5D6A6A397D}"/>
            </c:ext>
          </c:extLst>
        </c:ser>
        <c:dLbls>
          <c:showLegendKey val="0"/>
          <c:showVal val="0"/>
          <c:showCatName val="0"/>
          <c:showSerName val="0"/>
          <c:showPercent val="0"/>
          <c:showBubbleSize val="0"/>
        </c:dLbls>
        <c:gapWidth val="150"/>
        <c:overlap val="100"/>
        <c:axId val="291943984"/>
        <c:axId val="291946864"/>
      </c:barChart>
      <c:catAx>
        <c:axId val="2919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2F3A4A"/>
                </a:solidFill>
                <a:latin typeface="Calibri"/>
                <a:ea typeface="Calibri"/>
                <a:cs typeface="Calibri"/>
              </a:defRPr>
            </a:pPr>
            <a:endParaRPr lang="pt-BR"/>
          </a:p>
        </c:txPr>
        <c:crossAx val="291946864"/>
        <c:crosses val="autoZero"/>
        <c:auto val="1"/>
        <c:lblAlgn val="ctr"/>
        <c:lblOffset val="100"/>
        <c:noMultiLvlLbl val="0"/>
      </c:catAx>
      <c:valAx>
        <c:axId val="291946864"/>
        <c:scaling>
          <c:orientation val="minMax"/>
        </c:scaling>
        <c:delete val="0"/>
        <c:axPos val="l"/>
        <c:majorGridlines>
          <c:spPr>
            <a:ln w="9525" cap="flat" cmpd="sng" algn="ctr">
              <a:solidFill>
                <a:srgbClr val="E1D8D3"/>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F3A4A"/>
                </a:solidFill>
                <a:latin typeface="Calibri"/>
                <a:ea typeface="Calibri"/>
                <a:cs typeface="Calibri"/>
              </a:defRPr>
            </a:pPr>
            <a:endParaRPr lang="pt-BR"/>
          </a:p>
        </c:txPr>
        <c:crossAx val="2919439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7F3"/>
    </a:solidFill>
    <a:ln w="9525" cap="flat" cmpd="sng" algn="ctr">
      <a:solidFill>
        <a:srgbClr val="D7C9C3"/>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PAINEL!$V$8</c:f>
              <c:strCache>
                <c:ptCount val="1"/>
                <c:pt idx="0">
                  <c:v>Acima da meta</c:v>
                </c:pt>
              </c:strCache>
            </c:strRef>
          </c:tx>
          <c:spPr>
            <a:solidFill>
              <a:srgbClr val="00B050"/>
            </a:solidFill>
            <a:ln>
              <a:solidFill>
                <a:srgbClr val="008000"/>
              </a:solidFill>
              <a:prstDash val="solid"/>
            </a:ln>
            <a:effectLst/>
          </c:spPr>
          <c:invertIfNegative val="0"/>
          <c:cat>
            <c:strRef>
              <c:f>PAINEL!$U$9:$U$20</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PAINEL!$V$9:$V$20</c:f>
              <c:numCache>
                <c:formatCode>#,##0</c:formatCode>
                <c:ptCount val="12"/>
                <c:pt idx="0">
                  <c:v>#N/A</c:v>
                </c:pt>
                <c:pt idx="1">
                  <c:v>191118</c:v>
                </c:pt>
                <c:pt idx="2">
                  <c:v>280764</c:v>
                </c:pt>
                <c:pt idx="3">
                  <c:v>256482</c:v>
                </c:pt>
                <c:pt idx="4">
                  <c:v>#N/A</c:v>
                </c:pt>
                <c:pt idx="5">
                  <c:v>#N/A</c:v>
                </c:pt>
                <c:pt idx="6">
                  <c:v>241080</c:v>
                </c:pt>
                <c:pt idx="7">
                  <c:v>#N/A</c:v>
                </c:pt>
                <c:pt idx="8">
                  <c:v>#N/A</c:v>
                </c:pt>
                <c:pt idx="9">
                  <c:v>#N/A</c:v>
                </c:pt>
                <c:pt idx="10">
                  <c:v>#N/A</c:v>
                </c:pt>
                <c:pt idx="11">
                  <c:v>#N/A</c:v>
                </c:pt>
              </c:numCache>
            </c:numRef>
          </c:val>
          <c:extLst>
            <c:ext xmlns:c16="http://schemas.microsoft.com/office/drawing/2014/chart" uri="{C3380CC4-5D6E-409C-BE32-E72D297353CC}">
              <c16:uniqueId val="{00000000-14F3-49E8-91A3-A9F27687D63D}"/>
            </c:ext>
          </c:extLst>
        </c:ser>
        <c:ser>
          <c:idx val="1"/>
          <c:order val="1"/>
          <c:tx>
            <c:strRef>
              <c:f>PAINEL!$W$8</c:f>
              <c:strCache>
                <c:ptCount val="1"/>
                <c:pt idx="0">
                  <c:v>Abaixo da meta</c:v>
                </c:pt>
              </c:strCache>
            </c:strRef>
          </c:tx>
          <c:spPr>
            <a:solidFill>
              <a:srgbClr val="C00000"/>
            </a:solidFill>
            <a:ln>
              <a:solidFill>
                <a:srgbClr val="9C0006"/>
              </a:solidFill>
              <a:prstDash val="solid"/>
            </a:ln>
            <a:effectLst/>
          </c:spPr>
          <c:invertIfNegative val="0"/>
          <c:cat>
            <c:strRef>
              <c:f>PAINEL!$U$9:$U$20</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PAINEL!$W$9:$W$20</c:f>
              <c:numCache>
                <c:formatCode>#,##0</c:formatCode>
                <c:ptCount val="12"/>
                <c:pt idx="0">
                  <c:v>166293</c:v>
                </c:pt>
                <c:pt idx="1">
                  <c:v>#N/A</c:v>
                </c:pt>
                <c:pt idx="2">
                  <c:v>#N/A</c:v>
                </c:pt>
                <c:pt idx="3">
                  <c:v>#N/A</c:v>
                </c:pt>
                <c:pt idx="4">
                  <c:v>277080</c:v>
                </c:pt>
                <c:pt idx="5">
                  <c:v>262054</c:v>
                </c:pt>
                <c:pt idx="6">
                  <c:v>#N/A</c:v>
                </c:pt>
                <c:pt idx="7">
                  <c:v>#N/A</c:v>
                </c:pt>
                <c:pt idx="8">
                  <c:v>#N/A</c:v>
                </c:pt>
                <c:pt idx="9">
                  <c:v>#N/A</c:v>
                </c:pt>
                <c:pt idx="10">
                  <c:v>#N/A</c:v>
                </c:pt>
                <c:pt idx="11">
                  <c:v>#N/A</c:v>
                </c:pt>
              </c:numCache>
            </c:numRef>
          </c:val>
          <c:extLst>
            <c:ext xmlns:c16="http://schemas.microsoft.com/office/drawing/2014/chart" uri="{C3380CC4-5D6E-409C-BE32-E72D297353CC}">
              <c16:uniqueId val="{00000001-14F3-49E8-91A3-A9F27687D63D}"/>
            </c:ext>
          </c:extLst>
        </c:ser>
        <c:ser>
          <c:idx val="2"/>
          <c:order val="2"/>
          <c:tx>
            <c:strRef>
              <c:f>PAINEL!$X$8</c:f>
              <c:strCache>
                <c:ptCount val="1"/>
                <c:pt idx="0">
                  <c:v>Meta</c:v>
                </c:pt>
              </c:strCache>
            </c:strRef>
          </c:tx>
          <c:spPr>
            <a:solidFill>
              <a:srgbClr val="B7C3CB"/>
            </a:solidFill>
            <a:ln>
              <a:solidFill>
                <a:srgbClr val="9AA8B5"/>
              </a:solidFill>
              <a:prstDash val="solid"/>
            </a:ln>
            <a:effectLst/>
          </c:spPr>
          <c:invertIfNegative val="0"/>
          <c:cat>
            <c:strRef>
              <c:f>PAINEL!$U$9:$U$20</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PAINEL!$X$9:$X$20</c:f>
              <c:numCache>
                <c:formatCode>#,##0</c:formatCode>
                <c:ptCount val="12"/>
                <c:pt idx="0">
                  <c:v>209000</c:v>
                </c:pt>
                <c:pt idx="1">
                  <c:v>187000</c:v>
                </c:pt>
                <c:pt idx="2">
                  <c:v>242000</c:v>
                </c:pt>
                <c:pt idx="3">
                  <c:v>242000</c:v>
                </c:pt>
                <c:pt idx="4">
                  <c:v>286000</c:v>
                </c:pt>
                <c:pt idx="5">
                  <c:v>264000</c:v>
                </c:pt>
                <c:pt idx="6">
                  <c:v>220000</c:v>
                </c:pt>
                <c:pt idx="7">
                  <c:v>#N/A</c:v>
                </c:pt>
                <c:pt idx="8">
                  <c:v>#N/A</c:v>
                </c:pt>
                <c:pt idx="9">
                  <c:v>#N/A</c:v>
                </c:pt>
                <c:pt idx="10">
                  <c:v>#N/A</c:v>
                </c:pt>
                <c:pt idx="11">
                  <c:v>#N/A</c:v>
                </c:pt>
              </c:numCache>
            </c:numRef>
          </c:val>
          <c:extLst>
            <c:ext xmlns:c16="http://schemas.microsoft.com/office/drawing/2014/chart" uri="{C3380CC4-5D6E-409C-BE32-E72D297353CC}">
              <c16:uniqueId val="{00000002-14F3-49E8-91A3-A9F27687D63D}"/>
            </c:ext>
          </c:extLst>
        </c:ser>
        <c:dLbls>
          <c:showLegendKey val="0"/>
          <c:showVal val="0"/>
          <c:showCatName val="0"/>
          <c:showSerName val="0"/>
          <c:showPercent val="0"/>
          <c:showBubbleSize val="0"/>
        </c:dLbls>
        <c:gapWidth val="70"/>
        <c:axId val="593019328"/>
        <c:axId val="593025568"/>
      </c:barChart>
      <c:catAx>
        <c:axId val="5930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Calibri"/>
                <a:ea typeface="Calibri"/>
                <a:cs typeface="Calibri"/>
              </a:defRPr>
            </a:pPr>
            <a:endParaRPr lang="pt-BR"/>
          </a:p>
        </c:txPr>
        <c:crossAx val="593025568"/>
        <c:crosses val="autoZero"/>
        <c:auto val="1"/>
        <c:lblAlgn val="ctr"/>
        <c:lblOffset val="100"/>
        <c:noMultiLvlLbl val="0"/>
      </c:catAx>
      <c:valAx>
        <c:axId val="593025568"/>
        <c:scaling>
          <c:orientation val="minMax"/>
        </c:scaling>
        <c:delete val="0"/>
        <c:axPos val="l"/>
        <c:majorGridlines>
          <c:spPr>
            <a:ln w="9525" cap="flat" cmpd="sng" algn="ctr">
              <a:solidFill>
                <a:srgbClr val="D9DEE3"/>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Calibri"/>
                <a:ea typeface="Calibri"/>
                <a:cs typeface="Calibri"/>
              </a:defRPr>
            </a:pPr>
            <a:endParaRPr lang="pt-BR"/>
          </a:p>
        </c:txPr>
        <c:crossAx val="593019328"/>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pt-B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8C2CC"/>
      </a:solidFill>
      <a:prstDash val="solid"/>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absoluteAnchor>
    <xdr:pos x="7937500" y="140334"/>
    <xdr:ext cx="736600" cy="584200"/>
    <xdr:pic>
      <xdr:nvPicPr>
        <xdr:cNvPr id="9" name="Logo AIU" descr="Identidade visual AIDU no cabeçalho das instruções" title="Logo AIDU">
          <a:extLst>
            <a:ext uri="{FF2B5EF4-FFF2-40B4-BE49-F238E27FC236}">
              <a16:creationId xmlns:a16="http://schemas.microsoft.com/office/drawing/2014/main" id="{867B1C96-2481-4BE7-AB0F-2AAC2A8B755C}"/>
            </a:ext>
          </a:extLst>
        </xdr:cNvPr>
        <xdr:cNvPicPr>
          <a:picLocks/>
        </xdr:cNvPicPr>
      </xdr:nvPicPr>
      <xdr:blipFill>
        <a:blip xmlns:r="http://schemas.openxmlformats.org/officeDocument/2006/relationships" r:embed="rId1"/>
        <a:stretch>
          <a:fillRect/>
        </a:stretch>
      </xdr:blipFill>
      <xdr:spPr>
        <a:xfrm>
          <a:off x="7937500" y="140334"/>
          <a:ext cx="736600" cy="5842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absoluteAnchor>
    <xdr:pos x="7673373" y="97366"/>
    <xdr:ext cx="725560" cy="690033"/>
    <xdr:pic>
      <xdr:nvPicPr>
        <xdr:cNvPr id="2" name="Logo AIU">
          <a:extLst>
            <a:ext uri="{FF2B5EF4-FFF2-40B4-BE49-F238E27FC236}">
              <a16:creationId xmlns:a16="http://schemas.microsoft.com/office/drawing/2014/main" id="{F7F08EE5-29F4-41BF-9080-C26C63FCACF2}"/>
            </a:ext>
          </a:extLst>
        </xdr:cNvPr>
        <xdr:cNvPicPr>
          <a:picLocks noChangeAspect="1"/>
        </xdr:cNvPicPr>
      </xdr:nvPicPr>
      <xdr:blipFill>
        <a:blip xmlns:r="http://schemas.openxmlformats.org/officeDocument/2006/relationships" r:embed="rId1"/>
        <a:stretch>
          <a:fillRect/>
        </a:stretch>
      </xdr:blipFill>
      <xdr:spPr>
        <a:xfrm>
          <a:off x="7673373" y="97366"/>
          <a:ext cx="725560" cy="690033"/>
        </a:xfrm>
        <a:prstGeom prst="rect">
          <a:avLst/>
        </a:prstGeom>
      </xdr:spPr>
    </xdr:pic>
    <xdr:clientData/>
  </xdr:absoluteAnchor>
  <xdr:twoCellAnchor>
    <xdr:from>
      <xdr:col>1</xdr:col>
      <xdr:colOff>0</xdr:colOff>
      <xdr:row>26</xdr:row>
      <xdr:rowOff>160866</xdr:rowOff>
    </xdr:from>
    <xdr:to>
      <xdr:col>8</xdr:col>
      <xdr:colOff>0</xdr:colOff>
      <xdr:row>36</xdr:row>
      <xdr:rowOff>27516</xdr:rowOff>
    </xdr:to>
    <xdr:pic>
      <xdr:nvPicPr>
        <xdr:cNvPr id="3" name="Galeria Nossas Latas" descr="Portfolio de embalagens AIDU">
          <a:extLst>
            <a:ext uri="{FF2B5EF4-FFF2-40B4-BE49-F238E27FC236}">
              <a16:creationId xmlns:a16="http://schemas.microsoft.com/office/drawing/2014/main" id="{6375A33B-9BD3-4D7D-83F0-960C20576E28}"/>
            </a:ext>
          </a:extLst>
        </xdr:cNvPr>
        <xdr:cNvPicPr>
          <a:picLocks/>
        </xdr:cNvPicPr>
      </xdr:nvPicPr>
      <xdr:blipFill>
        <a:blip xmlns:r="http://schemas.openxmlformats.org/officeDocument/2006/relationships" r:embed="rId2"/>
        <a:stretch>
          <a:fillRect/>
        </a:stretch>
      </xdr:blipFill>
      <xdr:spPr>
        <a:xfrm>
          <a:off x="586740" y="4915746"/>
          <a:ext cx="4107180" cy="1695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5953759" y="56514"/>
    <xdr:ext cx="762000" cy="508000"/>
    <xdr:pic>
      <xdr:nvPicPr>
        <xdr:cNvPr id="164" name="Image 2" descr="Identidade visual AIDU no cabeçalho da classificação" title="Logo AIDU">
          <a:extLst>
            <a:ext uri="{FF2B5EF4-FFF2-40B4-BE49-F238E27FC236}">
              <a16:creationId xmlns:a16="http://schemas.microsoft.com/office/drawing/2014/main" id="{79162BDC-33A3-4C7A-B2C2-F3842AD4C51A}"/>
            </a:ext>
          </a:extLst>
        </xdr:cNvPr>
        <xdr:cNvPicPr>
          <a:picLocks noChangeAspect="1"/>
        </xdr:cNvPicPr>
      </xdr:nvPicPr>
      <xdr:blipFill>
        <a:blip xmlns:r="http://schemas.openxmlformats.org/officeDocument/2006/relationships" r:embed="rId1"/>
        <a:stretch/>
      </xdr:blipFill>
      <xdr:spPr>
        <a:xfrm>
          <a:off x="5953759" y="56514"/>
          <a:ext cx="762000" cy="508000"/>
        </a:xfrm>
        <a:prstGeom prst="rect">
          <a:avLst/>
        </a:prstGeom>
        <a:ln w="0">
          <a:noFill/>
        </a:ln>
      </xdr:spPr>
    </xdr:pic>
    <xdr:clientData/>
  </xdr:absoluteAnchor>
  <xdr:twoCellAnchor>
    <xdr:from>
      <xdr:col>6</xdr:col>
      <xdr:colOff>0</xdr:colOff>
      <xdr:row>1</xdr:row>
      <xdr:rowOff>0</xdr:rowOff>
    </xdr:from>
    <xdr:to>
      <xdr:col>14</xdr:col>
      <xdr:colOff>0</xdr:colOff>
      <xdr:row>20</xdr:row>
      <xdr:rowOff>0</xdr:rowOff>
    </xdr:to>
    <xdr:graphicFrame macro="">
      <xdr:nvGraphicFramePr>
        <xdr:cNvPr id="181" name="RankingPorLataChart">
          <a:extLst>
            <a:ext uri="{FF2B5EF4-FFF2-40B4-BE49-F238E27FC236}">
              <a16:creationId xmlns:a16="http://schemas.microsoft.com/office/drawing/2014/main" id="{53E3C7C6-5184-4CD0-AC47-66E5703D8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263753</xdr:colOff>
      <xdr:row>8</xdr:row>
      <xdr:rowOff>16084</xdr:rowOff>
    </xdr:from>
    <xdr:to>
      <xdr:col>14</xdr:col>
      <xdr:colOff>474708</xdr:colOff>
      <xdr:row>25</xdr:row>
      <xdr:rowOff>64636</xdr:rowOff>
    </xdr:to>
    <xdr:graphicFrame macro="">
      <xdr:nvGraphicFramePr>
        <xdr:cNvPr id="4" name="Chart 1">
          <a:extLst>
            <a:ext uri="{FF2B5EF4-FFF2-40B4-BE49-F238E27FC236}">
              <a16:creationId xmlns:a16="http://schemas.microsoft.com/office/drawing/2014/main" id="{2655F0E2-9B47-9D39-0920-A736BDA51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263753</xdr:colOff>
      <xdr:row>8</xdr:row>
      <xdr:rowOff>16084</xdr:rowOff>
    </xdr:from>
    <xdr:to>
      <xdr:col>14</xdr:col>
      <xdr:colOff>474708</xdr:colOff>
      <xdr:row>25</xdr:row>
      <xdr:rowOff>64636</xdr:rowOff>
    </xdr:to>
    <xdr:graphicFrame macro="">
      <xdr:nvGraphicFramePr>
        <xdr:cNvPr id="4" name="Chart 1">
          <a:extLst>
            <a:ext uri="{FF2B5EF4-FFF2-40B4-BE49-F238E27FC236}">
              <a16:creationId xmlns:a16="http://schemas.microsoft.com/office/drawing/2014/main" id="{0E38868C-A1E4-888E-749E-0136AF0EA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263753</xdr:colOff>
      <xdr:row>8</xdr:row>
      <xdr:rowOff>16084</xdr:rowOff>
    </xdr:from>
    <xdr:to>
      <xdr:col>14</xdr:col>
      <xdr:colOff>474708</xdr:colOff>
      <xdr:row>24</xdr:row>
      <xdr:rowOff>79876</xdr:rowOff>
    </xdr:to>
    <xdr:graphicFrame macro="">
      <xdr:nvGraphicFramePr>
        <xdr:cNvPr id="4" name="Chart 1">
          <a:extLst>
            <a:ext uri="{FF2B5EF4-FFF2-40B4-BE49-F238E27FC236}">
              <a16:creationId xmlns:a16="http://schemas.microsoft.com/office/drawing/2014/main" id="{D640780F-49A7-AEC7-2709-B06C409C5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6</xdr:row>
      <xdr:rowOff>182877</xdr:rowOff>
    </xdr:from>
    <xdr:to>
      <xdr:col>15</xdr:col>
      <xdr:colOff>2538</xdr:colOff>
      <xdr:row>24</xdr:row>
      <xdr:rowOff>182875</xdr:rowOff>
    </xdr:to>
    <xdr:graphicFrame macro="">
      <xdr:nvGraphicFramePr>
        <xdr:cNvPr id="10" name="Chart 1">
          <a:extLst>
            <a:ext uri="{FF2B5EF4-FFF2-40B4-BE49-F238E27FC236}">
              <a16:creationId xmlns:a16="http://schemas.microsoft.com/office/drawing/2014/main" id="{0CE71F25-3005-461A-8F03-49A6BAF77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9B1FF2EF-1498-068E-5132-9F6FD3D2A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2" name="Chart 1">
          <a:extLst>
            <a:ext uri="{FF2B5EF4-FFF2-40B4-BE49-F238E27FC236}">
              <a16:creationId xmlns:a16="http://schemas.microsoft.com/office/drawing/2014/main" id="{579A6972-FDFB-4329-A71C-0FEF813A3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263754</xdr:colOff>
      <xdr:row>8</xdr:row>
      <xdr:rowOff>16084</xdr:rowOff>
    </xdr:from>
    <xdr:to>
      <xdr:col>14</xdr:col>
      <xdr:colOff>169909</xdr:colOff>
      <xdr:row>22</xdr:row>
      <xdr:rowOff>102736</xdr:rowOff>
    </xdr:to>
    <xdr:graphicFrame macro="">
      <xdr:nvGraphicFramePr>
        <xdr:cNvPr id="4" name="Chart 1">
          <a:extLst>
            <a:ext uri="{FF2B5EF4-FFF2-40B4-BE49-F238E27FC236}">
              <a16:creationId xmlns:a16="http://schemas.microsoft.com/office/drawing/2014/main" id="{19843E00-6FCA-B986-FC81-472594785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21</xdr:row>
      <xdr:rowOff>117977</xdr:rowOff>
    </xdr:to>
    <xdr:graphicFrame macro="">
      <xdr:nvGraphicFramePr>
        <xdr:cNvPr id="6" name="Chart 1">
          <a:extLst>
            <a:ext uri="{FF2B5EF4-FFF2-40B4-BE49-F238E27FC236}">
              <a16:creationId xmlns:a16="http://schemas.microsoft.com/office/drawing/2014/main" id="{04A2BE59-7A0D-1C93-8400-0F06525F3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AE51B478-7532-2E48-5F57-AD66123DD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69CEE05D-D2C6-F62B-AE1E-3437562F2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D10D16BC-3289-F429-1E63-09472E9E0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25890B68-8A90-6D83-EEBC-9AE011554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263753</xdr:colOff>
      <xdr:row>8</xdr:row>
      <xdr:rowOff>16085</xdr:rowOff>
    </xdr:from>
    <xdr:to>
      <xdr:col>14</xdr:col>
      <xdr:colOff>169908</xdr:colOff>
      <xdr:row>25</xdr:row>
      <xdr:rowOff>64637</xdr:rowOff>
    </xdr:to>
    <xdr:graphicFrame macro="">
      <xdr:nvGraphicFramePr>
        <xdr:cNvPr id="4" name="Chart 1">
          <a:extLst>
            <a:ext uri="{FF2B5EF4-FFF2-40B4-BE49-F238E27FC236}">
              <a16:creationId xmlns:a16="http://schemas.microsoft.com/office/drawing/2014/main" id="{A2FE8C81-FFBC-2B63-E344-4CC65D6F2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oneCellAnchor>
    <xdr:from>
      <xdr:col>0</xdr:col>
      <xdr:colOff>101600</xdr:colOff>
      <xdr:row>0</xdr:row>
      <xdr:rowOff>67055</xdr:rowOff>
    </xdr:from>
    <xdr:ext cx="702334" cy="536448"/>
    <xdr:pic>
      <xdr:nvPicPr>
        <xdr:cNvPr id="3" name="Image 2" descr="Picture">
          <a:extLst>
            <a:ext uri="{FF2B5EF4-FFF2-40B4-BE49-F238E27FC236}">
              <a16:creationId xmlns:a16="http://schemas.microsoft.com/office/drawing/2014/main" id="{9BA74541-D964-4A81-9EA8-C19E03179D4B}"/>
            </a:ext>
          </a:extLst>
        </xdr:cNvPr>
        <xdr:cNvPicPr/>
      </xdr:nvPicPr>
      <xdr:blipFill>
        <a:blip xmlns:r="http://schemas.openxmlformats.org/officeDocument/2006/relationships" r:embed="rId1"/>
        <a:stretch/>
      </xdr:blipFill>
      <xdr:spPr>
        <a:xfrm>
          <a:off x="101600" y="67055"/>
          <a:ext cx="702334" cy="536448"/>
        </a:xfrm>
        <a:prstGeom prst="rect">
          <a:avLst/>
        </a:prstGeom>
        <a:ln w="0">
          <a:noFill/>
        </a:ln>
      </xdr:spPr>
    </xdr:pic>
    <xdr:clientData/>
  </xdr:oneCellAnchor>
  <xdr:twoCellAnchor>
    <xdr:from>
      <xdr:col>5</xdr:col>
      <xdr:colOff>0</xdr:colOff>
      <xdr:row>33</xdr:row>
      <xdr:rowOff>0</xdr:rowOff>
    </xdr:from>
    <xdr:to>
      <xdr:col>15</xdr:col>
      <xdr:colOff>0</xdr:colOff>
      <xdr:row>40</xdr:row>
      <xdr:rowOff>0</xdr:rowOff>
    </xdr:to>
    <xdr:graphicFrame macro="">
      <xdr:nvGraphicFramePr>
        <xdr:cNvPr id="4" name="GraficoGasPainel">
          <a:extLst>
            <a:ext uri="{FF2B5EF4-FFF2-40B4-BE49-F238E27FC236}">
              <a16:creationId xmlns:a16="http://schemas.microsoft.com/office/drawing/2014/main" id="{7A773023-ACC8-F933-9D26-8FD1BCA90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7</xdr:row>
      <xdr:rowOff>0</xdr:rowOff>
    </xdr:from>
    <xdr:to>
      <xdr:col>14</xdr:col>
      <xdr:colOff>0</xdr:colOff>
      <xdr:row>21</xdr:row>
      <xdr:rowOff>10160</xdr:rowOff>
    </xdr:to>
    <xdr:graphicFrame macro="">
      <xdr:nvGraphicFramePr>
        <xdr:cNvPr id="5" name="GraficoProducaoMeta">
          <a:extLst>
            <a:ext uri="{FF2B5EF4-FFF2-40B4-BE49-F238E27FC236}">
              <a16:creationId xmlns:a16="http://schemas.microsoft.com/office/drawing/2014/main" id="{B96AD3C4-FD70-CB92-DF75-BC63EE140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3386</xdr:colOff>
      <xdr:row>7</xdr:row>
      <xdr:rowOff>18627</xdr:rowOff>
    </xdr:from>
    <xdr:to>
      <xdr:col>13</xdr:col>
      <xdr:colOff>785706</xdr:colOff>
      <xdr:row>8</xdr:row>
      <xdr:rowOff>27093</xdr:rowOff>
    </xdr:to>
    <xdr:sp macro="" textlink="">
      <xdr:nvSpPr>
        <xdr:cNvPr id="6" name="HeaderGraficoProducaoMeta">
          <a:extLst>
            <a:ext uri="{FF2B5EF4-FFF2-40B4-BE49-F238E27FC236}">
              <a16:creationId xmlns:a16="http://schemas.microsoft.com/office/drawing/2014/main" id="{1E324AB1-877A-4865-87E7-3D58B8BC326A}"/>
            </a:ext>
          </a:extLst>
        </xdr:cNvPr>
        <xdr:cNvSpPr/>
      </xdr:nvSpPr>
      <xdr:spPr>
        <a:xfrm>
          <a:off x="7589519" y="1508760"/>
          <a:ext cx="3169920" cy="279400"/>
        </a:xfrm>
        <a:prstGeom prst="rect">
          <a:avLst/>
        </a:prstGeom>
        <a:solidFill>
          <a:srgbClr val="1B2D3F"/>
        </a:solidFill>
        <a:ln w="12700">
          <a:solidFill>
            <a:srgbClr val="1B2D3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pt-BR" sz="1100" b="1" i="0" u="none" strike="noStrike" kern="0" cap="none" spc="0" normalizeH="0" baseline="0" noProof="0">
              <a:ln>
                <a:noFill/>
              </a:ln>
              <a:solidFill>
                <a:srgbClr val="FFFFFF"/>
              </a:solidFill>
              <a:effectLst/>
              <a:uLnTx/>
              <a:uFillTx/>
              <a:latin typeface="Calibri"/>
              <a:ea typeface="Calibri"/>
              <a:cs typeface="Calibri"/>
            </a:rPr>
            <a:t>REALIZADO x META</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 dockstate="right" visibility="0" width="438" row="12">
    <wetp:webextensionref xmlns:r="http://schemas.openxmlformats.org/officeDocument/2006/relationships" r:id="rId4"/>
  </wetp:taskpane>
</wetp:taskpanes>
</file>

<file path=xl/webextensions/webextension1.xml><?xml version="1.0" encoding="utf-8"?>
<we:webextension xmlns:we="http://schemas.microsoft.com/office/webextensions/webextension/2010/11" id="{FCBFCF72-B021-482C-BF33-6AEB70440EC9}">
  <we:reference id="wa200009404" version="1.0.0.8" store="en-US" storeType="OMEX"/>
  <we:alternateReferences>
    <we:reference id="WA200009404" version="1.0.0.8" store="" storeType="OMEX"/>
  </we:alternateReferences>
  <we:properties>
    <we:property name="claude.fileId" value="&quot;aaed0c2f-33b8-41b9-8bc4-048eb81db883&quot;"/>
  </we:properties>
  <we:bindings/>
  <we:snapshot xmlns:r="http://schemas.openxmlformats.org/officeDocument/2006/relationships"/>
</we:webextension>
</file>

<file path=xl/webextensions/webextension2.xml><?xml version="1.0" encoding="utf-8"?>
<we:webextension xmlns:we="http://schemas.microsoft.com/office/webextensions/webextension/2010/11" id="{4E636B13-E732-41DE-BC11-E7A540C4560B}">
  <we:reference id="wa200010725" version="1.0.0.1" store="pt-BR" storeType="OMEX"/>
  <we:alternateReferences>
    <we:reference id="WA200010725" version="1.0.0.1" store="" storeType="OMEX"/>
  </we:alternateReferences>
  <we:properties>
    <we:property name="claude.fileId" value="&quot;8a801c99-08bc-4eff-aece-15763916ff10&quot;"/>
  </we:properties>
  <we:bindings/>
  <we:snapshot xmlns:r="http://schemas.openxmlformats.org/officeDocument/2006/relationships"/>
</we:webextension>
</file>

<file path=xl/webextensions/webextension3.xml><?xml version="1.0" encoding="utf-8"?>
<we:webextension xmlns:we="http://schemas.microsoft.com/office/webextensions/webextension/2010/11" id="{50D7A7DE-4091-4F0A-A2C8-8A6AA59A0F77}">
  <we:reference id="wa200005502" version="1.0.0.13" store="pt-BR" storeType="OMEX"/>
  <we:alternateReferences>
    <we:reference id="wa200005502" version="1.0.0.13" store="wa200005502" storeType="OMEX"/>
  </we:alternateReferences>
  <we:properties>
    <we:property name="docId" value="&quot;QSRxEvnW1_0TiMes9XuH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4.xml><?xml version="1.0" encoding="utf-8"?>
<we:webextension xmlns:we="http://schemas.microsoft.com/office/webextensions/webextension/2010/11" id="{BF8FDCA8-0285-41E1-BA44-1ABD8988ABB9}">
  <we:reference id="wa200010215" version="2.0.0.0" store="pt-BR" storeType="OMEX"/>
  <we:alternateReferences>
    <we:reference id="wa200010215" version="2.0.0.0" store="wa200010215" storeType="OMEX"/>
  </we:alternateReferences>
  <we:properties>
    <we:property name="bps.codex_control.document_id" value="&quot;29f63c7c-a970-4c43-856e-8ba7cd9305a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B720-A1CF-472D-B9B5-760AD2BAA7FF}">
  <sheetPr>
    <tabColor rgb="FF2F3A4A"/>
  </sheetPr>
  <dimension ref="A1:D56"/>
  <sheetViews>
    <sheetView showGridLines="0" zoomScale="90" zoomScaleNormal="90" workbookViewId="0">
      <selection activeCell="C14" sqref="C14"/>
    </sheetView>
  </sheetViews>
  <sheetFormatPr defaultColWidth="8.5546875" defaultRowHeight="14.4" x14ac:dyDescent="0.3"/>
  <cols>
    <col min="1" max="1" width="2.5546875" style="1" customWidth="1"/>
    <col min="2" max="2" width="43.5546875" style="1" customWidth="1"/>
    <col min="3" max="3" width="79.6640625" style="1" customWidth="1"/>
    <col min="4" max="4" width="2.5546875" style="1" customWidth="1"/>
    <col min="5" max="16384" width="8.5546875" style="1"/>
  </cols>
  <sheetData>
    <row r="1" spans="1:4" ht="42" customHeight="1" x14ac:dyDescent="0.3">
      <c r="A1" s="3"/>
      <c r="B1" s="600" t="s">
        <v>964</v>
      </c>
      <c r="C1" s="600"/>
      <c r="D1" s="3"/>
    </row>
    <row r="2" spans="1:4" ht="26.1" customHeight="1" x14ac:dyDescent="0.3">
      <c r="A2" s="3"/>
      <c r="B2" s="601" t="s">
        <v>963</v>
      </c>
      <c r="C2" s="601"/>
      <c r="D2" s="3"/>
    </row>
    <row r="3" spans="1:4" ht="22.2" customHeight="1" x14ac:dyDescent="0.3">
      <c r="A3" s="12"/>
      <c r="B3" s="287" t="s">
        <v>1309</v>
      </c>
      <c r="C3" s="288" t="s">
        <v>1310</v>
      </c>
      <c r="D3" s="12"/>
    </row>
    <row r="4" spans="1:4" ht="14.1" customHeight="1" x14ac:dyDescent="0.3">
      <c r="A4" s="2"/>
      <c r="B4" s="2"/>
      <c r="C4" s="2"/>
      <c r="D4" s="2"/>
    </row>
    <row r="5" spans="1:4" ht="18" customHeight="1" x14ac:dyDescent="0.3">
      <c r="A5" s="3"/>
      <c r="B5" s="602" t="s">
        <v>935</v>
      </c>
      <c r="C5" s="602"/>
      <c r="D5" s="3"/>
    </row>
    <row r="6" spans="1:4" ht="8.1" customHeight="1" x14ac:dyDescent="0.3">
      <c r="A6" s="2"/>
      <c r="B6" s="2"/>
      <c r="C6" s="2"/>
      <c r="D6" s="2"/>
    </row>
    <row r="7" spans="1:4" ht="22.35" customHeight="1" x14ac:dyDescent="0.3">
      <c r="A7" s="2"/>
      <c r="B7" s="5" t="s">
        <v>0</v>
      </c>
      <c r="C7" s="4" t="s">
        <v>1</v>
      </c>
      <c r="D7" s="2"/>
    </row>
    <row r="8" spans="1:4" ht="22.35" customHeight="1" x14ac:dyDescent="0.3">
      <c r="A8" s="2"/>
      <c r="B8" s="5" t="s">
        <v>2</v>
      </c>
      <c r="C8" s="4" t="s">
        <v>1311</v>
      </c>
      <c r="D8" s="2"/>
    </row>
    <row r="9" spans="1:4" ht="22.35" customHeight="1" x14ac:dyDescent="0.3">
      <c r="A9" s="2"/>
      <c r="B9" s="5" t="s">
        <v>1294</v>
      </c>
      <c r="C9" s="4" t="s">
        <v>1312</v>
      </c>
      <c r="D9" s="2"/>
    </row>
    <row r="10" spans="1:4" ht="22.35" customHeight="1" x14ac:dyDescent="0.3">
      <c r="A10" s="2"/>
      <c r="B10" s="5" t="s">
        <v>3</v>
      </c>
      <c r="C10" s="4" t="s">
        <v>1313</v>
      </c>
      <c r="D10" s="2"/>
    </row>
    <row r="11" spans="1:4" ht="22.35" customHeight="1" x14ac:dyDescent="0.3">
      <c r="A11" s="2"/>
      <c r="B11" s="11" t="s">
        <v>4</v>
      </c>
      <c r="C11" s="10" t="s">
        <v>1314</v>
      </c>
      <c r="D11" s="2"/>
    </row>
    <row r="12" spans="1:4" ht="22.35" customHeight="1" x14ac:dyDescent="0.3">
      <c r="A12" s="2"/>
      <c r="B12" s="5" t="s">
        <v>5</v>
      </c>
      <c r="C12" s="4" t="s">
        <v>1315</v>
      </c>
      <c r="D12" s="2"/>
    </row>
    <row r="13" spans="1:4" ht="22.35" customHeight="1" x14ac:dyDescent="0.3">
      <c r="A13" s="2"/>
      <c r="B13" s="5" t="s">
        <v>1295</v>
      </c>
      <c r="C13" s="4" t="s">
        <v>1316</v>
      </c>
      <c r="D13" s="2"/>
    </row>
    <row r="14" spans="1:4" ht="22.35" customHeight="1" x14ac:dyDescent="0.3">
      <c r="A14" s="2"/>
      <c r="B14" s="5" t="s">
        <v>1355</v>
      </c>
      <c r="C14" s="4" t="s">
        <v>1356</v>
      </c>
      <c r="D14" s="2"/>
    </row>
    <row r="15" spans="1:4" ht="22.35" customHeight="1" x14ac:dyDescent="0.3">
      <c r="A15" s="2"/>
      <c r="B15" s="5" t="s">
        <v>1350</v>
      </c>
      <c r="C15" s="4" t="s">
        <v>1351</v>
      </c>
      <c r="D15" s="2"/>
    </row>
    <row r="16" spans="1:4" ht="22.35" customHeight="1" x14ac:dyDescent="0.3">
      <c r="A16" s="2"/>
      <c r="B16" s="5" t="s">
        <v>6</v>
      </c>
      <c r="C16" s="4" t="s">
        <v>1317</v>
      </c>
      <c r="D16" s="2"/>
    </row>
    <row r="17" spans="1:4" ht="14.1" customHeight="1" x14ac:dyDescent="0.3">
      <c r="A17" s="2"/>
      <c r="B17" s="285" t="s">
        <v>1308</v>
      </c>
      <c r="C17" s="286" t="s">
        <v>1318</v>
      </c>
      <c r="D17" s="2"/>
    </row>
    <row r="18" spans="1:4" ht="18" customHeight="1" x14ac:dyDescent="0.3">
      <c r="A18" s="3"/>
      <c r="B18" s="602" t="s">
        <v>962</v>
      </c>
      <c r="C18" s="602"/>
      <c r="D18" s="3"/>
    </row>
    <row r="19" spans="1:4" ht="8.1" customHeight="1" x14ac:dyDescent="0.3">
      <c r="A19" s="2"/>
      <c r="B19" s="2"/>
      <c r="C19" s="2"/>
      <c r="D19" s="2"/>
    </row>
    <row r="20" spans="1:4" ht="22.35" customHeight="1" x14ac:dyDescent="0.3">
      <c r="A20" s="2"/>
      <c r="B20" s="11" t="s">
        <v>961</v>
      </c>
      <c r="C20" s="10" t="s">
        <v>1296</v>
      </c>
      <c r="D20" s="2"/>
    </row>
    <row r="21" spans="1:4" ht="22.35" customHeight="1" x14ac:dyDescent="0.3">
      <c r="A21" s="2"/>
      <c r="B21" s="5" t="s">
        <v>960</v>
      </c>
      <c r="C21" s="4" t="s">
        <v>1297</v>
      </c>
      <c r="D21" s="2"/>
    </row>
    <row r="22" spans="1:4" ht="22.35" customHeight="1" x14ac:dyDescent="0.3">
      <c r="A22" s="2"/>
      <c r="B22" s="5" t="s">
        <v>959</v>
      </c>
      <c r="C22" s="4" t="s">
        <v>1319</v>
      </c>
      <c r="D22" s="2"/>
    </row>
    <row r="23" spans="1:4" ht="22.35" customHeight="1" x14ac:dyDescent="0.3">
      <c r="A23" s="2"/>
      <c r="B23" s="5" t="s">
        <v>958</v>
      </c>
      <c r="C23" s="4" t="s">
        <v>1320</v>
      </c>
      <c r="D23" s="2"/>
    </row>
    <row r="24" spans="1:4" ht="22.35" customHeight="1" x14ac:dyDescent="0.3">
      <c r="A24" s="2"/>
      <c r="B24" s="5" t="s">
        <v>957</v>
      </c>
      <c r="C24" s="4" t="s">
        <v>1321</v>
      </c>
      <c r="D24" s="2"/>
    </row>
    <row r="25" spans="1:4" ht="14.1" customHeight="1" x14ac:dyDescent="0.3">
      <c r="A25" s="2"/>
      <c r="B25" s="2"/>
      <c r="C25" s="2"/>
      <c r="D25" s="2"/>
    </row>
    <row r="26" spans="1:4" ht="18" customHeight="1" x14ac:dyDescent="0.3">
      <c r="A26" s="3"/>
      <c r="B26" s="602" t="s">
        <v>956</v>
      </c>
      <c r="C26" s="602"/>
      <c r="D26" s="3"/>
    </row>
    <row r="27" spans="1:4" ht="8.1" customHeight="1" x14ac:dyDescent="0.3">
      <c r="A27" s="2"/>
      <c r="B27" s="2"/>
      <c r="C27" s="2"/>
      <c r="D27" s="2"/>
    </row>
    <row r="28" spans="1:4" ht="22.35" customHeight="1" x14ac:dyDescent="0.3">
      <c r="A28" s="2"/>
      <c r="B28" s="5" t="s">
        <v>955</v>
      </c>
      <c r="C28" s="4" t="s">
        <v>1322</v>
      </c>
      <c r="D28" s="2"/>
    </row>
    <row r="29" spans="1:4" ht="22.35" customHeight="1" x14ac:dyDescent="0.3">
      <c r="A29" s="2"/>
      <c r="B29" s="5" t="s">
        <v>954</v>
      </c>
      <c r="C29" s="4" t="s">
        <v>1323</v>
      </c>
      <c r="D29" s="2"/>
    </row>
    <row r="30" spans="1:4" ht="22.35" customHeight="1" x14ac:dyDescent="0.3">
      <c r="A30" s="2"/>
      <c r="B30" s="5" t="s">
        <v>1298</v>
      </c>
      <c r="C30" s="4" t="s">
        <v>1324</v>
      </c>
      <c r="D30" s="2"/>
    </row>
    <row r="31" spans="1:4" ht="22.35" customHeight="1" x14ac:dyDescent="0.3">
      <c r="A31" s="2"/>
      <c r="B31" s="289" t="s">
        <v>1299</v>
      </c>
      <c r="C31" s="291" t="s">
        <v>1352</v>
      </c>
      <c r="D31" s="2"/>
    </row>
    <row r="32" spans="1:4" ht="22.2" customHeight="1" x14ac:dyDescent="0.3">
      <c r="A32" s="2"/>
      <c r="B32" s="290" t="s">
        <v>1325</v>
      </c>
      <c r="C32" s="292" t="s">
        <v>1326</v>
      </c>
      <c r="D32" s="2"/>
    </row>
    <row r="33" spans="1:4" ht="18" customHeight="1" x14ac:dyDescent="0.3">
      <c r="A33" s="3"/>
      <c r="B33" s="602" t="s">
        <v>953</v>
      </c>
      <c r="C33" s="602"/>
      <c r="D33" s="3"/>
    </row>
    <row r="34" spans="1:4" ht="8.1" customHeight="1" x14ac:dyDescent="0.3">
      <c r="A34" s="2"/>
      <c r="B34" s="2"/>
      <c r="C34" s="2"/>
      <c r="D34" s="2"/>
    </row>
    <row r="35" spans="1:4" ht="22.35" customHeight="1" x14ac:dyDescent="0.3">
      <c r="A35" s="2"/>
      <c r="B35" s="5" t="s">
        <v>7</v>
      </c>
      <c r="C35" s="4" t="s">
        <v>1300</v>
      </c>
      <c r="D35" s="2"/>
    </row>
    <row r="36" spans="1:4" ht="22.35" customHeight="1" x14ac:dyDescent="0.3">
      <c r="A36" s="2"/>
      <c r="B36" s="5" t="s">
        <v>8</v>
      </c>
      <c r="C36" s="4" t="s">
        <v>1301</v>
      </c>
      <c r="D36" s="2"/>
    </row>
    <row r="37" spans="1:4" ht="22.35" customHeight="1" x14ac:dyDescent="0.3">
      <c r="A37" s="2"/>
      <c r="B37" s="5" t="s">
        <v>1302</v>
      </c>
      <c r="C37" s="4" t="s">
        <v>1303</v>
      </c>
      <c r="D37" s="2"/>
    </row>
    <row r="38" spans="1:4" ht="22.35" customHeight="1" x14ac:dyDescent="0.3">
      <c r="A38" s="2"/>
      <c r="B38" s="5" t="s">
        <v>1304</v>
      </c>
      <c r="C38" s="4" t="s">
        <v>1327</v>
      </c>
      <c r="D38" s="2"/>
    </row>
    <row r="39" spans="1:4" ht="22.35" customHeight="1" x14ac:dyDescent="0.3">
      <c r="A39" s="2"/>
      <c r="B39" s="5" t="s">
        <v>1305</v>
      </c>
      <c r="C39" s="4" t="s">
        <v>1364</v>
      </c>
      <c r="D39" s="2"/>
    </row>
    <row r="40" spans="1:4" ht="14.1" customHeight="1" x14ac:dyDescent="0.3">
      <c r="A40" s="2"/>
      <c r="B40" s="5" t="s">
        <v>1365</v>
      </c>
      <c r="C40" s="4" t="s">
        <v>1366</v>
      </c>
      <c r="D40" s="2"/>
    </row>
    <row r="41" spans="1:4" ht="18" customHeight="1" x14ac:dyDescent="0.3">
      <c r="A41" s="3"/>
      <c r="B41" s="602" t="s">
        <v>952</v>
      </c>
      <c r="C41" s="602"/>
      <c r="D41" s="3"/>
    </row>
    <row r="42" spans="1:4" ht="8.1" customHeight="1" x14ac:dyDescent="0.3">
      <c r="A42" s="2"/>
      <c r="B42" s="2"/>
      <c r="C42" s="2"/>
      <c r="D42" s="2"/>
    </row>
    <row r="43" spans="1:4" ht="22.35" customHeight="1" x14ac:dyDescent="0.3">
      <c r="A43" s="2"/>
      <c r="B43" s="5" t="s">
        <v>1306</v>
      </c>
      <c r="C43" s="4" t="s">
        <v>1328</v>
      </c>
      <c r="D43" s="2"/>
    </row>
    <row r="44" spans="1:4" ht="22.35" customHeight="1" x14ac:dyDescent="0.3">
      <c r="A44" s="2"/>
      <c r="B44" s="5" t="s">
        <v>1307</v>
      </c>
      <c r="C44" s="4" t="s">
        <v>1329</v>
      </c>
      <c r="D44" s="2"/>
    </row>
    <row r="45" spans="1:4" ht="22.35" customHeight="1" x14ac:dyDescent="0.3">
      <c r="A45" s="2"/>
      <c r="B45" s="289" t="s">
        <v>951</v>
      </c>
      <c r="C45" s="291" t="s">
        <v>1330</v>
      </c>
      <c r="D45" s="2"/>
    </row>
    <row r="46" spans="1:4" ht="22.2" customHeight="1" x14ac:dyDescent="0.3">
      <c r="A46" s="2"/>
      <c r="B46" s="287" t="s">
        <v>1331</v>
      </c>
      <c r="C46" s="288" t="s">
        <v>1332</v>
      </c>
      <c r="D46" s="2"/>
    </row>
    <row r="47" spans="1:4" ht="22.35" customHeight="1" x14ac:dyDescent="0.3">
      <c r="A47" s="9"/>
      <c r="B47" s="598" t="s">
        <v>950</v>
      </c>
      <c r="C47" s="598"/>
      <c r="D47" s="9"/>
    </row>
    <row r="48" spans="1:4" ht="8.1" customHeight="1" x14ac:dyDescent="0.3">
      <c r="A48" s="2"/>
      <c r="B48" s="2"/>
      <c r="C48" s="2"/>
      <c r="D48" s="2"/>
    </row>
    <row r="49" spans="1:4" ht="24" customHeight="1" x14ac:dyDescent="0.3">
      <c r="A49" s="2"/>
      <c r="B49" s="8" t="s">
        <v>11</v>
      </c>
      <c r="C49" s="6" t="s">
        <v>12</v>
      </c>
      <c r="D49" s="2"/>
    </row>
    <row r="50" spans="1:4" ht="24" customHeight="1" x14ac:dyDescent="0.3">
      <c r="A50" s="2"/>
      <c r="B50" s="8" t="s">
        <v>13</v>
      </c>
      <c r="C50" s="6" t="s">
        <v>14</v>
      </c>
      <c r="D50" s="2"/>
    </row>
    <row r="51" spans="1:4" ht="24" customHeight="1" x14ac:dyDescent="0.3">
      <c r="A51" s="2"/>
      <c r="B51" s="7" t="s">
        <v>15</v>
      </c>
      <c r="C51" s="6" t="s">
        <v>16</v>
      </c>
      <c r="D51" s="2"/>
    </row>
    <row r="52" spans="1:4" ht="24" customHeight="1" x14ac:dyDescent="0.3">
      <c r="A52" s="2"/>
      <c r="B52" s="5" t="s">
        <v>949</v>
      </c>
      <c r="C52" s="4" t="s">
        <v>948</v>
      </c>
      <c r="D52" s="2"/>
    </row>
    <row r="53" spans="1:4" ht="24" customHeight="1" x14ac:dyDescent="0.3">
      <c r="A53" s="2"/>
      <c r="B53" s="5" t="s">
        <v>947</v>
      </c>
      <c r="C53" s="4" t="s">
        <v>1353</v>
      </c>
      <c r="D53" s="2"/>
    </row>
    <row r="54" spans="1:4" ht="14.1" customHeight="1" x14ac:dyDescent="0.3">
      <c r="A54" s="2"/>
      <c r="B54" s="2"/>
      <c r="C54" s="2"/>
      <c r="D54" s="2"/>
    </row>
    <row r="55" spans="1:4" ht="22.35" customHeight="1" x14ac:dyDescent="0.3">
      <c r="A55" s="3"/>
      <c r="B55" s="599" t="s">
        <v>946</v>
      </c>
      <c r="C55" s="599"/>
      <c r="D55" s="3"/>
    </row>
    <row r="56" spans="1:4" x14ac:dyDescent="0.3">
      <c r="A56" s="2"/>
      <c r="B56" s="2"/>
      <c r="C56" s="2"/>
      <c r="D56" s="2"/>
    </row>
  </sheetData>
  <mergeCells count="9">
    <mergeCell ref="B47:C47"/>
    <mergeCell ref="B55:C55"/>
    <mergeCell ref="B1:C1"/>
    <mergeCell ref="B2:C2"/>
    <mergeCell ref="B5:C5"/>
    <mergeCell ref="B18:C18"/>
    <mergeCell ref="B26:C26"/>
    <mergeCell ref="B33:C33"/>
    <mergeCell ref="B41:C4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9929-5A25-4D2F-A8BA-8EE965B02AE0}">
  <sheetPr>
    <tabColor rgb="FF2F3A4A"/>
  </sheetPr>
  <dimension ref="A1:I40"/>
  <sheetViews>
    <sheetView showGridLines="0" topLeftCell="A29" zoomScale="90" zoomScaleNormal="90" workbookViewId="0">
      <selection activeCell="M11" sqref="M11"/>
    </sheetView>
  </sheetViews>
  <sheetFormatPr defaultColWidth="8.5546875" defaultRowHeight="14.4" x14ac:dyDescent="0.3"/>
  <cols>
    <col min="1" max="1" width="3.44140625" style="1" customWidth="1"/>
    <col min="2" max="8" width="16.5546875" style="1" customWidth="1"/>
    <col min="9" max="9" width="3.44140625" style="1" customWidth="1"/>
    <col min="10" max="16384" width="8.5546875" style="1"/>
  </cols>
  <sheetData>
    <row r="1" spans="1:9" ht="42" customHeight="1" x14ac:dyDescent="0.3">
      <c r="A1" s="3"/>
      <c r="B1" s="600" t="s">
        <v>928</v>
      </c>
      <c r="C1" s="600"/>
      <c r="D1" s="600"/>
      <c r="E1" s="600"/>
      <c r="F1" s="604"/>
      <c r="G1" s="605">
        <v>2026</v>
      </c>
      <c r="H1" s="606"/>
      <c r="I1" s="3"/>
    </row>
    <row r="2" spans="1:9" ht="26.1" customHeight="1" x14ac:dyDescent="0.3">
      <c r="A2" s="3"/>
      <c r="B2" s="601" t="s">
        <v>929</v>
      </c>
      <c r="C2" s="601"/>
      <c r="D2" s="601"/>
      <c r="E2" s="601"/>
      <c r="F2" s="601"/>
      <c r="G2" s="601"/>
      <c r="H2" s="601"/>
      <c r="I2" s="3"/>
    </row>
    <row r="3" spans="1:9" ht="3.6" customHeight="1" x14ac:dyDescent="0.3">
      <c r="A3" s="12"/>
      <c r="B3" s="12"/>
      <c r="C3" s="12"/>
      <c r="D3" s="12"/>
      <c r="E3" s="12"/>
      <c r="F3" s="12"/>
      <c r="G3" s="12"/>
      <c r="H3" s="12"/>
      <c r="I3" s="12"/>
    </row>
    <row r="4" spans="1:9" ht="14.1" customHeight="1" x14ac:dyDescent="0.3">
      <c r="A4" s="2"/>
      <c r="B4" s="2"/>
      <c r="C4" s="2"/>
      <c r="D4" s="2"/>
      <c r="E4" s="2"/>
      <c r="F4" s="2"/>
      <c r="G4" s="2"/>
      <c r="H4" s="2"/>
      <c r="I4" s="2"/>
    </row>
    <row r="5" spans="1:9" ht="22.35" customHeight="1" x14ac:dyDescent="0.3">
      <c r="A5" s="2"/>
      <c r="B5" s="603" t="s">
        <v>911</v>
      </c>
      <c r="C5" s="603"/>
      <c r="D5" s="603" t="s">
        <v>17</v>
      </c>
      <c r="E5" s="603"/>
      <c r="F5" s="18" t="s">
        <v>930</v>
      </c>
      <c r="G5" s="603" t="s">
        <v>19</v>
      </c>
      <c r="H5" s="603"/>
      <c r="I5" s="2"/>
    </row>
    <row r="6" spans="1:9" ht="40.35" customHeight="1" x14ac:dyDescent="0.3">
      <c r="A6" s="2"/>
      <c r="B6" s="609">
        <f>PAINEL!B6</f>
        <v>1674871</v>
      </c>
      <c r="C6" s="609"/>
      <c r="D6" s="609">
        <f>PAINEL!D6</f>
        <v>1650000</v>
      </c>
      <c r="E6" s="609"/>
      <c r="F6" s="17">
        <f>PAINEL!F6</f>
        <v>1.0150733333333333</v>
      </c>
      <c r="G6" s="611" t="str">
        <f>PAINEL!H6</f>
        <v>MARÇO</v>
      </c>
      <c r="H6" s="611"/>
      <c r="I6" s="2"/>
    </row>
    <row r="7" spans="1:9" ht="18" customHeight="1" x14ac:dyDescent="0.3">
      <c r="A7" s="2"/>
      <c r="B7" s="610" t="s">
        <v>931</v>
      </c>
      <c r="C7" s="610"/>
      <c r="D7" s="610" t="s">
        <v>932</v>
      </c>
      <c r="E7" s="610"/>
      <c r="F7" s="16" t="s">
        <v>933</v>
      </c>
      <c r="G7" s="610" t="s">
        <v>934</v>
      </c>
      <c r="H7" s="610"/>
      <c r="I7" s="2"/>
    </row>
    <row r="8" spans="1:9" ht="14.1" customHeight="1" x14ac:dyDescent="0.3">
      <c r="A8" s="2"/>
      <c r="B8" s="2"/>
      <c r="C8" s="2"/>
      <c r="D8" s="2"/>
      <c r="E8" s="2"/>
      <c r="F8" s="2"/>
      <c r="G8" s="2"/>
      <c r="H8" s="2"/>
      <c r="I8" s="2"/>
    </row>
    <row r="9" spans="1:9" ht="18" customHeight="1" x14ac:dyDescent="0.3">
      <c r="A9" s="3"/>
      <c r="B9" s="602" t="s">
        <v>935</v>
      </c>
      <c r="C9" s="602"/>
      <c r="D9" s="602"/>
      <c r="E9" s="602"/>
      <c r="F9" s="602"/>
      <c r="G9" s="602"/>
      <c r="H9" s="602"/>
      <c r="I9" s="3"/>
    </row>
    <row r="10" spans="1:9" ht="8.1" customHeight="1" x14ac:dyDescent="0.3">
      <c r="A10" s="2"/>
      <c r="B10" s="2"/>
      <c r="C10" s="2"/>
      <c r="D10" s="2"/>
      <c r="E10" s="2"/>
      <c r="F10" s="2"/>
      <c r="G10" s="2"/>
      <c r="H10" s="2"/>
      <c r="I10" s="2"/>
    </row>
    <row r="11" spans="1:9" ht="22.35" customHeight="1" x14ac:dyDescent="0.3">
      <c r="A11" s="2"/>
      <c r="B11" s="616" t="s">
        <v>936</v>
      </c>
      <c r="C11" s="617"/>
      <c r="D11" s="617"/>
      <c r="E11" s="616" t="s">
        <v>1357</v>
      </c>
      <c r="F11" s="617"/>
      <c r="G11" s="617"/>
      <c r="H11" s="620"/>
      <c r="I11" s="2"/>
    </row>
    <row r="12" spans="1:9" ht="34.35" customHeight="1" x14ac:dyDescent="0.3">
      <c r="A12" s="2"/>
      <c r="B12" s="618" t="s">
        <v>1358</v>
      </c>
      <c r="C12" s="619"/>
      <c r="D12" s="619"/>
      <c r="E12" s="618" t="s">
        <v>937</v>
      </c>
      <c r="F12" s="619"/>
      <c r="G12" s="619"/>
      <c r="H12" s="621"/>
      <c r="I12" s="2"/>
    </row>
    <row r="13" spans="1:9" ht="8.1" customHeight="1" x14ac:dyDescent="0.3">
      <c r="A13" s="2"/>
      <c r="B13" s="2"/>
      <c r="C13" s="2"/>
      <c r="D13" s="2"/>
      <c r="E13" s="2"/>
      <c r="F13" s="2"/>
      <c r="G13" s="2"/>
      <c r="H13" s="2"/>
      <c r="I13" s="2"/>
    </row>
    <row r="14" spans="1:9" ht="22.35" customHeight="1" x14ac:dyDescent="0.3">
      <c r="A14" s="2"/>
      <c r="B14" s="616" t="s">
        <v>938</v>
      </c>
      <c r="C14" s="617"/>
      <c r="D14" s="617"/>
      <c r="E14" s="616" t="s">
        <v>939</v>
      </c>
      <c r="F14" s="617"/>
      <c r="G14" s="617"/>
      <c r="H14" s="620"/>
      <c r="I14" s="2"/>
    </row>
    <row r="15" spans="1:9" ht="34.35" customHeight="1" x14ac:dyDescent="0.3">
      <c r="A15" s="2"/>
      <c r="B15" s="618" t="s">
        <v>1359</v>
      </c>
      <c r="C15" s="619"/>
      <c r="D15" s="619"/>
      <c r="E15" s="618" t="s">
        <v>940</v>
      </c>
      <c r="F15" s="619"/>
      <c r="G15" s="619"/>
      <c r="H15" s="621"/>
      <c r="I15" s="2"/>
    </row>
    <row r="16" spans="1:9" ht="14.1" customHeight="1" x14ac:dyDescent="0.3">
      <c r="A16" s="2"/>
      <c r="B16" s="2"/>
      <c r="C16" s="2"/>
      <c r="D16" s="2"/>
      <c r="E16" s="2"/>
      <c r="F16" s="2"/>
      <c r="G16" s="2"/>
      <c r="H16" s="2"/>
      <c r="I16" s="2"/>
    </row>
    <row r="17" spans="1:9" ht="18" customHeight="1" x14ac:dyDescent="0.3">
      <c r="A17" s="3"/>
      <c r="B17" s="602" t="s">
        <v>941</v>
      </c>
      <c r="C17" s="602"/>
      <c r="D17" s="602"/>
      <c r="E17" s="602"/>
      <c r="F17" s="602"/>
      <c r="G17" s="602"/>
      <c r="H17" s="602"/>
      <c r="I17" s="3"/>
    </row>
    <row r="18" spans="1:9" ht="8.1" customHeight="1" x14ac:dyDescent="0.3">
      <c r="A18" s="2"/>
      <c r="B18" s="2"/>
      <c r="C18" s="2"/>
      <c r="D18" s="2"/>
      <c r="E18" s="2"/>
      <c r="F18" s="2"/>
      <c r="G18" s="2"/>
      <c r="H18" s="2"/>
      <c r="I18" s="2"/>
    </row>
    <row r="19" spans="1:9" ht="26.1" customHeight="1" x14ac:dyDescent="0.3">
      <c r="A19" s="2"/>
      <c r="B19" s="15">
        <v>1</v>
      </c>
      <c r="C19" s="614" t="s">
        <v>942</v>
      </c>
      <c r="D19" s="614"/>
      <c r="E19" s="614"/>
      <c r="F19" s="614"/>
      <c r="G19" s="614"/>
      <c r="H19" s="615"/>
      <c r="I19" s="2"/>
    </row>
    <row r="20" spans="1:9" ht="26.1" customHeight="1" x14ac:dyDescent="0.3">
      <c r="A20" s="2"/>
      <c r="B20" s="15">
        <v>2</v>
      </c>
      <c r="C20" s="614" t="s">
        <v>943</v>
      </c>
      <c r="D20" s="614"/>
      <c r="E20" s="614"/>
      <c r="F20" s="614"/>
      <c r="G20" s="614"/>
      <c r="H20" s="615"/>
      <c r="I20" s="2"/>
    </row>
    <row r="21" spans="1:9" ht="26.1" customHeight="1" x14ac:dyDescent="0.3">
      <c r="A21" s="2"/>
      <c r="B21" s="14">
        <v>3</v>
      </c>
      <c r="C21" s="612" t="s">
        <v>944</v>
      </c>
      <c r="D21" s="612"/>
      <c r="E21" s="612"/>
      <c r="F21" s="612"/>
      <c r="G21" s="612"/>
      <c r="H21" s="613"/>
      <c r="I21" s="2"/>
    </row>
    <row r="22" spans="1:9" ht="26.1" customHeight="1" x14ac:dyDescent="0.3">
      <c r="A22" s="2"/>
      <c r="B22" s="13">
        <v>4</v>
      </c>
      <c r="C22" s="612" t="s">
        <v>1360</v>
      </c>
      <c r="D22" s="612"/>
      <c r="E22" s="612"/>
      <c r="F22" s="612"/>
      <c r="G22" s="612"/>
      <c r="H22" s="613"/>
      <c r="I22" s="2"/>
    </row>
    <row r="23" spans="1:9" ht="14.1" customHeight="1" x14ac:dyDescent="0.3">
      <c r="A23" s="2"/>
      <c r="B23" s="2"/>
      <c r="C23" s="2"/>
      <c r="D23" s="2"/>
      <c r="E23" s="2"/>
      <c r="F23" s="2"/>
      <c r="G23" s="2"/>
      <c r="H23" s="2"/>
      <c r="I23" s="2"/>
    </row>
    <row r="24" spans="1:9" ht="22.35" customHeight="1" x14ac:dyDescent="0.3">
      <c r="A24" s="3"/>
      <c r="B24" s="599" t="s">
        <v>945</v>
      </c>
      <c r="C24" s="599"/>
      <c r="D24" s="599"/>
      <c r="E24" s="599"/>
      <c r="F24" s="599"/>
      <c r="G24" s="599"/>
      <c r="H24" s="599"/>
      <c r="I24" s="3"/>
    </row>
    <row r="25" spans="1:9" ht="21.75" customHeight="1" x14ac:dyDescent="0.3">
      <c r="A25" s="2"/>
      <c r="B25" s="2"/>
      <c r="C25" s="2"/>
      <c r="D25" s="2"/>
      <c r="E25" s="2"/>
      <c r="F25" s="2"/>
      <c r="G25" s="2"/>
      <c r="H25" s="2"/>
      <c r="I25" s="2"/>
    </row>
    <row r="26" spans="1:9" ht="22.35" customHeight="1" x14ac:dyDescent="0.3">
      <c r="A26" s="3"/>
      <c r="B26" s="607" t="s">
        <v>1063</v>
      </c>
      <c r="C26" s="607"/>
      <c r="D26" s="607"/>
      <c r="E26" s="607"/>
      <c r="F26" s="607"/>
      <c r="G26" s="607"/>
      <c r="H26" s="607"/>
      <c r="I26" s="2"/>
    </row>
    <row r="27" spans="1:9" x14ac:dyDescent="0.3">
      <c r="A27" s="2"/>
      <c r="B27" s="608" t="s">
        <v>1064</v>
      </c>
      <c r="C27" s="608"/>
      <c r="D27" s="608"/>
      <c r="E27" s="608"/>
      <c r="F27" s="608"/>
      <c r="G27" s="608"/>
      <c r="H27" s="608"/>
      <c r="I27" s="2"/>
    </row>
    <row r="28" spans="1:9" ht="78" customHeight="1" x14ac:dyDescent="0.3">
      <c r="A28" s="2"/>
      <c r="B28" s="57"/>
      <c r="C28" s="57"/>
      <c r="D28" s="57"/>
      <c r="E28" s="57"/>
      <c r="F28" s="57"/>
      <c r="G28" s="57"/>
      <c r="H28" s="57"/>
      <c r="I28" s="2"/>
    </row>
    <row r="29" spans="1:9" ht="78" customHeight="1" x14ac:dyDescent="0.3">
      <c r="A29" s="2"/>
      <c r="B29" s="57"/>
      <c r="C29" s="57"/>
      <c r="D29" s="57"/>
      <c r="E29" s="57"/>
      <c r="F29" s="57"/>
      <c r="G29" s="57"/>
      <c r="H29" s="57"/>
      <c r="I29" s="2"/>
    </row>
    <row r="30" spans="1:9" ht="78" customHeight="1" x14ac:dyDescent="0.3">
      <c r="A30" s="2"/>
      <c r="B30" s="57"/>
      <c r="C30" s="57"/>
      <c r="D30" s="57"/>
      <c r="E30" s="57"/>
      <c r="F30" s="57"/>
      <c r="G30" s="57"/>
      <c r="H30" s="57"/>
      <c r="I30" s="2"/>
    </row>
    <row r="31" spans="1:9" ht="78" customHeight="1" x14ac:dyDescent="0.3">
      <c r="A31" s="2"/>
      <c r="B31" s="57"/>
      <c r="C31" s="57"/>
      <c r="D31" s="57"/>
      <c r="E31" s="57"/>
      <c r="F31" s="57"/>
      <c r="G31" s="57"/>
      <c r="H31" s="57"/>
      <c r="I31" s="2"/>
    </row>
    <row r="32" spans="1:9" x14ac:dyDescent="0.3">
      <c r="A32" s="2"/>
      <c r="B32" s="2"/>
      <c r="C32" s="2"/>
      <c r="D32" s="2"/>
      <c r="E32" s="2"/>
      <c r="F32" s="2"/>
      <c r="G32" s="2"/>
      <c r="H32" s="2"/>
      <c r="I32" s="2"/>
    </row>
    <row r="33" spans="1:9" x14ac:dyDescent="0.3">
      <c r="A33" s="2"/>
      <c r="B33" s="2"/>
      <c r="C33" s="2"/>
      <c r="D33" s="2"/>
      <c r="E33" s="2"/>
      <c r="F33" s="2"/>
      <c r="G33" s="2"/>
      <c r="H33" s="2"/>
      <c r="I33" s="2"/>
    </row>
    <row r="34" spans="1:9" x14ac:dyDescent="0.3">
      <c r="A34" s="2"/>
      <c r="B34" s="2"/>
      <c r="C34" s="2"/>
      <c r="D34" s="2"/>
      <c r="E34" s="2"/>
      <c r="F34" s="2"/>
      <c r="G34" s="2"/>
      <c r="H34" s="2"/>
      <c r="I34" s="2"/>
    </row>
    <row r="35" spans="1:9" x14ac:dyDescent="0.3">
      <c r="A35" s="2"/>
      <c r="B35" s="2"/>
      <c r="C35" s="2"/>
      <c r="D35" s="2"/>
      <c r="E35" s="2"/>
      <c r="F35" s="2"/>
      <c r="G35" s="2"/>
      <c r="H35" s="2"/>
      <c r="I35" s="2"/>
    </row>
    <row r="36" spans="1:9" x14ac:dyDescent="0.3">
      <c r="A36" s="2"/>
      <c r="B36" s="2"/>
      <c r="C36" s="2"/>
      <c r="D36" s="2"/>
      <c r="E36" s="2"/>
      <c r="F36" s="2"/>
      <c r="G36" s="2"/>
      <c r="H36" s="2"/>
      <c r="I36" s="2"/>
    </row>
    <row r="37" spans="1:9" x14ac:dyDescent="0.3">
      <c r="A37" s="2"/>
      <c r="B37" s="2"/>
      <c r="C37" s="2"/>
      <c r="D37" s="2"/>
      <c r="E37" s="2"/>
      <c r="F37" s="2"/>
      <c r="G37" s="2"/>
      <c r="H37" s="2"/>
      <c r="I37" s="2"/>
    </row>
    <row r="38" spans="1:9" x14ac:dyDescent="0.3">
      <c r="A38" s="2"/>
      <c r="B38" s="2"/>
      <c r="C38" s="2"/>
      <c r="D38" s="2"/>
      <c r="E38" s="2"/>
      <c r="F38" s="2"/>
      <c r="G38" s="2"/>
      <c r="H38" s="2"/>
      <c r="I38" s="2"/>
    </row>
    <row r="39" spans="1:9" x14ac:dyDescent="0.3">
      <c r="A39" s="2"/>
      <c r="B39" s="2"/>
      <c r="C39" s="2"/>
      <c r="D39" s="2"/>
      <c r="E39" s="2"/>
      <c r="F39" s="2"/>
      <c r="G39" s="2"/>
      <c r="H39" s="2"/>
      <c r="I39" s="2"/>
    </row>
    <row r="40" spans="1:9" x14ac:dyDescent="0.3">
      <c r="A40" s="2"/>
      <c r="B40" s="2"/>
      <c r="C40" s="2"/>
      <c r="D40" s="2"/>
      <c r="E40" s="2"/>
      <c r="F40" s="2"/>
      <c r="G40" s="2"/>
      <c r="H40" s="2"/>
      <c r="I40" s="2"/>
    </row>
  </sheetData>
  <mergeCells count="29">
    <mergeCell ref="B24:H24"/>
    <mergeCell ref="B15:D15"/>
    <mergeCell ref="E14:H14"/>
    <mergeCell ref="E15:H15"/>
    <mergeCell ref="B17:H17"/>
    <mergeCell ref="C19:H19"/>
    <mergeCell ref="B14:D14"/>
    <mergeCell ref="B26:H26"/>
    <mergeCell ref="B27:H27"/>
    <mergeCell ref="B6:C6"/>
    <mergeCell ref="B7:C7"/>
    <mergeCell ref="D6:E6"/>
    <mergeCell ref="D7:E7"/>
    <mergeCell ref="G6:H6"/>
    <mergeCell ref="G7:H7"/>
    <mergeCell ref="B9:H9"/>
    <mergeCell ref="C22:H22"/>
    <mergeCell ref="C20:H20"/>
    <mergeCell ref="C21:H21"/>
    <mergeCell ref="B11:D11"/>
    <mergeCell ref="B12:D12"/>
    <mergeCell ref="E11:H11"/>
    <mergeCell ref="E12:H12"/>
    <mergeCell ref="B5:C5"/>
    <mergeCell ref="D5:E5"/>
    <mergeCell ref="B1:F1"/>
    <mergeCell ref="G1:H1"/>
    <mergeCell ref="B2:H2"/>
    <mergeCell ref="G5:H5"/>
  </mergeCells>
  <pageMargins left="0.7" right="0.7" top="0.75" bottom="0.75" header="0.511811023622047" footer="0.511811023622047"/>
  <pageSetup paperSize="9" scale="9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191A-BD3F-4204-B2DE-8715BD261031}">
  <sheetPr>
    <tabColor rgb="FF1A2B3C"/>
  </sheetPr>
  <dimension ref="A1:N46"/>
  <sheetViews>
    <sheetView showGridLines="0" topLeftCell="A9" zoomScale="90" zoomScaleNormal="90" workbookViewId="0">
      <selection activeCell="H33" sqref="H33"/>
    </sheetView>
  </sheetViews>
  <sheetFormatPr defaultColWidth="8.5546875" defaultRowHeight="14.4" x14ac:dyDescent="0.3"/>
  <cols>
    <col min="1" max="1" width="10.6640625" style="1" customWidth="1"/>
    <col min="2" max="2" width="38" style="1" customWidth="1"/>
    <col min="3" max="7" width="17" style="1" customWidth="1"/>
    <col min="8" max="8" width="25.6640625" style="1" customWidth="1"/>
    <col min="9" max="11" width="10" style="1" customWidth="1"/>
    <col min="12" max="12" width="8.5546875" style="1"/>
    <col min="13" max="13" width="0" style="1" hidden="1" customWidth="1"/>
    <col min="14" max="16384" width="8.5546875" style="1"/>
  </cols>
  <sheetData>
    <row r="1" spans="1:14" ht="32.700000000000003" customHeight="1" x14ac:dyDescent="0.3">
      <c r="A1" s="625" t="s">
        <v>1086</v>
      </c>
      <c r="B1" s="625"/>
      <c r="C1" s="625"/>
      <c r="D1" s="625"/>
      <c r="E1" s="52"/>
    </row>
    <row r="2" spans="1:14" ht="16.350000000000001" customHeight="1" x14ac:dyDescent="0.3">
      <c r="A2" s="629" t="s">
        <v>969</v>
      </c>
      <c r="B2" s="629"/>
      <c r="C2" s="629"/>
      <c r="D2" s="629"/>
      <c r="E2" s="629"/>
    </row>
    <row r="3" spans="1:14" ht="3.6" customHeight="1" x14ac:dyDescent="0.3">
      <c r="A3" s="12"/>
      <c r="B3" s="12"/>
      <c r="C3" s="12"/>
      <c r="D3" s="12"/>
      <c r="E3" s="12"/>
      <c r="F3" s="2"/>
      <c r="G3" s="19"/>
      <c r="H3" s="19"/>
      <c r="I3" s="19"/>
      <c r="J3" s="19"/>
      <c r="K3" s="19"/>
    </row>
    <row r="4" spans="1:14" ht="18" customHeight="1" x14ac:dyDescent="0.3">
      <c r="A4" s="630" t="s">
        <v>968</v>
      </c>
      <c r="B4" s="630"/>
      <c r="C4" s="630"/>
      <c r="D4" s="630"/>
      <c r="E4" s="630"/>
      <c r="F4" s="2"/>
      <c r="G4" s="19"/>
      <c r="H4" s="19"/>
      <c r="I4" s="19"/>
      <c r="J4" s="19"/>
      <c r="K4" s="19"/>
    </row>
    <row r="5" spans="1:14" ht="21.6" customHeight="1" thickBot="1" x14ac:dyDescent="0.35">
      <c r="A5" s="50" t="s">
        <v>20</v>
      </c>
      <c r="B5" s="51" t="s">
        <v>21</v>
      </c>
      <c r="C5" s="50" t="s">
        <v>22</v>
      </c>
      <c r="D5" s="50" t="s">
        <v>23</v>
      </c>
      <c r="E5" s="50" t="s">
        <v>24</v>
      </c>
      <c r="F5" s="2"/>
      <c r="G5" s="19"/>
      <c r="H5" s="19"/>
      <c r="I5" s="19"/>
      <c r="J5" s="19"/>
      <c r="K5" s="19"/>
    </row>
    <row r="6" spans="1:14" ht="23.7" customHeight="1" x14ac:dyDescent="0.3">
      <c r="A6" s="49">
        <v>1</v>
      </c>
      <c r="B6" s="48" t="str" cm="1">
        <f t="array" ref="B6:C15">_xlfn.SORTBY($M$6:$N$15,$N$6:$N$15,-1)</f>
        <v>UNTA FACIL</v>
      </c>
      <c r="C6" s="47">
        <v>384444</v>
      </c>
      <c r="D6" s="46">
        <f t="shared" ref="D6:D15" si="0">IF($C$17=0,0,C6/$C$17)</f>
        <v>0.22953648370531224</v>
      </c>
      <c r="E6" s="45" t="s">
        <v>26</v>
      </c>
      <c r="F6" s="2"/>
      <c r="G6" s="19"/>
      <c r="H6" s="19"/>
      <c r="I6" s="19"/>
      <c r="J6" s="19"/>
      <c r="K6" s="19"/>
      <c r="M6" s="48" t="s">
        <v>25</v>
      </c>
      <c r="N6" s="47">
        <f>SUMIF('SEMANA JANEIRO'!$B:$B,"*UNTA FACIL*",'SEMANA JANEIRO'!$I:$I)+SUMIF('SEMANA FEVEREIRO'!$B:$B,"*UNTA FACIL*",'SEMANA FEVEREIRO'!$I:$I)+SUMIF('SEMANA MARÇO'!$B:$B,"*UNTA FACIL*",'SEMANA MARÇO'!$I:$I)+SUMIF('SEMANA ABRIL'!$B:$B,"*UNTA FACIL*",'SEMANA ABRIL'!$I:$I)+SUMIF('SEMANA MAIO'!$B:$B,"*UNTA FACIL*",'SEMANA MAIO'!$I:$I)+SUMIF('SEMANA JUNHO'!$B:$B,"*UNTA FACIL*",'SEMANA JUNHO'!$I:$I)+SUMIF('SEMANA JULHO'!$B:$B,"*UNTA FACIL*",'SEMANA JULHO'!$I:$I)+SUMIF('SEMANA AGOSTO'!$B:$B,"*UNTA FACIL*",'SEMANA AGOSTO'!$I:$I)+SUMIF('SEMANA SETEMBRO'!$B:$B,"*UNTA FACIL*",'SEMANA SETEMBRO'!$I:$I)+SUMIF('SEMANA OUTUBRO'!$B:$B,"*UNTA FACIL*",'SEMANA OUTUBRO'!$I:$I)+SUMIF('SEMANA NOVEMBRO'!$B:$B,"*UNTA FACIL*",'SEMANA NOVEMBRO'!$I:$I)+SUMIF('SEMANA DEZEMBRO'!$B:$B,"*UNTA FACIL*",'SEMANA DEZEMBRO'!$I:$I)</f>
        <v>384444</v>
      </c>
    </row>
    <row r="7" spans="1:14" ht="23.7" customHeight="1" x14ac:dyDescent="0.3">
      <c r="A7" s="44">
        <v>2</v>
      </c>
      <c r="B7" s="43" t="str">
        <v>PURATOS</v>
      </c>
      <c r="C7" s="42">
        <v>252246</v>
      </c>
      <c r="D7" s="41">
        <f t="shared" si="0"/>
        <v>0.1506062257929118</v>
      </c>
      <c r="E7" s="40" t="s">
        <v>28</v>
      </c>
      <c r="F7" s="2"/>
      <c r="G7" s="19"/>
      <c r="H7" s="19"/>
      <c r="I7" s="19"/>
      <c r="J7" s="19"/>
      <c r="K7" s="19"/>
      <c r="M7" s="43" t="s">
        <v>27</v>
      </c>
      <c r="N7" s="42">
        <f>SUMIF('SEMANA JANEIRO'!$B:$B,"*DESTAK*",'SEMANA JANEIRO'!$I:$I)+SUMIF('SEMANA FEVEREIRO'!$B:$B,"*DESTAK*",'SEMANA FEVEREIRO'!$I:$I)+SUMIF('SEMANA MARÇO'!$B:$B,"*DESTAK*",'SEMANA MARÇO'!$I:$I)+SUMIF('SEMANA ABRIL'!$B:$B,"*DESTAK*",'SEMANA ABRIL'!$I:$I)+SUMIF('SEMANA MAIO'!$B:$B,"*DESTAK*",'SEMANA MAIO'!$I:$I)+SUMIF('SEMANA JUNHO'!$B:$B,"*DESTAK*",'SEMANA JUNHO'!$I:$I)+SUMIF('SEMANA JULHO'!$B:$B,"*DESTAK*",'SEMANA JULHO'!$I:$I)+SUMIF('SEMANA AGOSTO'!$B:$B,"*DESTAK*",'SEMANA AGOSTO'!$I:$I)+SUMIF('SEMANA SETEMBRO'!$B:$B,"*DESTAK*",'SEMANA SETEMBRO'!$I:$I)+SUMIF('SEMANA OUTUBRO'!$B:$B,"*DESTAK*",'SEMANA OUTUBRO'!$I:$I)+SUMIF('SEMANA NOVEMBRO'!$B:$B,"*DESTAK*",'SEMANA NOVEMBRO'!$I:$I)+SUMIF('SEMANA DEZEMBRO'!$B:$B,"*DESTAK*",'SEMANA DEZEMBRO'!$I:$I)+SUMIF('SEMANA JANEIRO'!$B:$B,"*NORCAU*",'SEMANA JANEIRO'!$I:$I)+SUMIF('SEMANA FEVEREIRO'!$B:$B,"*NORCAU*",'SEMANA FEVEREIRO'!$I:$I)+SUMIF('SEMANA MARÇO'!$B:$B,"*NORCAU*",'SEMANA MARÇO'!$I:$I)+SUMIF('SEMANA ABRIL'!$B:$B,"*NORCAU*",'SEMANA ABRIL'!$I:$I)+SUMIF('SEMANA MAIO'!$B:$B,"*NORCAU*",'SEMANA MAIO'!$I:$I)+SUMIF('SEMANA JUNHO'!$B:$B,"*NORCAU*",'SEMANA JUNHO'!$I:$I)+SUMIF('SEMANA JULHO'!$B:$B,"*NORCAU*",'SEMANA JULHO'!$I:$I)+SUMIF('SEMANA AGOSTO'!$B:$B,"*NORCAU*",'SEMANA AGOSTO'!$I:$I)+SUMIF('SEMANA SETEMBRO'!$B:$B,"*NORCAU*",'SEMANA SETEMBRO'!$I:$I)+SUMIF('SEMANA OUTUBRO'!$B:$B,"*NORCAU*",'SEMANA OUTUBRO'!$I:$I)+SUMIF('SEMANA NOVEMBRO'!$B:$B,"*NORCAU*",'SEMANA NOVEMBRO'!$I:$I)+SUMIF('SEMANA DEZEMBRO'!$B:$B,"*NORCAU*",'SEMANA DEZEMBRO'!$I:$I)</f>
        <v>252246</v>
      </c>
    </row>
    <row r="8" spans="1:14" ht="23.7" customHeight="1" x14ac:dyDescent="0.3">
      <c r="A8" s="39">
        <v>3</v>
      </c>
      <c r="B8" s="38" t="str">
        <v>ICEBERG CHEF</v>
      </c>
      <c r="C8" s="37">
        <v>168427</v>
      </c>
      <c r="D8" s="36">
        <f t="shared" si="0"/>
        <v>0.10056117754740514</v>
      </c>
      <c r="E8" s="35" t="s">
        <v>30</v>
      </c>
      <c r="F8" s="2"/>
      <c r="G8" s="19"/>
      <c r="H8" s="19"/>
      <c r="I8" s="19"/>
      <c r="J8" s="19"/>
      <c r="K8" s="19"/>
      <c r="M8" s="38" t="s">
        <v>29</v>
      </c>
      <c r="N8" s="37">
        <f>SUMIF('SEMANA JANEIRO'!$B:$B,"*ICEBERG*",'SEMANA JANEIRO'!$I:$I)+SUMIF('SEMANA FEVEREIRO'!$B:$B,"*ICEBERG*",'SEMANA FEVEREIRO'!$I:$I)+SUMIF('SEMANA MARÇO'!$B:$B,"*ICEBERG*",'SEMANA MARÇO'!$I:$I)+SUMIF('SEMANA ABRIL'!$B:$B,"*ICEBERG*",'SEMANA ABRIL'!$I:$I)+SUMIF('SEMANA MAIO'!$B:$B,"*ICEBERG*",'SEMANA MAIO'!$I:$I)+SUMIF('SEMANA JUNHO'!$B:$B,"*ICEBERG*",'SEMANA JUNHO'!$I:$I)+SUMIF('SEMANA JULHO'!$B:$B,"*ICEBERG*",'SEMANA JULHO'!$I:$I)+SUMIF('SEMANA AGOSTO'!$B:$B,"*ICEBERG*",'SEMANA AGOSTO'!$I:$I)+SUMIF('SEMANA SETEMBRO'!$B:$B,"*ICEBERG*",'SEMANA SETEMBRO'!$I:$I)+SUMIF('SEMANA OUTUBRO'!$B:$B,"*ICEBERG*",'SEMANA OUTUBRO'!$I:$I)+SUMIF('SEMANA NOVEMBRO'!$B:$B,"*ICEBERG*",'SEMANA NOVEMBRO'!$I:$I)+SUMIF('SEMANA DEZEMBRO'!$B:$B,"*ICEBERG*",'SEMANA DEZEMBRO'!$I:$I)</f>
        <v>168427</v>
      </c>
    </row>
    <row r="9" spans="1:14" ht="20.100000000000001" customHeight="1" x14ac:dyDescent="0.3">
      <c r="A9" s="34">
        <v>4</v>
      </c>
      <c r="B9" s="33" t="str">
        <v>ADIMIX</v>
      </c>
      <c r="C9" s="32">
        <v>120624</v>
      </c>
      <c r="D9" s="31">
        <f t="shared" si="0"/>
        <v>7.2019874963504649E-2</v>
      </c>
      <c r="E9" s="30" t="s">
        <v>32</v>
      </c>
      <c r="F9" s="2"/>
      <c r="G9" s="19"/>
      <c r="H9" s="19"/>
      <c r="I9" s="19"/>
      <c r="J9" s="19"/>
      <c r="K9" s="19"/>
      <c r="M9" s="33" t="s">
        <v>31</v>
      </c>
      <c r="N9" s="32">
        <f>SUMIF('SEMANA JANEIRO'!$B:$B,"*ADIMIX*",'SEMANA JANEIRO'!$I:$I)+SUMIF('SEMANA FEVEREIRO'!$B:$B,"*ADIMIX*",'SEMANA FEVEREIRO'!$I:$I)+SUMIF('SEMANA MARÇO'!$B:$B,"*ADIMIX*",'SEMANA MARÇO'!$I:$I)+SUMIF('SEMANA ABRIL'!$B:$B,"*ADIMIX*",'SEMANA ABRIL'!$I:$I)+SUMIF('SEMANA MAIO'!$B:$B,"*ADIMIX*",'SEMANA MAIO'!$I:$I)+SUMIF('SEMANA JUNHO'!$B:$B,"*ADIMIX*",'SEMANA JUNHO'!$I:$I)+SUMIF('SEMANA JULHO'!$B:$B,"*ADIMIX*",'SEMANA JULHO'!$I:$I)+SUMIF('SEMANA AGOSTO'!$B:$B,"*ADIMIX*",'SEMANA AGOSTO'!$I:$I)+SUMIF('SEMANA SETEMBRO'!$B:$B,"*ADIMIX*",'SEMANA SETEMBRO'!$I:$I)+SUMIF('SEMANA OUTUBRO'!$B:$B,"*ADIMIX*",'SEMANA OUTUBRO'!$I:$I)+SUMIF('SEMANA NOVEMBRO'!$B:$B,"*ADIMIX*",'SEMANA NOVEMBRO'!$I:$I)+SUMIF('SEMANA DEZEMBRO'!$B:$B,"*ADIMIX*",'SEMANA DEZEMBRO'!$I:$I)</f>
        <v>120624</v>
      </c>
    </row>
    <row r="10" spans="1:14" ht="20.100000000000001" customHeight="1" x14ac:dyDescent="0.3">
      <c r="A10" s="29">
        <v>5</v>
      </c>
      <c r="B10" s="28" t="str">
        <v>ALLBREAD</v>
      </c>
      <c r="C10" s="27">
        <v>44124</v>
      </c>
      <c r="D10" s="26">
        <f t="shared" si="0"/>
        <v>2.6344715503462655E-2</v>
      </c>
      <c r="E10" s="25" t="s">
        <v>34</v>
      </c>
      <c r="F10" s="2"/>
      <c r="G10" s="19"/>
      <c r="H10" s="19"/>
      <c r="I10" s="19"/>
      <c r="J10" s="19"/>
      <c r="K10" s="19"/>
      <c r="M10" s="28" t="s">
        <v>35</v>
      </c>
      <c r="N10" s="27">
        <f>SUMIF('SEMANA JANEIRO'!$B:$B,"*FESTPAN*",'SEMANA JANEIRO'!$I:$I)+SUMIF('SEMANA FEVEREIRO'!$B:$B,"*FESTPAN*",'SEMANA FEVEREIRO'!$I:$I)+SUMIF('SEMANA MARÇO'!$B:$B,"*FESTPAN*",'SEMANA MARÇO'!$I:$I)+SUMIF('SEMANA ABRIL'!$B:$B,"*FESTPAN*",'SEMANA ABRIL'!$I:$I)+SUMIF('SEMANA MAIO'!$B:$B,"*FESTPAN*",'SEMANA MAIO'!$I:$I)+SUMIF('SEMANA JUNHO'!$B:$B,"*FESTPAN*",'SEMANA JUNHO'!$I:$I)+SUMIF('SEMANA JULHO'!$B:$B,"*FESTPAN*",'SEMANA JULHO'!$I:$I)+SUMIF('SEMANA AGOSTO'!$B:$B,"*FESTPAN*",'SEMANA AGOSTO'!$I:$I)+SUMIF('SEMANA SETEMBRO'!$B:$B,"*FESTPAN*",'SEMANA SETEMBRO'!$I:$I)+SUMIF('SEMANA OUTUBRO'!$B:$B,"*FESTPAN*",'SEMANA OUTUBRO'!$I:$I)+SUMIF('SEMANA NOVEMBRO'!$B:$B,"*FESTPAN*",'SEMANA NOVEMBRO'!$I:$I)+SUMIF('SEMANA DEZEMBRO'!$B:$B,"*FESTPAN*",'SEMANA DEZEMBRO'!$I:$I)</f>
        <v>43632</v>
      </c>
    </row>
    <row r="11" spans="1:14" ht="20.100000000000001" customHeight="1" x14ac:dyDescent="0.3">
      <c r="A11" s="34">
        <v>6</v>
      </c>
      <c r="B11" s="33" t="str">
        <v>FESTPAN</v>
      </c>
      <c r="C11" s="32">
        <v>43632</v>
      </c>
      <c r="D11" s="31">
        <f t="shared" si="0"/>
        <v>2.6050961536739248E-2</v>
      </c>
      <c r="E11" s="30" t="s">
        <v>36</v>
      </c>
      <c r="F11" s="2"/>
      <c r="G11" s="19"/>
      <c r="H11" s="19"/>
      <c r="I11" s="19"/>
      <c r="J11" s="19"/>
      <c r="K11" s="19"/>
      <c r="M11" s="33" t="s">
        <v>259</v>
      </c>
      <c r="N11" s="32">
        <f>SUMIF('SEMANA JANEIRO'!$B:$B,"*QUALICOCO*",'SEMANA JANEIRO'!$I:$I)+SUMIF('SEMANA FEVEREIRO'!$B:$B,"*QUALICOCO*",'SEMANA FEVEREIRO'!$I:$I)+SUMIF('SEMANA MARÇO'!$B:$B,"*QUALICOCO*",'SEMANA MARÇO'!$I:$I)+SUMIF('SEMANA ABRIL'!$B:$B,"*QUALICOCO*",'SEMANA ABRIL'!$I:$I)+SUMIF('SEMANA MAIO'!$B:$B,"*QUALICOCO*",'SEMANA MAIO'!$I:$I)+SUMIF('SEMANA JUNHO'!$B:$B,"*QUALICOCO*",'SEMANA JUNHO'!$I:$I)+SUMIF('SEMANA JULHO'!$B:$B,"*QUALICOCO*",'SEMANA JULHO'!$I:$I)+SUMIF('SEMANA AGOSTO'!$B:$B,"*QUALICOCO*",'SEMANA AGOSTO'!$I:$I)+SUMIF('SEMANA SETEMBRO'!$B:$B,"*QUALICOCO*",'SEMANA SETEMBRO'!$I:$I)+SUMIF('SEMANA OUTUBRO'!$B:$B,"*QUALICOCO*",'SEMANA OUTUBRO'!$I:$I)+SUMIF('SEMANA NOVEMBRO'!$B:$B,"*QUALICOCO*",'SEMANA NOVEMBRO'!$I:$I)+SUMIF('SEMANA DEZEMBRO'!$B:$B,"*QUALICOCO*",'SEMANA DEZEMBRO'!$I:$I)</f>
        <v>34008</v>
      </c>
    </row>
    <row r="12" spans="1:14" ht="20.100000000000001" customHeight="1" x14ac:dyDescent="0.3">
      <c r="A12" s="29">
        <v>7</v>
      </c>
      <c r="B12" s="28" t="str">
        <v>QUALICOCO</v>
      </c>
      <c r="C12" s="27">
        <v>34008</v>
      </c>
      <c r="D12" s="26">
        <f t="shared" si="0"/>
        <v>2.0304847358393573E-2</v>
      </c>
      <c r="E12" s="25" t="s">
        <v>38</v>
      </c>
      <c r="F12" s="2"/>
      <c r="G12" s="19"/>
      <c r="H12" s="19"/>
      <c r="I12" s="19"/>
      <c r="J12" s="19"/>
      <c r="K12" s="19"/>
      <c r="M12" s="28" t="s">
        <v>33</v>
      </c>
      <c r="N12" s="27">
        <f>SUMIF('SEMANA JANEIRO'!$B:$B,"*DONA JURA*",'SEMANA JANEIRO'!$I:$I)+SUMIF('SEMANA FEVEREIRO'!$B:$B,"*DONA JURA*",'SEMANA FEVEREIRO'!$I:$I)+SUMIF('SEMANA MARÇO'!$B:$B,"*DONA JURA*",'SEMANA MARÇO'!$I:$I)+SUMIF('SEMANA ABRIL'!$B:$B,"*DONA JURA*",'SEMANA ABRIL'!$I:$I)+SUMIF('SEMANA MAIO'!$B:$B,"*DONA JURA*",'SEMANA MAIO'!$I:$I)+SUMIF('SEMANA JUNHO'!$B:$B,"*DONA JURA*",'SEMANA JUNHO'!$I:$I)+SUMIF('SEMANA JULHO'!$B:$B,"*DONA JURA*",'SEMANA JULHO'!$I:$I)+SUMIF('SEMANA AGOSTO'!$B:$B,"*DONA JURA*",'SEMANA AGOSTO'!$I:$I)+SUMIF('SEMANA SETEMBRO'!$B:$B,"*DONA JURA*",'SEMANA SETEMBRO'!$I:$I)+SUMIF('SEMANA OUTUBRO'!$B:$B,"*DONA JURA*",'SEMANA OUTUBRO'!$I:$I)+SUMIF('SEMANA NOVEMBRO'!$B:$B,"*DONA JURA*",'SEMANA NOVEMBRO'!$I:$I)+SUMIF('SEMANA DEZEMBRO'!$B:$B,"*DONA JURA*",'SEMANA DEZEMBRO'!$I:$I)</f>
        <v>24888</v>
      </c>
    </row>
    <row r="13" spans="1:14" ht="20.100000000000001" customHeight="1" x14ac:dyDescent="0.3">
      <c r="A13" s="34">
        <v>8</v>
      </c>
      <c r="B13" s="33" t="str">
        <v>ITAIQUARA</v>
      </c>
      <c r="C13" s="32">
        <v>25176</v>
      </c>
      <c r="D13" s="31">
        <f t="shared" si="0"/>
        <v>1.5031605419163626E-2</v>
      </c>
      <c r="E13" s="30" t="s">
        <v>40</v>
      </c>
      <c r="F13" s="2"/>
      <c r="G13" s="19"/>
      <c r="H13" s="19"/>
      <c r="I13" s="19"/>
      <c r="J13" s="19"/>
      <c r="K13" s="19"/>
      <c r="M13" s="33" t="s">
        <v>37</v>
      </c>
      <c r="N13" s="32">
        <f>SUMIF('SEMANA JANEIRO'!$B:$B,"*ALLBREAD*",'SEMANA JANEIRO'!$I:$I)+SUMIF('SEMANA FEVEREIRO'!$B:$B,"*ALLBREAD*",'SEMANA FEVEREIRO'!$I:$I)+SUMIF('SEMANA MARÇO'!$B:$B,"*ALLBREAD*",'SEMANA MARÇO'!$I:$I)+SUMIF('SEMANA ABRIL'!$B:$B,"*ALLBREAD*",'SEMANA ABRIL'!$I:$I)+SUMIF('SEMANA MAIO'!$B:$B,"*ALLBREAD*",'SEMANA MAIO'!$I:$I)+SUMIF('SEMANA JUNHO'!$B:$B,"*ALLBREAD*",'SEMANA JUNHO'!$I:$I)+SUMIF('SEMANA JULHO'!$B:$B,"*ALLBREAD*",'SEMANA JULHO'!$I:$I)+SUMIF('SEMANA AGOSTO'!$B:$B,"*ALLBREAD*",'SEMANA AGOSTO'!$I:$I)+SUMIF('SEMANA SETEMBRO'!$B:$B,"*ALLBREAD*",'SEMANA SETEMBRO'!$I:$I)+SUMIF('SEMANA OUTUBRO'!$B:$B,"*ALLBREAD*",'SEMANA OUTUBRO'!$I:$I)+SUMIF('SEMANA NOVEMBRO'!$B:$B,"*ALLBREAD*",'SEMANA NOVEMBRO'!$I:$I)+SUMIF('SEMANA DEZEMBRO'!$B:$B,"*ALLBREAD*",'SEMANA DEZEMBRO'!$I:$I)</f>
        <v>44124</v>
      </c>
    </row>
    <row r="14" spans="1:14" ht="20.100000000000001" customHeight="1" x14ac:dyDescent="0.3">
      <c r="A14" s="29">
        <v>9</v>
      </c>
      <c r="B14" s="28" t="str">
        <v>DONA JURA</v>
      </c>
      <c r="C14" s="27">
        <v>24888</v>
      </c>
      <c r="D14" s="26">
        <f t="shared" si="0"/>
        <v>1.4859651877666996E-2</v>
      </c>
      <c r="E14" s="25" t="s">
        <v>42</v>
      </c>
      <c r="F14" s="2"/>
      <c r="G14" s="19"/>
      <c r="H14" s="19"/>
      <c r="I14" s="19"/>
      <c r="J14" s="19"/>
      <c r="K14" s="19"/>
      <c r="M14" s="28" t="s">
        <v>571</v>
      </c>
      <c r="N14" s="27">
        <f>SUMIF('SEMANA JANEIRO'!$B:$B,"*DONA LELLA*",'SEMANA JANEIRO'!$I:$I)+SUMIF('SEMANA FEVEREIRO'!$B:$B,"*DONA LELLA*",'SEMANA FEVEREIRO'!$I:$I)+SUMIF('SEMANA MARÇO'!$B:$B,"*DONA LELLA*",'SEMANA MARÇO'!$I:$I)+SUMIF('SEMANA ABRIL'!$B:$B,"*DONA LELLA*",'SEMANA ABRIL'!$I:$I)+SUMIF('SEMANA MAIO'!$B:$B,"*DONA LELLA*",'SEMANA MAIO'!$I:$I)+SUMIF('SEMANA JUNHO'!$B:$B,"*DONA LELLA*",'SEMANA JUNHO'!$I:$I)+SUMIF('SEMANA JULHO'!$B:$B,"*DONA LELLA*",'SEMANA JULHO'!$I:$I)+SUMIF('SEMANA AGOSTO'!$B:$B,"*DONA LELLA*",'SEMANA AGOSTO'!$I:$I)+SUMIF('SEMANA SETEMBRO'!$B:$B,"*DONA LELLA*",'SEMANA SETEMBRO'!$I:$I)+SUMIF('SEMANA OUTUBRO'!$B:$B,"*DONA LELLA*",'SEMANA OUTUBRO'!$I:$I)+SUMIF('SEMANA NOVEMBRO'!$B:$B,"*DONA LELLA*",'SEMANA NOVEMBRO'!$I:$I)+SUMIF('SEMANA DEZEMBRO'!$B:$B,"*DONA LELLA*",'SEMANA DEZEMBRO'!$I:$I)</f>
        <v>19800</v>
      </c>
    </row>
    <row r="15" spans="1:14" ht="20.100000000000001" customHeight="1" thickBot="1" x14ac:dyDescent="0.35">
      <c r="A15" s="24">
        <v>10</v>
      </c>
      <c r="B15" s="23" t="str">
        <v>DONA LELLA</v>
      </c>
      <c r="C15" s="22">
        <v>19800</v>
      </c>
      <c r="D15" s="21">
        <f t="shared" si="0"/>
        <v>1.1821805977893222E-2</v>
      </c>
      <c r="E15" s="20" t="s">
        <v>44</v>
      </c>
      <c r="F15" s="2"/>
      <c r="G15" s="19"/>
      <c r="H15" s="19"/>
      <c r="I15" s="19"/>
      <c r="J15" s="19"/>
      <c r="K15" s="19"/>
      <c r="M15" s="23" t="s">
        <v>131</v>
      </c>
      <c r="N15" s="22">
        <f>SUMIF('SEMANA JANEIRO'!$B:$B,"*ITAIQUARA*",'SEMANA JANEIRO'!$I:$I)+SUMIF('SEMANA FEVEREIRO'!$B:$B,"*ITAIQUARA*",'SEMANA FEVEREIRO'!$I:$I)+SUMIF('SEMANA MARÇO'!$B:$B,"*ITAIQUARA*",'SEMANA MARÇO'!$I:$I)+SUMIF('SEMANA ABRIL'!$B:$B,"*ITAIQUARA*",'SEMANA ABRIL'!$I:$I)+SUMIF('SEMANA MAIO'!$B:$B,"*ITAIQUARA*",'SEMANA MAIO'!$I:$I)+SUMIF('SEMANA JUNHO'!$B:$B,"*ITAIQUARA*",'SEMANA JUNHO'!$I:$I)+SUMIF('SEMANA JULHO'!$B:$B,"*ITAIQUARA*",'SEMANA JULHO'!$I:$I)+SUMIF('SEMANA AGOSTO'!$B:$B,"*ITAIQUARA*",'SEMANA AGOSTO'!$I:$I)+SUMIF('SEMANA SETEMBRO'!$B:$B,"*ITAIQUARA*",'SEMANA SETEMBRO'!$I:$I)+SUMIF('SEMANA OUTUBRO'!$B:$B,"*ITAIQUARA*",'SEMANA OUTUBRO'!$I:$I)+SUMIF('SEMANA NOVEMBRO'!$B:$B,"*ITAIQUARA*",'SEMANA NOVEMBRO'!$I:$I)+SUMIF('SEMANA DEZEMBRO'!$B:$B,"*ITAIQUARA*",'SEMANA DEZEMBRO'!$I:$I)</f>
        <v>25176</v>
      </c>
    </row>
    <row r="16" spans="1:14" ht="7.35" customHeight="1" x14ac:dyDescent="0.3">
      <c r="A16" s="2"/>
      <c r="B16" s="2"/>
      <c r="C16" s="2"/>
      <c r="D16" s="2"/>
      <c r="E16" s="2"/>
      <c r="F16" s="2"/>
      <c r="G16" s="19"/>
      <c r="H16" s="19"/>
      <c r="I16" s="19"/>
      <c r="J16" s="19"/>
      <c r="K16" s="19"/>
    </row>
    <row r="17" spans="1:11" ht="25.35" customHeight="1" x14ac:dyDescent="0.3">
      <c r="A17" s="631" t="s">
        <v>967</v>
      </c>
      <c r="B17" s="632"/>
      <c r="C17" s="56">
        <f>SUMIFS('SEMANA JANEIRO'!$I:$I,'SEMANA JANEIRO'!$B:$B,"&lt;&gt;",'SEMANA JANEIRO'!$B:$B,"&lt;&gt;TOTAL",'SEMANA JANEIRO'!$B:$B,"&lt;&gt;PRODUTO")+SUMIFS('SEMANA FEVEREIRO'!$I:$I,'SEMANA FEVEREIRO'!$B:$B,"&lt;&gt;",'SEMANA FEVEREIRO'!$B:$B,"&lt;&gt;TOTAL",'SEMANA FEVEREIRO'!$B:$B,"&lt;&gt;PRODUTO")+SUMIFS('SEMANA MARÇO'!$I:$I,'SEMANA MARÇO'!$B:$B,"&lt;&gt;",'SEMANA MARÇO'!$B:$B,"&lt;&gt;TOTAL",'SEMANA MARÇO'!$B:$B,"&lt;&gt;PRODUTO")+SUMIFS('SEMANA ABRIL'!$I:$I,'SEMANA ABRIL'!$B:$B,"&lt;&gt;",'SEMANA ABRIL'!$B:$B,"&lt;&gt;TOTAL",'SEMANA ABRIL'!$B:$B,"&lt;&gt;PRODUTO")+SUMIFS('SEMANA MAIO'!$I:$I,'SEMANA MAIO'!$B:$B,"&lt;&gt;",'SEMANA MAIO'!$B:$B,"&lt;&gt;TOTAL",'SEMANA MAIO'!$B:$B,"&lt;&gt;PRODUTO")+SUMIFS('SEMANA JUNHO'!$I:$I,'SEMANA JUNHO'!$B:$B,"&lt;&gt;",'SEMANA JUNHO'!$B:$B,"&lt;&gt;TOTAL",'SEMANA JUNHO'!$B:$B,"&lt;&gt;PRODUTO")+SUMIFS('SEMANA JULHO'!$I:$I,'SEMANA JULHO'!$B:$B,"&lt;&gt;",'SEMANA JULHO'!$B:$B,"&lt;&gt;TOTAL",'SEMANA JULHO'!$B:$B,"&lt;&gt;PRODUTO")+SUMIFS('SEMANA AGOSTO'!$I:$I,'SEMANA AGOSTO'!$B:$B,"&lt;&gt;",'SEMANA AGOSTO'!$B:$B,"&lt;&gt;TOTAL",'SEMANA AGOSTO'!$B:$B,"&lt;&gt;PRODUTO")+SUMIFS('SEMANA SETEMBRO'!$I:$I,'SEMANA SETEMBRO'!$B:$B,"&lt;&gt;",'SEMANA SETEMBRO'!$B:$B,"&lt;&gt;TOTAL",'SEMANA SETEMBRO'!$B:$B,"&lt;&gt;PRODUTO")+SUMIFS('SEMANA OUTUBRO'!$I:$I,'SEMANA OUTUBRO'!$B:$B,"&lt;&gt;",'SEMANA OUTUBRO'!$B:$B,"&lt;&gt;TOTAL",'SEMANA OUTUBRO'!$B:$B,"&lt;&gt;PRODUTO")+SUMIFS('SEMANA NOVEMBRO'!$I:$I,'SEMANA NOVEMBRO'!$B:$B,"&lt;&gt;",'SEMANA NOVEMBRO'!$B:$B,"&lt;&gt;TOTAL",'SEMANA NOVEMBRO'!$B:$B,"&lt;&gt;PRODUTO")+SUMIFS('SEMANA DEZEMBRO'!$I:$I,'SEMANA DEZEMBRO'!$B:$B,"&lt;&gt;",'SEMANA DEZEMBRO'!$B:$B,"&lt;&gt;TOTAL",'SEMANA DEZEMBRO'!$B:$B,"&lt;&gt;PRODUTO")</f>
        <v>1674871</v>
      </c>
      <c r="D17" s="633">
        <v>1</v>
      </c>
      <c r="E17" s="634"/>
      <c r="F17" s="2"/>
      <c r="G17" s="19"/>
      <c r="H17" s="19"/>
      <c r="I17" s="19"/>
      <c r="J17" s="19"/>
      <c r="K17" s="19"/>
    </row>
    <row r="18" spans="1:11" ht="7.35" customHeight="1" x14ac:dyDescent="0.3">
      <c r="A18" s="2"/>
      <c r="B18" s="2"/>
      <c r="C18" s="2"/>
      <c r="D18" s="2"/>
      <c r="E18" s="2"/>
      <c r="F18" s="2"/>
      <c r="G18" s="19"/>
      <c r="H18" s="19"/>
      <c r="I18" s="19"/>
      <c r="J18" s="19"/>
      <c r="K18" s="19"/>
    </row>
    <row r="19" spans="1:11" ht="16.350000000000001" customHeight="1" x14ac:dyDescent="0.3">
      <c r="A19" s="624" t="s">
        <v>966</v>
      </c>
      <c r="B19" s="624"/>
      <c r="C19" s="624"/>
      <c r="D19" s="624"/>
      <c r="E19" s="624"/>
      <c r="F19" s="2"/>
      <c r="G19" s="19"/>
      <c r="H19" s="19"/>
      <c r="I19" s="19"/>
      <c r="J19" s="19"/>
      <c r="K19" s="19"/>
    </row>
    <row r="20" spans="1:11" ht="5.7" customHeight="1" x14ac:dyDescent="0.3">
      <c r="A20" s="2"/>
      <c r="B20" s="2"/>
      <c r="C20" s="2"/>
      <c r="D20" s="2"/>
      <c r="E20" s="2"/>
      <c r="F20" s="2"/>
      <c r="G20" s="19"/>
      <c r="H20" s="19"/>
      <c r="I20" s="19"/>
      <c r="J20" s="19"/>
      <c r="K20" s="19"/>
    </row>
    <row r="21" spans="1:11" ht="18" customHeight="1" x14ac:dyDescent="0.3">
      <c r="A21" s="626" t="s">
        <v>965</v>
      </c>
      <c r="B21" s="627"/>
      <c r="C21" s="627"/>
      <c r="D21" s="627"/>
      <c r="E21" s="628"/>
      <c r="F21" s="2"/>
      <c r="G21" s="19"/>
      <c r="H21" s="19"/>
      <c r="I21" s="19"/>
      <c r="J21" s="19"/>
      <c r="K21" s="19"/>
    </row>
    <row r="22" spans="1:11" x14ac:dyDescent="0.3">
      <c r="A22" s="2"/>
      <c r="B22" s="2"/>
      <c r="C22" s="2"/>
      <c r="D22" s="2"/>
      <c r="E22" s="2"/>
    </row>
    <row r="23" spans="1:11" ht="22.2" customHeight="1" thickBot="1" x14ac:dyDescent="0.35">
      <c r="A23" s="635" t="s">
        <v>1289</v>
      </c>
      <c r="B23" s="635"/>
      <c r="C23" s="635"/>
      <c r="D23" s="635"/>
      <c r="E23" s="635"/>
      <c r="F23" s="635"/>
      <c r="G23" s="635"/>
    </row>
    <row r="24" spans="1:11" ht="18" customHeight="1" x14ac:dyDescent="0.3">
      <c r="A24" s="636" t="s">
        <v>1290</v>
      </c>
      <c r="B24" s="636"/>
      <c r="C24" s="636"/>
      <c r="D24" s="636"/>
      <c r="E24" s="636"/>
      <c r="F24" s="636"/>
      <c r="G24" s="636"/>
    </row>
    <row r="25" spans="1:11" x14ac:dyDescent="0.3">
      <c r="A25" s="2"/>
      <c r="B25" s="2"/>
      <c r="C25" s="2"/>
      <c r="D25" s="2"/>
      <c r="E25" s="2"/>
    </row>
    <row r="26" spans="1:11" ht="15" thickBot="1" x14ac:dyDescent="0.35">
      <c r="A26" s="229" t="s">
        <v>20</v>
      </c>
      <c r="B26" s="229" t="s">
        <v>21</v>
      </c>
      <c r="C26" s="230" t="s">
        <v>894</v>
      </c>
      <c r="D26" s="229" t="s">
        <v>9</v>
      </c>
      <c r="E26" s="229" t="s">
        <v>10</v>
      </c>
      <c r="F26" s="246" t="s">
        <v>972</v>
      </c>
      <c r="G26" s="252" t="s">
        <v>973</v>
      </c>
    </row>
    <row r="27" spans="1:11" x14ac:dyDescent="0.3">
      <c r="A27" s="231" t="s">
        <v>1040</v>
      </c>
      <c r="B27" s="232" t="str" cm="1">
        <f t="array" ref="B27">INDEX($B$6:$B$15,ROW()-26)</f>
        <v>UNTA FACIL</v>
      </c>
      <c r="C27" s="233" cm="1">
        <f t="array" ref="C27">_xlfn.LET(_xlpm.p,$B27,_xlpm.crit,IF(_xlpm.p="PURATOS",{"*DESTAK*","*NORCAU*"},IF(ISNUMBER(SEARCH("ICEBERG",_xlpm.p)),"*ICEBERG*","*"&amp;_xlpm.p&amp;"*")),SUM(SUMIFS(_AUTO_BASE!$E:$E,_AUTO_BASE!$C:$C,_xlpm.crit,_AUTO_BASE!$I:$I,180)))</f>
        <v>66096</v>
      </c>
      <c r="D27" s="233" cm="1">
        <f t="array" ref="D27">_xlfn.LET(_xlpm.p,$B27,_xlpm.crit,IF(_xlpm.p="PURATOS",{"*DESTAK*","*NORCAU*"},IF(ISNUMBER(SEARCH("ICEBERG",_xlpm.p)),"*ICEBERG*","*"&amp;_xlpm.p&amp;"*")),SUM(SUMIFS(_AUTO_BASE!$E:$E,_AUTO_BASE!$C:$C,_xlpm.crit,_AUTO_BASE!$I:$I,400)))</f>
        <v>209820</v>
      </c>
      <c r="E27" s="233" cm="1">
        <f t="array" ref="E27">_xlfn.LET(_xlpm.p,$B27,_xlpm.crit,IF(_xlpm.p="PURATOS",{"*DESTAK*","*NORCAU*"},IF(ISNUMBER(SEARCH("ICEBERG",_xlpm.p)),"*ICEBERG*","*"&amp;_xlpm.p&amp;"*")),SUM(SUMIFS(_AUTO_BASE!$E:$E,_AUTO_BASE!$C:$C,_xlpm.crit,_AUTO_BASE!$I:$I,600)))</f>
        <v>108528</v>
      </c>
      <c r="F27" s="247">
        <f t="shared" ref="F27:F36" si="1">G27-SUM(C27:E27)</f>
        <v>0</v>
      </c>
      <c r="G27" s="253" cm="1">
        <f t="array" ref="G27">INDEX($C$6:$C$15,ROW()-26)</f>
        <v>384444</v>
      </c>
    </row>
    <row r="28" spans="1:11" x14ac:dyDescent="0.3">
      <c r="A28" s="234" t="s">
        <v>1041</v>
      </c>
      <c r="B28" s="235" t="str" cm="1">
        <f t="array" ref="B28">INDEX($B$6:$B$15,ROW()-26)</f>
        <v>PURATOS</v>
      </c>
      <c r="C28" s="236" cm="1">
        <f t="array" ref="C28">_xlfn.LET(_xlpm.p,$B28,_xlpm.crit,IF(_xlpm.p="PURATOS",{"*DESTAK*","*NORCAU*"},IF(ISNUMBER(SEARCH("ICEBERG",_xlpm.p)),"*ICEBERG*","*"&amp;_xlpm.p&amp;"*")),SUM(SUMIFS(_AUTO_BASE!$E:$E,_AUTO_BASE!$C:$C,_xlpm.crit,_AUTO_BASE!$I:$I,180)))</f>
        <v>0</v>
      </c>
      <c r="D28" s="236" cm="1">
        <f t="array" ref="D28">_xlfn.LET(_xlpm.p,$B28,_xlpm.crit,IF(_xlpm.p="PURATOS",{"*DESTAK*","*NORCAU*"},IF(ISNUMBER(SEARCH("ICEBERG",_xlpm.p)),"*ICEBERG*","*"&amp;_xlpm.p&amp;"*")),SUM(SUMIFS(_AUTO_BASE!$E:$E,_AUTO_BASE!$C:$C,_xlpm.crit,_AUTO_BASE!$I:$I,400)))</f>
        <v>0</v>
      </c>
      <c r="E28" s="236" cm="1">
        <f t="array" ref="E28">_xlfn.LET(_xlpm.p,$B28,_xlpm.crit,IF(_xlpm.p="PURATOS",{"*DESTAK*","*NORCAU*"},IF(ISNUMBER(SEARCH("ICEBERG",_xlpm.p)),"*ICEBERG*","*"&amp;_xlpm.p&amp;"*")),SUM(SUMIFS(_AUTO_BASE!$E:$E,_AUTO_BASE!$C:$C,_xlpm.crit,_AUTO_BASE!$I:$I,600)))</f>
        <v>240846</v>
      </c>
      <c r="F28" s="248">
        <f t="shared" si="1"/>
        <v>11400</v>
      </c>
      <c r="G28" s="254" cm="1">
        <f t="array" ref="G28">INDEX($C$6:$C$15,ROW()-26)</f>
        <v>252246</v>
      </c>
    </row>
    <row r="29" spans="1:11" x14ac:dyDescent="0.3">
      <c r="A29" s="237" t="s">
        <v>1042</v>
      </c>
      <c r="B29" s="238" t="str" cm="1">
        <f t="array" ref="B29">INDEX($B$6:$B$15,ROW()-26)</f>
        <v>ICEBERG CHEF</v>
      </c>
      <c r="C29" s="239" cm="1">
        <f t="array" ref="C29">_xlfn.LET(_xlpm.p,$B29,_xlpm.crit,IF(_xlpm.p="PURATOS",{"*DESTAK*","*NORCAU*"},IF(ISNUMBER(SEARCH("ICEBERG",_xlpm.p)),"*ICEBERG*","*"&amp;_xlpm.p&amp;"*")),SUM(SUMIFS(_AUTO_BASE!$E:$E,_AUTO_BASE!$C:$C,_xlpm.crit,_AUTO_BASE!$I:$I,180)))</f>
        <v>0</v>
      </c>
      <c r="D29" s="239" cm="1">
        <f t="array" ref="D29">_xlfn.LET(_xlpm.p,$B29,_xlpm.crit,IF(_xlpm.p="PURATOS",{"*DESTAK*","*NORCAU*"},IF(ISNUMBER(SEARCH("ICEBERG",_xlpm.p)),"*ICEBERG*","*"&amp;_xlpm.p&amp;"*")),SUM(SUMIFS(_AUTO_BASE!$E:$E,_AUTO_BASE!$C:$C,_xlpm.crit,_AUTO_BASE!$I:$I,400)))</f>
        <v>163896</v>
      </c>
      <c r="E29" s="239" cm="1">
        <f t="array" ref="E29">_xlfn.LET(_xlpm.p,$B29,_xlpm.crit,IF(_xlpm.p="PURATOS",{"*DESTAK*","*NORCAU*"},IF(ISNUMBER(SEARCH("ICEBERG",_xlpm.p)),"*ICEBERG*","*"&amp;_xlpm.p&amp;"*")),SUM(SUMIFS(_AUTO_BASE!$E:$E,_AUTO_BASE!$C:$C,_xlpm.crit,_AUTO_BASE!$I:$I,600)))</f>
        <v>0</v>
      </c>
      <c r="F29" s="249">
        <f t="shared" si="1"/>
        <v>4531</v>
      </c>
      <c r="G29" s="255" cm="1">
        <f t="array" ref="G29">INDEX($C$6:$C$15,ROW()-26)</f>
        <v>168427</v>
      </c>
    </row>
    <row r="30" spans="1:11" x14ac:dyDescent="0.3">
      <c r="A30" s="240" t="s">
        <v>1043</v>
      </c>
      <c r="B30" s="241" t="str" cm="1">
        <f t="array" ref="B30">INDEX($B$6:$B$15,ROW()-26)</f>
        <v>ADIMIX</v>
      </c>
      <c r="C30" s="242" cm="1">
        <f t="array" ref="C30">_xlfn.LET(_xlpm.p,$B30,_xlpm.crit,IF(_xlpm.p="PURATOS",{"*DESTAK*","*NORCAU*"},IF(ISNUMBER(SEARCH("ICEBERG",_xlpm.p)),"*ICEBERG*","*"&amp;_xlpm.p&amp;"*")),SUM(SUMIFS(_AUTO_BASE!$E:$E,_AUTO_BASE!$C:$C,_xlpm.crit,_AUTO_BASE!$I:$I,180)))</f>
        <v>0</v>
      </c>
      <c r="D30" s="242" cm="1">
        <f t="array" ref="D30">_xlfn.LET(_xlpm.p,$B30,_xlpm.crit,IF(_xlpm.p="PURATOS",{"*DESTAK*","*NORCAU*"},IF(ISNUMBER(SEARCH("ICEBERG",_xlpm.p)),"*ICEBERG*","*"&amp;_xlpm.p&amp;"*")),SUM(SUMIFS(_AUTO_BASE!$E:$E,_AUTO_BASE!$C:$C,_xlpm.crit,_AUTO_BASE!$I:$I,400)))</f>
        <v>0</v>
      </c>
      <c r="E30" s="242" cm="1">
        <f t="array" ref="E30">_xlfn.LET(_xlpm.p,$B30,_xlpm.crit,IF(_xlpm.p="PURATOS",{"*DESTAK*","*NORCAU*"},IF(ISNUMBER(SEARCH("ICEBERG",_xlpm.p)),"*ICEBERG*","*"&amp;_xlpm.p&amp;"*")),SUM(SUMIFS(_AUTO_BASE!$E:$E,_AUTO_BASE!$C:$C,_xlpm.crit,_AUTO_BASE!$I:$I,600)))</f>
        <v>120624</v>
      </c>
      <c r="F30" s="250">
        <f t="shared" si="1"/>
        <v>0</v>
      </c>
      <c r="G30" s="256" cm="1">
        <f t="array" ref="G30">INDEX($C$6:$C$15,ROW()-26)</f>
        <v>120624</v>
      </c>
    </row>
    <row r="31" spans="1:11" x14ac:dyDescent="0.3">
      <c r="A31" s="243" t="s">
        <v>1044</v>
      </c>
      <c r="B31" s="244" t="str" cm="1">
        <f t="array" ref="B31">INDEX($B$6:$B$15,ROW()-26)</f>
        <v>ALLBREAD</v>
      </c>
      <c r="C31" s="245" cm="1">
        <f t="array" ref="C31">_xlfn.LET(_xlpm.p,$B31,_xlpm.crit,IF(_xlpm.p="PURATOS",{"*DESTAK*","*NORCAU*"},IF(ISNUMBER(SEARCH("ICEBERG",_xlpm.p)),"*ICEBERG*","*"&amp;_xlpm.p&amp;"*")),SUM(SUMIFS(_AUTO_BASE!$E:$E,_AUTO_BASE!$C:$C,_xlpm.crit,_AUTO_BASE!$I:$I,180)))</f>
        <v>0</v>
      </c>
      <c r="D31" s="245" cm="1">
        <f t="array" ref="D31">_xlfn.LET(_xlpm.p,$B31,_xlpm.crit,IF(_xlpm.p="PURATOS",{"*DESTAK*","*NORCAU*"},IF(ISNUMBER(SEARCH("ICEBERG",_xlpm.p)),"*ICEBERG*","*"&amp;_xlpm.p&amp;"*")),SUM(SUMIFS(_AUTO_BASE!$E:$E,_AUTO_BASE!$C:$C,_xlpm.crit,_AUTO_BASE!$I:$I,400)))</f>
        <v>0</v>
      </c>
      <c r="E31" s="245" cm="1">
        <f t="array" ref="E31">_xlfn.LET(_xlpm.p,$B31,_xlpm.crit,IF(_xlpm.p="PURATOS",{"*DESTAK*","*NORCAU*"},IF(ISNUMBER(SEARCH("ICEBERG",_xlpm.p)),"*ICEBERG*","*"&amp;_xlpm.p&amp;"*")),SUM(SUMIFS(_AUTO_BASE!$E:$E,_AUTO_BASE!$C:$C,_xlpm.crit,_AUTO_BASE!$I:$I,600)))</f>
        <v>44124</v>
      </c>
      <c r="F31" s="251">
        <f t="shared" si="1"/>
        <v>0</v>
      </c>
      <c r="G31" s="257" cm="1">
        <f t="array" ref="G31">INDEX($C$6:$C$15,ROW()-26)</f>
        <v>44124</v>
      </c>
    </row>
    <row r="32" spans="1:11" x14ac:dyDescent="0.3">
      <c r="A32" s="240" t="s">
        <v>1045</v>
      </c>
      <c r="B32" s="241" t="str" cm="1">
        <f t="array" ref="B32">INDEX($B$6:$B$15,ROW()-26)</f>
        <v>FESTPAN</v>
      </c>
      <c r="C32" s="242" cm="1">
        <f t="array" ref="C32">_xlfn.LET(_xlpm.p,$B32,_xlpm.crit,IF(_xlpm.p="PURATOS",{"*DESTAK*","*NORCAU*"},IF(ISNUMBER(SEARCH("ICEBERG",_xlpm.p)),"*ICEBERG*","*"&amp;_xlpm.p&amp;"*")),SUM(SUMIFS(_AUTO_BASE!$E:$E,_AUTO_BASE!$C:$C,_xlpm.crit,_AUTO_BASE!$I:$I,180)))</f>
        <v>0</v>
      </c>
      <c r="D32" s="242" cm="1">
        <f t="array" ref="D32">_xlfn.LET(_xlpm.p,$B32,_xlpm.crit,IF(_xlpm.p="PURATOS",{"*DESTAK*","*NORCAU*"},IF(ISNUMBER(SEARCH("ICEBERG",_xlpm.p)),"*ICEBERG*","*"&amp;_xlpm.p&amp;"*")),SUM(SUMIFS(_AUTO_BASE!$E:$E,_AUTO_BASE!$C:$C,_xlpm.crit,_AUTO_BASE!$I:$I,400)))</f>
        <v>43632</v>
      </c>
      <c r="E32" s="242" cm="1">
        <f t="array" ref="E32">_xlfn.LET(_xlpm.p,$B32,_xlpm.crit,IF(_xlpm.p="PURATOS",{"*DESTAK*","*NORCAU*"},IF(ISNUMBER(SEARCH("ICEBERG",_xlpm.p)),"*ICEBERG*","*"&amp;_xlpm.p&amp;"*")),SUM(SUMIFS(_AUTO_BASE!$E:$E,_AUTO_BASE!$C:$C,_xlpm.crit,_AUTO_BASE!$I:$I,600)))</f>
        <v>0</v>
      </c>
      <c r="F32" s="250">
        <f t="shared" si="1"/>
        <v>0</v>
      </c>
      <c r="G32" s="256" cm="1">
        <f t="array" ref="G32">INDEX($C$6:$C$15,ROW()-26)</f>
        <v>43632</v>
      </c>
    </row>
    <row r="33" spans="1:7" x14ac:dyDescent="0.3">
      <c r="A33" s="243" t="s">
        <v>1046</v>
      </c>
      <c r="B33" s="244" t="str" cm="1">
        <f t="array" ref="B33">INDEX($B$6:$B$15,ROW()-26)</f>
        <v>QUALICOCO</v>
      </c>
      <c r="C33" s="245" cm="1">
        <f t="array" ref="C33">_xlfn.LET(_xlpm.p,$B33,_xlpm.crit,IF(_xlpm.p="PURATOS",{"*DESTAK*","*NORCAU*"},IF(ISNUMBER(SEARCH("ICEBERG",_xlpm.p)),"*ICEBERG*","*"&amp;_xlpm.p&amp;"*")),SUM(SUMIFS(_AUTO_BASE!$E:$E,_AUTO_BASE!$C:$C,_xlpm.crit,_AUTO_BASE!$I:$I,180)))</f>
        <v>0</v>
      </c>
      <c r="D33" s="245" cm="1">
        <f t="array" ref="D33">_xlfn.LET(_xlpm.p,$B33,_xlpm.crit,IF(_xlpm.p="PURATOS",{"*DESTAK*","*NORCAU*"},IF(ISNUMBER(SEARCH("ICEBERG",_xlpm.p)),"*ICEBERG*","*"&amp;_xlpm.p&amp;"*")),SUM(SUMIFS(_AUTO_BASE!$E:$E,_AUTO_BASE!$C:$C,_xlpm.crit,_AUTO_BASE!$I:$I,400)))</f>
        <v>0</v>
      </c>
      <c r="E33" s="245" cm="1">
        <f t="array" ref="E33">_xlfn.LET(_xlpm.p,$B33,_xlpm.crit,IF(_xlpm.p="PURATOS",{"*DESTAK*","*NORCAU*"},IF(ISNUMBER(SEARCH("ICEBERG",_xlpm.p)),"*ICEBERG*","*"&amp;_xlpm.p&amp;"*")),SUM(SUMIFS(_AUTO_BASE!$E:$E,_AUTO_BASE!$C:$C,_xlpm.crit,_AUTO_BASE!$I:$I,600)))</f>
        <v>0</v>
      </c>
      <c r="F33" s="251">
        <f t="shared" si="1"/>
        <v>34008</v>
      </c>
      <c r="G33" s="257" cm="1">
        <f t="array" ref="G33">INDEX($C$6:$C$15,ROW()-26)</f>
        <v>34008</v>
      </c>
    </row>
    <row r="34" spans="1:7" x14ac:dyDescent="0.3">
      <c r="A34" s="240" t="s">
        <v>1047</v>
      </c>
      <c r="B34" s="241" t="str" cm="1">
        <f t="array" ref="B34">INDEX($B$6:$B$15,ROW()-26)</f>
        <v>ITAIQUARA</v>
      </c>
      <c r="C34" s="242" cm="1">
        <f t="array" ref="C34">_xlfn.LET(_xlpm.p,$B34,_xlpm.crit,IF(_xlpm.p="PURATOS",{"*DESTAK*","*NORCAU*"},IF(ISNUMBER(SEARCH("ICEBERG",_xlpm.p)),"*ICEBERG*","*"&amp;_xlpm.p&amp;"*")),SUM(SUMIFS(_AUTO_BASE!$E:$E,_AUTO_BASE!$C:$C,_xlpm.crit,_AUTO_BASE!$I:$I,180)))</f>
        <v>0</v>
      </c>
      <c r="D34" s="242" cm="1">
        <f t="array" ref="D34">_xlfn.LET(_xlpm.p,$B34,_xlpm.crit,IF(_xlpm.p="PURATOS",{"*DESTAK*","*NORCAU*"},IF(ISNUMBER(SEARCH("ICEBERG",_xlpm.p)),"*ICEBERG*","*"&amp;_xlpm.p&amp;"*")),SUM(SUMIFS(_AUTO_BASE!$E:$E,_AUTO_BASE!$C:$C,_xlpm.crit,_AUTO_BASE!$I:$I,400)))</f>
        <v>0</v>
      </c>
      <c r="E34" s="242" cm="1">
        <f t="array" ref="E34">_xlfn.LET(_xlpm.p,$B34,_xlpm.crit,IF(_xlpm.p="PURATOS",{"*DESTAK*","*NORCAU*"},IF(ISNUMBER(SEARCH("ICEBERG",_xlpm.p)),"*ICEBERG*","*"&amp;_xlpm.p&amp;"*")),SUM(SUMIFS(_AUTO_BASE!$E:$E,_AUTO_BASE!$C:$C,_xlpm.crit,_AUTO_BASE!$I:$I,600)))</f>
        <v>25176</v>
      </c>
      <c r="F34" s="250">
        <f t="shared" si="1"/>
        <v>0</v>
      </c>
      <c r="G34" s="256" cm="1">
        <f t="array" ref="G34">INDEX($C$6:$C$15,ROW()-26)</f>
        <v>25176</v>
      </c>
    </row>
    <row r="35" spans="1:7" x14ac:dyDescent="0.3">
      <c r="A35" s="243" t="s">
        <v>1048</v>
      </c>
      <c r="B35" s="244" t="str" cm="1">
        <f t="array" ref="B35">INDEX($B$6:$B$15,ROW()-26)</f>
        <v>DONA JURA</v>
      </c>
      <c r="C35" s="245" cm="1">
        <f t="array" ref="C35">_xlfn.LET(_xlpm.p,$B35,_xlpm.crit,IF(_xlpm.p="PURATOS",{"*DESTAK*","*NORCAU*"},IF(ISNUMBER(SEARCH("ICEBERG",_xlpm.p)),"*ICEBERG*","*"&amp;_xlpm.p&amp;"*")),SUM(SUMIFS(_AUTO_BASE!$E:$E,_AUTO_BASE!$C:$C,_xlpm.crit,_AUTO_BASE!$I:$I,180)))</f>
        <v>0</v>
      </c>
      <c r="D35" s="245" cm="1">
        <f t="array" ref="D35">_xlfn.LET(_xlpm.p,$B35,_xlpm.crit,IF(_xlpm.p="PURATOS",{"*DESTAK*","*NORCAU*"},IF(ISNUMBER(SEARCH("ICEBERG",_xlpm.p)),"*ICEBERG*","*"&amp;_xlpm.p&amp;"*")),SUM(SUMIFS(_AUTO_BASE!$E:$E,_AUTO_BASE!$C:$C,_xlpm.crit,_AUTO_BASE!$I:$I,400)))</f>
        <v>24888</v>
      </c>
      <c r="E35" s="245" cm="1">
        <f t="array" ref="E35">_xlfn.LET(_xlpm.p,$B35,_xlpm.crit,IF(_xlpm.p="PURATOS",{"*DESTAK*","*NORCAU*"},IF(ISNUMBER(SEARCH("ICEBERG",_xlpm.p)),"*ICEBERG*","*"&amp;_xlpm.p&amp;"*")),SUM(SUMIFS(_AUTO_BASE!$E:$E,_AUTO_BASE!$C:$C,_xlpm.crit,_AUTO_BASE!$I:$I,600)))</f>
        <v>0</v>
      </c>
      <c r="F35" s="251">
        <f t="shared" si="1"/>
        <v>0</v>
      </c>
      <c r="G35" s="257" cm="1">
        <f t="array" ref="G35">INDEX($C$6:$C$15,ROW()-26)</f>
        <v>24888</v>
      </c>
    </row>
    <row r="36" spans="1:7" ht="15" thickBot="1" x14ac:dyDescent="0.35">
      <c r="A36" s="240" t="s">
        <v>1049</v>
      </c>
      <c r="B36" s="241" t="str" cm="1">
        <f t="array" ref="B36">INDEX($B$6:$B$15,ROW()-26)</f>
        <v>DONA LELLA</v>
      </c>
      <c r="C36" s="242" cm="1">
        <f t="array" ref="C36">_xlfn.LET(_xlpm.p,$B36,_xlpm.crit,IF(_xlpm.p="PURATOS",{"*DESTAK*","*NORCAU*"},IF(ISNUMBER(SEARCH("ICEBERG",_xlpm.p)),"*ICEBERG*","*"&amp;_xlpm.p&amp;"*")),SUM(SUMIFS(_AUTO_BASE!$E:$E,_AUTO_BASE!$C:$C,_xlpm.crit,_AUTO_BASE!$I:$I,180)))</f>
        <v>0</v>
      </c>
      <c r="D36" s="242" cm="1">
        <f t="array" ref="D36">_xlfn.LET(_xlpm.p,$B36,_xlpm.crit,IF(_xlpm.p="PURATOS",{"*DESTAK*","*NORCAU*"},IF(ISNUMBER(SEARCH("ICEBERG",_xlpm.p)),"*ICEBERG*","*"&amp;_xlpm.p&amp;"*")),SUM(SUMIFS(_AUTO_BASE!$E:$E,_AUTO_BASE!$C:$C,_xlpm.crit,_AUTO_BASE!$I:$I,400)))</f>
        <v>19800</v>
      </c>
      <c r="E36" s="242" cm="1">
        <f t="array" ref="E36">_xlfn.LET(_xlpm.p,$B36,_xlpm.crit,IF(_xlpm.p="PURATOS",{"*DESTAK*","*NORCAU*"},IF(ISNUMBER(SEARCH("ICEBERG",_xlpm.p)),"*ICEBERG*","*"&amp;_xlpm.p&amp;"*")),SUM(SUMIFS(_AUTO_BASE!$E:$E,_AUTO_BASE!$C:$C,_xlpm.crit,_AUTO_BASE!$I:$I,600)))</f>
        <v>0</v>
      </c>
      <c r="F36" s="250">
        <f t="shared" si="1"/>
        <v>0</v>
      </c>
      <c r="G36" s="256" cm="1">
        <f t="array" ref="G36">INDEX($C$6:$C$15,ROW()-26)</f>
        <v>19800</v>
      </c>
    </row>
    <row r="37" spans="1:7" ht="15" thickBot="1" x14ac:dyDescent="0.35">
      <c r="A37" s="258"/>
      <c r="B37" s="259" t="s">
        <v>1284</v>
      </c>
      <c r="C37" s="260"/>
      <c r="D37" s="260"/>
      <c r="E37" s="260"/>
      <c r="F37" s="261"/>
      <c r="G37" s="262"/>
    </row>
    <row r="38" spans="1:7" x14ac:dyDescent="0.3">
      <c r="A38" s="263"/>
      <c r="B38" s="264" t="s">
        <v>1285</v>
      </c>
      <c r="C38" s="265">
        <f>SUMIFS(_AUTO_BASE!$E:$E,_AUTO_BASE!$C:$C,"*DESTAK*",_AUTO_BASE!$I:$I,180)</f>
        <v>0</v>
      </c>
      <c r="D38" s="265">
        <f>SUMIFS(_AUTO_BASE!$E:$E,_AUTO_BASE!$C:$C,"*DESTAK*",_AUTO_BASE!$I:$I,400)</f>
        <v>0</v>
      </c>
      <c r="E38" s="265">
        <f>SUMIFS(_AUTO_BASE!$E:$E,_AUTO_BASE!$C:$C,"*DESTAK*",_AUTO_BASE!$I:$I,600)</f>
        <v>164466</v>
      </c>
      <c r="F38" s="266">
        <f>G38-SUM(C38:E38)</f>
        <v>11400</v>
      </c>
      <c r="G38" s="267">
        <f>SUMIFS(_AUTO_BASE!$E:$E,_AUTO_BASE!$C:$C,"*DESTAK*")</f>
        <v>175866</v>
      </c>
    </row>
    <row r="39" spans="1:7" x14ac:dyDescent="0.3">
      <c r="A39" s="268"/>
      <c r="B39" s="269" t="s">
        <v>1286</v>
      </c>
      <c r="C39" s="270">
        <f>SUMIFS(_AUTO_BASE!$E:$E,_AUTO_BASE!$C:$C,"*NORCAU*",_AUTO_BASE!$I:$I,180)</f>
        <v>0</v>
      </c>
      <c r="D39" s="270">
        <f>SUMIFS(_AUTO_BASE!$E:$E,_AUTO_BASE!$C:$C,"*NORCAU*",_AUTO_BASE!$I:$I,400)</f>
        <v>0</v>
      </c>
      <c r="E39" s="270">
        <f>SUMIFS(_AUTO_BASE!$E:$E,_AUTO_BASE!$C:$C,"*NORCAU*",_AUTO_BASE!$I:$I,600)</f>
        <v>76380</v>
      </c>
      <c r="F39" s="271">
        <f>G39-SUM(C39:E39)</f>
        <v>0</v>
      </c>
      <c r="G39" s="272">
        <f>SUMIFS(_AUTO_BASE!$E:$E,_AUTO_BASE!$C:$C,"*NORCAU*")</f>
        <v>76380</v>
      </c>
    </row>
    <row r="40" spans="1:7" x14ac:dyDescent="0.3">
      <c r="A40" s="273"/>
      <c r="B40" s="274" t="s">
        <v>1287</v>
      </c>
      <c r="C40" s="275" cm="1">
        <f t="array" ref="C40">SUMIFS(_AUTO_BASE!$E:$E,_AUTO_BASE!$C:$C,"*ICEBERG*",_AUTO_BASE!$I:$I,180)-SUM(SUMIFS(_AUTO_BASE!$E:$E,_AUTO_BASE!$C:$C,{"*ICE ICEBERG*","*ICEBERG ICE*"},_AUTO_BASE!$I:$I,180))</f>
        <v>0</v>
      </c>
      <c r="D40" s="275" cm="1">
        <f t="array" ref="D40">SUMIFS(_AUTO_BASE!$E:$E,_AUTO_BASE!$C:$C,"*ICEBERG*",_AUTO_BASE!$I:$I,400)-SUM(SUMIFS(_AUTO_BASE!$E:$E,_AUTO_BASE!$C:$C,{"*ICE ICEBERG*","*ICEBERG ICE*"},_AUTO_BASE!$I:$I,400))</f>
        <v>163896</v>
      </c>
      <c r="E40" s="275" cm="1">
        <f t="array" ref="E40">SUMIFS(_AUTO_BASE!$E:$E,_AUTO_BASE!$C:$C,"*ICEBERG*",_AUTO_BASE!$I:$I,600)-SUM(SUMIFS(_AUTO_BASE!$E:$E,_AUTO_BASE!$C:$C,{"*ICE ICEBERG*","*ICEBERG ICE*"},_AUTO_BASE!$I:$I,600))</f>
        <v>0</v>
      </c>
      <c r="F40" s="276">
        <f>G40-SUM(C40:E40)</f>
        <v>2115</v>
      </c>
      <c r="G40" s="277" cm="1">
        <f t="array" ref="G40">SUMIFS(_AUTO_BASE!$E:$E,_AUTO_BASE!$C:$C,"*ICEBERG*")-SUM(SUMIFS(_AUTO_BASE!$E:$E,_AUTO_BASE!$C:$C,{"*ICE ICEBERG*","*ICEBERG ICE*"}))</f>
        <v>166011</v>
      </c>
    </row>
    <row r="41" spans="1:7" x14ac:dyDescent="0.3">
      <c r="A41" s="278"/>
      <c r="B41" s="279" t="s">
        <v>1288</v>
      </c>
      <c r="C41" s="280" cm="1">
        <f t="array" ref="C41">SUM(SUMIFS(_AUTO_BASE!$E:$E,_AUTO_BASE!$C:$C,{"*ICE ICEBERG*","*ICEBERG ICE*"},_AUTO_BASE!$I:$I,180))</f>
        <v>0</v>
      </c>
      <c r="D41" s="280" cm="1">
        <f t="array" ref="D41">SUM(SUMIFS(_AUTO_BASE!$E:$E,_AUTO_BASE!$C:$C,{"*ICE ICEBERG*","*ICEBERG ICE*"},_AUTO_BASE!$I:$I,400))</f>
        <v>0</v>
      </c>
      <c r="E41" s="280" cm="1">
        <f t="array" ref="E41">SUM(SUMIFS(_AUTO_BASE!$E:$E,_AUTO_BASE!$C:$C,{"*ICE ICEBERG*","*ICEBERG ICE*"},_AUTO_BASE!$I:$I,600))</f>
        <v>0</v>
      </c>
      <c r="F41" s="281">
        <f>G41-SUM(C41:E41)</f>
        <v>2416</v>
      </c>
      <c r="G41" s="282" cm="1">
        <f t="array" ref="G41">SUM(SUMIFS(_AUTO_BASE!$E:$E,_AUTO_BASE!$C:$C,{"*ICE ICEBERG*","*ICEBERG ICE*"}))</f>
        <v>2416</v>
      </c>
    </row>
    <row r="42" spans="1:7" x14ac:dyDescent="0.3">
      <c r="A42" s="227"/>
      <c r="B42" s="228"/>
      <c r="C42" s="228"/>
      <c r="D42" s="228"/>
      <c r="E42" s="228"/>
      <c r="F42" s="228"/>
      <c r="G42" s="228"/>
    </row>
    <row r="43" spans="1:7" x14ac:dyDescent="0.3">
      <c r="A43" s="227"/>
      <c r="B43" s="283" t="s">
        <v>1039</v>
      </c>
      <c r="C43" s="284"/>
      <c r="D43" s="284"/>
      <c r="E43" s="284"/>
      <c r="F43" s="284"/>
      <c r="G43" s="284"/>
    </row>
    <row r="44" spans="1:7" x14ac:dyDescent="0.3">
      <c r="A44" s="228"/>
      <c r="B44" s="622" t="s">
        <v>1291</v>
      </c>
      <c r="C44" s="622"/>
      <c r="D44" s="622"/>
      <c r="E44" s="622"/>
      <c r="F44" s="622"/>
      <c r="G44" s="622"/>
    </row>
    <row r="45" spans="1:7" x14ac:dyDescent="0.3">
      <c r="A45" s="228"/>
      <c r="B45" s="622" t="s">
        <v>1292</v>
      </c>
      <c r="C45" s="622"/>
      <c r="D45" s="622"/>
      <c r="E45" s="622"/>
      <c r="F45" s="622"/>
      <c r="G45" s="622"/>
    </row>
    <row r="46" spans="1:7" x14ac:dyDescent="0.3">
      <c r="A46" s="228"/>
      <c r="B46" s="623" t="s">
        <v>1293</v>
      </c>
      <c r="C46" s="623"/>
      <c r="D46" s="623"/>
      <c r="E46" s="623"/>
      <c r="F46" s="623"/>
      <c r="G46" s="623"/>
    </row>
  </sheetData>
  <mergeCells count="12">
    <mergeCell ref="B44:G44"/>
    <mergeCell ref="B45:G45"/>
    <mergeCell ref="B46:G46"/>
    <mergeCell ref="A19:E19"/>
    <mergeCell ref="A1:D1"/>
    <mergeCell ref="A21:E21"/>
    <mergeCell ref="A2:E2"/>
    <mergeCell ref="A4:E4"/>
    <mergeCell ref="A17:B17"/>
    <mergeCell ref="D17:E17"/>
    <mergeCell ref="A23:G23"/>
    <mergeCell ref="A24:G24"/>
  </mergeCells>
  <pageMargins left="0.75" right="0.75" top="1" bottom="1"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8F05-3D94-47AC-BE75-2F419C9C487A}">
  <sheetPr>
    <tabColor rgb="FFC96B0A"/>
  </sheetPr>
  <dimension ref="B1:R275"/>
  <sheetViews>
    <sheetView showGridLines="0" topLeftCell="A138" zoomScale="90" zoomScaleNormal="90" workbookViewId="0">
      <selection activeCell="M7" sqref="M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5" width="8.5546875" style="1" customWidth="1"/>
    <col min="16" max="16384" width="8.5546875" style="1"/>
  </cols>
  <sheetData>
    <row r="1" spans="2:15" ht="21.75" customHeight="1" x14ac:dyDescent="0.3">
      <c r="B1" s="639" t="s">
        <v>45</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495" t="s">
        <v>46</v>
      </c>
      <c r="C3" s="641" t="s">
        <v>47</v>
      </c>
      <c r="D3" s="641"/>
      <c r="E3" s="641" t="s">
        <v>48</v>
      </c>
      <c r="F3" s="641"/>
      <c r="G3" s="641" t="s">
        <v>49</v>
      </c>
      <c r="H3" s="641"/>
      <c r="I3" s="641"/>
      <c r="J3" s="641"/>
      <c r="K3" s="641" t="s">
        <v>50</v>
      </c>
      <c r="L3" s="641"/>
      <c r="M3" s="527" t="s">
        <v>51</v>
      </c>
      <c r="N3" s="526" t="s">
        <v>52</v>
      </c>
    </row>
    <row r="4" spans="2:15" ht="17.25" customHeight="1" x14ac:dyDescent="0.3">
      <c r="B4" s="638" t="s">
        <v>53</v>
      </c>
      <c r="C4" s="638">
        <v>26010001</v>
      </c>
      <c r="D4" s="638"/>
      <c r="E4" s="638"/>
      <c r="F4" s="638"/>
      <c r="G4" s="638" t="s">
        <v>54</v>
      </c>
      <c r="H4" s="638"/>
      <c r="I4" s="638"/>
      <c r="J4" s="638"/>
      <c r="K4" s="638" t="s">
        <v>31</v>
      </c>
      <c r="L4" s="638"/>
      <c r="M4" s="497" t="s">
        <v>55</v>
      </c>
      <c r="N4" s="528">
        <v>46027</v>
      </c>
      <c r="O4" s="493"/>
    </row>
    <row r="5" spans="2:15" ht="17.25" customHeight="1" x14ac:dyDescent="0.3">
      <c r="B5" s="638"/>
      <c r="C5" s="637">
        <v>26010002</v>
      </c>
      <c r="D5" s="637"/>
      <c r="E5" s="637"/>
      <c r="F5" s="637"/>
      <c r="G5" s="637" t="s">
        <v>54</v>
      </c>
      <c r="H5" s="637"/>
      <c r="I5" s="637"/>
      <c r="J5" s="637"/>
      <c r="K5" s="638"/>
      <c r="L5" s="638"/>
      <c r="M5" s="500" t="s">
        <v>55</v>
      </c>
      <c r="N5" s="498">
        <v>46028</v>
      </c>
      <c r="O5" s="493"/>
    </row>
    <row r="6" spans="2:15" ht="17.25" customHeight="1" x14ac:dyDescent="0.3">
      <c r="B6" s="496" t="s">
        <v>56</v>
      </c>
      <c r="C6" s="638">
        <v>26010003</v>
      </c>
      <c r="D6" s="638"/>
      <c r="E6" s="638"/>
      <c r="F6" s="638"/>
      <c r="G6" s="638" t="s">
        <v>57</v>
      </c>
      <c r="H6" s="638"/>
      <c r="I6" s="638"/>
      <c r="J6" s="638"/>
      <c r="K6" s="638" t="s">
        <v>58</v>
      </c>
      <c r="L6" s="638"/>
      <c r="M6" s="496" t="s">
        <v>59</v>
      </c>
      <c r="N6" s="498">
        <v>46037</v>
      </c>
      <c r="O6" s="493"/>
    </row>
    <row r="7" spans="2:15" ht="17.25" customHeight="1" x14ac:dyDescent="0.3">
      <c r="B7" s="637" t="s">
        <v>60</v>
      </c>
      <c r="C7" s="637">
        <v>26010004</v>
      </c>
      <c r="D7" s="637"/>
      <c r="E7" s="637"/>
      <c r="F7" s="637"/>
      <c r="G7" s="637" t="s">
        <v>61</v>
      </c>
      <c r="H7" s="637"/>
      <c r="I7" s="637"/>
      <c r="J7" s="637"/>
      <c r="K7" s="637" t="s">
        <v>62</v>
      </c>
      <c r="L7" s="637"/>
      <c r="M7" s="500" t="s">
        <v>63</v>
      </c>
      <c r="N7" s="498">
        <v>46029</v>
      </c>
      <c r="O7" s="493"/>
    </row>
    <row r="8" spans="2:15" ht="17.25" customHeight="1" x14ac:dyDescent="0.3">
      <c r="B8" s="637"/>
      <c r="C8" s="638">
        <v>26010005</v>
      </c>
      <c r="D8" s="638"/>
      <c r="E8" s="638"/>
      <c r="F8" s="638"/>
      <c r="G8" s="638" t="s">
        <v>64</v>
      </c>
      <c r="H8" s="638"/>
      <c r="I8" s="638"/>
      <c r="J8" s="638"/>
      <c r="K8" s="637"/>
      <c r="L8" s="637"/>
      <c r="M8" s="497" t="s">
        <v>65</v>
      </c>
      <c r="N8" s="498">
        <v>46041</v>
      </c>
      <c r="O8" s="493" t="s">
        <v>66</v>
      </c>
    </row>
    <row r="9" spans="2:15" ht="17.25" customHeight="1" x14ac:dyDescent="0.3">
      <c r="B9" s="499" t="s">
        <v>67</v>
      </c>
      <c r="C9" s="637">
        <v>26010006</v>
      </c>
      <c r="D9" s="637"/>
      <c r="E9" s="637"/>
      <c r="F9" s="637"/>
      <c r="G9" s="637" t="s">
        <v>68</v>
      </c>
      <c r="H9" s="637"/>
      <c r="I9" s="637"/>
      <c r="J9" s="637"/>
      <c r="K9" s="637" t="s">
        <v>27</v>
      </c>
      <c r="L9" s="637"/>
      <c r="M9" s="500" t="s">
        <v>69</v>
      </c>
      <c r="N9" s="498">
        <v>46031</v>
      </c>
      <c r="O9" s="493"/>
    </row>
    <row r="10" spans="2:15" ht="17.25" customHeight="1" x14ac:dyDescent="0.3">
      <c r="B10" s="496" t="s">
        <v>70</v>
      </c>
      <c r="C10" s="638">
        <v>26010007</v>
      </c>
      <c r="D10" s="638"/>
      <c r="E10" s="638"/>
      <c r="F10" s="638"/>
      <c r="G10" s="638" t="s">
        <v>71</v>
      </c>
      <c r="H10" s="638"/>
      <c r="I10" s="638"/>
      <c r="J10" s="638"/>
      <c r="K10" s="638" t="s">
        <v>72</v>
      </c>
      <c r="L10" s="638"/>
      <c r="M10" s="496" t="s">
        <v>73</v>
      </c>
      <c r="N10" s="498">
        <v>46041</v>
      </c>
      <c r="O10" s="493"/>
    </row>
    <row r="11" spans="2:15" ht="17.25" customHeight="1" x14ac:dyDescent="0.3">
      <c r="B11" s="637" t="s">
        <v>74</v>
      </c>
      <c r="C11" s="637">
        <v>26010008</v>
      </c>
      <c r="D11" s="637"/>
      <c r="E11" s="637"/>
      <c r="F11" s="637"/>
      <c r="G11" s="637" t="s">
        <v>75</v>
      </c>
      <c r="H11" s="637"/>
      <c r="I11" s="637"/>
      <c r="J11" s="637"/>
      <c r="K11" s="637" t="s">
        <v>76</v>
      </c>
      <c r="L11" s="637"/>
      <c r="M11" s="499" t="s">
        <v>77</v>
      </c>
      <c r="N11" s="498">
        <v>46027</v>
      </c>
      <c r="O11" s="493"/>
    </row>
    <row r="12" spans="2:15" ht="17.25" customHeight="1" x14ac:dyDescent="0.3">
      <c r="B12" s="637"/>
      <c r="C12" s="638">
        <v>26010009</v>
      </c>
      <c r="D12" s="638"/>
      <c r="E12" s="638"/>
      <c r="F12" s="638"/>
      <c r="G12" s="638" t="s">
        <v>75</v>
      </c>
      <c r="H12" s="638"/>
      <c r="I12" s="638"/>
      <c r="J12" s="638"/>
      <c r="K12" s="637"/>
      <c r="L12" s="637"/>
      <c r="M12" s="496" t="s">
        <v>77</v>
      </c>
      <c r="N12" s="498">
        <v>46027</v>
      </c>
      <c r="O12" s="493"/>
    </row>
    <row r="13" spans="2:15" ht="17.25" customHeight="1" x14ac:dyDescent="0.3">
      <c r="B13" s="637"/>
      <c r="C13" s="637">
        <v>26010010</v>
      </c>
      <c r="D13" s="637"/>
      <c r="E13" s="637"/>
      <c r="F13" s="637"/>
      <c r="G13" s="637" t="s">
        <v>75</v>
      </c>
      <c r="H13" s="637"/>
      <c r="I13" s="637"/>
      <c r="J13" s="637"/>
      <c r="K13" s="637"/>
      <c r="L13" s="637"/>
      <c r="M13" s="499" t="s">
        <v>77</v>
      </c>
      <c r="N13" s="498">
        <v>46027</v>
      </c>
      <c r="O13" s="493"/>
    </row>
    <row r="14" spans="2:15" ht="17.25" customHeight="1" x14ac:dyDescent="0.3">
      <c r="B14" s="637"/>
      <c r="C14" s="638">
        <v>26010011</v>
      </c>
      <c r="D14" s="638"/>
      <c r="E14" s="638"/>
      <c r="F14" s="638"/>
      <c r="G14" s="638" t="s">
        <v>75</v>
      </c>
      <c r="H14" s="638"/>
      <c r="I14" s="638"/>
      <c r="J14" s="638"/>
      <c r="K14" s="637"/>
      <c r="L14" s="637"/>
      <c r="M14" s="496" t="s">
        <v>77</v>
      </c>
      <c r="N14" s="498">
        <v>46027</v>
      </c>
      <c r="O14" s="493"/>
    </row>
    <row r="15" spans="2:15" ht="17.25" customHeight="1" x14ac:dyDescent="0.3">
      <c r="B15" s="637"/>
      <c r="C15" s="637">
        <v>26010012</v>
      </c>
      <c r="D15" s="637"/>
      <c r="E15" s="637"/>
      <c r="F15" s="637"/>
      <c r="G15" s="637" t="s">
        <v>75</v>
      </c>
      <c r="H15" s="637"/>
      <c r="I15" s="637"/>
      <c r="J15" s="637"/>
      <c r="K15" s="637"/>
      <c r="L15" s="637"/>
      <c r="M15" s="499" t="s">
        <v>77</v>
      </c>
      <c r="N15" s="498">
        <v>46027</v>
      </c>
      <c r="O15" s="493"/>
    </row>
    <row r="16" spans="2:15" ht="17.25" customHeight="1" x14ac:dyDescent="0.3">
      <c r="B16" s="637"/>
      <c r="C16" s="638">
        <v>26010013</v>
      </c>
      <c r="D16" s="638"/>
      <c r="E16" s="638"/>
      <c r="F16" s="638"/>
      <c r="G16" s="638" t="s">
        <v>75</v>
      </c>
      <c r="H16" s="638"/>
      <c r="I16" s="638"/>
      <c r="J16" s="638"/>
      <c r="K16" s="637"/>
      <c r="L16" s="637"/>
      <c r="M16" s="496" t="s">
        <v>77</v>
      </c>
      <c r="N16" s="498">
        <v>46027</v>
      </c>
      <c r="O16" s="493"/>
    </row>
    <row r="17" spans="2:15" ht="17.25" customHeight="1" x14ac:dyDescent="0.3">
      <c r="B17" s="637"/>
      <c r="C17" s="637">
        <v>26010014</v>
      </c>
      <c r="D17" s="637"/>
      <c r="E17" s="637"/>
      <c r="F17" s="637"/>
      <c r="G17" s="637" t="s">
        <v>75</v>
      </c>
      <c r="H17" s="637"/>
      <c r="I17" s="637"/>
      <c r="J17" s="637"/>
      <c r="K17" s="637"/>
      <c r="L17" s="637"/>
      <c r="M17" s="499" t="s">
        <v>77</v>
      </c>
      <c r="N17" s="498">
        <v>46028</v>
      </c>
      <c r="O17" s="493"/>
    </row>
    <row r="18" spans="2:15" ht="17.25" customHeight="1" x14ac:dyDescent="0.3">
      <c r="B18" s="637"/>
      <c r="C18" s="638">
        <v>26010015</v>
      </c>
      <c r="D18" s="638"/>
      <c r="E18" s="642"/>
      <c r="F18" s="642"/>
      <c r="G18" s="638" t="s">
        <v>75</v>
      </c>
      <c r="H18" s="638"/>
      <c r="I18" s="638"/>
      <c r="J18" s="638"/>
      <c r="K18" s="637"/>
      <c r="L18" s="637"/>
      <c r="M18" s="496" t="s">
        <v>77</v>
      </c>
      <c r="N18" s="498">
        <v>46028</v>
      </c>
      <c r="O18" s="493"/>
    </row>
    <row r="19" spans="2:15" ht="17.25" customHeight="1" x14ac:dyDescent="0.3">
      <c r="B19" s="637"/>
      <c r="C19" s="637">
        <v>26010016</v>
      </c>
      <c r="D19" s="637"/>
      <c r="E19" s="637"/>
      <c r="F19" s="637"/>
      <c r="G19" s="637" t="s">
        <v>75</v>
      </c>
      <c r="H19" s="637"/>
      <c r="I19" s="637"/>
      <c r="J19" s="637"/>
      <c r="K19" s="637"/>
      <c r="L19" s="637"/>
      <c r="M19" s="499" t="s">
        <v>77</v>
      </c>
      <c r="N19" s="498">
        <v>46029</v>
      </c>
      <c r="O19" s="493"/>
    </row>
    <row r="20" spans="2:15" ht="17.25" customHeight="1" x14ac:dyDescent="0.3">
      <c r="B20" s="637"/>
      <c r="C20" s="638">
        <v>26010017</v>
      </c>
      <c r="D20" s="638"/>
      <c r="E20" s="638"/>
      <c r="F20" s="638"/>
      <c r="G20" s="638" t="s">
        <v>75</v>
      </c>
      <c r="H20" s="638"/>
      <c r="I20" s="638"/>
      <c r="J20" s="638"/>
      <c r="K20" s="637"/>
      <c r="L20" s="637"/>
      <c r="M20" s="496" t="s">
        <v>77</v>
      </c>
      <c r="N20" s="498">
        <v>46029</v>
      </c>
      <c r="O20" s="493"/>
    </row>
    <row r="21" spans="2:15" ht="17.25" customHeight="1" x14ac:dyDescent="0.3">
      <c r="B21" s="637"/>
      <c r="C21" s="637">
        <v>26010018</v>
      </c>
      <c r="D21" s="637"/>
      <c r="E21" s="637"/>
      <c r="F21" s="637"/>
      <c r="G21" s="637" t="s">
        <v>75</v>
      </c>
      <c r="H21" s="637"/>
      <c r="I21" s="637"/>
      <c r="J21" s="637"/>
      <c r="K21" s="637"/>
      <c r="L21" s="637"/>
      <c r="M21" s="499" t="s">
        <v>77</v>
      </c>
      <c r="N21" s="498">
        <v>46029</v>
      </c>
      <c r="O21" s="493"/>
    </row>
    <row r="22" spans="2:15" ht="17.25" customHeight="1" x14ac:dyDescent="0.3">
      <c r="B22" s="637"/>
      <c r="C22" s="638">
        <v>26010019</v>
      </c>
      <c r="D22" s="638"/>
      <c r="E22" s="638"/>
      <c r="F22" s="638"/>
      <c r="G22" s="638" t="s">
        <v>75</v>
      </c>
      <c r="H22" s="638"/>
      <c r="I22" s="638"/>
      <c r="J22" s="638"/>
      <c r="K22" s="637"/>
      <c r="L22" s="637"/>
      <c r="M22" s="496" t="s">
        <v>77</v>
      </c>
      <c r="N22" s="498">
        <v>46029</v>
      </c>
      <c r="O22" s="493"/>
    </row>
    <row r="23" spans="2:15" ht="17.25" customHeight="1" x14ac:dyDescent="0.3">
      <c r="B23" s="637"/>
      <c r="C23" s="637">
        <v>26010020</v>
      </c>
      <c r="D23" s="637"/>
      <c r="E23" s="637"/>
      <c r="F23" s="637"/>
      <c r="G23" s="637" t="s">
        <v>75</v>
      </c>
      <c r="H23" s="637"/>
      <c r="I23" s="637"/>
      <c r="J23" s="637"/>
      <c r="K23" s="637"/>
      <c r="L23" s="637"/>
      <c r="M23" s="499" t="s">
        <v>77</v>
      </c>
      <c r="N23" s="498">
        <v>46029</v>
      </c>
      <c r="O23" s="493"/>
    </row>
    <row r="24" spans="2:15" ht="17.25" customHeight="1" x14ac:dyDescent="0.3">
      <c r="B24" s="637"/>
      <c r="C24" s="638">
        <v>26010021</v>
      </c>
      <c r="D24" s="638"/>
      <c r="E24" s="638"/>
      <c r="F24" s="638"/>
      <c r="G24" s="638" t="s">
        <v>75</v>
      </c>
      <c r="H24" s="638"/>
      <c r="I24" s="638"/>
      <c r="J24" s="638"/>
      <c r="K24" s="637"/>
      <c r="L24" s="637"/>
      <c r="M24" s="496" t="s">
        <v>77</v>
      </c>
      <c r="N24" s="498">
        <v>46029</v>
      </c>
      <c r="O24" s="493"/>
    </row>
    <row r="25" spans="2:15" ht="17.25" customHeight="1" x14ac:dyDescent="0.3">
      <c r="B25" s="637"/>
      <c r="C25" s="637">
        <v>26010022</v>
      </c>
      <c r="D25" s="637"/>
      <c r="E25" s="637"/>
      <c r="F25" s="637"/>
      <c r="G25" s="637" t="s">
        <v>75</v>
      </c>
      <c r="H25" s="637"/>
      <c r="I25" s="637"/>
      <c r="J25" s="637"/>
      <c r="K25" s="637"/>
      <c r="L25" s="637"/>
      <c r="M25" s="499" t="s">
        <v>77</v>
      </c>
      <c r="N25" s="498">
        <v>46029</v>
      </c>
      <c r="O25" s="493"/>
    </row>
    <row r="26" spans="2:15" ht="17.25" customHeight="1" x14ac:dyDescent="0.3">
      <c r="B26" s="637"/>
      <c r="C26" s="638">
        <v>26010023</v>
      </c>
      <c r="D26" s="638"/>
      <c r="E26" s="642"/>
      <c r="F26" s="642"/>
      <c r="G26" s="638" t="s">
        <v>75</v>
      </c>
      <c r="H26" s="638"/>
      <c r="I26" s="638"/>
      <c r="J26" s="638"/>
      <c r="K26" s="637"/>
      <c r="L26" s="637"/>
      <c r="M26" s="496" t="s">
        <v>77</v>
      </c>
      <c r="N26" s="498">
        <v>46029</v>
      </c>
      <c r="O26" s="493"/>
    </row>
    <row r="27" spans="2:15" ht="17.25" customHeight="1" x14ac:dyDescent="0.3">
      <c r="B27" s="637"/>
      <c r="C27" s="637">
        <v>26010024</v>
      </c>
      <c r="D27" s="637"/>
      <c r="E27" s="637"/>
      <c r="F27" s="637"/>
      <c r="G27" s="637" t="s">
        <v>75</v>
      </c>
      <c r="H27" s="637"/>
      <c r="I27" s="637"/>
      <c r="J27" s="637"/>
      <c r="K27" s="637"/>
      <c r="L27" s="637"/>
      <c r="M27" s="499" t="s">
        <v>77</v>
      </c>
      <c r="N27" s="498">
        <v>46030</v>
      </c>
      <c r="O27" s="493"/>
    </row>
    <row r="28" spans="2:15" ht="17.25" customHeight="1" x14ac:dyDescent="0.3">
      <c r="B28" s="637"/>
      <c r="C28" s="638">
        <v>26010025</v>
      </c>
      <c r="D28" s="638"/>
      <c r="E28" s="638"/>
      <c r="F28" s="638"/>
      <c r="G28" s="638" t="s">
        <v>75</v>
      </c>
      <c r="H28" s="638"/>
      <c r="I28" s="638"/>
      <c r="J28" s="638"/>
      <c r="K28" s="637"/>
      <c r="L28" s="637"/>
      <c r="M28" s="496" t="s">
        <v>77</v>
      </c>
      <c r="N28" s="498">
        <v>46030</v>
      </c>
      <c r="O28" s="493"/>
    </row>
    <row r="29" spans="2:15" ht="17.25" customHeight="1" x14ac:dyDescent="0.3">
      <c r="B29" s="637"/>
      <c r="C29" s="637">
        <v>26010026</v>
      </c>
      <c r="D29" s="637"/>
      <c r="E29" s="637"/>
      <c r="F29" s="637"/>
      <c r="G29" s="637" t="s">
        <v>75</v>
      </c>
      <c r="H29" s="637"/>
      <c r="I29" s="637"/>
      <c r="J29" s="637"/>
      <c r="K29" s="637"/>
      <c r="L29" s="637"/>
      <c r="M29" s="499" t="s">
        <v>77</v>
      </c>
      <c r="N29" s="498">
        <v>46030</v>
      </c>
      <c r="O29" s="493"/>
    </row>
    <row r="30" spans="2:15" ht="17.25" customHeight="1" x14ac:dyDescent="0.3">
      <c r="B30" s="637"/>
      <c r="C30" s="638">
        <v>26010027</v>
      </c>
      <c r="D30" s="638"/>
      <c r="E30" s="638"/>
      <c r="F30" s="638"/>
      <c r="G30" s="638" t="s">
        <v>75</v>
      </c>
      <c r="H30" s="638"/>
      <c r="I30" s="638"/>
      <c r="J30" s="638"/>
      <c r="K30" s="637"/>
      <c r="L30" s="637"/>
      <c r="M30" s="496" t="s">
        <v>77</v>
      </c>
      <c r="N30" s="498">
        <v>46030</v>
      </c>
      <c r="O30" s="493"/>
    </row>
    <row r="31" spans="2:15" ht="17.25" customHeight="1" x14ac:dyDescent="0.3">
      <c r="B31" s="637"/>
      <c r="C31" s="637">
        <v>26010028</v>
      </c>
      <c r="D31" s="637"/>
      <c r="E31" s="637"/>
      <c r="F31" s="637"/>
      <c r="G31" s="637" t="s">
        <v>75</v>
      </c>
      <c r="H31" s="637"/>
      <c r="I31" s="637"/>
      <c r="J31" s="637"/>
      <c r="K31" s="637"/>
      <c r="L31" s="637"/>
      <c r="M31" s="499" t="s">
        <v>77</v>
      </c>
      <c r="N31" s="498">
        <v>46030</v>
      </c>
      <c r="O31" s="493"/>
    </row>
    <row r="32" spans="2:15" ht="17.25" customHeight="1" x14ac:dyDescent="0.3">
      <c r="B32" s="637"/>
      <c r="C32" s="638">
        <v>26010029</v>
      </c>
      <c r="D32" s="638"/>
      <c r="E32" s="638"/>
      <c r="F32" s="638"/>
      <c r="G32" s="638" t="s">
        <v>75</v>
      </c>
      <c r="H32" s="638"/>
      <c r="I32" s="638"/>
      <c r="J32" s="638"/>
      <c r="K32" s="637"/>
      <c r="L32" s="637"/>
      <c r="M32" s="496" t="s">
        <v>77</v>
      </c>
      <c r="N32" s="498">
        <v>46030</v>
      </c>
      <c r="O32" s="493"/>
    </row>
    <row r="33" spans="2:15" ht="17.25" customHeight="1" x14ac:dyDescent="0.3">
      <c r="B33" s="637"/>
      <c r="C33" s="637">
        <v>26010030</v>
      </c>
      <c r="D33" s="637"/>
      <c r="E33" s="637"/>
      <c r="F33" s="637"/>
      <c r="G33" s="637" t="s">
        <v>75</v>
      </c>
      <c r="H33" s="637"/>
      <c r="I33" s="637"/>
      <c r="J33" s="637"/>
      <c r="K33" s="637"/>
      <c r="L33" s="637"/>
      <c r="M33" s="499" t="s">
        <v>77</v>
      </c>
      <c r="N33" s="498">
        <v>46030</v>
      </c>
      <c r="O33" s="493"/>
    </row>
    <row r="34" spans="2:15" ht="17.25" customHeight="1" x14ac:dyDescent="0.3">
      <c r="B34" s="637"/>
      <c r="C34" s="638">
        <v>26010031</v>
      </c>
      <c r="D34" s="638"/>
      <c r="E34" s="642"/>
      <c r="F34" s="642"/>
      <c r="G34" s="638" t="s">
        <v>75</v>
      </c>
      <c r="H34" s="638"/>
      <c r="I34" s="638"/>
      <c r="J34" s="638"/>
      <c r="K34" s="637"/>
      <c r="L34" s="637"/>
      <c r="M34" s="496" t="s">
        <v>77</v>
      </c>
      <c r="N34" s="498">
        <v>46030</v>
      </c>
      <c r="O34" s="493"/>
    </row>
    <row r="35" spans="2:15" ht="17.25" customHeight="1" x14ac:dyDescent="0.3">
      <c r="B35" s="637"/>
      <c r="C35" s="637">
        <v>26010032</v>
      </c>
      <c r="D35" s="637"/>
      <c r="E35" s="637"/>
      <c r="F35" s="637"/>
      <c r="G35" s="637" t="s">
        <v>75</v>
      </c>
      <c r="H35" s="637"/>
      <c r="I35" s="637"/>
      <c r="J35" s="637"/>
      <c r="K35" s="637"/>
      <c r="L35" s="637"/>
      <c r="M35" s="499" t="s">
        <v>77</v>
      </c>
      <c r="N35" s="498">
        <v>46030</v>
      </c>
      <c r="O35" s="493"/>
    </row>
    <row r="36" spans="2:15" ht="17.25" customHeight="1" x14ac:dyDescent="0.3">
      <c r="B36" s="637"/>
      <c r="C36" s="638">
        <v>26010033</v>
      </c>
      <c r="D36" s="638"/>
      <c r="E36" s="638"/>
      <c r="F36" s="638"/>
      <c r="G36" s="638" t="s">
        <v>75</v>
      </c>
      <c r="H36" s="638"/>
      <c r="I36" s="638"/>
      <c r="J36" s="638"/>
      <c r="K36" s="637"/>
      <c r="L36" s="637"/>
      <c r="M36" s="496" t="s">
        <v>77</v>
      </c>
      <c r="N36" s="498">
        <v>46030</v>
      </c>
      <c r="O36" s="493"/>
    </row>
    <row r="37" spans="2:15" ht="17.25" customHeight="1" x14ac:dyDescent="0.3">
      <c r="B37" s="637"/>
      <c r="C37" s="637">
        <v>26010034</v>
      </c>
      <c r="D37" s="637"/>
      <c r="E37" s="637"/>
      <c r="F37" s="637"/>
      <c r="G37" s="637" t="s">
        <v>75</v>
      </c>
      <c r="H37" s="637"/>
      <c r="I37" s="637"/>
      <c r="J37" s="637"/>
      <c r="K37" s="637"/>
      <c r="L37" s="637"/>
      <c r="M37" s="499" t="s">
        <v>77</v>
      </c>
      <c r="N37" s="498">
        <v>46031</v>
      </c>
      <c r="O37" s="493"/>
    </row>
    <row r="38" spans="2:15" ht="17.25" customHeight="1" x14ac:dyDescent="0.3">
      <c r="B38" s="637"/>
      <c r="C38" s="638">
        <v>26010035</v>
      </c>
      <c r="D38" s="638"/>
      <c r="E38" s="638"/>
      <c r="F38" s="638"/>
      <c r="G38" s="638" t="s">
        <v>75</v>
      </c>
      <c r="H38" s="638"/>
      <c r="I38" s="638"/>
      <c r="J38" s="638"/>
      <c r="K38" s="637"/>
      <c r="L38" s="637"/>
      <c r="M38" s="496" t="s">
        <v>77</v>
      </c>
      <c r="N38" s="498">
        <v>46031</v>
      </c>
      <c r="O38" s="493"/>
    </row>
    <row r="39" spans="2:15" ht="17.25" customHeight="1" x14ac:dyDescent="0.3">
      <c r="B39" s="637"/>
      <c r="C39" s="637">
        <v>26010036</v>
      </c>
      <c r="D39" s="637"/>
      <c r="E39" s="637"/>
      <c r="F39" s="637"/>
      <c r="G39" s="637" t="s">
        <v>75</v>
      </c>
      <c r="H39" s="637"/>
      <c r="I39" s="637"/>
      <c r="J39" s="637"/>
      <c r="K39" s="637"/>
      <c r="L39" s="637"/>
      <c r="M39" s="499" t="s">
        <v>77</v>
      </c>
      <c r="N39" s="498">
        <v>46031</v>
      </c>
      <c r="O39" s="493"/>
    </row>
    <row r="40" spans="2:15" ht="17.25" customHeight="1" x14ac:dyDescent="0.3">
      <c r="B40" s="637"/>
      <c r="C40" s="638">
        <v>26010037</v>
      </c>
      <c r="D40" s="638"/>
      <c r="E40" s="638"/>
      <c r="F40" s="638"/>
      <c r="G40" s="638" t="s">
        <v>75</v>
      </c>
      <c r="H40" s="638"/>
      <c r="I40" s="638"/>
      <c r="J40" s="638"/>
      <c r="K40" s="637"/>
      <c r="L40" s="637"/>
      <c r="M40" s="496" t="s">
        <v>77</v>
      </c>
      <c r="N40" s="498">
        <v>46031</v>
      </c>
      <c r="O40" s="493"/>
    </row>
    <row r="41" spans="2:15" ht="17.25" customHeight="1" x14ac:dyDescent="0.3">
      <c r="B41" s="637"/>
      <c r="C41" s="637">
        <v>26010038</v>
      </c>
      <c r="D41" s="637"/>
      <c r="E41" s="637"/>
      <c r="F41" s="637"/>
      <c r="G41" s="637" t="s">
        <v>75</v>
      </c>
      <c r="H41" s="637"/>
      <c r="I41" s="637"/>
      <c r="J41" s="637"/>
      <c r="K41" s="637"/>
      <c r="L41" s="637"/>
      <c r="M41" s="499" t="s">
        <v>77</v>
      </c>
      <c r="N41" s="498">
        <v>46031</v>
      </c>
      <c r="O41" s="493"/>
    </row>
    <row r="42" spans="2:15" ht="17.25" customHeight="1" x14ac:dyDescent="0.3">
      <c r="B42" s="637"/>
      <c r="C42" s="638">
        <v>26010039</v>
      </c>
      <c r="D42" s="638"/>
      <c r="E42" s="638"/>
      <c r="F42" s="638"/>
      <c r="G42" s="638" t="s">
        <v>75</v>
      </c>
      <c r="H42" s="638"/>
      <c r="I42" s="638"/>
      <c r="J42" s="638"/>
      <c r="K42" s="637"/>
      <c r="L42" s="637"/>
      <c r="M42" s="496" t="s">
        <v>77</v>
      </c>
      <c r="N42" s="498">
        <v>46031</v>
      </c>
      <c r="O42" s="493"/>
    </row>
    <row r="43" spans="2:15" ht="17.25" customHeight="1" x14ac:dyDescent="0.3">
      <c r="B43" s="637"/>
      <c r="C43" s="637">
        <v>26010040</v>
      </c>
      <c r="D43" s="637"/>
      <c r="E43" s="637"/>
      <c r="F43" s="637"/>
      <c r="G43" s="637" t="s">
        <v>75</v>
      </c>
      <c r="H43" s="637"/>
      <c r="I43" s="637"/>
      <c r="J43" s="637"/>
      <c r="K43" s="637"/>
      <c r="L43" s="637"/>
      <c r="M43" s="499" t="s">
        <v>77</v>
      </c>
      <c r="N43" s="498">
        <v>46031</v>
      </c>
      <c r="O43" s="493"/>
    </row>
    <row r="44" spans="2:15" ht="17.25" customHeight="1" x14ac:dyDescent="0.3">
      <c r="B44" s="637"/>
      <c r="C44" s="638">
        <v>26010041</v>
      </c>
      <c r="D44" s="638"/>
      <c r="E44" s="642"/>
      <c r="F44" s="642"/>
      <c r="G44" s="638" t="s">
        <v>75</v>
      </c>
      <c r="H44" s="638"/>
      <c r="I44" s="638"/>
      <c r="J44" s="638"/>
      <c r="K44" s="637"/>
      <c r="L44" s="637"/>
      <c r="M44" s="496" t="s">
        <v>77</v>
      </c>
      <c r="N44" s="498">
        <v>46034</v>
      </c>
      <c r="O44" s="493"/>
    </row>
    <row r="45" spans="2:15" ht="17.25" customHeight="1" x14ac:dyDescent="0.3">
      <c r="B45" s="637"/>
      <c r="C45" s="637">
        <v>26010042</v>
      </c>
      <c r="D45" s="637"/>
      <c r="E45" s="637"/>
      <c r="F45" s="637"/>
      <c r="G45" s="637" t="s">
        <v>75</v>
      </c>
      <c r="H45" s="637"/>
      <c r="I45" s="637"/>
      <c r="J45" s="637"/>
      <c r="K45" s="637"/>
      <c r="L45" s="637"/>
      <c r="M45" s="499" t="s">
        <v>77</v>
      </c>
      <c r="N45" s="498">
        <v>46034</v>
      </c>
      <c r="O45" s="493"/>
    </row>
    <row r="46" spans="2:15" ht="17.25" customHeight="1" x14ac:dyDescent="0.3">
      <c r="B46" s="637"/>
      <c r="C46" s="638">
        <v>26060043</v>
      </c>
      <c r="D46" s="638"/>
      <c r="E46" s="638"/>
      <c r="F46" s="638"/>
      <c r="G46" s="638" t="s">
        <v>78</v>
      </c>
      <c r="H46" s="638"/>
      <c r="I46" s="638"/>
      <c r="J46" s="638"/>
      <c r="K46" s="637"/>
      <c r="L46" s="637"/>
      <c r="M46" s="496" t="s">
        <v>79</v>
      </c>
      <c r="N46" s="498">
        <v>46028</v>
      </c>
      <c r="O46" s="493"/>
    </row>
    <row r="47" spans="2:15" ht="17.25" customHeight="1" x14ac:dyDescent="0.3">
      <c r="B47" s="499" t="s">
        <v>80</v>
      </c>
      <c r="C47" s="637">
        <v>26060044</v>
      </c>
      <c r="D47" s="637"/>
      <c r="E47" s="637" t="s">
        <v>81</v>
      </c>
      <c r="F47" s="637"/>
      <c r="G47" s="637" t="s">
        <v>82</v>
      </c>
      <c r="H47" s="637"/>
      <c r="I47" s="637"/>
      <c r="J47" s="637"/>
      <c r="K47" s="637" t="s">
        <v>83</v>
      </c>
      <c r="L47" s="637"/>
      <c r="M47" s="499" t="s">
        <v>84</v>
      </c>
      <c r="N47" s="498">
        <v>46028</v>
      </c>
      <c r="O47" s="493"/>
    </row>
    <row r="48" spans="2:15" ht="17.25" customHeight="1" x14ac:dyDescent="0.3">
      <c r="B48" s="638" t="s">
        <v>85</v>
      </c>
      <c r="C48" s="638">
        <v>26010045</v>
      </c>
      <c r="D48" s="638"/>
      <c r="E48" s="638"/>
      <c r="F48" s="638"/>
      <c r="G48" s="638" t="s">
        <v>86</v>
      </c>
      <c r="H48" s="638"/>
      <c r="I48" s="638"/>
      <c r="J48" s="638"/>
      <c r="K48" s="638" t="s">
        <v>27</v>
      </c>
      <c r="L48" s="638"/>
      <c r="M48" s="496" t="s">
        <v>87</v>
      </c>
      <c r="N48" s="498">
        <v>46035</v>
      </c>
      <c r="O48" s="493"/>
    </row>
    <row r="49" spans="2:18" ht="17.25" customHeight="1" x14ac:dyDescent="0.3">
      <c r="B49" s="638"/>
      <c r="C49" s="637">
        <v>26010046</v>
      </c>
      <c r="D49" s="637"/>
      <c r="E49" s="637"/>
      <c r="F49" s="637"/>
      <c r="G49" s="637" t="s">
        <v>86</v>
      </c>
      <c r="H49" s="637"/>
      <c r="I49" s="637"/>
      <c r="J49" s="637"/>
      <c r="K49" s="638"/>
      <c r="L49" s="638"/>
      <c r="M49" s="499" t="s">
        <v>88</v>
      </c>
      <c r="N49" s="498">
        <v>46036</v>
      </c>
      <c r="O49" s="493"/>
    </row>
    <row r="50" spans="2:18" ht="17.25" customHeight="1" x14ac:dyDescent="0.3">
      <c r="B50" s="638"/>
      <c r="C50" s="638">
        <v>26010047</v>
      </c>
      <c r="D50" s="638"/>
      <c r="E50" s="638"/>
      <c r="F50" s="638"/>
      <c r="G50" s="638" t="s">
        <v>86</v>
      </c>
      <c r="H50" s="638"/>
      <c r="I50" s="638"/>
      <c r="J50" s="638"/>
      <c r="K50" s="638"/>
      <c r="L50" s="638"/>
      <c r="M50" s="496" t="s">
        <v>89</v>
      </c>
      <c r="N50" s="498">
        <v>46037</v>
      </c>
      <c r="O50" s="493"/>
    </row>
    <row r="51" spans="2:18" ht="17.25" customHeight="1" x14ac:dyDescent="0.3">
      <c r="B51" s="638"/>
      <c r="C51" s="637">
        <v>26010048</v>
      </c>
      <c r="D51" s="637"/>
      <c r="E51" s="637"/>
      <c r="F51" s="637"/>
      <c r="G51" s="637" t="s">
        <v>86</v>
      </c>
      <c r="H51" s="637"/>
      <c r="I51" s="637"/>
      <c r="J51" s="637"/>
      <c r="K51" s="638"/>
      <c r="L51" s="638"/>
      <c r="M51" s="499" t="s">
        <v>90</v>
      </c>
      <c r="N51" s="498"/>
      <c r="O51" s="643" t="s">
        <v>91</v>
      </c>
      <c r="P51" s="644"/>
      <c r="Q51" s="644"/>
      <c r="R51" s="644"/>
    </row>
    <row r="52" spans="2:18" ht="17.25" customHeight="1" x14ac:dyDescent="0.3">
      <c r="B52" s="638" t="s">
        <v>92</v>
      </c>
      <c r="C52" s="638">
        <v>26030050</v>
      </c>
      <c r="D52" s="638"/>
      <c r="E52" s="638"/>
      <c r="F52" s="638"/>
      <c r="G52" s="638" t="s">
        <v>93</v>
      </c>
      <c r="H52" s="638"/>
      <c r="I52" s="638"/>
      <c r="J52" s="638"/>
      <c r="K52" s="638" t="s">
        <v>76</v>
      </c>
      <c r="L52" s="638"/>
      <c r="M52" s="496" t="s">
        <v>94</v>
      </c>
      <c r="N52" s="498">
        <v>46045</v>
      </c>
      <c r="O52" s="493"/>
    </row>
    <row r="53" spans="2:18" ht="17.25" customHeight="1" x14ac:dyDescent="0.3">
      <c r="B53" s="638"/>
      <c r="C53" s="637">
        <v>26030051</v>
      </c>
      <c r="D53" s="637"/>
      <c r="E53" s="637"/>
      <c r="F53" s="637"/>
      <c r="G53" s="637" t="s">
        <v>95</v>
      </c>
      <c r="H53" s="637"/>
      <c r="I53" s="637"/>
      <c r="J53" s="637"/>
      <c r="K53" s="638"/>
      <c r="L53" s="638"/>
      <c r="M53" s="499" t="s">
        <v>96</v>
      </c>
      <c r="N53" s="498">
        <v>46073</v>
      </c>
      <c r="O53" s="493"/>
    </row>
    <row r="54" spans="2:18" ht="17.25" customHeight="1" x14ac:dyDescent="0.3">
      <c r="B54" s="638"/>
      <c r="C54" s="638">
        <v>26030052</v>
      </c>
      <c r="D54" s="638"/>
      <c r="E54" s="638"/>
      <c r="F54" s="638"/>
      <c r="G54" s="638" t="s">
        <v>97</v>
      </c>
      <c r="H54" s="638"/>
      <c r="I54" s="638"/>
      <c r="J54" s="638"/>
      <c r="K54" s="638"/>
      <c r="L54" s="638"/>
      <c r="M54" s="496" t="s">
        <v>98</v>
      </c>
      <c r="N54" s="498">
        <v>46045</v>
      </c>
      <c r="O54" s="493"/>
    </row>
    <row r="55" spans="2:18" ht="17.25" customHeight="1" x14ac:dyDescent="0.3">
      <c r="B55" s="638"/>
      <c r="C55" s="637">
        <v>26030053</v>
      </c>
      <c r="D55" s="637"/>
      <c r="E55" s="637"/>
      <c r="F55" s="637"/>
      <c r="G55" s="637" t="s">
        <v>99</v>
      </c>
      <c r="H55" s="637"/>
      <c r="I55" s="637"/>
      <c r="J55" s="637"/>
      <c r="K55" s="638"/>
      <c r="L55" s="638"/>
      <c r="M55" s="499" t="s">
        <v>100</v>
      </c>
      <c r="N55" s="498">
        <v>46073</v>
      </c>
      <c r="O55" s="493"/>
    </row>
    <row r="56" spans="2:18" ht="17.25" customHeight="1" x14ac:dyDescent="0.3">
      <c r="B56" s="638"/>
      <c r="C56" s="638">
        <v>26030054</v>
      </c>
      <c r="D56" s="638"/>
      <c r="E56" s="638"/>
      <c r="F56" s="638"/>
      <c r="G56" s="638" t="s">
        <v>101</v>
      </c>
      <c r="H56" s="638"/>
      <c r="I56" s="638"/>
      <c r="J56" s="638"/>
      <c r="K56" s="638"/>
      <c r="L56" s="638"/>
      <c r="M56" s="496" t="s">
        <v>94</v>
      </c>
      <c r="N56" s="498">
        <v>46045</v>
      </c>
      <c r="O56" s="493"/>
    </row>
    <row r="57" spans="2:18" ht="17.25" customHeight="1" x14ac:dyDescent="0.3">
      <c r="B57" s="637" t="s">
        <v>102</v>
      </c>
      <c r="C57" s="637"/>
      <c r="D57" s="637"/>
      <c r="E57" s="637">
        <v>26030050</v>
      </c>
      <c r="F57" s="637"/>
      <c r="G57" s="637" t="s">
        <v>93</v>
      </c>
      <c r="H57" s="637"/>
      <c r="I57" s="637"/>
      <c r="J57" s="637"/>
      <c r="K57" s="637" t="s">
        <v>103</v>
      </c>
      <c r="L57" s="637"/>
      <c r="M57" s="499" t="s">
        <v>104</v>
      </c>
      <c r="N57" s="498">
        <v>46045</v>
      </c>
      <c r="O57" s="493"/>
    </row>
    <row r="58" spans="2:18" ht="17.25" customHeight="1" x14ac:dyDescent="0.3">
      <c r="B58" s="637"/>
      <c r="C58" s="638"/>
      <c r="D58" s="638"/>
      <c r="E58" s="638">
        <v>26030051</v>
      </c>
      <c r="F58" s="638"/>
      <c r="G58" s="638" t="s">
        <v>95</v>
      </c>
      <c r="H58" s="638"/>
      <c r="I58" s="638"/>
      <c r="J58" s="638"/>
      <c r="K58" s="637"/>
      <c r="L58" s="637"/>
      <c r="M58" s="496" t="s">
        <v>104</v>
      </c>
      <c r="N58" s="498">
        <v>46045</v>
      </c>
      <c r="O58" s="493"/>
    </row>
    <row r="59" spans="2:18" ht="17.25" customHeight="1" x14ac:dyDescent="0.3">
      <c r="B59" s="637"/>
      <c r="C59" s="637"/>
      <c r="D59" s="637"/>
      <c r="E59" s="637">
        <v>26030052</v>
      </c>
      <c r="F59" s="637"/>
      <c r="G59" s="637" t="s">
        <v>97</v>
      </c>
      <c r="H59" s="637"/>
      <c r="I59" s="637"/>
      <c r="J59" s="637"/>
      <c r="K59" s="637"/>
      <c r="L59" s="637"/>
      <c r="M59" s="499" t="s">
        <v>104</v>
      </c>
      <c r="N59" s="498">
        <v>46045</v>
      </c>
      <c r="O59" s="493"/>
    </row>
    <row r="60" spans="2:18" ht="17.25" customHeight="1" x14ac:dyDescent="0.3">
      <c r="B60" s="637"/>
      <c r="C60" s="638"/>
      <c r="D60" s="638"/>
      <c r="E60" s="638">
        <v>26030053</v>
      </c>
      <c r="F60" s="638"/>
      <c r="G60" s="638" t="s">
        <v>99</v>
      </c>
      <c r="H60" s="638"/>
      <c r="I60" s="638"/>
      <c r="J60" s="638"/>
      <c r="K60" s="637"/>
      <c r="L60" s="637"/>
      <c r="M60" s="496" t="s">
        <v>104</v>
      </c>
      <c r="N60" s="501">
        <v>46078</v>
      </c>
      <c r="O60" s="493"/>
    </row>
    <row r="61" spans="2:18" ht="17.25" customHeight="1" x14ac:dyDescent="0.3">
      <c r="B61" s="637"/>
      <c r="C61" s="637"/>
      <c r="D61" s="637"/>
      <c r="E61" s="637">
        <v>26030054</v>
      </c>
      <c r="F61" s="637"/>
      <c r="G61" s="637" t="s">
        <v>101</v>
      </c>
      <c r="H61" s="637"/>
      <c r="I61" s="637"/>
      <c r="J61" s="637"/>
      <c r="K61" s="637"/>
      <c r="L61" s="637"/>
      <c r="M61" s="499" t="s">
        <v>104</v>
      </c>
      <c r="N61" s="498">
        <v>46045</v>
      </c>
      <c r="O61" s="493"/>
    </row>
    <row r="62" spans="2:18" ht="17.25" customHeight="1" x14ac:dyDescent="0.3">
      <c r="B62" s="496" t="s">
        <v>105</v>
      </c>
      <c r="C62" s="638"/>
      <c r="D62" s="638"/>
      <c r="E62" s="638">
        <v>26030051</v>
      </c>
      <c r="F62" s="638"/>
      <c r="G62" s="638" t="s">
        <v>95</v>
      </c>
      <c r="H62" s="638"/>
      <c r="I62" s="638"/>
      <c r="J62" s="638"/>
      <c r="K62" s="638" t="s">
        <v>62</v>
      </c>
      <c r="L62" s="638"/>
      <c r="M62" s="496" t="s">
        <v>106</v>
      </c>
      <c r="N62" s="498">
        <v>46078</v>
      </c>
      <c r="O62" s="493"/>
    </row>
    <row r="63" spans="2:18" ht="17.25" customHeight="1" x14ac:dyDescent="0.3">
      <c r="B63" s="637" t="s">
        <v>107</v>
      </c>
      <c r="C63" s="637">
        <v>26020055</v>
      </c>
      <c r="D63" s="637"/>
      <c r="E63" s="637"/>
      <c r="F63" s="637"/>
      <c r="G63" s="637" t="s">
        <v>108</v>
      </c>
      <c r="H63" s="637"/>
      <c r="I63" s="637"/>
      <c r="J63" s="637"/>
      <c r="K63" s="637" t="s">
        <v>76</v>
      </c>
      <c r="L63" s="637"/>
      <c r="M63" s="499" t="s">
        <v>109</v>
      </c>
      <c r="N63" s="498">
        <v>46042</v>
      </c>
      <c r="O63" s="493"/>
    </row>
    <row r="64" spans="2:18" ht="17.25" customHeight="1" x14ac:dyDescent="0.3">
      <c r="B64" s="637"/>
      <c r="C64" s="638">
        <v>26020056</v>
      </c>
      <c r="D64" s="638"/>
      <c r="E64" s="638"/>
      <c r="F64" s="638"/>
      <c r="G64" s="638" t="s">
        <v>110</v>
      </c>
      <c r="H64" s="638"/>
      <c r="I64" s="638"/>
      <c r="J64" s="638"/>
      <c r="K64" s="637"/>
      <c r="L64" s="637"/>
      <c r="M64" s="496" t="s">
        <v>111</v>
      </c>
      <c r="N64" s="498">
        <v>46044</v>
      </c>
      <c r="O64" s="493"/>
    </row>
    <row r="65" spans="2:15" ht="17.25" customHeight="1" x14ac:dyDescent="0.3">
      <c r="B65" s="637"/>
      <c r="C65" s="637">
        <v>26020057</v>
      </c>
      <c r="D65" s="637"/>
      <c r="E65" s="637"/>
      <c r="F65" s="637"/>
      <c r="G65" s="637" t="s">
        <v>112</v>
      </c>
      <c r="H65" s="637"/>
      <c r="I65" s="637"/>
      <c r="J65" s="637"/>
      <c r="K65" s="637"/>
      <c r="L65" s="637"/>
      <c r="M65" s="499" t="s">
        <v>113</v>
      </c>
      <c r="N65" s="498">
        <v>46044</v>
      </c>
      <c r="O65" s="493"/>
    </row>
    <row r="66" spans="2:15" ht="17.25" customHeight="1" x14ac:dyDescent="0.3">
      <c r="B66" s="637"/>
      <c r="C66" s="638">
        <v>26020058</v>
      </c>
      <c r="D66" s="638"/>
      <c r="E66" s="638"/>
      <c r="F66" s="638"/>
      <c r="G66" s="638" t="s">
        <v>114</v>
      </c>
      <c r="H66" s="638"/>
      <c r="I66" s="638"/>
      <c r="J66" s="638"/>
      <c r="K66" s="637"/>
      <c r="L66" s="637"/>
      <c r="M66" s="496" t="s">
        <v>115</v>
      </c>
      <c r="N66" s="498">
        <v>46044</v>
      </c>
      <c r="O66" s="494" t="s">
        <v>116</v>
      </c>
    </row>
    <row r="67" spans="2:15" ht="17.25" customHeight="1" x14ac:dyDescent="0.3">
      <c r="B67" s="637" t="s">
        <v>117</v>
      </c>
      <c r="C67" s="637">
        <v>26010059</v>
      </c>
      <c r="D67" s="637"/>
      <c r="E67" s="637"/>
      <c r="F67" s="637"/>
      <c r="G67" s="637" t="s">
        <v>75</v>
      </c>
      <c r="H67" s="637"/>
      <c r="I67" s="637"/>
      <c r="J67" s="637"/>
      <c r="K67" s="637" t="s">
        <v>76</v>
      </c>
      <c r="L67" s="637"/>
      <c r="M67" s="499" t="s">
        <v>77</v>
      </c>
      <c r="N67" s="498">
        <v>46035</v>
      </c>
      <c r="O67" s="493"/>
    </row>
    <row r="68" spans="2:15" ht="17.25" customHeight="1" x14ac:dyDescent="0.3">
      <c r="B68" s="637"/>
      <c r="C68" s="638">
        <v>26010060</v>
      </c>
      <c r="D68" s="638"/>
      <c r="E68" s="638"/>
      <c r="F68" s="638"/>
      <c r="G68" s="638" t="s">
        <v>75</v>
      </c>
      <c r="H68" s="638"/>
      <c r="I68" s="638"/>
      <c r="J68" s="638"/>
      <c r="K68" s="637"/>
      <c r="L68" s="637"/>
      <c r="M68" s="496" t="s">
        <v>77</v>
      </c>
      <c r="N68" s="498">
        <v>46037</v>
      </c>
      <c r="O68" s="493"/>
    </row>
    <row r="69" spans="2:15" ht="17.25" customHeight="1" x14ac:dyDescent="0.3">
      <c r="B69" s="637"/>
      <c r="C69" s="637">
        <v>26010061</v>
      </c>
      <c r="D69" s="637"/>
      <c r="E69" s="637"/>
      <c r="F69" s="637"/>
      <c r="G69" s="637" t="s">
        <v>75</v>
      </c>
      <c r="H69" s="637"/>
      <c r="I69" s="637"/>
      <c r="J69" s="637"/>
      <c r="K69" s="637"/>
      <c r="L69" s="637"/>
      <c r="M69" s="499" t="s">
        <v>77</v>
      </c>
      <c r="N69" s="498">
        <v>46037</v>
      </c>
      <c r="O69" s="493"/>
    </row>
    <row r="70" spans="2:15" ht="17.25" customHeight="1" x14ac:dyDescent="0.3">
      <c r="B70" s="637"/>
      <c r="C70" s="638">
        <v>26010062</v>
      </c>
      <c r="D70" s="638"/>
      <c r="E70" s="638"/>
      <c r="F70" s="638"/>
      <c r="G70" s="638" t="s">
        <v>75</v>
      </c>
      <c r="H70" s="638"/>
      <c r="I70" s="638"/>
      <c r="J70" s="638"/>
      <c r="K70" s="637"/>
      <c r="L70" s="637"/>
      <c r="M70" s="496" t="s">
        <v>77</v>
      </c>
      <c r="N70" s="498">
        <v>46037</v>
      </c>
      <c r="O70" s="493"/>
    </row>
    <row r="71" spans="2:15" ht="17.25" customHeight="1" x14ac:dyDescent="0.3">
      <c r="B71" s="637"/>
      <c r="C71" s="637">
        <v>26010063</v>
      </c>
      <c r="D71" s="637"/>
      <c r="E71" s="637"/>
      <c r="F71" s="637"/>
      <c r="G71" s="637" t="s">
        <v>75</v>
      </c>
      <c r="H71" s="637"/>
      <c r="I71" s="637"/>
      <c r="J71" s="637"/>
      <c r="K71" s="637"/>
      <c r="L71" s="637"/>
      <c r="M71" s="499" t="s">
        <v>77</v>
      </c>
      <c r="N71" s="498">
        <v>46037</v>
      </c>
      <c r="O71" s="493"/>
    </row>
    <row r="72" spans="2:15" ht="17.25" customHeight="1" x14ac:dyDescent="0.3">
      <c r="B72" s="637"/>
      <c r="C72" s="638">
        <v>26010064</v>
      </c>
      <c r="D72" s="638"/>
      <c r="E72" s="638"/>
      <c r="F72" s="638"/>
      <c r="G72" s="638" t="s">
        <v>75</v>
      </c>
      <c r="H72" s="638"/>
      <c r="I72" s="638"/>
      <c r="J72" s="638"/>
      <c r="K72" s="637"/>
      <c r="L72" s="637"/>
      <c r="M72" s="496" t="s">
        <v>77</v>
      </c>
      <c r="N72" s="498">
        <v>46037</v>
      </c>
      <c r="O72" s="493"/>
    </row>
    <row r="73" spans="2:15" ht="17.25" customHeight="1" x14ac:dyDescent="0.3">
      <c r="B73" s="637"/>
      <c r="C73" s="637">
        <v>26010065</v>
      </c>
      <c r="D73" s="637"/>
      <c r="E73" s="645"/>
      <c r="F73" s="645"/>
      <c r="G73" s="637" t="s">
        <v>75</v>
      </c>
      <c r="H73" s="637"/>
      <c r="I73" s="637"/>
      <c r="J73" s="637"/>
      <c r="K73" s="637"/>
      <c r="L73" s="637"/>
      <c r="M73" s="499" t="s">
        <v>77</v>
      </c>
      <c r="N73" s="498">
        <v>46037</v>
      </c>
      <c r="O73" s="493"/>
    </row>
    <row r="74" spans="2:15" ht="17.25" customHeight="1" x14ac:dyDescent="0.3">
      <c r="B74" s="637"/>
      <c r="C74" s="638">
        <v>26010066</v>
      </c>
      <c r="D74" s="638"/>
      <c r="E74" s="642"/>
      <c r="F74" s="642"/>
      <c r="G74" s="638" t="s">
        <v>75</v>
      </c>
      <c r="H74" s="638"/>
      <c r="I74" s="638"/>
      <c r="J74" s="638"/>
      <c r="K74" s="637"/>
      <c r="L74" s="637"/>
      <c r="M74" s="496" t="s">
        <v>77</v>
      </c>
      <c r="N74" s="498">
        <v>46038</v>
      </c>
      <c r="O74" s="493"/>
    </row>
    <row r="75" spans="2:15" ht="17.25" customHeight="1" x14ac:dyDescent="0.3">
      <c r="B75" s="637"/>
      <c r="C75" s="637">
        <v>26010067</v>
      </c>
      <c r="D75" s="637"/>
      <c r="E75" s="637"/>
      <c r="F75" s="637"/>
      <c r="G75" s="637" t="s">
        <v>75</v>
      </c>
      <c r="H75" s="637"/>
      <c r="I75" s="637"/>
      <c r="J75" s="637"/>
      <c r="K75" s="637"/>
      <c r="L75" s="637"/>
      <c r="M75" s="499" t="s">
        <v>77</v>
      </c>
      <c r="N75" s="498">
        <v>46038</v>
      </c>
      <c r="O75" s="493"/>
    </row>
    <row r="76" spans="2:15" ht="17.25" customHeight="1" x14ac:dyDescent="0.3">
      <c r="B76" s="637"/>
      <c r="C76" s="638">
        <v>26010068</v>
      </c>
      <c r="D76" s="638"/>
      <c r="E76" s="638"/>
      <c r="F76" s="638"/>
      <c r="G76" s="638" t="s">
        <v>75</v>
      </c>
      <c r="H76" s="638"/>
      <c r="I76" s="638"/>
      <c r="J76" s="638"/>
      <c r="K76" s="637"/>
      <c r="L76" s="637"/>
      <c r="M76" s="496" t="s">
        <v>77</v>
      </c>
      <c r="N76" s="498">
        <v>46038</v>
      </c>
      <c r="O76" s="493"/>
    </row>
    <row r="77" spans="2:15" ht="17.25" customHeight="1" x14ac:dyDescent="0.3">
      <c r="B77" s="637"/>
      <c r="C77" s="637">
        <v>26010069</v>
      </c>
      <c r="D77" s="637"/>
      <c r="E77" s="637"/>
      <c r="F77" s="637"/>
      <c r="G77" s="637" t="s">
        <v>75</v>
      </c>
      <c r="H77" s="637"/>
      <c r="I77" s="637"/>
      <c r="J77" s="637"/>
      <c r="K77" s="637"/>
      <c r="L77" s="637"/>
      <c r="M77" s="499" t="s">
        <v>77</v>
      </c>
      <c r="N77" s="498">
        <v>46038</v>
      </c>
      <c r="O77" s="493"/>
    </row>
    <row r="78" spans="2:15" ht="17.25" customHeight="1" x14ac:dyDescent="0.3">
      <c r="B78" s="637"/>
      <c r="C78" s="638">
        <v>26010070</v>
      </c>
      <c r="D78" s="638"/>
      <c r="E78" s="638"/>
      <c r="F78" s="638"/>
      <c r="G78" s="638" t="s">
        <v>75</v>
      </c>
      <c r="H78" s="638"/>
      <c r="I78" s="638"/>
      <c r="J78" s="638"/>
      <c r="K78" s="637"/>
      <c r="L78" s="637"/>
      <c r="M78" s="496" t="s">
        <v>77</v>
      </c>
      <c r="N78" s="498">
        <v>46038</v>
      </c>
      <c r="O78" s="493"/>
    </row>
    <row r="79" spans="2:15" ht="17.25" customHeight="1" x14ac:dyDescent="0.3">
      <c r="B79" s="637"/>
      <c r="C79" s="637">
        <v>26010071</v>
      </c>
      <c r="D79" s="637"/>
      <c r="E79" s="637"/>
      <c r="F79" s="637"/>
      <c r="G79" s="637" t="s">
        <v>75</v>
      </c>
      <c r="H79" s="637"/>
      <c r="I79" s="637"/>
      <c r="J79" s="637"/>
      <c r="K79" s="637"/>
      <c r="L79" s="637"/>
      <c r="M79" s="499" t="s">
        <v>77</v>
      </c>
      <c r="N79" s="498">
        <v>46038</v>
      </c>
      <c r="O79" s="493"/>
    </row>
    <row r="80" spans="2:15" ht="17.25" customHeight="1" x14ac:dyDescent="0.3">
      <c r="B80" s="637"/>
      <c r="C80" s="638">
        <v>26010072</v>
      </c>
      <c r="D80" s="638"/>
      <c r="E80" s="638"/>
      <c r="F80" s="638"/>
      <c r="G80" s="638" t="s">
        <v>75</v>
      </c>
      <c r="H80" s="638"/>
      <c r="I80" s="638"/>
      <c r="J80" s="638"/>
      <c r="K80" s="637"/>
      <c r="L80" s="637"/>
      <c r="M80" s="496" t="s">
        <v>77</v>
      </c>
      <c r="N80" s="498">
        <v>46038</v>
      </c>
      <c r="O80" s="493"/>
    </row>
    <row r="81" spans="2:15" ht="17.25" customHeight="1" x14ac:dyDescent="0.3">
      <c r="B81" s="637"/>
      <c r="C81" s="637">
        <v>26010073</v>
      </c>
      <c r="D81" s="637"/>
      <c r="E81" s="645"/>
      <c r="F81" s="645"/>
      <c r="G81" s="637" t="s">
        <v>75</v>
      </c>
      <c r="H81" s="637"/>
      <c r="I81" s="637"/>
      <c r="J81" s="637"/>
      <c r="K81" s="637"/>
      <c r="L81" s="637"/>
      <c r="M81" s="499" t="s">
        <v>77</v>
      </c>
      <c r="N81" s="498">
        <v>46038</v>
      </c>
      <c r="O81" s="493"/>
    </row>
    <row r="82" spans="2:15" ht="17.25" customHeight="1" x14ac:dyDescent="0.3">
      <c r="B82" s="637"/>
      <c r="C82" s="638">
        <v>26010074</v>
      </c>
      <c r="D82" s="638"/>
      <c r="E82" s="638"/>
      <c r="F82" s="638"/>
      <c r="G82" s="638" t="s">
        <v>118</v>
      </c>
      <c r="H82" s="638"/>
      <c r="I82" s="638"/>
      <c r="J82" s="638"/>
      <c r="K82" s="637"/>
      <c r="L82" s="637"/>
      <c r="M82" s="496" t="s">
        <v>77</v>
      </c>
      <c r="N82" s="498">
        <v>46041</v>
      </c>
      <c r="O82" s="493"/>
    </row>
    <row r="83" spans="2:15" ht="17.25" customHeight="1" x14ac:dyDescent="0.3">
      <c r="B83" s="637"/>
      <c r="C83" s="637">
        <v>26010075</v>
      </c>
      <c r="D83" s="637"/>
      <c r="E83" s="637"/>
      <c r="F83" s="637"/>
      <c r="G83" s="637" t="s">
        <v>118</v>
      </c>
      <c r="H83" s="637"/>
      <c r="I83" s="637"/>
      <c r="J83" s="637"/>
      <c r="K83" s="637"/>
      <c r="L83" s="637"/>
      <c r="M83" s="499" t="s">
        <v>77</v>
      </c>
      <c r="N83" s="498">
        <v>46041</v>
      </c>
      <c r="O83" s="493"/>
    </row>
    <row r="84" spans="2:15" ht="17.25" customHeight="1" x14ac:dyDescent="0.3">
      <c r="B84" s="637"/>
      <c r="C84" s="638">
        <v>26010076</v>
      </c>
      <c r="D84" s="638"/>
      <c r="E84" s="638"/>
      <c r="F84" s="638"/>
      <c r="G84" s="638" t="s">
        <v>118</v>
      </c>
      <c r="H84" s="638"/>
      <c r="I84" s="638"/>
      <c r="J84" s="638"/>
      <c r="K84" s="637"/>
      <c r="L84" s="637"/>
      <c r="M84" s="496" t="s">
        <v>77</v>
      </c>
      <c r="N84" s="498">
        <v>46041</v>
      </c>
      <c r="O84" s="493"/>
    </row>
    <row r="85" spans="2:15" ht="17.25" customHeight="1" x14ac:dyDescent="0.3">
      <c r="B85" s="637"/>
      <c r="C85" s="637">
        <v>26010077</v>
      </c>
      <c r="D85" s="637"/>
      <c r="E85" s="645"/>
      <c r="F85" s="645"/>
      <c r="G85" s="637" t="s">
        <v>118</v>
      </c>
      <c r="H85" s="637"/>
      <c r="I85" s="637"/>
      <c r="J85" s="637"/>
      <c r="K85" s="637"/>
      <c r="L85" s="637"/>
      <c r="M85" s="499" t="s">
        <v>77</v>
      </c>
      <c r="N85" s="498">
        <v>46041</v>
      </c>
      <c r="O85" s="493"/>
    </row>
    <row r="86" spans="2:15" ht="17.25" customHeight="1" x14ac:dyDescent="0.3">
      <c r="B86" s="637"/>
      <c r="C86" s="638">
        <v>26010078</v>
      </c>
      <c r="D86" s="638"/>
      <c r="E86" s="638"/>
      <c r="F86" s="638"/>
      <c r="G86" s="638" t="s">
        <v>118</v>
      </c>
      <c r="H86" s="638"/>
      <c r="I86" s="638"/>
      <c r="J86" s="638"/>
      <c r="K86" s="637"/>
      <c r="L86" s="637"/>
      <c r="M86" s="496" t="s">
        <v>77</v>
      </c>
      <c r="N86" s="498">
        <v>46041</v>
      </c>
      <c r="O86" s="493"/>
    </row>
    <row r="87" spans="2:15" ht="17.25" customHeight="1" x14ac:dyDescent="0.3">
      <c r="B87" s="637"/>
      <c r="C87" s="637">
        <v>26010079</v>
      </c>
      <c r="D87" s="637"/>
      <c r="E87" s="637"/>
      <c r="F87" s="637"/>
      <c r="G87" s="637" t="s">
        <v>118</v>
      </c>
      <c r="H87" s="637"/>
      <c r="I87" s="637"/>
      <c r="J87" s="637"/>
      <c r="K87" s="637"/>
      <c r="L87" s="637"/>
      <c r="M87" s="499" t="s">
        <v>77</v>
      </c>
      <c r="N87" s="498">
        <v>46041</v>
      </c>
      <c r="O87" s="493"/>
    </row>
    <row r="88" spans="2:15" ht="17.25" customHeight="1" x14ac:dyDescent="0.3">
      <c r="B88" s="637"/>
      <c r="C88" s="638">
        <v>26010080</v>
      </c>
      <c r="D88" s="638"/>
      <c r="E88" s="642"/>
      <c r="F88" s="642"/>
      <c r="G88" s="638" t="s">
        <v>118</v>
      </c>
      <c r="H88" s="638"/>
      <c r="I88" s="638"/>
      <c r="J88" s="638"/>
      <c r="K88" s="637"/>
      <c r="L88" s="637"/>
      <c r="M88" s="496" t="s">
        <v>77</v>
      </c>
      <c r="N88" s="498">
        <v>46041</v>
      </c>
      <c r="O88" s="493"/>
    </row>
    <row r="89" spans="2:15" ht="17.25" customHeight="1" x14ac:dyDescent="0.3">
      <c r="B89" s="637"/>
      <c r="C89" s="637">
        <v>26010081</v>
      </c>
      <c r="D89" s="637"/>
      <c r="E89" s="637"/>
      <c r="F89" s="637"/>
      <c r="G89" s="637" t="s">
        <v>75</v>
      </c>
      <c r="H89" s="637"/>
      <c r="I89" s="637"/>
      <c r="J89" s="637"/>
      <c r="K89" s="637"/>
      <c r="L89" s="637"/>
      <c r="M89" s="499" t="s">
        <v>77</v>
      </c>
      <c r="N89" s="498">
        <v>46042</v>
      </c>
      <c r="O89" s="493"/>
    </row>
    <row r="90" spans="2:15" ht="17.25" customHeight="1" x14ac:dyDescent="0.3">
      <c r="B90" s="637"/>
      <c r="C90" s="638">
        <v>26010082</v>
      </c>
      <c r="D90" s="638"/>
      <c r="E90" s="638"/>
      <c r="F90" s="638"/>
      <c r="G90" s="638" t="s">
        <v>75</v>
      </c>
      <c r="H90" s="638"/>
      <c r="I90" s="638"/>
      <c r="J90" s="638"/>
      <c r="K90" s="637"/>
      <c r="L90" s="637"/>
      <c r="M90" s="496" t="s">
        <v>77</v>
      </c>
      <c r="N90" s="498">
        <v>46042</v>
      </c>
      <c r="O90" s="493"/>
    </row>
    <row r="91" spans="2:15" ht="17.25" customHeight="1" x14ac:dyDescent="0.3">
      <c r="B91" s="637"/>
      <c r="C91" s="637">
        <v>26010083</v>
      </c>
      <c r="D91" s="637"/>
      <c r="E91" s="637"/>
      <c r="F91" s="637"/>
      <c r="G91" s="637" t="s">
        <v>75</v>
      </c>
      <c r="H91" s="637"/>
      <c r="I91" s="637"/>
      <c r="J91" s="637"/>
      <c r="K91" s="637"/>
      <c r="L91" s="637"/>
      <c r="M91" s="499" t="s">
        <v>77</v>
      </c>
      <c r="N91" s="498">
        <v>46042</v>
      </c>
      <c r="O91" s="493"/>
    </row>
    <row r="92" spans="2:15" ht="17.25" customHeight="1" x14ac:dyDescent="0.3">
      <c r="B92" s="638" t="s">
        <v>119</v>
      </c>
      <c r="C92" s="638"/>
      <c r="D92" s="638"/>
      <c r="E92" s="638">
        <v>26020055</v>
      </c>
      <c r="F92" s="638"/>
      <c r="G92" s="638" t="s">
        <v>108</v>
      </c>
      <c r="H92" s="638"/>
      <c r="I92" s="638"/>
      <c r="J92" s="638"/>
      <c r="K92" s="638" t="s">
        <v>120</v>
      </c>
      <c r="L92" s="638"/>
      <c r="M92" s="497" t="s">
        <v>121</v>
      </c>
      <c r="N92" s="498">
        <v>46043</v>
      </c>
      <c r="O92" s="493"/>
    </row>
    <row r="93" spans="2:15" ht="17.25" customHeight="1" x14ac:dyDescent="0.3">
      <c r="B93" s="638"/>
      <c r="C93" s="637"/>
      <c r="D93" s="637"/>
      <c r="E93" s="637">
        <v>26020056</v>
      </c>
      <c r="F93" s="637"/>
      <c r="G93" s="637" t="s">
        <v>110</v>
      </c>
      <c r="H93" s="637"/>
      <c r="I93" s="637"/>
      <c r="J93" s="637"/>
      <c r="K93" s="638"/>
      <c r="L93" s="638"/>
      <c r="M93" s="500" t="s">
        <v>122</v>
      </c>
      <c r="N93" s="498">
        <v>46044</v>
      </c>
      <c r="O93" s="493"/>
    </row>
    <row r="94" spans="2:15" ht="17.25" customHeight="1" x14ac:dyDescent="0.3">
      <c r="B94" s="638"/>
      <c r="C94" s="638"/>
      <c r="D94" s="638"/>
      <c r="E94" s="638">
        <v>26020057</v>
      </c>
      <c r="F94" s="638"/>
      <c r="G94" s="638" t="s">
        <v>112</v>
      </c>
      <c r="H94" s="638"/>
      <c r="I94" s="638"/>
      <c r="J94" s="638"/>
      <c r="K94" s="638"/>
      <c r="L94" s="638"/>
      <c r="M94" s="497" t="s">
        <v>123</v>
      </c>
      <c r="N94" s="498">
        <v>46044</v>
      </c>
      <c r="O94" s="493"/>
    </row>
    <row r="95" spans="2:15" ht="17.25" customHeight="1" x14ac:dyDescent="0.3">
      <c r="B95" s="638"/>
      <c r="C95" s="637"/>
      <c r="D95" s="637"/>
      <c r="E95" s="637">
        <v>26020058</v>
      </c>
      <c r="F95" s="637"/>
      <c r="G95" s="637" t="s">
        <v>114</v>
      </c>
      <c r="H95" s="637"/>
      <c r="I95" s="637"/>
      <c r="J95" s="637"/>
      <c r="K95" s="638"/>
      <c r="L95" s="638"/>
      <c r="M95" s="500" t="s">
        <v>121</v>
      </c>
      <c r="N95" s="498">
        <v>46045</v>
      </c>
      <c r="O95" s="494" t="s">
        <v>124</v>
      </c>
    </row>
    <row r="96" spans="2:15" ht="17.25" customHeight="1" x14ac:dyDescent="0.3">
      <c r="B96" s="496" t="s">
        <v>125</v>
      </c>
      <c r="C96" s="638"/>
      <c r="D96" s="638"/>
      <c r="E96" s="638">
        <v>26020055</v>
      </c>
      <c r="F96" s="638"/>
      <c r="G96" s="638" t="s">
        <v>108</v>
      </c>
      <c r="H96" s="638"/>
      <c r="I96" s="638"/>
      <c r="J96" s="638"/>
      <c r="K96" s="638" t="s">
        <v>126</v>
      </c>
      <c r="L96" s="638"/>
      <c r="M96" s="497" t="s">
        <v>127</v>
      </c>
      <c r="N96" s="501">
        <v>46079</v>
      </c>
      <c r="O96" s="493"/>
    </row>
    <row r="97" spans="2:15" ht="17.25" customHeight="1" x14ac:dyDescent="0.3">
      <c r="B97" s="499" t="s">
        <v>128</v>
      </c>
      <c r="C97" s="637"/>
      <c r="D97" s="637"/>
      <c r="E97" s="637">
        <v>26020055</v>
      </c>
      <c r="F97" s="637"/>
      <c r="G97" s="637" t="s">
        <v>108</v>
      </c>
      <c r="H97" s="637"/>
      <c r="I97" s="637"/>
      <c r="J97" s="637"/>
      <c r="K97" s="637" t="s">
        <v>62</v>
      </c>
      <c r="L97" s="637"/>
      <c r="M97" s="500" t="s">
        <v>127</v>
      </c>
      <c r="N97" s="498">
        <v>46043</v>
      </c>
      <c r="O97" s="493"/>
    </row>
    <row r="98" spans="2:15" ht="17.25" customHeight="1" x14ac:dyDescent="0.3">
      <c r="B98" s="496" t="s">
        <v>129</v>
      </c>
      <c r="C98" s="638">
        <v>26010049</v>
      </c>
      <c r="D98" s="638"/>
      <c r="E98" s="638"/>
      <c r="F98" s="638"/>
      <c r="G98" s="638" t="s">
        <v>130</v>
      </c>
      <c r="H98" s="638"/>
      <c r="I98" s="638"/>
      <c r="J98" s="638"/>
      <c r="K98" s="638" t="s">
        <v>131</v>
      </c>
      <c r="L98" s="638"/>
      <c r="M98" s="496" t="s">
        <v>132</v>
      </c>
      <c r="N98" s="498">
        <v>46037</v>
      </c>
      <c r="O98" s="493"/>
    </row>
    <row r="99" spans="2:15" ht="17.25" customHeight="1" x14ac:dyDescent="0.3">
      <c r="B99" s="499" t="s">
        <v>133</v>
      </c>
      <c r="C99" s="637">
        <v>26010084</v>
      </c>
      <c r="D99" s="637"/>
      <c r="E99" s="637"/>
      <c r="F99" s="637"/>
      <c r="G99" s="637" t="s">
        <v>134</v>
      </c>
      <c r="H99" s="637"/>
      <c r="I99" s="637"/>
      <c r="J99" s="637"/>
      <c r="K99" s="637" t="s">
        <v>135</v>
      </c>
      <c r="L99" s="637"/>
      <c r="M99" s="500" t="s">
        <v>136</v>
      </c>
      <c r="N99" s="498">
        <v>46042</v>
      </c>
      <c r="O99" s="493"/>
    </row>
    <row r="100" spans="2:15" ht="17.25" customHeight="1" x14ac:dyDescent="0.3">
      <c r="B100" s="496" t="s">
        <v>137</v>
      </c>
      <c r="C100" s="638">
        <v>26010085</v>
      </c>
      <c r="D100" s="638"/>
      <c r="E100" s="638"/>
      <c r="F100" s="638"/>
      <c r="G100" s="638" t="s">
        <v>138</v>
      </c>
      <c r="H100" s="638"/>
      <c r="I100" s="638"/>
      <c r="J100" s="638"/>
      <c r="K100" s="638" t="s">
        <v>139</v>
      </c>
      <c r="L100" s="638"/>
      <c r="M100" s="496" t="s">
        <v>140</v>
      </c>
      <c r="N100" s="498">
        <v>46042</v>
      </c>
      <c r="O100" s="493"/>
    </row>
    <row r="101" spans="2:15" ht="17.25" customHeight="1" x14ac:dyDescent="0.3">
      <c r="B101" s="637" t="s">
        <v>141</v>
      </c>
      <c r="C101" s="637">
        <v>26010086</v>
      </c>
      <c r="D101" s="637"/>
      <c r="E101" s="637"/>
      <c r="F101" s="637"/>
      <c r="G101" s="637" t="s">
        <v>75</v>
      </c>
      <c r="H101" s="637"/>
      <c r="I101" s="637"/>
      <c r="J101" s="637"/>
      <c r="K101" s="637" t="s">
        <v>76</v>
      </c>
      <c r="L101" s="637"/>
      <c r="M101" s="499" t="s">
        <v>77</v>
      </c>
      <c r="N101" s="498">
        <v>46042</v>
      </c>
      <c r="O101" s="493"/>
    </row>
    <row r="102" spans="2:15" ht="17.25" customHeight="1" x14ac:dyDescent="0.3">
      <c r="B102" s="637"/>
      <c r="C102" s="638">
        <v>26010087</v>
      </c>
      <c r="D102" s="638"/>
      <c r="E102" s="638"/>
      <c r="F102" s="638"/>
      <c r="G102" s="638" t="s">
        <v>75</v>
      </c>
      <c r="H102" s="638"/>
      <c r="I102" s="638"/>
      <c r="J102" s="638"/>
      <c r="K102" s="637"/>
      <c r="L102" s="637"/>
      <c r="M102" s="496" t="s">
        <v>77</v>
      </c>
      <c r="N102" s="498">
        <v>46050</v>
      </c>
      <c r="O102" s="493"/>
    </row>
    <row r="103" spans="2:15" ht="17.25" customHeight="1" x14ac:dyDescent="0.3">
      <c r="B103" s="637"/>
      <c r="C103" s="637">
        <v>26010088</v>
      </c>
      <c r="D103" s="637"/>
      <c r="E103" s="645"/>
      <c r="F103" s="645"/>
      <c r="G103" s="637" t="s">
        <v>75</v>
      </c>
      <c r="H103" s="637"/>
      <c r="I103" s="637"/>
      <c r="J103" s="637"/>
      <c r="K103" s="637"/>
      <c r="L103" s="637"/>
      <c r="M103" s="499" t="s">
        <v>77</v>
      </c>
      <c r="N103" s="498">
        <v>46050</v>
      </c>
      <c r="O103" s="493"/>
    </row>
    <row r="104" spans="2:15" ht="17.25" customHeight="1" x14ac:dyDescent="0.3">
      <c r="B104" s="637"/>
      <c r="C104" s="638">
        <v>26010089</v>
      </c>
      <c r="D104" s="638"/>
      <c r="E104" s="638"/>
      <c r="F104" s="638"/>
      <c r="G104" s="638" t="s">
        <v>75</v>
      </c>
      <c r="H104" s="638"/>
      <c r="I104" s="638"/>
      <c r="J104" s="638"/>
      <c r="K104" s="637"/>
      <c r="L104" s="637"/>
      <c r="M104" s="496" t="s">
        <v>77</v>
      </c>
      <c r="N104" s="498">
        <v>46051</v>
      </c>
      <c r="O104" s="493"/>
    </row>
    <row r="105" spans="2:15" ht="17.25" customHeight="1" x14ac:dyDescent="0.3">
      <c r="B105" s="637"/>
      <c r="C105" s="637">
        <v>26010090</v>
      </c>
      <c r="D105" s="637"/>
      <c r="E105" s="645"/>
      <c r="F105" s="645"/>
      <c r="G105" s="637" t="s">
        <v>75</v>
      </c>
      <c r="H105" s="637"/>
      <c r="I105" s="637"/>
      <c r="J105" s="637"/>
      <c r="K105" s="637"/>
      <c r="L105" s="637"/>
      <c r="M105" s="499" t="s">
        <v>77</v>
      </c>
      <c r="N105" s="498">
        <v>46051</v>
      </c>
      <c r="O105" s="493"/>
    </row>
    <row r="106" spans="2:15" ht="17.25" customHeight="1" x14ac:dyDescent="0.3">
      <c r="B106" s="637"/>
      <c r="C106" s="638">
        <v>26010091</v>
      </c>
      <c r="D106" s="638"/>
      <c r="E106" s="638"/>
      <c r="F106" s="638"/>
      <c r="G106" s="638" t="s">
        <v>75</v>
      </c>
      <c r="H106" s="638"/>
      <c r="I106" s="638"/>
      <c r="J106" s="638"/>
      <c r="K106" s="637"/>
      <c r="L106" s="637"/>
      <c r="M106" s="496" t="s">
        <v>77</v>
      </c>
      <c r="N106" s="498">
        <v>46051</v>
      </c>
      <c r="O106" s="493"/>
    </row>
    <row r="107" spans="2:15" ht="17.25" customHeight="1" x14ac:dyDescent="0.3">
      <c r="B107" s="637"/>
      <c r="C107" s="637">
        <v>26010092</v>
      </c>
      <c r="D107" s="637"/>
      <c r="E107" s="637"/>
      <c r="F107" s="637"/>
      <c r="G107" s="637" t="s">
        <v>75</v>
      </c>
      <c r="H107" s="637"/>
      <c r="I107" s="637"/>
      <c r="J107" s="637"/>
      <c r="K107" s="637"/>
      <c r="L107" s="637"/>
      <c r="M107" s="499" t="s">
        <v>77</v>
      </c>
      <c r="N107" s="498">
        <v>46051</v>
      </c>
      <c r="O107" s="493"/>
    </row>
    <row r="108" spans="2:15" ht="17.25" customHeight="1" x14ac:dyDescent="0.3">
      <c r="B108" s="637"/>
      <c r="C108" s="638">
        <v>26010093</v>
      </c>
      <c r="D108" s="638"/>
      <c r="E108" s="638"/>
      <c r="F108" s="638"/>
      <c r="G108" s="638" t="s">
        <v>75</v>
      </c>
      <c r="H108" s="638"/>
      <c r="I108" s="638"/>
      <c r="J108" s="638"/>
      <c r="K108" s="637"/>
      <c r="L108" s="637"/>
      <c r="M108" s="496" t="s">
        <v>77</v>
      </c>
      <c r="N108" s="498">
        <v>46051</v>
      </c>
      <c r="O108" s="493"/>
    </row>
    <row r="109" spans="2:15" ht="17.25" customHeight="1" x14ac:dyDescent="0.3">
      <c r="B109" s="637"/>
      <c r="C109" s="637">
        <v>26010094</v>
      </c>
      <c r="D109" s="637"/>
      <c r="E109" s="637"/>
      <c r="F109" s="637"/>
      <c r="G109" s="637" t="s">
        <v>75</v>
      </c>
      <c r="H109" s="637"/>
      <c r="I109" s="637"/>
      <c r="J109" s="637"/>
      <c r="K109" s="637"/>
      <c r="L109" s="637"/>
      <c r="M109" s="499" t="s">
        <v>77</v>
      </c>
      <c r="N109" s="498">
        <v>46051</v>
      </c>
      <c r="O109" s="493"/>
    </row>
    <row r="110" spans="2:15" ht="17.25" customHeight="1" x14ac:dyDescent="0.3">
      <c r="B110" s="637"/>
      <c r="C110" s="638">
        <v>26010095</v>
      </c>
      <c r="D110" s="638"/>
      <c r="E110" s="638"/>
      <c r="F110" s="638"/>
      <c r="G110" s="638" t="s">
        <v>75</v>
      </c>
      <c r="H110" s="638"/>
      <c r="I110" s="638"/>
      <c r="J110" s="638"/>
      <c r="K110" s="637"/>
      <c r="L110" s="637"/>
      <c r="M110" s="496" t="s">
        <v>77</v>
      </c>
      <c r="N110" s="498">
        <v>46051</v>
      </c>
      <c r="O110" s="493"/>
    </row>
    <row r="111" spans="2:15" ht="17.25" customHeight="1" x14ac:dyDescent="0.3">
      <c r="B111" s="637"/>
      <c r="C111" s="637">
        <v>26010096</v>
      </c>
      <c r="D111" s="637"/>
      <c r="E111" s="637"/>
      <c r="F111" s="637"/>
      <c r="G111" s="637" t="s">
        <v>75</v>
      </c>
      <c r="H111" s="637"/>
      <c r="I111" s="637"/>
      <c r="J111" s="637"/>
      <c r="K111" s="637"/>
      <c r="L111" s="637"/>
      <c r="M111" s="499" t="s">
        <v>77</v>
      </c>
      <c r="N111" s="498">
        <v>46051</v>
      </c>
      <c r="O111" s="493"/>
    </row>
    <row r="112" spans="2:15" ht="17.25" customHeight="1" x14ac:dyDescent="0.3">
      <c r="B112" s="637"/>
      <c r="C112" s="638">
        <v>26010097</v>
      </c>
      <c r="D112" s="638"/>
      <c r="E112" s="638"/>
      <c r="F112" s="638"/>
      <c r="G112" s="638" t="s">
        <v>75</v>
      </c>
      <c r="H112" s="638"/>
      <c r="I112" s="638"/>
      <c r="J112" s="638"/>
      <c r="K112" s="637"/>
      <c r="L112" s="637"/>
      <c r="M112" s="496" t="s">
        <v>77</v>
      </c>
      <c r="N112" s="498">
        <v>46052</v>
      </c>
      <c r="O112" s="493"/>
    </row>
    <row r="113" spans="2:15" ht="17.25" customHeight="1" x14ac:dyDescent="0.3">
      <c r="B113" s="637"/>
      <c r="C113" s="637">
        <v>26010098</v>
      </c>
      <c r="D113" s="637"/>
      <c r="E113" s="645"/>
      <c r="F113" s="645"/>
      <c r="G113" s="637" t="s">
        <v>75</v>
      </c>
      <c r="H113" s="637"/>
      <c r="I113" s="637"/>
      <c r="J113" s="637"/>
      <c r="K113" s="637"/>
      <c r="L113" s="637"/>
      <c r="M113" s="499" t="s">
        <v>77</v>
      </c>
      <c r="N113" s="498">
        <v>46052</v>
      </c>
      <c r="O113" s="493"/>
    </row>
    <row r="114" spans="2:15" ht="17.25" customHeight="1" x14ac:dyDescent="0.3">
      <c r="B114" s="637"/>
      <c r="C114" s="638">
        <v>26010099</v>
      </c>
      <c r="D114" s="638"/>
      <c r="E114" s="638"/>
      <c r="F114" s="638"/>
      <c r="G114" s="638" t="s">
        <v>75</v>
      </c>
      <c r="H114" s="638"/>
      <c r="I114" s="638"/>
      <c r="J114" s="638"/>
      <c r="K114" s="637"/>
      <c r="L114" s="637"/>
      <c r="M114" s="496" t="s">
        <v>77</v>
      </c>
      <c r="N114" s="498">
        <v>46052</v>
      </c>
      <c r="O114" s="493"/>
    </row>
    <row r="115" spans="2:15" ht="17.25" customHeight="1" x14ac:dyDescent="0.3">
      <c r="B115" s="637"/>
      <c r="C115" s="637">
        <v>26010100</v>
      </c>
      <c r="D115" s="637"/>
      <c r="E115" s="637"/>
      <c r="F115" s="637"/>
      <c r="G115" s="637" t="s">
        <v>75</v>
      </c>
      <c r="H115" s="637"/>
      <c r="I115" s="637"/>
      <c r="J115" s="637"/>
      <c r="K115" s="637"/>
      <c r="L115" s="637"/>
      <c r="M115" s="499" t="s">
        <v>77</v>
      </c>
      <c r="N115" s="498">
        <v>46052</v>
      </c>
      <c r="O115" s="493"/>
    </row>
    <row r="116" spans="2:15" ht="17.25" customHeight="1" x14ac:dyDescent="0.3">
      <c r="B116" s="637"/>
      <c r="C116" s="638">
        <v>26010101</v>
      </c>
      <c r="D116" s="638"/>
      <c r="E116" s="638"/>
      <c r="F116" s="638"/>
      <c r="G116" s="638" t="s">
        <v>75</v>
      </c>
      <c r="H116" s="638"/>
      <c r="I116" s="638"/>
      <c r="J116" s="638"/>
      <c r="K116" s="637"/>
      <c r="L116" s="637"/>
      <c r="M116" s="496" t="s">
        <v>77</v>
      </c>
      <c r="N116" s="498">
        <v>46052</v>
      </c>
      <c r="O116" s="493"/>
    </row>
    <row r="117" spans="2:15" ht="17.25" customHeight="1" x14ac:dyDescent="0.3">
      <c r="B117" s="637"/>
      <c r="C117" s="637">
        <v>26010102</v>
      </c>
      <c r="D117" s="637"/>
      <c r="E117" s="645"/>
      <c r="F117" s="645"/>
      <c r="G117" s="637" t="s">
        <v>75</v>
      </c>
      <c r="H117" s="637"/>
      <c r="I117" s="637"/>
      <c r="J117" s="637"/>
      <c r="K117" s="637"/>
      <c r="L117" s="637"/>
      <c r="M117" s="499" t="s">
        <v>77</v>
      </c>
      <c r="N117" s="498">
        <v>46052</v>
      </c>
      <c r="O117" s="493"/>
    </row>
    <row r="118" spans="2:15" ht="17.25" customHeight="1" x14ac:dyDescent="0.3">
      <c r="B118" s="637"/>
      <c r="C118" s="638">
        <v>26010103</v>
      </c>
      <c r="D118" s="638"/>
      <c r="E118" s="638"/>
      <c r="F118" s="638"/>
      <c r="G118" s="638" t="s">
        <v>75</v>
      </c>
      <c r="H118" s="638"/>
      <c r="I118" s="638"/>
      <c r="J118" s="638"/>
      <c r="K118" s="637"/>
      <c r="L118" s="637"/>
      <c r="M118" s="496" t="s">
        <v>77</v>
      </c>
      <c r="N118" s="498">
        <v>46052</v>
      </c>
      <c r="O118" s="493"/>
    </row>
    <row r="119" spans="2:15" ht="17.25" customHeight="1" x14ac:dyDescent="0.3">
      <c r="B119" s="637"/>
      <c r="C119" s="637">
        <v>26010104</v>
      </c>
      <c r="D119" s="637"/>
      <c r="E119" s="637"/>
      <c r="F119" s="637"/>
      <c r="G119" s="637" t="s">
        <v>75</v>
      </c>
      <c r="H119" s="637"/>
      <c r="I119" s="637"/>
      <c r="J119" s="637"/>
      <c r="K119" s="637"/>
      <c r="L119" s="637"/>
      <c r="M119" s="499" t="s">
        <v>77</v>
      </c>
      <c r="N119" s="498">
        <v>46052</v>
      </c>
      <c r="O119" s="493"/>
    </row>
    <row r="120" spans="2:15" ht="17.25" customHeight="1" x14ac:dyDescent="0.3">
      <c r="B120" s="637"/>
      <c r="C120" s="638">
        <v>26010105</v>
      </c>
      <c r="D120" s="638"/>
      <c r="E120" s="638"/>
      <c r="F120" s="638"/>
      <c r="G120" s="638" t="s">
        <v>75</v>
      </c>
      <c r="H120" s="638"/>
      <c r="I120" s="638"/>
      <c r="J120" s="638"/>
      <c r="K120" s="637"/>
      <c r="L120" s="637"/>
      <c r="M120" s="496" t="s">
        <v>77</v>
      </c>
      <c r="N120" s="498">
        <v>46055</v>
      </c>
      <c r="O120" s="493"/>
    </row>
    <row r="121" spans="2:15" ht="17.25" customHeight="1" x14ac:dyDescent="0.3">
      <c r="B121" s="637"/>
      <c r="C121" s="637">
        <v>26010106</v>
      </c>
      <c r="D121" s="637"/>
      <c r="E121" s="637"/>
      <c r="F121" s="637"/>
      <c r="G121" s="637" t="s">
        <v>75</v>
      </c>
      <c r="H121" s="637"/>
      <c r="I121" s="637"/>
      <c r="J121" s="637"/>
      <c r="K121" s="637"/>
      <c r="L121" s="637"/>
      <c r="M121" s="499" t="s">
        <v>77</v>
      </c>
      <c r="N121" s="498">
        <v>46055</v>
      </c>
      <c r="O121" s="493"/>
    </row>
    <row r="122" spans="2:15" ht="17.25" customHeight="1" x14ac:dyDescent="0.3">
      <c r="B122" s="637"/>
      <c r="C122" s="638">
        <v>26010107</v>
      </c>
      <c r="D122" s="638"/>
      <c r="E122" s="638"/>
      <c r="F122" s="638"/>
      <c r="G122" s="638" t="s">
        <v>75</v>
      </c>
      <c r="H122" s="638"/>
      <c r="I122" s="638"/>
      <c r="J122" s="638"/>
      <c r="K122" s="637"/>
      <c r="L122" s="637"/>
      <c r="M122" s="496" t="s">
        <v>77</v>
      </c>
      <c r="N122" s="498">
        <v>46055</v>
      </c>
      <c r="O122" s="493"/>
    </row>
    <row r="123" spans="2:15" ht="17.25" customHeight="1" x14ac:dyDescent="0.3">
      <c r="B123" s="637"/>
      <c r="C123" s="637">
        <v>26010108</v>
      </c>
      <c r="D123" s="637"/>
      <c r="E123" s="645"/>
      <c r="F123" s="645"/>
      <c r="G123" s="637" t="s">
        <v>75</v>
      </c>
      <c r="H123" s="637"/>
      <c r="I123" s="637"/>
      <c r="J123" s="637"/>
      <c r="K123" s="637"/>
      <c r="L123" s="637"/>
      <c r="M123" s="499" t="s">
        <v>77</v>
      </c>
      <c r="N123" s="498">
        <v>46055</v>
      </c>
      <c r="O123" s="493"/>
    </row>
    <row r="124" spans="2:15" ht="17.25" customHeight="1" x14ac:dyDescent="0.3">
      <c r="B124" s="637"/>
      <c r="C124" s="638">
        <v>26010109</v>
      </c>
      <c r="D124" s="638"/>
      <c r="E124" s="638"/>
      <c r="F124" s="638"/>
      <c r="G124" s="638" t="s">
        <v>75</v>
      </c>
      <c r="H124" s="638"/>
      <c r="I124" s="638"/>
      <c r="J124" s="638"/>
      <c r="K124" s="637"/>
      <c r="L124" s="637"/>
      <c r="M124" s="496" t="s">
        <v>77</v>
      </c>
      <c r="N124" s="498">
        <v>46055</v>
      </c>
      <c r="O124" s="493"/>
    </row>
    <row r="125" spans="2:15" ht="17.25" customHeight="1" x14ac:dyDescent="0.3">
      <c r="B125" s="637"/>
      <c r="C125" s="637">
        <v>26010110</v>
      </c>
      <c r="D125" s="637"/>
      <c r="E125" s="645"/>
      <c r="F125" s="645"/>
      <c r="G125" s="637" t="s">
        <v>75</v>
      </c>
      <c r="H125" s="637"/>
      <c r="I125" s="637"/>
      <c r="J125" s="637"/>
      <c r="K125" s="637"/>
      <c r="L125" s="637"/>
      <c r="M125" s="499" t="s">
        <v>77</v>
      </c>
      <c r="N125" s="498">
        <v>46055</v>
      </c>
      <c r="O125" s="493"/>
    </row>
    <row r="126" spans="2:15" ht="17.25" customHeight="1" x14ac:dyDescent="0.3">
      <c r="B126" s="638" t="s">
        <v>142</v>
      </c>
      <c r="C126" s="638">
        <v>26010111</v>
      </c>
      <c r="D126" s="638"/>
      <c r="E126" s="638"/>
      <c r="F126" s="638"/>
      <c r="G126" s="638" t="s">
        <v>143</v>
      </c>
      <c r="H126" s="638"/>
      <c r="I126" s="638"/>
      <c r="J126" s="638"/>
      <c r="K126" s="638" t="s">
        <v>62</v>
      </c>
      <c r="L126" s="638"/>
      <c r="M126" s="497" t="s">
        <v>144</v>
      </c>
      <c r="N126" s="498">
        <v>46048</v>
      </c>
      <c r="O126" s="493"/>
    </row>
    <row r="127" spans="2:15" ht="17.25" customHeight="1" x14ac:dyDescent="0.3">
      <c r="B127" s="638"/>
      <c r="C127" s="637">
        <v>26010112</v>
      </c>
      <c r="D127" s="637"/>
      <c r="E127" s="637"/>
      <c r="F127" s="637"/>
      <c r="G127" s="637" t="s">
        <v>145</v>
      </c>
      <c r="H127" s="637"/>
      <c r="I127" s="637"/>
      <c r="J127" s="637"/>
      <c r="K127" s="638"/>
      <c r="L127" s="638"/>
      <c r="M127" s="499" t="s">
        <v>146</v>
      </c>
      <c r="N127" s="498">
        <v>46048</v>
      </c>
      <c r="O127" s="493"/>
    </row>
    <row r="128" spans="2:15" ht="17.25" customHeight="1" x14ac:dyDescent="0.3">
      <c r="B128" s="496" t="s">
        <v>147</v>
      </c>
      <c r="C128" s="638"/>
      <c r="D128" s="638"/>
      <c r="E128" s="638">
        <v>2630773</v>
      </c>
      <c r="F128" s="638"/>
      <c r="G128" s="638" t="s">
        <v>148</v>
      </c>
      <c r="H128" s="638"/>
      <c r="I128" s="638"/>
      <c r="J128" s="638"/>
      <c r="K128" s="638" t="s">
        <v>149</v>
      </c>
      <c r="L128" s="638"/>
      <c r="M128" s="496" t="s">
        <v>150</v>
      </c>
      <c r="N128" s="498">
        <v>46048</v>
      </c>
      <c r="O128" s="493"/>
    </row>
    <row r="129" spans="2:15" ht="17.25" customHeight="1" x14ac:dyDescent="0.3">
      <c r="B129" s="499" t="s">
        <v>151</v>
      </c>
      <c r="C129" s="637">
        <v>26010113</v>
      </c>
      <c r="D129" s="637"/>
      <c r="E129" s="637"/>
      <c r="F129" s="637"/>
      <c r="G129" s="637" t="s">
        <v>152</v>
      </c>
      <c r="H129" s="637"/>
      <c r="I129" s="637"/>
      <c r="J129" s="637"/>
      <c r="K129" s="637" t="s">
        <v>153</v>
      </c>
      <c r="L129" s="637"/>
      <c r="M129" s="500" t="s">
        <v>154</v>
      </c>
      <c r="N129" s="498">
        <v>46051</v>
      </c>
      <c r="O129" s="493"/>
    </row>
    <row r="130" spans="2:15" ht="17.25" customHeight="1" x14ac:dyDescent="0.3">
      <c r="B130" s="638" t="s">
        <v>155</v>
      </c>
      <c r="C130" s="638">
        <v>26010114</v>
      </c>
      <c r="D130" s="638"/>
      <c r="E130" s="638"/>
      <c r="F130" s="638"/>
      <c r="G130" s="638" t="s">
        <v>54</v>
      </c>
      <c r="H130" s="638"/>
      <c r="I130" s="638"/>
      <c r="J130" s="638"/>
      <c r="K130" s="638" t="s">
        <v>31</v>
      </c>
      <c r="L130" s="638"/>
      <c r="M130" s="496" t="s">
        <v>55</v>
      </c>
      <c r="N130" s="498">
        <v>46050</v>
      </c>
      <c r="O130" s="493"/>
    </row>
    <row r="131" spans="2:15" ht="17.25" customHeight="1" x14ac:dyDescent="0.3">
      <c r="B131" s="638"/>
      <c r="C131" s="637">
        <v>26010115</v>
      </c>
      <c r="D131" s="637"/>
      <c r="E131" s="637"/>
      <c r="F131" s="637"/>
      <c r="G131" s="637" t="s">
        <v>54</v>
      </c>
      <c r="H131" s="637"/>
      <c r="I131" s="637"/>
      <c r="J131" s="637"/>
      <c r="K131" s="638"/>
      <c r="L131" s="638"/>
      <c r="M131" s="499" t="s">
        <v>55</v>
      </c>
      <c r="N131" s="498">
        <v>46050</v>
      </c>
      <c r="O131" s="493"/>
    </row>
    <row r="132" spans="2:15" ht="17.25" customHeight="1" x14ac:dyDescent="0.3">
      <c r="B132" s="496" t="s">
        <v>156</v>
      </c>
      <c r="C132" s="638">
        <v>26010116</v>
      </c>
      <c r="D132" s="638"/>
      <c r="E132" s="638"/>
      <c r="F132" s="638"/>
      <c r="G132" s="638" t="s">
        <v>157</v>
      </c>
      <c r="H132" s="638"/>
      <c r="I132" s="638"/>
      <c r="J132" s="638"/>
      <c r="K132" s="638" t="s">
        <v>58</v>
      </c>
      <c r="L132" s="638"/>
      <c r="M132" s="497" t="s">
        <v>158</v>
      </c>
      <c r="N132" s="498">
        <v>46052</v>
      </c>
      <c r="O132" s="493"/>
    </row>
    <row r="133" spans="2:15" ht="17.25" customHeight="1" x14ac:dyDescent="0.3">
      <c r="B133" s="499" t="s">
        <v>159</v>
      </c>
      <c r="C133" s="637">
        <v>26010117</v>
      </c>
      <c r="D133" s="637"/>
      <c r="E133" s="637"/>
      <c r="F133" s="637"/>
      <c r="G133" s="637" t="s">
        <v>61</v>
      </c>
      <c r="H133" s="637"/>
      <c r="I133" s="637"/>
      <c r="J133" s="637"/>
      <c r="K133" s="637" t="s">
        <v>62</v>
      </c>
      <c r="L133" s="637"/>
      <c r="M133" s="499" t="s">
        <v>63</v>
      </c>
      <c r="N133" s="498">
        <v>46055</v>
      </c>
      <c r="O133" s="493"/>
    </row>
    <row r="134" spans="2:15" ht="17.25" customHeight="1" x14ac:dyDescent="0.3">
      <c r="B134" s="496" t="s">
        <v>160</v>
      </c>
      <c r="C134" s="638">
        <v>26010118</v>
      </c>
      <c r="D134" s="638"/>
      <c r="E134" s="638"/>
      <c r="F134" s="638"/>
      <c r="G134" s="638" t="s">
        <v>68</v>
      </c>
      <c r="H134" s="638"/>
      <c r="I134" s="638"/>
      <c r="J134" s="638"/>
      <c r="K134" s="638" t="s">
        <v>27</v>
      </c>
      <c r="L134" s="638"/>
      <c r="M134" s="496" t="s">
        <v>55</v>
      </c>
      <c r="N134" s="498">
        <v>46057</v>
      </c>
      <c r="O134" s="493"/>
    </row>
    <row r="135" spans="2:15" ht="17.25" customHeight="1" x14ac:dyDescent="0.3">
      <c r="B135" s="499" t="s">
        <v>161</v>
      </c>
      <c r="C135" s="637">
        <v>26010119</v>
      </c>
      <c r="D135" s="637"/>
      <c r="E135" s="637"/>
      <c r="F135" s="637"/>
      <c r="G135" s="637" t="s">
        <v>162</v>
      </c>
      <c r="H135" s="637"/>
      <c r="I135" s="637"/>
      <c r="J135" s="637"/>
      <c r="K135" s="637" t="s">
        <v>163</v>
      </c>
      <c r="L135" s="637"/>
      <c r="M135" s="500" t="s">
        <v>154</v>
      </c>
      <c r="N135" s="498">
        <v>46058</v>
      </c>
      <c r="O135" s="493"/>
    </row>
    <row r="136" spans="2:15" ht="17.25" customHeight="1" x14ac:dyDescent="0.3">
      <c r="B136" s="496" t="s">
        <v>164</v>
      </c>
      <c r="C136" s="638">
        <v>26010120</v>
      </c>
      <c r="D136" s="638"/>
      <c r="E136" s="638"/>
      <c r="F136" s="638"/>
      <c r="G136" s="638" t="s">
        <v>165</v>
      </c>
      <c r="H136" s="638"/>
      <c r="I136" s="638"/>
      <c r="J136" s="638"/>
      <c r="K136" s="638" t="s">
        <v>131</v>
      </c>
      <c r="L136" s="638"/>
      <c r="M136" s="496" t="s">
        <v>132</v>
      </c>
      <c r="N136" s="498">
        <v>46058</v>
      </c>
      <c r="O136" s="493"/>
    </row>
    <row r="137" spans="2:15" ht="17.25" customHeight="1" x14ac:dyDescent="0.3">
      <c r="B137" s="637" t="s">
        <v>166</v>
      </c>
      <c r="C137" s="637">
        <v>26010121</v>
      </c>
      <c r="D137" s="637"/>
      <c r="E137" s="637"/>
      <c r="F137" s="637"/>
      <c r="G137" s="637" t="s">
        <v>75</v>
      </c>
      <c r="H137" s="637"/>
      <c r="I137" s="637"/>
      <c r="J137" s="637"/>
      <c r="K137" s="637" t="s">
        <v>76</v>
      </c>
      <c r="L137" s="637"/>
      <c r="M137" s="500" t="s">
        <v>77</v>
      </c>
      <c r="N137" s="498">
        <v>46055</v>
      </c>
      <c r="O137" s="493"/>
    </row>
    <row r="138" spans="2:15" ht="17.25" customHeight="1" x14ac:dyDescent="0.3">
      <c r="B138" s="637"/>
      <c r="C138" s="638">
        <v>26010122</v>
      </c>
      <c r="D138" s="638"/>
      <c r="E138" s="638"/>
      <c r="F138" s="638"/>
      <c r="G138" s="638" t="s">
        <v>75</v>
      </c>
      <c r="H138" s="638"/>
      <c r="I138" s="638"/>
      <c r="J138" s="638"/>
      <c r="K138" s="637"/>
      <c r="L138" s="637"/>
      <c r="M138" s="497" t="s">
        <v>77</v>
      </c>
      <c r="N138" s="498">
        <v>46055</v>
      </c>
      <c r="O138" s="493"/>
    </row>
    <row r="139" spans="2:15" ht="17.25" customHeight="1" x14ac:dyDescent="0.3">
      <c r="B139" s="637"/>
      <c r="C139" s="637">
        <v>26010123</v>
      </c>
      <c r="D139" s="637"/>
      <c r="E139" s="637"/>
      <c r="F139" s="637"/>
      <c r="G139" s="637" t="s">
        <v>75</v>
      </c>
      <c r="H139" s="637"/>
      <c r="I139" s="637"/>
      <c r="J139" s="637"/>
      <c r="K139" s="637"/>
      <c r="L139" s="637"/>
      <c r="M139" s="500" t="s">
        <v>77</v>
      </c>
      <c r="N139" s="498">
        <v>46055</v>
      </c>
      <c r="O139" s="493"/>
    </row>
    <row r="140" spans="2:15" ht="17.25" customHeight="1" x14ac:dyDescent="0.3">
      <c r="B140" s="637"/>
      <c r="C140" s="638">
        <v>26010124</v>
      </c>
      <c r="D140" s="638"/>
      <c r="E140" s="642"/>
      <c r="F140" s="642"/>
      <c r="G140" s="638" t="s">
        <v>75</v>
      </c>
      <c r="H140" s="638"/>
      <c r="I140" s="638"/>
      <c r="J140" s="638"/>
      <c r="K140" s="637"/>
      <c r="L140" s="637"/>
      <c r="M140" s="497" t="s">
        <v>77</v>
      </c>
      <c r="N140" s="498">
        <v>46056</v>
      </c>
      <c r="O140" s="493"/>
    </row>
    <row r="141" spans="2:15" ht="17.25" customHeight="1" x14ac:dyDescent="0.3">
      <c r="B141" s="637"/>
      <c r="C141" s="637">
        <v>26010125</v>
      </c>
      <c r="D141" s="637"/>
      <c r="E141" s="637"/>
      <c r="F141" s="637"/>
      <c r="G141" s="637" t="s">
        <v>75</v>
      </c>
      <c r="H141" s="637"/>
      <c r="I141" s="637"/>
      <c r="J141" s="637"/>
      <c r="K141" s="637"/>
      <c r="L141" s="637"/>
      <c r="M141" s="500" t="s">
        <v>77</v>
      </c>
      <c r="N141" s="498">
        <v>46056</v>
      </c>
      <c r="O141" s="493"/>
    </row>
    <row r="142" spans="2:15" ht="17.25" customHeight="1" x14ac:dyDescent="0.3">
      <c r="B142" s="637"/>
      <c r="C142" s="638">
        <v>26010126</v>
      </c>
      <c r="D142" s="638"/>
      <c r="E142" s="638"/>
      <c r="F142" s="638"/>
      <c r="G142" s="638" t="s">
        <v>75</v>
      </c>
      <c r="H142" s="638"/>
      <c r="I142" s="638"/>
      <c r="J142" s="638"/>
      <c r="K142" s="637"/>
      <c r="L142" s="637"/>
      <c r="M142" s="497" t="s">
        <v>77</v>
      </c>
      <c r="N142" s="498">
        <v>46056</v>
      </c>
      <c r="O142" s="493"/>
    </row>
    <row r="143" spans="2:15" ht="17.25" customHeight="1" x14ac:dyDescent="0.3">
      <c r="B143" s="637"/>
      <c r="C143" s="637">
        <v>26010127</v>
      </c>
      <c r="D143" s="637"/>
      <c r="E143" s="637"/>
      <c r="F143" s="637"/>
      <c r="G143" s="637" t="s">
        <v>75</v>
      </c>
      <c r="H143" s="637"/>
      <c r="I143" s="637"/>
      <c r="J143" s="637"/>
      <c r="K143" s="637"/>
      <c r="L143" s="637"/>
      <c r="M143" s="500" t="s">
        <v>77</v>
      </c>
      <c r="N143" s="498">
        <v>46057</v>
      </c>
      <c r="O143" s="493"/>
    </row>
    <row r="144" spans="2:15" ht="17.25" customHeight="1" x14ac:dyDescent="0.3">
      <c r="B144" s="637"/>
      <c r="C144" s="638">
        <v>26010128</v>
      </c>
      <c r="D144" s="638"/>
      <c r="E144" s="638"/>
      <c r="F144" s="638"/>
      <c r="G144" s="638" t="s">
        <v>75</v>
      </c>
      <c r="H144" s="638"/>
      <c r="I144" s="638"/>
      <c r="J144" s="638"/>
      <c r="K144" s="637"/>
      <c r="L144" s="637"/>
      <c r="M144" s="497" t="s">
        <v>77</v>
      </c>
      <c r="N144" s="498">
        <v>46057</v>
      </c>
      <c r="O144" s="493"/>
    </row>
    <row r="145" spans="2:15" ht="17.25" customHeight="1" x14ac:dyDescent="0.3">
      <c r="B145" s="637"/>
      <c r="C145" s="637">
        <v>26010129</v>
      </c>
      <c r="D145" s="637"/>
      <c r="E145" s="637"/>
      <c r="F145" s="637"/>
      <c r="G145" s="637" t="s">
        <v>75</v>
      </c>
      <c r="H145" s="637"/>
      <c r="I145" s="637"/>
      <c r="J145" s="637"/>
      <c r="K145" s="637"/>
      <c r="L145" s="637"/>
      <c r="M145" s="500" t="s">
        <v>77</v>
      </c>
      <c r="N145" s="498">
        <v>46057</v>
      </c>
      <c r="O145" s="493"/>
    </row>
    <row r="146" spans="2:15" ht="17.25" customHeight="1" x14ac:dyDescent="0.3">
      <c r="B146" s="637"/>
      <c r="C146" s="638">
        <v>26010130</v>
      </c>
      <c r="D146" s="638"/>
      <c r="E146" s="642"/>
      <c r="F146" s="642"/>
      <c r="G146" s="638" t="s">
        <v>75</v>
      </c>
      <c r="H146" s="638"/>
      <c r="I146" s="638"/>
      <c r="J146" s="638"/>
      <c r="K146" s="637"/>
      <c r="L146" s="637"/>
      <c r="M146" s="497" t="s">
        <v>77</v>
      </c>
      <c r="N146" s="498">
        <v>46057</v>
      </c>
      <c r="O146" s="493"/>
    </row>
    <row r="147" spans="2:15" ht="17.25" customHeight="1" x14ac:dyDescent="0.3">
      <c r="B147" s="637"/>
      <c r="C147" s="637">
        <v>26010131</v>
      </c>
      <c r="D147" s="637"/>
      <c r="E147" s="637"/>
      <c r="F147" s="637"/>
      <c r="G147" s="637" t="s">
        <v>167</v>
      </c>
      <c r="H147" s="637"/>
      <c r="I147" s="637"/>
      <c r="J147" s="637"/>
      <c r="K147" s="637"/>
      <c r="L147" s="637"/>
      <c r="M147" s="500" t="s">
        <v>77</v>
      </c>
      <c r="N147" s="498">
        <v>46055</v>
      </c>
      <c r="O147" s="493"/>
    </row>
    <row r="148" spans="2:15" ht="17.25" customHeight="1" x14ac:dyDescent="0.3">
      <c r="B148" s="637"/>
      <c r="C148" s="638">
        <v>26010132</v>
      </c>
      <c r="D148" s="638"/>
      <c r="E148" s="638"/>
      <c r="F148" s="638"/>
      <c r="G148" s="638" t="s">
        <v>167</v>
      </c>
      <c r="H148" s="638"/>
      <c r="I148" s="638"/>
      <c r="J148" s="638"/>
      <c r="K148" s="637"/>
      <c r="L148" s="637"/>
      <c r="M148" s="497" t="s">
        <v>77</v>
      </c>
      <c r="N148" s="498">
        <v>46055</v>
      </c>
      <c r="O148" s="493"/>
    </row>
    <row r="149" spans="2:15" ht="17.25" customHeight="1" x14ac:dyDescent="0.3">
      <c r="B149" s="637"/>
      <c r="C149" s="637">
        <v>26010133</v>
      </c>
      <c r="D149" s="637"/>
      <c r="E149" s="637"/>
      <c r="F149" s="637"/>
      <c r="G149" s="637" t="s">
        <v>167</v>
      </c>
      <c r="H149" s="637"/>
      <c r="I149" s="637"/>
      <c r="J149" s="637"/>
      <c r="K149" s="637"/>
      <c r="L149" s="637"/>
      <c r="M149" s="500" t="s">
        <v>77</v>
      </c>
      <c r="N149" s="498">
        <v>46056</v>
      </c>
      <c r="O149" s="493"/>
    </row>
    <row r="150" spans="2:15" ht="17.25" customHeight="1" x14ac:dyDescent="0.3">
      <c r="B150" s="637"/>
      <c r="C150" s="638">
        <v>26010134</v>
      </c>
      <c r="D150" s="638"/>
      <c r="E150" s="642"/>
      <c r="F150" s="642"/>
      <c r="G150" s="638" t="s">
        <v>167</v>
      </c>
      <c r="H150" s="638"/>
      <c r="I150" s="638"/>
      <c r="J150" s="638"/>
      <c r="K150" s="637"/>
      <c r="L150" s="637"/>
      <c r="M150" s="497" t="s">
        <v>77</v>
      </c>
      <c r="N150" s="498">
        <v>46056</v>
      </c>
      <c r="O150" s="493"/>
    </row>
    <row r="151" spans="2:15" ht="17.25" customHeight="1" x14ac:dyDescent="0.3">
      <c r="B151" s="637"/>
      <c r="C151" s="637">
        <v>26010135</v>
      </c>
      <c r="D151" s="637"/>
      <c r="E151" s="645"/>
      <c r="F151" s="645"/>
      <c r="G151" s="637" t="s">
        <v>167</v>
      </c>
      <c r="H151" s="637"/>
      <c r="I151" s="637"/>
      <c r="J151" s="637"/>
      <c r="K151" s="637"/>
      <c r="L151" s="637"/>
      <c r="M151" s="500" t="s">
        <v>77</v>
      </c>
      <c r="N151" s="498">
        <v>46056</v>
      </c>
      <c r="O151" s="493"/>
    </row>
    <row r="152" spans="2:15" ht="17.25" customHeight="1" x14ac:dyDescent="0.3">
      <c r="B152" s="637"/>
      <c r="C152" s="638">
        <v>26010136</v>
      </c>
      <c r="D152" s="638"/>
      <c r="E152" s="638"/>
      <c r="F152" s="638"/>
      <c r="G152" s="638" t="s">
        <v>75</v>
      </c>
      <c r="H152" s="638"/>
      <c r="I152" s="638"/>
      <c r="J152" s="638"/>
      <c r="K152" s="637"/>
      <c r="L152" s="637"/>
      <c r="M152" s="497" t="s">
        <v>77</v>
      </c>
      <c r="N152" s="498">
        <v>46057</v>
      </c>
      <c r="O152" s="493"/>
    </row>
    <row r="153" spans="2:15" ht="17.25" customHeight="1" x14ac:dyDescent="0.3">
      <c r="B153" s="637"/>
      <c r="C153" s="637">
        <v>26010137</v>
      </c>
      <c r="D153" s="637"/>
      <c r="E153" s="637"/>
      <c r="F153" s="637"/>
      <c r="G153" s="637" t="s">
        <v>75</v>
      </c>
      <c r="H153" s="637"/>
      <c r="I153" s="637"/>
      <c r="J153" s="637"/>
      <c r="K153" s="637"/>
      <c r="L153" s="637"/>
      <c r="M153" s="500" t="s">
        <v>77</v>
      </c>
      <c r="N153" s="498">
        <v>46057</v>
      </c>
      <c r="O153" s="493"/>
    </row>
    <row r="154" spans="2:15" ht="17.25" customHeight="1" x14ac:dyDescent="0.3">
      <c r="B154" s="637"/>
      <c r="C154" s="638">
        <v>26010138</v>
      </c>
      <c r="D154" s="638"/>
      <c r="E154" s="638"/>
      <c r="F154" s="638"/>
      <c r="G154" s="638" t="s">
        <v>75</v>
      </c>
      <c r="H154" s="638"/>
      <c r="I154" s="638"/>
      <c r="J154" s="638"/>
      <c r="K154" s="637"/>
      <c r="L154" s="637"/>
      <c r="M154" s="497" t="s">
        <v>77</v>
      </c>
      <c r="N154" s="498">
        <v>46057</v>
      </c>
      <c r="O154" s="493"/>
    </row>
    <row r="155" spans="2:15" ht="17.25" customHeight="1" x14ac:dyDescent="0.3">
      <c r="B155" s="637"/>
      <c r="C155" s="637">
        <v>26010139</v>
      </c>
      <c r="D155" s="637"/>
      <c r="E155" s="645"/>
      <c r="F155" s="645"/>
      <c r="G155" s="637" t="s">
        <v>75</v>
      </c>
      <c r="H155" s="637"/>
      <c r="I155" s="637"/>
      <c r="J155" s="637"/>
      <c r="K155" s="637"/>
      <c r="L155" s="637"/>
      <c r="M155" s="500" t="s">
        <v>77</v>
      </c>
      <c r="N155" s="498">
        <v>46057</v>
      </c>
      <c r="O155" s="493"/>
    </row>
    <row r="156" spans="2:15" ht="17.25" customHeight="1" x14ac:dyDescent="0.3">
      <c r="B156" s="637"/>
      <c r="C156" s="638">
        <v>26010140</v>
      </c>
      <c r="D156" s="638"/>
      <c r="E156" s="638"/>
      <c r="F156" s="638"/>
      <c r="G156" s="638" t="s">
        <v>75</v>
      </c>
      <c r="H156" s="638"/>
      <c r="I156" s="638"/>
      <c r="J156" s="638"/>
      <c r="K156" s="637"/>
      <c r="L156" s="637"/>
      <c r="M156" s="497" t="s">
        <v>77</v>
      </c>
      <c r="N156" s="498">
        <v>46057</v>
      </c>
      <c r="O156" s="493"/>
    </row>
    <row r="157" spans="2:15" ht="17.25" customHeight="1" x14ac:dyDescent="0.3">
      <c r="B157" s="637"/>
      <c r="C157" s="637">
        <v>26010141</v>
      </c>
      <c r="D157" s="637"/>
      <c r="E157" s="637"/>
      <c r="F157" s="637"/>
      <c r="G157" s="637" t="s">
        <v>75</v>
      </c>
      <c r="H157" s="637"/>
      <c r="I157" s="637"/>
      <c r="J157" s="637"/>
      <c r="K157" s="637"/>
      <c r="L157" s="637"/>
      <c r="M157" s="500" t="s">
        <v>77</v>
      </c>
      <c r="N157" s="498">
        <v>46057</v>
      </c>
      <c r="O157" s="493"/>
    </row>
    <row r="158" spans="2:15" ht="17.25" customHeight="1" x14ac:dyDescent="0.3">
      <c r="B158" s="637"/>
      <c r="C158" s="638">
        <v>26010142</v>
      </c>
      <c r="D158" s="638"/>
      <c r="E158" s="638"/>
      <c r="F158" s="638"/>
      <c r="G158" s="638" t="s">
        <v>75</v>
      </c>
      <c r="H158" s="638"/>
      <c r="I158" s="638"/>
      <c r="J158" s="638"/>
      <c r="K158" s="637"/>
      <c r="L158" s="637"/>
      <c r="M158" s="497" t="s">
        <v>77</v>
      </c>
      <c r="N158" s="498">
        <v>46057</v>
      </c>
      <c r="O158" s="493"/>
    </row>
    <row r="159" spans="2:15" ht="17.25" customHeight="1" x14ac:dyDescent="0.3">
      <c r="B159" s="637"/>
      <c r="C159" s="637">
        <v>26010143</v>
      </c>
      <c r="D159" s="637"/>
      <c r="E159" s="637"/>
      <c r="F159" s="637"/>
      <c r="G159" s="637" t="s">
        <v>75</v>
      </c>
      <c r="H159" s="637"/>
      <c r="I159" s="637"/>
      <c r="J159" s="637"/>
      <c r="K159" s="637"/>
      <c r="L159" s="637"/>
      <c r="M159" s="500" t="s">
        <v>77</v>
      </c>
      <c r="N159" s="498">
        <v>46057</v>
      </c>
      <c r="O159" s="493"/>
    </row>
    <row r="160" spans="2:15" ht="17.25" customHeight="1" x14ac:dyDescent="0.3">
      <c r="B160" s="637"/>
      <c r="C160" s="638">
        <v>26010144</v>
      </c>
      <c r="D160" s="638"/>
      <c r="E160" s="638"/>
      <c r="F160" s="638"/>
      <c r="G160" s="638" t="s">
        <v>75</v>
      </c>
      <c r="H160" s="638"/>
      <c r="I160" s="638"/>
      <c r="J160" s="638"/>
      <c r="K160" s="637"/>
      <c r="L160" s="637"/>
      <c r="M160" s="497" t="s">
        <v>77</v>
      </c>
      <c r="N160" s="498">
        <v>46057</v>
      </c>
      <c r="O160" s="493"/>
    </row>
    <row r="161" spans="2:15" ht="17.25" customHeight="1" x14ac:dyDescent="0.3">
      <c r="B161" s="637"/>
      <c r="C161" s="637">
        <v>26010145</v>
      </c>
      <c r="D161" s="637"/>
      <c r="E161" s="645"/>
      <c r="F161" s="645"/>
      <c r="G161" s="637" t="s">
        <v>75</v>
      </c>
      <c r="H161" s="637"/>
      <c r="I161" s="637"/>
      <c r="J161" s="637"/>
      <c r="K161" s="637"/>
      <c r="L161" s="637"/>
      <c r="M161" s="500" t="s">
        <v>77</v>
      </c>
      <c r="N161" s="498">
        <v>46058</v>
      </c>
      <c r="O161" s="493"/>
    </row>
    <row r="162" spans="2:15" ht="18" customHeight="1" x14ac:dyDescent="0.3">
      <c r="N162" s="62"/>
    </row>
    <row r="163" spans="2:15" ht="18" customHeight="1" x14ac:dyDescent="0.3">
      <c r="N163" s="62"/>
    </row>
    <row r="164" spans="2:15" ht="18" customHeight="1" x14ac:dyDescent="0.3">
      <c r="N164" s="62"/>
    </row>
    <row r="165" spans="2:15" ht="18" customHeight="1" x14ac:dyDescent="0.3">
      <c r="N165" s="62"/>
    </row>
    <row r="166" spans="2:15" ht="18" customHeight="1" x14ac:dyDescent="0.3">
      <c r="N166" s="62"/>
    </row>
    <row r="167" spans="2:15" ht="18" customHeight="1" x14ac:dyDescent="0.3">
      <c r="N167" s="62"/>
    </row>
    <row r="168" spans="2:15" ht="18" customHeight="1" x14ac:dyDescent="0.3">
      <c r="N168" s="62"/>
    </row>
    <row r="169" spans="2:15" ht="18" customHeight="1" x14ac:dyDescent="0.3">
      <c r="N169" s="62"/>
    </row>
    <row r="170" spans="2:15" ht="18" customHeight="1" x14ac:dyDescent="0.3">
      <c r="N170" s="62"/>
    </row>
    <row r="171" spans="2:15" ht="18" customHeight="1" x14ac:dyDescent="0.3">
      <c r="N171" s="62"/>
    </row>
    <row r="172" spans="2:15" ht="18" customHeight="1" x14ac:dyDescent="0.3">
      <c r="N172" s="62"/>
    </row>
    <row r="173" spans="2:15" ht="18" customHeight="1" x14ac:dyDescent="0.3">
      <c r="N173" s="62"/>
    </row>
    <row r="174" spans="2:15" ht="18" customHeight="1" x14ac:dyDescent="0.3">
      <c r="N174" s="62"/>
    </row>
    <row r="175" spans="2:15" ht="18" customHeight="1" x14ac:dyDescent="0.3">
      <c r="N175" s="62"/>
    </row>
    <row r="176" spans="2:15"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sheetData>
  <mergeCells count="523">
    <mergeCell ref="C160:D160"/>
    <mergeCell ref="E160:F160"/>
    <mergeCell ref="G160:J160"/>
    <mergeCell ref="C161:D161"/>
    <mergeCell ref="E161:F161"/>
    <mergeCell ref="G161:J161"/>
    <mergeCell ref="C158:D158"/>
    <mergeCell ref="E158:F158"/>
    <mergeCell ref="G158:J158"/>
    <mergeCell ref="C159:D159"/>
    <mergeCell ref="E159:F159"/>
    <mergeCell ref="G159:J159"/>
    <mergeCell ref="E150:F150"/>
    <mergeCell ref="G150:J150"/>
    <mergeCell ref="C151:D151"/>
    <mergeCell ref="E151:F151"/>
    <mergeCell ref="G151:J151"/>
    <mergeCell ref="C156:D156"/>
    <mergeCell ref="E156:F156"/>
    <mergeCell ref="G156:J156"/>
    <mergeCell ref="C157:D157"/>
    <mergeCell ref="E157:F157"/>
    <mergeCell ref="G157:J157"/>
    <mergeCell ref="C154:D154"/>
    <mergeCell ref="E154:F154"/>
    <mergeCell ref="G154:J154"/>
    <mergeCell ref="C155:D155"/>
    <mergeCell ref="E155:F155"/>
    <mergeCell ref="G155:J155"/>
    <mergeCell ref="E145:F145"/>
    <mergeCell ref="G145:J145"/>
    <mergeCell ref="B137:B161"/>
    <mergeCell ref="C137:D137"/>
    <mergeCell ref="E137:F137"/>
    <mergeCell ref="G137:J137"/>
    <mergeCell ref="C148:D148"/>
    <mergeCell ref="E148:F148"/>
    <mergeCell ref="G148:J148"/>
    <mergeCell ref="C149:D149"/>
    <mergeCell ref="E149:F149"/>
    <mergeCell ref="G149:J149"/>
    <mergeCell ref="E146:F146"/>
    <mergeCell ref="G146:J146"/>
    <mergeCell ref="C147:D147"/>
    <mergeCell ref="E147:F147"/>
    <mergeCell ref="G147:J147"/>
    <mergeCell ref="C152:D152"/>
    <mergeCell ref="E152:F152"/>
    <mergeCell ref="G152:J152"/>
    <mergeCell ref="C153:D153"/>
    <mergeCell ref="E153:F153"/>
    <mergeCell ref="G153:J153"/>
    <mergeCell ref="C150:D150"/>
    <mergeCell ref="K137:L161"/>
    <mergeCell ref="C138:D138"/>
    <mergeCell ref="E138:F138"/>
    <mergeCell ref="G138:J138"/>
    <mergeCell ref="C139:D139"/>
    <mergeCell ref="E139:F139"/>
    <mergeCell ref="C142:D142"/>
    <mergeCell ref="E142:F142"/>
    <mergeCell ref="G142:J142"/>
    <mergeCell ref="C143:D143"/>
    <mergeCell ref="E143:F143"/>
    <mergeCell ref="G143:J143"/>
    <mergeCell ref="G139:J139"/>
    <mergeCell ref="C140:D140"/>
    <mergeCell ref="E140:F140"/>
    <mergeCell ref="G140:J140"/>
    <mergeCell ref="C141:D141"/>
    <mergeCell ref="E141:F141"/>
    <mergeCell ref="G141:J141"/>
    <mergeCell ref="C146:D146"/>
    <mergeCell ref="C144:D144"/>
    <mergeCell ref="E144:F144"/>
    <mergeCell ref="G144:J144"/>
    <mergeCell ref="C145:D145"/>
    <mergeCell ref="C136:D136"/>
    <mergeCell ref="E136:F136"/>
    <mergeCell ref="G136:J136"/>
    <mergeCell ref="K136:L136"/>
    <mergeCell ref="C133:D133"/>
    <mergeCell ref="E133:F133"/>
    <mergeCell ref="G133:J133"/>
    <mergeCell ref="K133:L133"/>
    <mergeCell ref="C134:D134"/>
    <mergeCell ref="E134:F134"/>
    <mergeCell ref="G134:J134"/>
    <mergeCell ref="K134:L134"/>
    <mergeCell ref="C132:D132"/>
    <mergeCell ref="E132:F132"/>
    <mergeCell ref="G132:J132"/>
    <mergeCell ref="K132:L132"/>
    <mergeCell ref="C129:D129"/>
    <mergeCell ref="E129:F129"/>
    <mergeCell ref="G129:J129"/>
    <mergeCell ref="K129:L129"/>
    <mergeCell ref="C135:D135"/>
    <mergeCell ref="E135:F135"/>
    <mergeCell ref="G135:J135"/>
    <mergeCell ref="K135:L135"/>
    <mergeCell ref="B130:B131"/>
    <mergeCell ref="C130:D130"/>
    <mergeCell ref="E130:F130"/>
    <mergeCell ref="G130:J130"/>
    <mergeCell ref="K130:L131"/>
    <mergeCell ref="C131:D131"/>
    <mergeCell ref="K126:L127"/>
    <mergeCell ref="C127:D127"/>
    <mergeCell ref="E127:F127"/>
    <mergeCell ref="G127:J127"/>
    <mergeCell ref="C128:D128"/>
    <mergeCell ref="E128:F128"/>
    <mergeCell ref="G128:J128"/>
    <mergeCell ref="K128:L128"/>
    <mergeCell ref="E131:F131"/>
    <mergeCell ref="G131:J131"/>
    <mergeCell ref="C125:D125"/>
    <mergeCell ref="E125:F125"/>
    <mergeCell ref="G125:J125"/>
    <mergeCell ref="B126:B127"/>
    <mergeCell ref="C126:D126"/>
    <mergeCell ref="E126:F126"/>
    <mergeCell ref="G126:J126"/>
    <mergeCell ref="C123:D123"/>
    <mergeCell ref="E123:F123"/>
    <mergeCell ref="G123:J123"/>
    <mergeCell ref="C124:D124"/>
    <mergeCell ref="E124:F124"/>
    <mergeCell ref="G124:J124"/>
    <mergeCell ref="C121:D121"/>
    <mergeCell ref="E121:F121"/>
    <mergeCell ref="G121:J121"/>
    <mergeCell ref="C122:D122"/>
    <mergeCell ref="E122:F122"/>
    <mergeCell ref="G122:J122"/>
    <mergeCell ref="C119:D119"/>
    <mergeCell ref="E119:F119"/>
    <mergeCell ref="G119:J119"/>
    <mergeCell ref="C120:D120"/>
    <mergeCell ref="E120:F120"/>
    <mergeCell ref="G120:J120"/>
    <mergeCell ref="C117:D117"/>
    <mergeCell ref="E117:F117"/>
    <mergeCell ref="G117:J117"/>
    <mergeCell ref="C118:D118"/>
    <mergeCell ref="E118:F118"/>
    <mergeCell ref="G118:J118"/>
    <mergeCell ref="C115:D115"/>
    <mergeCell ref="E115:F115"/>
    <mergeCell ref="G115:J115"/>
    <mergeCell ref="C116:D116"/>
    <mergeCell ref="E116:F116"/>
    <mergeCell ref="G116:J116"/>
    <mergeCell ref="C113:D113"/>
    <mergeCell ref="E113:F113"/>
    <mergeCell ref="G113:J113"/>
    <mergeCell ref="C114:D114"/>
    <mergeCell ref="E114:F114"/>
    <mergeCell ref="G114:J114"/>
    <mergeCell ref="C111:D111"/>
    <mergeCell ref="E111:F111"/>
    <mergeCell ref="G111:J111"/>
    <mergeCell ref="C112:D112"/>
    <mergeCell ref="E112:F112"/>
    <mergeCell ref="G112:J112"/>
    <mergeCell ref="C109:D109"/>
    <mergeCell ref="E109:F109"/>
    <mergeCell ref="G109:J109"/>
    <mergeCell ref="C110:D110"/>
    <mergeCell ref="E110:F110"/>
    <mergeCell ref="G110:J110"/>
    <mergeCell ref="C107:D107"/>
    <mergeCell ref="E107:F107"/>
    <mergeCell ref="G107:J107"/>
    <mergeCell ref="C108:D108"/>
    <mergeCell ref="E108:F108"/>
    <mergeCell ref="G108:J108"/>
    <mergeCell ref="C100:D100"/>
    <mergeCell ref="E100:F100"/>
    <mergeCell ref="G100:J100"/>
    <mergeCell ref="K100:L100"/>
    <mergeCell ref="B101:B125"/>
    <mergeCell ref="C101:D101"/>
    <mergeCell ref="E101:F101"/>
    <mergeCell ref="G101:J101"/>
    <mergeCell ref="K101:L125"/>
    <mergeCell ref="C102:D102"/>
    <mergeCell ref="C105:D105"/>
    <mergeCell ref="E105:F105"/>
    <mergeCell ref="G105:J105"/>
    <mergeCell ref="C106:D106"/>
    <mergeCell ref="E106:F106"/>
    <mergeCell ref="G106:J106"/>
    <mergeCell ref="E102:F102"/>
    <mergeCell ref="G102:J102"/>
    <mergeCell ref="C103:D103"/>
    <mergeCell ref="E103:F103"/>
    <mergeCell ref="G103:J103"/>
    <mergeCell ref="C104:D104"/>
    <mergeCell ref="E104:F104"/>
    <mergeCell ref="G104:J104"/>
    <mergeCell ref="C98:D98"/>
    <mergeCell ref="E98:F98"/>
    <mergeCell ref="G98:J98"/>
    <mergeCell ref="K98:L98"/>
    <mergeCell ref="C99:D99"/>
    <mergeCell ref="E99:F99"/>
    <mergeCell ref="G99:J99"/>
    <mergeCell ref="K99:L99"/>
    <mergeCell ref="C96:D96"/>
    <mergeCell ref="E96:F96"/>
    <mergeCell ref="G96:J96"/>
    <mergeCell ref="K96:L96"/>
    <mergeCell ref="C97:D97"/>
    <mergeCell ref="E97:F97"/>
    <mergeCell ref="G97:J97"/>
    <mergeCell ref="K97:L97"/>
    <mergeCell ref="K92:L95"/>
    <mergeCell ref="C93:D93"/>
    <mergeCell ref="E93:F93"/>
    <mergeCell ref="G93:J93"/>
    <mergeCell ref="C94:D94"/>
    <mergeCell ref="E94:F94"/>
    <mergeCell ref="G94:J94"/>
    <mergeCell ref="C95:D95"/>
    <mergeCell ref="E95:F95"/>
    <mergeCell ref="G95:J95"/>
    <mergeCell ref="C90:D90"/>
    <mergeCell ref="E90:F90"/>
    <mergeCell ref="G90:J90"/>
    <mergeCell ref="C85:D85"/>
    <mergeCell ref="E85:F85"/>
    <mergeCell ref="G85:J85"/>
    <mergeCell ref="C86:D86"/>
    <mergeCell ref="G67:J67"/>
    <mergeCell ref="C88:D88"/>
    <mergeCell ref="E88:F88"/>
    <mergeCell ref="G88:J88"/>
    <mergeCell ref="C89:D89"/>
    <mergeCell ref="E89:F89"/>
    <mergeCell ref="G89:J89"/>
    <mergeCell ref="G87:J87"/>
    <mergeCell ref="C82:D82"/>
    <mergeCell ref="E82:F82"/>
    <mergeCell ref="C79:D79"/>
    <mergeCell ref="E79:F79"/>
    <mergeCell ref="G79:J79"/>
    <mergeCell ref="C80:D80"/>
    <mergeCell ref="E80:F80"/>
    <mergeCell ref="G80:J80"/>
    <mergeCell ref="C77:D77"/>
    <mergeCell ref="C91:D91"/>
    <mergeCell ref="E91:F91"/>
    <mergeCell ref="G91:J91"/>
    <mergeCell ref="B92:B95"/>
    <mergeCell ref="C92:D92"/>
    <mergeCell ref="E92:F92"/>
    <mergeCell ref="G92:J92"/>
    <mergeCell ref="B67:B91"/>
    <mergeCell ref="C67:D67"/>
    <mergeCell ref="E67:F67"/>
    <mergeCell ref="G82:J82"/>
    <mergeCell ref="C83:D83"/>
    <mergeCell ref="E83:F83"/>
    <mergeCell ref="G83:J83"/>
    <mergeCell ref="C84:D84"/>
    <mergeCell ref="E84:F84"/>
    <mergeCell ref="G84:J84"/>
    <mergeCell ref="C81:D81"/>
    <mergeCell ref="E81:F81"/>
    <mergeCell ref="G81:J81"/>
    <mergeCell ref="E86:F86"/>
    <mergeCell ref="G86:J86"/>
    <mergeCell ref="C87:D87"/>
    <mergeCell ref="E87:F87"/>
    <mergeCell ref="G71:J71"/>
    <mergeCell ref="C72:D72"/>
    <mergeCell ref="E72:F72"/>
    <mergeCell ref="G72:J72"/>
    <mergeCell ref="E77:F77"/>
    <mergeCell ref="G77:J77"/>
    <mergeCell ref="C78:D78"/>
    <mergeCell ref="E78:F78"/>
    <mergeCell ref="G78:J78"/>
    <mergeCell ref="C75:D75"/>
    <mergeCell ref="E75:F75"/>
    <mergeCell ref="G75:J75"/>
    <mergeCell ref="C76:D76"/>
    <mergeCell ref="E76:F76"/>
    <mergeCell ref="G76:J76"/>
    <mergeCell ref="C66:D66"/>
    <mergeCell ref="E66:F66"/>
    <mergeCell ref="G66:J66"/>
    <mergeCell ref="C62:D62"/>
    <mergeCell ref="E62:F62"/>
    <mergeCell ref="G62:J62"/>
    <mergeCell ref="K67:L91"/>
    <mergeCell ref="C68:D68"/>
    <mergeCell ref="E68:F68"/>
    <mergeCell ref="G68:J68"/>
    <mergeCell ref="C69:D69"/>
    <mergeCell ref="E69:F69"/>
    <mergeCell ref="G69:J69"/>
    <mergeCell ref="C70:D70"/>
    <mergeCell ref="E70:F70"/>
    <mergeCell ref="G70:J70"/>
    <mergeCell ref="C73:D73"/>
    <mergeCell ref="E73:F73"/>
    <mergeCell ref="G73:J73"/>
    <mergeCell ref="C74:D74"/>
    <mergeCell ref="E74:F74"/>
    <mergeCell ref="G74:J74"/>
    <mergeCell ref="C71:D71"/>
    <mergeCell ref="E71:F71"/>
    <mergeCell ref="E58:F58"/>
    <mergeCell ref="G58:J58"/>
    <mergeCell ref="C59:D59"/>
    <mergeCell ref="E59:F59"/>
    <mergeCell ref="E64:F64"/>
    <mergeCell ref="G64:J64"/>
    <mergeCell ref="C65:D65"/>
    <mergeCell ref="E65:F65"/>
    <mergeCell ref="G65:J65"/>
    <mergeCell ref="B52:B56"/>
    <mergeCell ref="C52:D52"/>
    <mergeCell ref="E52:F52"/>
    <mergeCell ref="G52:J52"/>
    <mergeCell ref="K62:L62"/>
    <mergeCell ref="B63:B66"/>
    <mergeCell ref="C63:D63"/>
    <mergeCell ref="E63:F63"/>
    <mergeCell ref="G63:J63"/>
    <mergeCell ref="K63:L66"/>
    <mergeCell ref="C64:D64"/>
    <mergeCell ref="G59:J59"/>
    <mergeCell ref="C60:D60"/>
    <mergeCell ref="E60:F60"/>
    <mergeCell ref="G60:J60"/>
    <mergeCell ref="C61:D61"/>
    <mergeCell ref="E61:F61"/>
    <mergeCell ref="G61:J61"/>
    <mergeCell ref="B57:B61"/>
    <mergeCell ref="C57:D57"/>
    <mergeCell ref="E57:F57"/>
    <mergeCell ref="G57:J57"/>
    <mergeCell ref="K57:L61"/>
    <mergeCell ref="C58:D58"/>
    <mergeCell ref="K52:L56"/>
    <mergeCell ref="C53:D53"/>
    <mergeCell ref="E53:F53"/>
    <mergeCell ref="G53:J53"/>
    <mergeCell ref="C54:D54"/>
    <mergeCell ref="E54:F54"/>
    <mergeCell ref="E50:F50"/>
    <mergeCell ref="G50:J50"/>
    <mergeCell ref="C51:D51"/>
    <mergeCell ref="E51:F51"/>
    <mergeCell ref="G51:J51"/>
    <mergeCell ref="G54:J54"/>
    <mergeCell ref="C55:D55"/>
    <mergeCell ref="E55:F55"/>
    <mergeCell ref="G55:J55"/>
    <mergeCell ref="C56:D56"/>
    <mergeCell ref="E56:F56"/>
    <mergeCell ref="G56:J56"/>
    <mergeCell ref="O51:R51"/>
    <mergeCell ref="K47:L47"/>
    <mergeCell ref="B48:B51"/>
    <mergeCell ref="C48:D48"/>
    <mergeCell ref="E48:F48"/>
    <mergeCell ref="G48:J48"/>
    <mergeCell ref="K48:L51"/>
    <mergeCell ref="C49:D49"/>
    <mergeCell ref="E49:F49"/>
    <mergeCell ref="G49:J49"/>
    <mergeCell ref="C50:D50"/>
    <mergeCell ref="C46:D46"/>
    <mergeCell ref="E46:F46"/>
    <mergeCell ref="G46:J46"/>
    <mergeCell ref="C47:D47"/>
    <mergeCell ref="E47:F47"/>
    <mergeCell ref="G47:J47"/>
    <mergeCell ref="C44:D44"/>
    <mergeCell ref="E44:F44"/>
    <mergeCell ref="G44:J44"/>
    <mergeCell ref="C45:D45"/>
    <mergeCell ref="E45:F45"/>
    <mergeCell ref="G45:J45"/>
    <mergeCell ref="C42:D42"/>
    <mergeCell ref="E42:F42"/>
    <mergeCell ref="G42:J42"/>
    <mergeCell ref="C43:D43"/>
    <mergeCell ref="E43:F43"/>
    <mergeCell ref="G43:J43"/>
    <mergeCell ref="C40:D40"/>
    <mergeCell ref="E40:F40"/>
    <mergeCell ref="G40:J40"/>
    <mergeCell ref="C41:D41"/>
    <mergeCell ref="E41:F41"/>
    <mergeCell ref="G41:J41"/>
    <mergeCell ref="C38:D38"/>
    <mergeCell ref="E38:F38"/>
    <mergeCell ref="G38:J38"/>
    <mergeCell ref="C39:D39"/>
    <mergeCell ref="E39:F39"/>
    <mergeCell ref="G39:J39"/>
    <mergeCell ref="C36:D36"/>
    <mergeCell ref="E36:F36"/>
    <mergeCell ref="G36:J36"/>
    <mergeCell ref="C37:D37"/>
    <mergeCell ref="E37:F37"/>
    <mergeCell ref="G37:J37"/>
    <mergeCell ref="C34:D34"/>
    <mergeCell ref="E34:F34"/>
    <mergeCell ref="G34:J34"/>
    <mergeCell ref="C35:D35"/>
    <mergeCell ref="E35:F35"/>
    <mergeCell ref="G35:J35"/>
    <mergeCell ref="C32:D32"/>
    <mergeCell ref="E32:F32"/>
    <mergeCell ref="G32:J32"/>
    <mergeCell ref="C33:D33"/>
    <mergeCell ref="E33:F33"/>
    <mergeCell ref="G33:J33"/>
    <mergeCell ref="C30:D30"/>
    <mergeCell ref="E30:F30"/>
    <mergeCell ref="G30:J30"/>
    <mergeCell ref="C31:D31"/>
    <mergeCell ref="E31:F31"/>
    <mergeCell ref="G31:J31"/>
    <mergeCell ref="C28:D28"/>
    <mergeCell ref="E28:F28"/>
    <mergeCell ref="G28:J28"/>
    <mergeCell ref="C29:D29"/>
    <mergeCell ref="E29:F29"/>
    <mergeCell ref="G29:J29"/>
    <mergeCell ref="C26:D26"/>
    <mergeCell ref="E26:F26"/>
    <mergeCell ref="G26:J26"/>
    <mergeCell ref="C27:D27"/>
    <mergeCell ref="E27:F27"/>
    <mergeCell ref="G27:J27"/>
    <mergeCell ref="C24:D24"/>
    <mergeCell ref="E24:F24"/>
    <mergeCell ref="G24:J24"/>
    <mergeCell ref="C25:D25"/>
    <mergeCell ref="E25:F25"/>
    <mergeCell ref="G25:J25"/>
    <mergeCell ref="C23:D23"/>
    <mergeCell ref="E23:F23"/>
    <mergeCell ref="G23:J23"/>
    <mergeCell ref="C20:D20"/>
    <mergeCell ref="E20:F20"/>
    <mergeCell ref="G20:J20"/>
    <mergeCell ref="C21:D21"/>
    <mergeCell ref="E21:F21"/>
    <mergeCell ref="G21:J21"/>
    <mergeCell ref="E14:F14"/>
    <mergeCell ref="G14:J14"/>
    <mergeCell ref="C15:D15"/>
    <mergeCell ref="E15:F15"/>
    <mergeCell ref="G15:J15"/>
    <mergeCell ref="B11:B46"/>
    <mergeCell ref="C11:D11"/>
    <mergeCell ref="E11:F11"/>
    <mergeCell ref="G11:J11"/>
    <mergeCell ref="C18:D18"/>
    <mergeCell ref="E18:F18"/>
    <mergeCell ref="G18:J18"/>
    <mergeCell ref="C19:D19"/>
    <mergeCell ref="E19:F19"/>
    <mergeCell ref="G19:J19"/>
    <mergeCell ref="C16:D16"/>
    <mergeCell ref="E16:F16"/>
    <mergeCell ref="G16:J16"/>
    <mergeCell ref="C17:D17"/>
    <mergeCell ref="E17:F17"/>
    <mergeCell ref="G17:J17"/>
    <mergeCell ref="C22:D22"/>
    <mergeCell ref="E22:F22"/>
    <mergeCell ref="G22:J22"/>
    <mergeCell ref="B7:B8"/>
    <mergeCell ref="C7:D7"/>
    <mergeCell ref="E7:F7"/>
    <mergeCell ref="G7:J7"/>
    <mergeCell ref="K7:L8"/>
    <mergeCell ref="C8:D8"/>
    <mergeCell ref="E8:F8"/>
    <mergeCell ref="G8:J8"/>
    <mergeCell ref="K11:L46"/>
    <mergeCell ref="C12:D12"/>
    <mergeCell ref="E12:F12"/>
    <mergeCell ref="G12:J12"/>
    <mergeCell ref="C13:D13"/>
    <mergeCell ref="E13:F13"/>
    <mergeCell ref="C9:D9"/>
    <mergeCell ref="E9:F9"/>
    <mergeCell ref="G9:J9"/>
    <mergeCell ref="K9:L9"/>
    <mergeCell ref="C10:D10"/>
    <mergeCell ref="E10:F10"/>
    <mergeCell ref="G10:J10"/>
    <mergeCell ref="K10:L10"/>
    <mergeCell ref="G13:J13"/>
    <mergeCell ref="C14:D14"/>
    <mergeCell ref="C5:D5"/>
    <mergeCell ref="E5:F5"/>
    <mergeCell ref="G5:J5"/>
    <mergeCell ref="C6:D6"/>
    <mergeCell ref="E6:F6"/>
    <mergeCell ref="G6:J6"/>
    <mergeCell ref="B1:N2"/>
    <mergeCell ref="C3:D3"/>
    <mergeCell ref="E3:F3"/>
    <mergeCell ref="G3:J3"/>
    <mergeCell ref="K3:L3"/>
    <mergeCell ref="B4:B5"/>
    <mergeCell ref="C4:D4"/>
    <mergeCell ref="E4:F4"/>
    <mergeCell ref="G4:J4"/>
    <mergeCell ref="K4:L5"/>
    <mergeCell ref="K6:L6"/>
  </mergeCells>
  <conditionalFormatting sqref="B4">
    <cfRule type="expression" dxfId="504" priority="3">
      <formula>AND(COUNTA($C$4:$C$5)+COUNTA($E$4:$E$5)&gt;0,COUNTIFS($N$4:$N$5,"",$C$4:$C$5,"&lt;&gt;")+COUNTIFS($N$4:$N$5,"",$E$4:$E$5,"&lt;&gt;")=0)</formula>
    </cfRule>
  </conditionalFormatting>
  <conditionalFormatting sqref="B6">
    <cfRule type="expression" dxfId="503" priority="4">
      <formula>AND(COUNTA($C$6:$C$6)+COUNTA($E$6:$E$6)&gt;0,COUNTIFS($N$6:$N$6,"",$C$6:$C$6,"&lt;&gt;")+COUNTIFS($N$6:$N$6,"",$E$6:$E$6,"&lt;&gt;")=0)</formula>
    </cfRule>
  </conditionalFormatting>
  <conditionalFormatting sqref="B7">
    <cfRule type="expression" dxfId="502" priority="5">
      <formula>AND(COUNTA($C$7:$C$8)+COUNTA($E$7:$E$8)&gt;0,COUNTIFS($N$7:$N$8,"",$C$7:$C$8,"&lt;&gt;")+COUNTIFS($N$7:$N$8,"",$E$7:$E$8,"&lt;&gt;")=0)</formula>
    </cfRule>
  </conditionalFormatting>
  <conditionalFormatting sqref="B9">
    <cfRule type="expression" dxfId="501" priority="6">
      <formula>AND(COUNTA($C$9:$C$9)+COUNTA($E$9:$E$9)&gt;0,COUNTIFS($N$9:$N$9,"",$C$9:$C$9,"&lt;&gt;")+COUNTIFS($N$9:$N$9,"",$E$9:$E$9,"&lt;&gt;")=0)</formula>
    </cfRule>
  </conditionalFormatting>
  <conditionalFormatting sqref="B10">
    <cfRule type="expression" dxfId="500" priority="7">
      <formula>AND(COUNTA($C$10:$C$10)+COUNTA($E$10:$E$10)&gt;0,COUNTIFS($N$10:$N$10,"",$C$10:$C$10,"&lt;&gt;")+COUNTIFS($N$10:$N$10,"",$E$10:$E$10,"&lt;&gt;")=0)</formula>
    </cfRule>
  </conditionalFormatting>
  <conditionalFormatting sqref="B11">
    <cfRule type="expression" dxfId="499" priority="8">
      <formula>AND(COUNTA($C$11:$C$46)+COUNTA($E$11:$E$46)&gt;0,COUNTIFS($N$11:$N$46,"",$C$11:$C$46,"&lt;&gt;")+COUNTIFS($N$11:$N$46,"",$E$11:$E$46,"&lt;&gt;")=0)</formula>
    </cfRule>
  </conditionalFormatting>
  <conditionalFormatting sqref="B47">
    <cfRule type="expression" dxfId="498" priority="9">
      <formula>AND(COUNTA($C$47:$C$47)+COUNTA($E$47:$E$47)&gt;0,COUNTIFS($N$47:$N$47,"",$C$47:$C$47,"&lt;&gt;")+COUNTIFS($N$47:$N$47,"",$E$47:$E$47,"&lt;&gt;")=0)</formula>
    </cfRule>
  </conditionalFormatting>
  <conditionalFormatting sqref="B48">
    <cfRule type="expression" dxfId="497" priority="10">
      <formula>AND(COUNTA($C$48:$C$51)+COUNTA($E$48:$E$51)&gt;0,COUNTIFS($N$48:$N$51,"",$C$48:$C$51,"&lt;&gt;")+COUNTIFS($N$48:$N$51,"",$E$48:$E$51,"&lt;&gt;")=0)</formula>
    </cfRule>
  </conditionalFormatting>
  <conditionalFormatting sqref="B52">
    <cfRule type="expression" dxfId="496" priority="11">
      <formula>AND(COUNTA($C$52:$C$56)+COUNTA($E$52:$E$56)&gt;0,COUNTIFS($N$52:$N$56,"",$C$52:$C$56,"&lt;&gt;")+COUNTIFS($N$52:$N$56,"",$E$52:$E$56,"&lt;&gt;")=0)</formula>
    </cfRule>
  </conditionalFormatting>
  <conditionalFormatting sqref="B57">
    <cfRule type="expression" dxfId="495" priority="12">
      <formula>AND(COUNTA($C$57:$C$61)+COUNTA($E$57:$E$61)&gt;0,COUNTIFS($N$57:$N$61,"",$C$57:$C$61,"&lt;&gt;")+COUNTIFS($N$57:$N$61,"",$E$57:$E$61,"&lt;&gt;")=0)</formula>
    </cfRule>
  </conditionalFormatting>
  <conditionalFormatting sqref="B62">
    <cfRule type="expression" dxfId="494" priority="13">
      <formula>AND(COUNTA($C$62:$C$62)+COUNTA($E$62:$E$62)&gt;0,COUNTIFS($N$62:$N$62,"",$C$62:$C$62,"&lt;&gt;")+COUNTIFS($N$62:$N$62,"",$E$62:$E$62,"&lt;&gt;")=0)</formula>
    </cfRule>
  </conditionalFormatting>
  <conditionalFormatting sqref="B63">
    <cfRule type="expression" dxfId="493" priority="14">
      <formula>AND(COUNTA($C$63:$C$66)+COUNTA($E$63:$E$66)&gt;0,COUNTIFS($N$63:$N$66,"",$C$63:$C$66,"&lt;&gt;")+COUNTIFS($N$63:$N$66,"",$E$63:$E$66,"&lt;&gt;")=0)</formula>
    </cfRule>
  </conditionalFormatting>
  <conditionalFormatting sqref="B67">
    <cfRule type="expression" dxfId="492" priority="15">
      <formula>AND(COUNTA($C$67:$C$91)+COUNTA($E$67:$E$91)&gt;0,COUNTIFS($N$67:$N$91,"",$C$67:$C$91,"&lt;&gt;")+COUNTIFS($N$67:$N$91,"",$E$67:$E$91,"&lt;&gt;")=0)</formula>
    </cfRule>
  </conditionalFormatting>
  <conditionalFormatting sqref="B92">
    <cfRule type="expression" dxfId="491" priority="16">
      <formula>AND(COUNTA($C$92:$C$95)+COUNTA($E$92:$E$95)&gt;0,COUNTIFS($N$92:$N$95,"",$C$92:$C$95,"&lt;&gt;")+COUNTIFS($N$92:$N$95,"",$E$92:$E$95,"&lt;&gt;")=0)</formula>
    </cfRule>
  </conditionalFormatting>
  <conditionalFormatting sqref="B96">
    <cfRule type="expression" dxfId="490" priority="17">
      <formula>AND(COUNTA($C$96:$C$96)+COUNTA($E$96:$E$96)&gt;0,COUNTIFS($N$96:$N$96,"",$C$96:$C$96,"&lt;&gt;")+COUNTIFS($N$96:$N$96,"",$E$96:$E$96,"&lt;&gt;")=0)</formula>
    </cfRule>
  </conditionalFormatting>
  <conditionalFormatting sqref="B97">
    <cfRule type="expression" dxfId="489" priority="18">
      <formula>AND(COUNTA($C$97:$C$97)+COUNTA($E$97:$E$97)&gt;0,COUNTIFS($N$97:$N$97,"",$C$97:$C$97,"&lt;&gt;")+COUNTIFS($N$97:$N$97,"",$E$97:$E$97,"&lt;&gt;")=0)</formula>
    </cfRule>
  </conditionalFormatting>
  <conditionalFormatting sqref="B98">
    <cfRule type="expression" dxfId="488" priority="19">
      <formula>AND(COUNTA($C$98:$C$98)+COUNTA($E$98:$E$98)&gt;0,COUNTIFS($N$98:$N$98,"",$C$98:$C$98,"&lt;&gt;")+COUNTIFS($N$98:$N$98,"",$E$98:$E$98,"&lt;&gt;")=0)</formula>
    </cfRule>
  </conditionalFormatting>
  <conditionalFormatting sqref="B99">
    <cfRule type="expression" dxfId="487" priority="20">
      <formula>AND(COUNTA($C$99:$C$99)+COUNTA($E$99:$E$99)&gt;0,COUNTIFS($N$99:$N$99,"",$C$99:$C$99,"&lt;&gt;")+COUNTIFS($N$99:$N$99,"",$E$99:$E$99,"&lt;&gt;")=0)</formula>
    </cfRule>
  </conditionalFormatting>
  <conditionalFormatting sqref="B100">
    <cfRule type="expression" dxfId="486" priority="21">
      <formula>AND(COUNTA($C$100:$C$100)+COUNTA($E$100:$E$100)&gt;0,COUNTIFS($N$100:$N$100,"",$C$100:$C$100,"&lt;&gt;")+COUNTIFS($N$100:$N$100,"",$E$100:$E$100,"&lt;&gt;")=0)</formula>
    </cfRule>
  </conditionalFormatting>
  <conditionalFormatting sqref="B101">
    <cfRule type="expression" dxfId="485" priority="22">
      <formula>AND(COUNTA($C$101:$C$125)+COUNTA($E$101:$E$125)&gt;0,COUNTIFS($N$101:$N$125,"",$C$101:$C$125,"&lt;&gt;")+COUNTIFS($N$101:$N$125,"",$E$101:$E$125,"&lt;&gt;")=0)</formula>
    </cfRule>
  </conditionalFormatting>
  <conditionalFormatting sqref="B126">
    <cfRule type="expression" dxfId="484" priority="23">
      <formula>AND(COUNTA($C$126:$C$127)+COUNTA($E$126:$E$127)&gt;0,COUNTIFS($N$126:$N$127,"",$C$126:$C$127,"&lt;&gt;")+COUNTIFS($N$126:$N$127,"",$E$126:$E$127,"&lt;&gt;")=0)</formula>
    </cfRule>
  </conditionalFormatting>
  <conditionalFormatting sqref="B128">
    <cfRule type="expression" dxfId="483" priority="24">
      <formula>AND(COUNTA($C$128:$C$128)+COUNTA($E$128:$E$128)&gt;0,COUNTIFS($N$128:$N$128,"",$C$128:$C$128,"&lt;&gt;")+COUNTIFS($N$128:$N$128,"",$E$128:$E$128,"&lt;&gt;")=0)</formula>
    </cfRule>
  </conditionalFormatting>
  <conditionalFormatting sqref="B129">
    <cfRule type="expression" dxfId="482" priority="25">
      <formula>AND(COUNTA($C$129:$C$129)+COUNTA($E$129:$E$129)&gt;0,COUNTIFS($N$129:$N$129,"",$C$129:$C$129,"&lt;&gt;")+COUNTIFS($N$129:$N$129,"",$E$129:$E$129,"&lt;&gt;")=0)</formula>
    </cfRule>
  </conditionalFormatting>
  <conditionalFormatting sqref="B130">
    <cfRule type="expression" dxfId="481" priority="26">
      <formula>AND(COUNTA($C$130:$C$131)+COUNTA($E$130:$E$131)&gt;0,COUNTIFS($N$130:$N$131,"",$C$130:$C$131,"&lt;&gt;")+COUNTIFS($N$130:$N$131,"",$E$130:$E$131,"&lt;&gt;")=0)</formula>
    </cfRule>
  </conditionalFormatting>
  <conditionalFormatting sqref="B132">
    <cfRule type="expression" dxfId="480" priority="27">
      <formula>AND(COUNTA($C$132:$C$132)+COUNTA($E$132:$E$132)&gt;0,COUNTIFS($N$132:$N$132,"",$C$132:$C$132,"&lt;&gt;")+COUNTIFS($N$132:$N$132,"",$E$132:$E$132,"&lt;&gt;")=0)</formula>
    </cfRule>
  </conditionalFormatting>
  <conditionalFormatting sqref="B133">
    <cfRule type="expression" dxfId="479" priority="28">
      <formula>AND(COUNTA($C$133:$C$133)+COUNTA($E$133:$E$133)&gt;0,COUNTIFS($N$133:$N$133,"",$C$133:$C$133,"&lt;&gt;")+COUNTIFS($N$133:$N$133,"",$E$133:$E$133,"&lt;&gt;")=0)</formula>
    </cfRule>
  </conditionalFormatting>
  <conditionalFormatting sqref="B134">
    <cfRule type="expression" dxfId="478" priority="29">
      <formula>AND(COUNTA($C$134:$C$134)+COUNTA($E$134:$E$134)&gt;0,COUNTIFS($N$134:$N$134,"",$C$134:$C$134,"&lt;&gt;")+COUNTIFS($N$134:$N$134,"",$E$134:$E$134,"&lt;&gt;")=0)</formula>
    </cfRule>
  </conditionalFormatting>
  <conditionalFormatting sqref="B135">
    <cfRule type="expression" dxfId="477" priority="30">
      <formula>AND(COUNTA($C$135:$C$135)+COUNTA($E$135:$E$135)&gt;0,COUNTIFS($N$135:$N$135,"",$C$135:$C$135,"&lt;&gt;")+COUNTIFS($N$135:$N$135,"",$E$135:$E$135,"&lt;&gt;")=0)</formula>
    </cfRule>
  </conditionalFormatting>
  <conditionalFormatting sqref="B136">
    <cfRule type="expression" dxfId="476" priority="31">
      <formula>AND(COUNTA($C$136:$C$136)+COUNTA($E$136:$E$136)&gt;0,COUNTIFS($N$136:$N$136,"",$C$136:$C$136,"&lt;&gt;")+COUNTIFS($N$136:$N$136,"",$E$136:$E$136,"&lt;&gt;")=0)</formula>
    </cfRule>
  </conditionalFormatting>
  <conditionalFormatting sqref="B137">
    <cfRule type="expression" dxfId="475" priority="32">
      <formula>AND(COUNTA($C$137:$C$161)+COUNTA($E$137:$E$161)&gt;0,COUNTIFS($N$137:$N$161,"",$C$137:$C$161,"&lt;&gt;")+COUNTIFS($N$137:$N$161,"",$E$137:$E$161,"&lt;&gt;")=0)</formula>
    </cfRule>
  </conditionalFormatting>
  <conditionalFormatting sqref="C4:J475 M4:N475">
    <cfRule type="expression" dxfId="474" priority="1">
      <formula>$N4&lt;&gt;""</formula>
    </cfRule>
  </conditionalFormatting>
  <conditionalFormatting sqref="K4">
    <cfRule type="expression" dxfId="473" priority="33">
      <formula>AND(COUNTA($C$4:$C$5)+COUNTA($E$4:$E$5)&gt;0,COUNTIFS($N$4:$N$5,"",$C$4:$C$5,"&lt;&gt;")+COUNTIFS($N$4:$N$5,"",$E$4:$E$5,"&lt;&gt;")=0)</formula>
    </cfRule>
  </conditionalFormatting>
  <conditionalFormatting sqref="K6">
    <cfRule type="expression" dxfId="472" priority="34">
      <formula>AND(COUNTA($C$6:$C$6)+COUNTA($E$6:$E$6)&gt;0,COUNTIFS($N$6:$N$6,"",$C$6:$C$6,"&lt;&gt;")+COUNTIFS($N$6:$N$6,"",$E$6:$E$6,"&lt;&gt;")=0)</formula>
    </cfRule>
  </conditionalFormatting>
  <conditionalFormatting sqref="K7">
    <cfRule type="expression" dxfId="471" priority="35">
      <formula>AND(COUNTA($C$7:$C$8)+COUNTA($E$7:$E$8)&gt;0,COUNTIFS($N$7:$N$8,"",$C$7:$C$8,"&lt;&gt;")+COUNTIFS($N$7:$N$8,"",$E$7:$E$8,"&lt;&gt;")=0)</formula>
    </cfRule>
  </conditionalFormatting>
  <conditionalFormatting sqref="K9">
    <cfRule type="expression" dxfId="470" priority="36">
      <formula>AND(COUNTA($C$9:$C$9)+COUNTA($E$9:$E$9)&gt;0,COUNTIFS($N$9:$N$9,"",$C$9:$C$9,"&lt;&gt;")+COUNTIFS($N$9:$N$9,"",$E$9:$E$9,"&lt;&gt;")=0)</formula>
    </cfRule>
  </conditionalFormatting>
  <conditionalFormatting sqref="K10">
    <cfRule type="expression" dxfId="469" priority="37">
      <formula>AND(COUNTA($C$10:$C$10)+COUNTA($E$10:$E$10)&gt;0,COUNTIFS($N$10:$N$10,"",$C$10:$C$10,"&lt;&gt;")+COUNTIFS($N$10:$N$10,"",$E$10:$E$10,"&lt;&gt;")=0)</formula>
    </cfRule>
  </conditionalFormatting>
  <conditionalFormatting sqref="K11">
    <cfRule type="expression" dxfId="468" priority="38">
      <formula>AND(COUNTA($C$11:$C$46)+COUNTA($E$11:$E$46)&gt;0,COUNTIFS($N$11:$N$46,"",$C$11:$C$46,"&lt;&gt;")+COUNTIFS($N$11:$N$46,"",$E$11:$E$46,"&lt;&gt;")=0)</formula>
    </cfRule>
  </conditionalFormatting>
  <conditionalFormatting sqref="K47">
    <cfRule type="expression" dxfId="467" priority="39">
      <formula>AND(COUNTA($C$47:$C$47)+COUNTA($E$47:$E$47)&gt;0,COUNTIFS($N$47:$N$47,"",$C$47:$C$47,"&lt;&gt;")+COUNTIFS($N$47:$N$47,"",$E$47:$E$47,"&lt;&gt;")=0)</formula>
    </cfRule>
  </conditionalFormatting>
  <conditionalFormatting sqref="K48">
    <cfRule type="expression" dxfId="466" priority="40">
      <formula>AND(COUNTA($C$48:$C$51)+COUNTA($E$48:$E$51)&gt;0,COUNTIFS($N$48:$N$51,"",$C$48:$C$51,"&lt;&gt;")+COUNTIFS($N$48:$N$51,"",$E$48:$E$51,"&lt;&gt;")=0)</formula>
    </cfRule>
  </conditionalFormatting>
  <conditionalFormatting sqref="K52">
    <cfRule type="expression" dxfId="465" priority="41">
      <formula>AND(COUNTA($C$52:$C$56)+COUNTA($E$52:$E$56)&gt;0,COUNTIFS($N$52:$N$56,"",$C$52:$C$56,"&lt;&gt;")+COUNTIFS($N$52:$N$56,"",$E$52:$E$56,"&lt;&gt;")=0)</formula>
    </cfRule>
  </conditionalFormatting>
  <conditionalFormatting sqref="K57">
    <cfRule type="expression" dxfId="464" priority="42">
      <formula>AND(COUNTA($C$57:$C$61)+COUNTA($E$57:$E$61)&gt;0,COUNTIFS($N$57:$N$61,"",$C$57:$C$61,"&lt;&gt;")+COUNTIFS($N$57:$N$61,"",$E$57:$E$61,"&lt;&gt;")=0)</formula>
    </cfRule>
  </conditionalFormatting>
  <conditionalFormatting sqref="K62">
    <cfRule type="expression" dxfId="463" priority="43">
      <formula>AND(COUNTA($C$62:$C$62)+COUNTA($E$62:$E$62)&gt;0,COUNTIFS($N$62:$N$62,"",$C$62:$C$62,"&lt;&gt;")+COUNTIFS($N$62:$N$62,"",$E$62:$E$62,"&lt;&gt;")=0)</formula>
    </cfRule>
  </conditionalFormatting>
  <conditionalFormatting sqref="K63">
    <cfRule type="expression" dxfId="462" priority="44">
      <formula>AND(COUNTA($C$63:$C$66)+COUNTA($E$63:$E$66)&gt;0,COUNTIFS($N$63:$N$66,"",$C$63:$C$66,"&lt;&gt;")+COUNTIFS($N$63:$N$66,"",$E$63:$E$66,"&lt;&gt;")=0)</formula>
    </cfRule>
  </conditionalFormatting>
  <conditionalFormatting sqref="K67">
    <cfRule type="expression" dxfId="461" priority="45">
      <formula>AND(COUNTA($C$67:$C$91)+COUNTA($E$67:$E$91)&gt;0,COUNTIFS($N$67:$N$91,"",$C$67:$C$91,"&lt;&gt;")+COUNTIFS($N$67:$N$91,"",$E$67:$E$91,"&lt;&gt;")=0)</formula>
    </cfRule>
  </conditionalFormatting>
  <conditionalFormatting sqref="K92">
    <cfRule type="expression" dxfId="460" priority="46">
      <formula>AND(COUNTA($C$92:$C$95)+COUNTA($E$92:$E$95)&gt;0,COUNTIFS($N$92:$N$95,"",$C$92:$C$95,"&lt;&gt;")+COUNTIFS($N$92:$N$95,"",$E$92:$E$95,"&lt;&gt;")=0)</formula>
    </cfRule>
  </conditionalFormatting>
  <conditionalFormatting sqref="K96">
    <cfRule type="expression" dxfId="459" priority="47">
      <formula>AND(COUNTA($C$96:$C$96)+COUNTA($E$96:$E$96)&gt;0,COUNTIFS($N$96:$N$96,"",$C$96:$C$96,"&lt;&gt;")+COUNTIFS($N$96:$N$96,"",$E$96:$E$96,"&lt;&gt;")=0)</formula>
    </cfRule>
  </conditionalFormatting>
  <conditionalFormatting sqref="K97">
    <cfRule type="expression" dxfId="458" priority="48">
      <formula>AND(COUNTA($C$97:$C$97)+COUNTA($E$97:$E$97)&gt;0,COUNTIFS($N$97:$N$97,"",$C$97:$C$97,"&lt;&gt;")+COUNTIFS($N$97:$N$97,"",$E$97:$E$97,"&lt;&gt;")=0)</formula>
    </cfRule>
  </conditionalFormatting>
  <conditionalFormatting sqref="K98">
    <cfRule type="expression" dxfId="457" priority="49">
      <formula>AND(COUNTA($C$98:$C$98)+COUNTA($E$98:$E$98)&gt;0,COUNTIFS($N$98:$N$98,"",$C$98:$C$98,"&lt;&gt;")+COUNTIFS($N$98:$N$98,"",$E$98:$E$98,"&lt;&gt;")=0)</formula>
    </cfRule>
  </conditionalFormatting>
  <conditionalFormatting sqref="K99">
    <cfRule type="expression" dxfId="456" priority="50">
      <formula>AND(COUNTA($C$99:$C$99)+COUNTA($E$99:$E$99)&gt;0,COUNTIFS($N$99:$N$99,"",$C$99:$C$99,"&lt;&gt;")+COUNTIFS($N$99:$N$99,"",$E$99:$E$99,"&lt;&gt;")=0)</formula>
    </cfRule>
  </conditionalFormatting>
  <conditionalFormatting sqref="K100">
    <cfRule type="expression" dxfId="455" priority="51">
      <formula>AND(COUNTA($C$100:$C$100)+COUNTA($E$100:$E$100)&gt;0,COUNTIFS($N$100:$N$100,"",$C$100:$C$100,"&lt;&gt;")+COUNTIFS($N$100:$N$100,"",$E$100:$E$100,"&lt;&gt;")=0)</formula>
    </cfRule>
  </conditionalFormatting>
  <conditionalFormatting sqref="K101">
    <cfRule type="expression" dxfId="454" priority="52">
      <formula>AND(COUNTA($C$101:$C$125)+COUNTA($E$101:$E$125)&gt;0,COUNTIFS($N$101:$N$125,"",$C$101:$C$125,"&lt;&gt;")+COUNTIFS($N$101:$N$125,"",$E$101:$E$125,"&lt;&gt;")=0)</formula>
    </cfRule>
  </conditionalFormatting>
  <conditionalFormatting sqref="K126">
    <cfRule type="expression" dxfId="453" priority="53">
      <formula>AND(COUNTA($C$126:$C$127)+COUNTA($E$126:$E$127)&gt;0,COUNTIFS($N$126:$N$127,"",$C$126:$C$127,"&lt;&gt;")+COUNTIFS($N$126:$N$127,"",$E$126:$E$127,"&lt;&gt;")=0)</formula>
    </cfRule>
  </conditionalFormatting>
  <conditionalFormatting sqref="K128">
    <cfRule type="expression" dxfId="452" priority="54">
      <formula>AND(COUNTA($C$128:$C$128)+COUNTA($E$128:$E$128)&gt;0,COUNTIFS($N$128:$N$128,"",$C$128:$C$128,"&lt;&gt;")+COUNTIFS($N$128:$N$128,"",$E$128:$E$128,"&lt;&gt;")=0)</formula>
    </cfRule>
  </conditionalFormatting>
  <conditionalFormatting sqref="K129">
    <cfRule type="expression" dxfId="451" priority="55">
      <formula>AND(COUNTA($C$129:$C$129)+COUNTA($E$129:$E$129)&gt;0,COUNTIFS($N$129:$N$129,"",$C$129:$C$129,"&lt;&gt;")+COUNTIFS($N$129:$N$129,"",$E$129:$E$129,"&lt;&gt;")=0)</formula>
    </cfRule>
  </conditionalFormatting>
  <conditionalFormatting sqref="K130">
    <cfRule type="expression" dxfId="450" priority="56">
      <formula>AND(COUNTA($C$130:$C$131)+COUNTA($E$130:$E$131)&gt;0,COUNTIFS($N$130:$N$131,"",$C$130:$C$131,"&lt;&gt;")+COUNTIFS($N$130:$N$131,"",$E$130:$E$131,"&lt;&gt;")=0)</formula>
    </cfRule>
  </conditionalFormatting>
  <conditionalFormatting sqref="K132">
    <cfRule type="expression" dxfId="449" priority="57">
      <formula>AND(COUNTA($C$132:$C$132)+COUNTA($E$132:$E$132)&gt;0,COUNTIFS($N$132:$N$132,"",$C$132:$C$132,"&lt;&gt;")+COUNTIFS($N$132:$N$132,"",$E$132:$E$132,"&lt;&gt;")=0)</formula>
    </cfRule>
  </conditionalFormatting>
  <conditionalFormatting sqref="K133">
    <cfRule type="expression" dxfId="448" priority="58">
      <formula>AND(COUNTA($C$133:$C$133)+COUNTA($E$133:$E$133)&gt;0,COUNTIFS($N$133:$N$133,"",$C$133:$C$133,"&lt;&gt;")+COUNTIFS($N$133:$N$133,"",$E$133:$E$133,"&lt;&gt;")=0)</formula>
    </cfRule>
  </conditionalFormatting>
  <conditionalFormatting sqref="K134">
    <cfRule type="expression" dxfId="447" priority="59">
      <formula>AND(COUNTA($C$134:$C$134)+COUNTA($E$134:$E$134)&gt;0,COUNTIFS($N$134:$N$134,"",$C$134:$C$134,"&lt;&gt;")+COUNTIFS($N$134:$N$134,"",$E$134:$E$134,"&lt;&gt;")=0)</formula>
    </cfRule>
  </conditionalFormatting>
  <conditionalFormatting sqref="K135">
    <cfRule type="expression" dxfId="446" priority="60">
      <formula>AND(COUNTA($C$135:$C$135)+COUNTA($E$135:$E$135)&gt;0,COUNTIFS($N$135:$N$135,"",$C$135:$C$135,"&lt;&gt;")+COUNTIFS($N$135:$N$135,"",$E$135:$E$135,"&lt;&gt;")=0)</formula>
    </cfRule>
  </conditionalFormatting>
  <conditionalFormatting sqref="K136">
    <cfRule type="expression" dxfId="445" priority="61">
      <formula>AND(COUNTA($C$136:$C$136)+COUNTA($E$136:$E$136)&gt;0,COUNTIFS($N$136:$N$136,"",$C$136:$C$136,"&lt;&gt;")+COUNTIFS($N$136:$N$136,"",$E$136:$E$136,"&lt;&gt;")=0)</formula>
    </cfRule>
  </conditionalFormatting>
  <conditionalFormatting sqref="K137">
    <cfRule type="expression" dxfId="444" priority="62">
      <formula>AND(COUNTA($C$137:$C$161)+COUNTA($E$137:$E$161)&gt;0,COUNTIFS($N$137:$N$161,"",$C$137:$C$161,"&lt;&gt;")+COUNTIFS($N$137:$N$161,"",$E$137:$E$161,"&lt;&gt;")=0)</formula>
    </cfRule>
  </conditionalFormatting>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5C45-41E1-4C17-B360-82B657936617}">
  <sheetPr>
    <tabColor rgb="FF2F3A4A"/>
  </sheetPr>
  <dimension ref="A1:AP199"/>
  <sheetViews>
    <sheetView showGridLines="0" topLeftCell="A38" zoomScale="90" zoomScaleNormal="90" workbookViewId="0">
      <selection activeCell="P16" sqref="P16"/>
    </sheetView>
  </sheetViews>
  <sheetFormatPr defaultColWidth="8.5546875" defaultRowHeight="14.4" x14ac:dyDescent="0.3"/>
  <cols>
    <col min="1" max="1" width="32.5546875" style="64" customWidth="1"/>
    <col min="2" max="2" width="28" style="1" customWidth="1"/>
    <col min="3" max="3" width="14" style="1" customWidth="1"/>
    <col min="4" max="4" width="13" style="1" customWidth="1"/>
    <col min="5" max="5" width="10" style="1" customWidth="1"/>
    <col min="6" max="6" width="13" style="1" customWidth="1"/>
    <col min="7" max="7" width="14.6640625" style="1" customWidth="1"/>
    <col min="8" max="8" width="13" style="1" customWidth="1"/>
    <col min="9" max="9" width="16.5546875" style="1" customWidth="1"/>
    <col min="10" max="13" width="12" style="1" hidden="1" customWidth="1"/>
    <col min="14" max="14" width="14" style="1" hidden="1" customWidth="1"/>
    <col min="15" max="15" width="13" style="63" hidden="1" customWidth="1"/>
    <col min="16" max="16" width="45" style="1" hidden="1" customWidth="1"/>
    <col min="17" max="17" width="10.21875" style="588" customWidth="1"/>
    <col min="18" max="18" width="17.77734375" style="590" customWidth="1"/>
    <col min="19" max="21" width="13" style="1" customWidth="1"/>
    <col min="22" max="26" width="8.5546875" style="1"/>
    <col min="27" max="41" width="0" hidden="1" customWidth="1"/>
    <col min="42" max="42" width="0" style="1" hidden="1" customWidth="1"/>
    <col min="43" max="16384" width="8.5546875" style="1"/>
  </cols>
  <sheetData>
    <row r="1" spans="1:42" ht="21.75" customHeight="1" x14ac:dyDescent="0.3">
      <c r="A1" s="647" t="s">
        <v>168</v>
      </c>
      <c r="B1" s="647"/>
      <c r="C1" s="647"/>
      <c r="D1" s="647"/>
      <c r="E1" s="647"/>
      <c r="F1" s="647"/>
      <c r="G1" s="647"/>
      <c r="H1" s="647"/>
      <c r="I1" s="647"/>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4.25" customHeight="1" x14ac:dyDescent="0.3">
      <c r="A2" s="648" t="s">
        <v>173</v>
      </c>
      <c r="B2" s="648"/>
      <c r="C2" s="648"/>
      <c r="D2" s="648"/>
      <c r="E2" s="648"/>
      <c r="F2" s="648"/>
      <c r="G2" s="648" t="s">
        <v>174</v>
      </c>
      <c r="H2" s="648"/>
      <c r="I2" s="648"/>
      <c r="P2" s="99" t="s">
        <v>175</v>
      </c>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390">
        <v>46027</v>
      </c>
      <c r="B3" s="393" t="s">
        <v>49</v>
      </c>
      <c r="C3" s="391" t="s">
        <v>176</v>
      </c>
      <c r="D3" s="392" t="s">
        <v>177</v>
      </c>
      <c r="E3" s="392" t="s">
        <v>178</v>
      </c>
      <c r="F3" s="858" t="s">
        <v>179</v>
      </c>
      <c r="G3" s="392" t="s">
        <v>180</v>
      </c>
      <c r="H3" s="392" t="s">
        <v>181</v>
      </c>
      <c r="I3" s="392" t="s">
        <v>182</v>
      </c>
      <c r="J3" s="72"/>
      <c r="K3" s="72"/>
      <c r="L3" s="87"/>
      <c r="M3" s="72"/>
      <c r="N3" s="87"/>
      <c r="P3"/>
      <c r="Q3" s="589"/>
      <c r="R3" s="591"/>
      <c r="S3"/>
      <c r="AA3" t="s">
        <v>31</v>
      </c>
      <c r="AB3" t="s">
        <v>1423</v>
      </c>
      <c r="AD3" s="900">
        <v>180</v>
      </c>
      <c r="AH3" s="900">
        <v>400</v>
      </c>
      <c r="AL3" s="900">
        <v>600</v>
      </c>
      <c r="AO3" s="900">
        <v>100</v>
      </c>
      <c r="AP3" s="65">
        <v>600</v>
      </c>
    </row>
    <row r="4" spans="1:42" ht="21" customHeight="1" x14ac:dyDescent="0.3">
      <c r="A4" s="390"/>
      <c r="B4" s="394"/>
      <c r="C4" s="395"/>
      <c r="D4" s="396"/>
      <c r="E4" s="397"/>
      <c r="F4" s="864"/>
      <c r="G4" s="398"/>
      <c r="H4" s="399"/>
      <c r="I4" s="396"/>
      <c r="J4" s="85"/>
      <c r="L4" s="84" t="str">
        <f>IF(H4="","",H4)</f>
        <v/>
      </c>
      <c r="N4" s="83" t="str">
        <f t="shared" ref="N4:N10" si="0">IF(I4="","",I4)</f>
        <v/>
      </c>
      <c r="P4"/>
      <c r="Q4" s="589"/>
      <c r="R4" s="591"/>
      <c r="S4"/>
      <c r="AA4" t="s">
        <v>185</v>
      </c>
      <c r="AB4" t="s">
        <v>1423</v>
      </c>
      <c r="AH4" s="900">
        <v>600</v>
      </c>
      <c r="AO4" s="900">
        <v>125</v>
      </c>
    </row>
    <row r="5" spans="1:42" ht="21" customHeight="1" x14ac:dyDescent="0.3">
      <c r="A5" s="400"/>
      <c r="B5" s="394" t="s">
        <v>183</v>
      </c>
      <c r="C5" s="395">
        <v>600</v>
      </c>
      <c r="D5" s="396">
        <v>665</v>
      </c>
      <c r="E5" s="397" t="s">
        <v>184</v>
      </c>
      <c r="F5" s="864">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95</v>
      </c>
      <c r="G5" s="398">
        <f>IFERROR(ROUNDUP(D5/F5,0),"")</f>
        <v>7</v>
      </c>
      <c r="H5" s="399">
        <v>667</v>
      </c>
      <c r="I5" s="396">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8004</v>
      </c>
      <c r="J5" s="82">
        <f>IF(D5="","",ROUNDUP(D5/IF(AND(C5="600 ml",ISNUMBER(SEARCH("NORCAU",B5))),95,IF(AND(C5="600 ml",ISNUMBER(SEARCH("APURATOS",B5))),190,IF(C5="600 ml",95,IF(C5="400 ml",125,IF(C5="200 ml",330,IF(C5="180 ml",240,1)))))),0))</f>
        <v>665</v>
      </c>
      <c r="L5" s="81">
        <f>IF(H5="","",H5)</f>
        <v>667</v>
      </c>
      <c r="M5" s="70"/>
      <c r="N5" s="80">
        <f t="shared" si="0"/>
        <v>8004</v>
      </c>
      <c r="P5"/>
      <c r="Q5" s="589"/>
      <c r="R5" s="591"/>
      <c r="S5"/>
      <c r="AA5" t="s">
        <v>183</v>
      </c>
      <c r="AB5" t="s">
        <v>1423</v>
      </c>
      <c r="AO5" s="900">
        <v>180</v>
      </c>
    </row>
    <row r="6" spans="1:42" ht="21" customHeight="1" x14ac:dyDescent="0.3">
      <c r="A6" s="401"/>
      <c r="B6" s="394" t="s">
        <v>185</v>
      </c>
      <c r="C6" s="395">
        <v>600</v>
      </c>
      <c r="D6" s="396">
        <v>665</v>
      </c>
      <c r="E6" s="397" t="s">
        <v>184</v>
      </c>
      <c r="F6" s="864">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95</v>
      </c>
      <c r="G6" s="398">
        <f>IFERROR(ROUNDUP(D6/F6,0),"")</f>
        <v>7</v>
      </c>
      <c r="H6" s="399">
        <v>29</v>
      </c>
      <c r="I6" s="396">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348</v>
      </c>
      <c r="J6" s="85">
        <f>IF(D6="","",ROUNDUP(D6/IF(AND(C6="600 ml",ISNUMBER(SEARCH("NORCAU",B6))),95,IF(AND(C6="600 ml",ISNUMBER(SEARCH("APURATOS",B6))),190,IF(C6="600 ml",95,IF(C6="400 ml",125,IF(C6="200 ml",330,IF(C6="180 ml",240,1)))))),0))</f>
        <v>665</v>
      </c>
      <c r="L6" s="84">
        <f>IF(H6="","",H6)</f>
        <v>29</v>
      </c>
      <c r="M6" s="70"/>
      <c r="N6" s="83">
        <f t="shared" si="0"/>
        <v>348</v>
      </c>
      <c r="P6"/>
      <c r="Q6" s="589"/>
      <c r="R6" s="591"/>
      <c r="S6"/>
      <c r="AA6" t="s">
        <v>499</v>
      </c>
      <c r="AB6" t="s">
        <v>1423</v>
      </c>
      <c r="AO6" s="900">
        <v>200</v>
      </c>
    </row>
    <row r="7" spans="1:42" ht="21" customHeight="1" x14ac:dyDescent="0.3">
      <c r="A7" s="390"/>
      <c r="B7" s="394"/>
      <c r="C7" s="395"/>
      <c r="D7" s="396"/>
      <c r="E7" s="397" t="s">
        <v>184</v>
      </c>
      <c r="F7" s="864"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398" t="str">
        <f>IFERROR(ROUNDUP(D7/F7,0),"")</f>
        <v/>
      </c>
      <c r="H7" s="399"/>
      <c r="I7" s="396"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J7" s="82" t="str">
        <f>IF(D7="","",ROUNDUP(D7/IF(AND(C7="600 ml",ISNUMBER(SEARCH("NORCAU",B7))),95,IF(AND(C7="600 ml",ISNUMBER(SEARCH("APURATOS",B7))),190,IF(C7="600 ml",95,IF(C7="400 ml",125,IF(C7="200 ml",330,IF(C7="180 ml",240,1)))))),0))</f>
        <v/>
      </c>
      <c r="L7" s="81" t="str">
        <f>IF(H7="","",H7)</f>
        <v/>
      </c>
      <c r="N7" s="80" t="str">
        <f t="shared" si="0"/>
        <v/>
      </c>
      <c r="P7"/>
      <c r="Q7" s="589"/>
      <c r="R7" s="591"/>
      <c r="S7"/>
      <c r="AA7" t="s">
        <v>254</v>
      </c>
      <c r="AB7" t="s">
        <v>1424</v>
      </c>
      <c r="AO7" s="900">
        <v>400</v>
      </c>
    </row>
    <row r="8" spans="1:42" ht="21" customHeight="1" x14ac:dyDescent="0.3">
      <c r="A8" s="771"/>
      <c r="B8" s="772"/>
      <c r="C8" s="773"/>
      <c r="D8" s="774"/>
      <c r="E8" s="775"/>
      <c r="F8" s="865"/>
      <c r="G8" s="776"/>
      <c r="H8" s="777"/>
      <c r="I8" s="774"/>
      <c r="J8" s="85" t="str">
        <f>IF(D8="","",ROUNDUP(D8/IF(AND(C8="600 ml",ISNUMBER(SEARCH("NORCAU",B8))),95,IF(AND(C8="600 ml",ISNUMBER(SEARCH("APURATOS",B8))),190,IF(C8="600 ml",95,IF(C8="400 ml",125,IF(C8="200 ml",330,IF(C8="180 ml",240,1)))))),0))</f>
        <v/>
      </c>
      <c r="L8" s="84" t="str">
        <f>IF(H8="","",H8)</f>
        <v/>
      </c>
      <c r="N8" s="83" t="str">
        <f t="shared" si="0"/>
        <v/>
      </c>
      <c r="P8"/>
      <c r="Q8" s="589"/>
      <c r="R8" s="591"/>
      <c r="S8"/>
      <c r="AA8" t="s">
        <v>1104</v>
      </c>
      <c r="AB8" t="s">
        <v>1424</v>
      </c>
      <c r="AO8" s="900">
        <v>500</v>
      </c>
    </row>
    <row r="9" spans="1:42" ht="15" customHeight="1" x14ac:dyDescent="0.3">
      <c r="A9" s="853"/>
      <c r="B9" s="837" t="s">
        <v>186</v>
      </c>
      <c r="C9" s="838"/>
      <c r="D9" s="839">
        <f>SUM(D2:D8)</f>
        <v>1330</v>
      </c>
      <c r="E9" s="837"/>
      <c r="F9" s="854" t="s">
        <v>1400</v>
      </c>
      <c r="G9" s="840">
        <f>SUM(G2:G8)</f>
        <v>14</v>
      </c>
      <c r="H9" s="839">
        <f>SUM(H2:H8)</f>
        <v>696</v>
      </c>
      <c r="I9" s="839">
        <f>SUM(I2:I8)</f>
        <v>8352</v>
      </c>
      <c r="J9" s="98">
        <f>SUM(D4:D8)</f>
        <v>1330</v>
      </c>
      <c r="K9" s="67">
        <f>SUM(G4:G8)</f>
        <v>14</v>
      </c>
      <c r="L9" s="97">
        <f>SUM(H4:H8)</f>
        <v>696</v>
      </c>
      <c r="M9" s="67">
        <f>SUM(I4:I8)</f>
        <v>8352</v>
      </c>
      <c r="N9" s="96">
        <f t="shared" si="0"/>
        <v>8352</v>
      </c>
      <c r="O9" s="63">
        <f>SUM(N5:N8)</f>
        <v>8352</v>
      </c>
      <c r="P9"/>
      <c r="Q9" s="586" cm="1">
        <f t="array" ref="Q9">IF(H9=0,"",SUMPRODUCT(IFERROR(INT(H4:H8/F4:F8),0)))</f>
        <v>7</v>
      </c>
      <c r="R9" s="769">
        <f>IF(Q9="","",MAX(0,G9-Q9))</f>
        <v>7</v>
      </c>
      <c r="S9"/>
      <c r="AA9" t="s">
        <v>58</v>
      </c>
      <c r="AB9" t="s">
        <v>1423</v>
      </c>
      <c r="AO9" s="900">
        <v>600</v>
      </c>
    </row>
    <row r="10" spans="1:42" ht="15" customHeight="1" x14ac:dyDescent="0.3">
      <c r="A10" s="778"/>
      <c r="B10" s="779"/>
      <c r="C10" s="780"/>
      <c r="D10" s="781"/>
      <c r="E10" s="781"/>
      <c r="F10" s="781"/>
      <c r="G10" s="781"/>
      <c r="H10" s="781"/>
      <c r="I10" s="781"/>
      <c r="J10" s="1" t="str">
        <f>IF(D10="","",ROUNDUP(D10/IF(AND(C10="600 ml",ISNUMBER(SEARCH("NORCAU",B10))),95,IF(AND(C10="600 ml",ISNUMBER(SEARCH("APURATOS",B10))),190,IF(C10="600 ml",95,IF(C10="400 ml",125,IF(C10="200 ml",330,IF(C10="180 ml",240,1)))))),0))</f>
        <v/>
      </c>
      <c r="L10" s="1" t="str">
        <f>IF(H10="","",H10)</f>
        <v/>
      </c>
      <c r="N10" s="1" t="str">
        <f t="shared" si="0"/>
        <v/>
      </c>
      <c r="P10"/>
      <c r="Q10" s="589"/>
      <c r="R10" s="591"/>
      <c r="S10"/>
      <c r="AA10" t="s">
        <v>496</v>
      </c>
      <c r="AB10" t="s">
        <v>1423</v>
      </c>
    </row>
    <row r="11" spans="1:42" ht="15" customHeight="1" x14ac:dyDescent="0.3">
      <c r="A11" s="390">
        <v>46028</v>
      </c>
      <c r="B11" s="393" t="s">
        <v>49</v>
      </c>
      <c r="C11" s="391" t="s">
        <v>176</v>
      </c>
      <c r="D11" s="392" t="s">
        <v>177</v>
      </c>
      <c r="E11" s="392" t="s">
        <v>178</v>
      </c>
      <c r="F11" s="858" t="s">
        <v>179</v>
      </c>
      <c r="G11" s="392" t="s">
        <v>180</v>
      </c>
      <c r="H11" s="392" t="s">
        <v>181</v>
      </c>
      <c r="I11" s="392" t="s">
        <v>182</v>
      </c>
      <c r="J11" s="72"/>
      <c r="K11" s="72"/>
      <c r="L11" s="87"/>
      <c r="M11" s="72"/>
      <c r="N11" s="87"/>
      <c r="P11"/>
      <c r="Q11" s="589"/>
      <c r="R11" s="591"/>
      <c r="S11"/>
      <c r="AA11" t="s">
        <v>37</v>
      </c>
      <c r="AB11" t="s">
        <v>1423</v>
      </c>
    </row>
    <row r="12" spans="1:42" ht="21" customHeight="1" x14ac:dyDescent="0.3">
      <c r="A12" s="390"/>
      <c r="B12" s="394"/>
      <c r="C12" s="395"/>
      <c r="D12" s="396"/>
      <c r="E12" s="397"/>
      <c r="F12" s="864"/>
      <c r="G12" s="398"/>
      <c r="H12" s="399"/>
      <c r="I12" s="396"/>
      <c r="J12" s="85" t="str">
        <f>IF(D12="","",ROUNDUP(D12/IF(AND(C12="600 ml",ISNUMBER(SEARCH("NORCAU",B12))),95,IF(AND(C12="600 ml",ISNUMBER(SEARCH("APURATOS",B12))),190,IF(C12="600 ml",95,IF(C12="400 ml",125,IF(C12="200 ml",330,IF(C12="180 ml",240,1)))))),0))</f>
        <v/>
      </c>
      <c r="L12" s="84" t="str">
        <f>IF(H12="","",H12)</f>
        <v/>
      </c>
      <c r="N12" s="83" t="str">
        <f t="shared" ref="N12:N17" si="1">IF(I12="","",I12)</f>
        <v/>
      </c>
      <c r="P12"/>
      <c r="Q12" s="589"/>
      <c r="R12" s="591"/>
      <c r="S12"/>
      <c r="AA12" t="s">
        <v>1080</v>
      </c>
      <c r="AB12" t="s">
        <v>1423</v>
      </c>
    </row>
    <row r="13" spans="1:42" ht="21" customHeight="1" x14ac:dyDescent="0.3">
      <c r="A13" s="400"/>
      <c r="B13" s="394" t="s">
        <v>185</v>
      </c>
      <c r="C13" s="395">
        <v>600</v>
      </c>
      <c r="D13" s="396">
        <f>D6-L6</f>
        <v>636</v>
      </c>
      <c r="E13" s="397" t="s">
        <v>184</v>
      </c>
      <c r="F13" s="864">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95</v>
      </c>
      <c r="G13" s="398">
        <f>IFERROR(ROUNDUP(D13/F13,0),"")</f>
        <v>7</v>
      </c>
      <c r="H13" s="399">
        <v>156</v>
      </c>
      <c r="I13" s="396">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1872</v>
      </c>
      <c r="J13" s="82">
        <f>IF(D13="","",ROUNDUP(D13/IF(AND(C13="600 ml",ISNUMBER(SEARCH("NORCAU",B13))),95,IF(AND(C13="600 ml",ISNUMBER(SEARCH("APURATOS",B13))),190,IF(C13="600 ml",95,IF(C13="400 ml",125,IF(C13="200 ml",330,IF(C13="180 ml",240,1)))))),0))</f>
        <v>636</v>
      </c>
      <c r="L13" s="81">
        <f>IF(H13="","",H13)</f>
        <v>156</v>
      </c>
      <c r="M13" s="70"/>
      <c r="N13" s="80">
        <f t="shared" si="1"/>
        <v>1872</v>
      </c>
      <c r="P13"/>
      <c r="Q13" s="589"/>
      <c r="R13" s="591"/>
      <c r="S13"/>
      <c r="AA13" t="s">
        <v>489</v>
      </c>
      <c r="AB13" t="s">
        <v>1423</v>
      </c>
    </row>
    <row r="14" spans="1:42" ht="21" customHeight="1" x14ac:dyDescent="0.3">
      <c r="A14" s="401"/>
      <c r="B14" s="394"/>
      <c r="C14" s="395"/>
      <c r="D14" s="396"/>
      <c r="E14" s="397" t="s">
        <v>184</v>
      </c>
      <c r="F14" s="864"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398" t="str">
        <f>IFERROR(ROUNDUP(D14/F14,0),"")</f>
        <v/>
      </c>
      <c r="H14" s="399"/>
      <c r="I14" s="396"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J14" s="85" t="str">
        <f>IF(D14="","",ROUNDUP(D14/IF(AND(C14="600 ml",ISNUMBER(SEARCH("NORCAU",B14))),95,IF(AND(C14="600 ml",ISNUMBER(SEARCH("APURATOS",B14))),190,IF(C14="600 ml",95,IF(C14="400 ml",125,IF(C14="200 ml",330,IF(C14="180 ml",240,1)))))),0))</f>
        <v/>
      </c>
      <c r="L14" s="84" t="str">
        <f>IF(H14="","",H14)</f>
        <v/>
      </c>
      <c r="M14" s="70"/>
      <c r="N14" s="83" t="str">
        <f t="shared" si="1"/>
        <v/>
      </c>
      <c r="P14"/>
      <c r="Q14" s="589"/>
      <c r="R14" s="591"/>
      <c r="S14"/>
      <c r="AA14" t="s">
        <v>43</v>
      </c>
      <c r="AB14" t="s">
        <v>1425</v>
      </c>
    </row>
    <row r="15" spans="1:42" ht="21" customHeight="1" x14ac:dyDescent="0.3">
      <c r="A15" s="771"/>
      <c r="B15" s="772"/>
      <c r="C15" s="773"/>
      <c r="D15" s="774"/>
      <c r="E15" s="775"/>
      <c r="F15" s="865"/>
      <c r="G15" s="776"/>
      <c r="H15" s="777"/>
      <c r="I15" s="774"/>
      <c r="J15" s="82" t="str">
        <f>IF(D15="","",ROUNDUP(D15/IF(AND(C15="600 ml",ISNUMBER(SEARCH("NORCAU",B15))),95,IF(AND(C15="600 ml",ISNUMBER(SEARCH("APURATOS",B15))),190,IF(C15="600 ml",95,IF(C15="400 ml",125,IF(C15="200 ml",330,IF(C15="180 ml",240,1)))))),0))</f>
        <v/>
      </c>
      <c r="L15" s="81" t="str">
        <f>IF(H15="","",H15)</f>
        <v/>
      </c>
      <c r="N15" s="80" t="str">
        <f t="shared" si="1"/>
        <v/>
      </c>
      <c r="P15"/>
      <c r="Q15" s="589"/>
      <c r="R15" s="591"/>
      <c r="S15"/>
      <c r="AA15" t="s">
        <v>1224</v>
      </c>
      <c r="AB15" t="s">
        <v>1426</v>
      </c>
    </row>
    <row r="16" spans="1:42" ht="15" customHeight="1" x14ac:dyDescent="0.3">
      <c r="A16" s="853"/>
      <c r="B16" s="837" t="s">
        <v>186</v>
      </c>
      <c r="C16" s="838"/>
      <c r="D16" s="839">
        <f>SUM(D9:D15)</f>
        <v>1966</v>
      </c>
      <c r="E16" s="837"/>
      <c r="F16" s="854" t="s">
        <v>1400</v>
      </c>
      <c r="G16" s="840">
        <f>SUM(G9:G15)</f>
        <v>21</v>
      </c>
      <c r="H16" s="839">
        <f>SUM(H9:H15)</f>
        <v>852</v>
      </c>
      <c r="I16" s="839">
        <f>SUM(I9:I15)</f>
        <v>10224</v>
      </c>
      <c r="J16" s="85">
        <f>SUM(D12:D15)</f>
        <v>636</v>
      </c>
      <c r="K16" s="1">
        <f>SUM(G12:G15)</f>
        <v>7</v>
      </c>
      <c r="L16" s="84">
        <f>SUM(H12:H15)</f>
        <v>156</v>
      </c>
      <c r="M16" s="1">
        <f>SUM(I12:I15)</f>
        <v>1872</v>
      </c>
      <c r="N16" s="83">
        <f t="shared" si="1"/>
        <v>10224</v>
      </c>
      <c r="O16" s="63">
        <f>SUM(N13:N15)</f>
        <v>1872</v>
      </c>
      <c r="P16"/>
      <c r="Q16" s="586" cm="1">
        <f t="array" ref="Q16">IF(H16=0,"",SUMPRODUCT(IFERROR(INT(H12:H15/F12:F15),0)))</f>
        <v>1</v>
      </c>
      <c r="R16" s="769">
        <f>IF(Q16="","",MAX(0,G16-Q16))</f>
        <v>20</v>
      </c>
      <c r="S16"/>
      <c r="AA16" t="s">
        <v>1014</v>
      </c>
      <c r="AB16" t="s">
        <v>1425</v>
      </c>
    </row>
    <row r="17" spans="1:28" ht="15" customHeight="1" x14ac:dyDescent="0.3">
      <c r="A17" s="782"/>
      <c r="B17" s="783"/>
      <c r="C17" s="784"/>
      <c r="D17" s="785"/>
      <c r="E17" s="786"/>
      <c r="F17" s="787"/>
      <c r="G17" s="788"/>
      <c r="H17" s="785"/>
      <c r="I17" s="785"/>
      <c r="J17" s="98" t="str">
        <f>IF(D17="","",ROUNDUP(D17/IF(AND(C17="600 ml",ISNUMBER(SEARCH("NORCAU",B17))),95,IF(AND(C17="600 ml",ISNUMBER(SEARCH("APURATOS",B17))),190,IF(C17="600 ml",95,IF(C17="400 ml",125,IF(C17="200 ml",330,IF(C17="180 ml",240,1)))))),0))</f>
        <v/>
      </c>
      <c r="K17" s="67"/>
      <c r="L17" s="97" t="str">
        <f>IF(H17="","",H17)</f>
        <v/>
      </c>
      <c r="M17" s="67"/>
      <c r="N17" s="96" t="str">
        <f t="shared" si="1"/>
        <v/>
      </c>
      <c r="P17"/>
      <c r="Q17" s="589"/>
      <c r="R17" s="591"/>
      <c r="S17"/>
      <c r="AA17" t="s">
        <v>236</v>
      </c>
      <c r="AB17" t="s">
        <v>1425</v>
      </c>
    </row>
    <row r="18" spans="1:28" ht="15" customHeight="1" x14ac:dyDescent="0.3">
      <c r="A18" s="390">
        <v>46029</v>
      </c>
      <c r="B18" s="393" t="s">
        <v>49</v>
      </c>
      <c r="C18" s="391" t="s">
        <v>176</v>
      </c>
      <c r="D18" s="392" t="s">
        <v>177</v>
      </c>
      <c r="E18" s="392" t="s">
        <v>178</v>
      </c>
      <c r="F18" s="858" t="s">
        <v>179</v>
      </c>
      <c r="G18" s="392" t="s">
        <v>180</v>
      </c>
      <c r="H18" s="392" t="s">
        <v>181</v>
      </c>
      <c r="I18" s="392" t="s">
        <v>182</v>
      </c>
      <c r="P18"/>
      <c r="Q18" s="589"/>
      <c r="R18" s="591"/>
      <c r="S18"/>
      <c r="AA18" t="s">
        <v>593</v>
      </c>
      <c r="AB18" t="s">
        <v>1426</v>
      </c>
    </row>
    <row r="19" spans="1:28" ht="21" customHeight="1" x14ac:dyDescent="0.3">
      <c r="A19" s="390"/>
      <c r="B19" s="394"/>
      <c r="C19" s="395"/>
      <c r="D19" s="396"/>
      <c r="E19" s="397"/>
      <c r="F19" s="864"/>
      <c r="G19" s="398"/>
      <c r="H19" s="399"/>
      <c r="I19" s="396"/>
      <c r="J19" s="72" t="str">
        <f>IF(D19="","",ROUNDUP(D19/IF(AND(C19="600 ml",ISNUMBER(SEARCH("NORCAU",B19))),95,IF(AND(C19="600 ml",ISNUMBER(SEARCH("APURATOS",B19))),190,IF(C19="600 ml",95,IF(C19="400 ml",125,IF(C19="200 ml",330,IF(C19="180 ml",240,1)))))),0))</f>
        <v/>
      </c>
      <c r="K19" s="72"/>
      <c r="L19" s="87" t="str">
        <f>IF(H19="","",H19)</f>
        <v/>
      </c>
      <c r="M19" s="72"/>
      <c r="N19" s="87" t="str">
        <f t="shared" ref="N19:N25" si="2">IF(I19="","",I19)</f>
        <v/>
      </c>
      <c r="P19"/>
      <c r="Q19" s="589"/>
      <c r="R19" s="591"/>
      <c r="S19"/>
      <c r="AA19" t="s">
        <v>139</v>
      </c>
      <c r="AB19" t="s">
        <v>1425</v>
      </c>
    </row>
    <row r="20" spans="1:28" ht="21" customHeight="1" x14ac:dyDescent="0.3">
      <c r="A20" s="390"/>
      <c r="B20" s="394" t="s">
        <v>31</v>
      </c>
      <c r="C20" s="395">
        <v>600</v>
      </c>
      <c r="D20" s="396">
        <f>D13-L13</f>
        <v>480</v>
      </c>
      <c r="E20" s="397" t="s">
        <v>184</v>
      </c>
      <c r="F20" s="864">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95</v>
      </c>
      <c r="G20" s="398">
        <f>IFERROR(ROUNDUP(D20/F20,0),"")</f>
        <v>6</v>
      </c>
      <c r="H20" s="399">
        <v>494</v>
      </c>
      <c r="I20" s="396">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5928</v>
      </c>
      <c r="J20" s="85">
        <f>IF(D20="","",ROUNDUP(D20/IF(AND(C20="600 ml",ISNUMBER(SEARCH("NORCAU",B20))),95,IF(AND(C20="600 ml",ISNUMBER(SEARCH("APURATOS",B20))),190,IF(C20="600 ml",95,IF(C20="400 ml",125,IF(C20="200 ml",330,IF(C20="180 ml",240,1)))))),0))</f>
        <v>480</v>
      </c>
      <c r="L20" s="84">
        <f>IF(H20="","",H20)</f>
        <v>494</v>
      </c>
      <c r="N20" s="83">
        <f t="shared" si="2"/>
        <v>5928</v>
      </c>
      <c r="P20"/>
      <c r="Q20" s="589"/>
      <c r="R20" s="591"/>
      <c r="S20"/>
      <c r="AA20" t="s">
        <v>189</v>
      </c>
      <c r="AB20" t="s">
        <v>1425</v>
      </c>
    </row>
    <row r="21" spans="1:28" ht="21" customHeight="1" x14ac:dyDescent="0.3">
      <c r="A21" s="400"/>
      <c r="B21" s="394" t="s">
        <v>25</v>
      </c>
      <c r="C21" s="395">
        <v>600</v>
      </c>
      <c r="D21" s="396">
        <v>1348</v>
      </c>
      <c r="E21" s="397" t="s">
        <v>184</v>
      </c>
      <c r="F21" s="864">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95</v>
      </c>
      <c r="G21" s="398">
        <f>IFERROR(ROUNDUP(D21/F21,0),"")</f>
        <v>15</v>
      </c>
      <c r="H21" s="399">
        <v>509</v>
      </c>
      <c r="I21" s="396">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6108</v>
      </c>
      <c r="J21" s="82">
        <f>IF(D21="","",ROUNDUP(D21/IF(AND(C21="600 ml",ISNUMBER(SEARCH("NORCAU",B21))),95,IF(AND(C21="600 ml",ISNUMBER(SEARCH("APURATOS",B21))),190,IF(C21="600 ml",95,IF(C21="400 ml",125,IF(C21="200 ml",330,IF(C21="180 ml",240,1)))))),0))</f>
        <v>1348</v>
      </c>
      <c r="L21" s="81">
        <f>IF(H21="","",H21)</f>
        <v>509</v>
      </c>
      <c r="M21" s="70"/>
      <c r="N21" s="80">
        <f t="shared" si="2"/>
        <v>6108</v>
      </c>
      <c r="P21"/>
      <c r="Q21" s="589"/>
      <c r="R21" s="591"/>
      <c r="S21"/>
      <c r="AA21" t="s">
        <v>403</v>
      </c>
      <c r="AB21" t="s">
        <v>1425</v>
      </c>
    </row>
    <row r="22" spans="1:28" ht="21" customHeight="1" x14ac:dyDescent="0.3">
      <c r="A22" s="401"/>
      <c r="B22" s="394"/>
      <c r="C22" s="395"/>
      <c r="D22" s="396"/>
      <c r="E22" s="397" t="s">
        <v>184</v>
      </c>
      <c r="F22" s="864"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398" t="str">
        <f>IFERROR(ROUNDUP(D22/F22,0),"")</f>
        <v/>
      </c>
      <c r="H22" s="399"/>
      <c r="I22" s="396"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J22" s="85" t="str">
        <f>IF(D22="","",ROUNDUP(D22/IF(AND(C22="600 ml",ISNUMBER(SEARCH("NORCAU",B22))),95,IF(AND(C22="600 ml",ISNUMBER(SEARCH("APURATOS",B22))),190,IF(C22="600 ml",95,IF(C22="400 ml",125,IF(C22="200 ml",330,IF(C22="180 ml",240,1)))))),0))</f>
        <v/>
      </c>
      <c r="L22" s="84" t="str">
        <f>IF(H22="","",H22)</f>
        <v/>
      </c>
      <c r="M22" s="70"/>
      <c r="N22" s="83" t="str">
        <f t="shared" si="2"/>
        <v/>
      </c>
      <c r="P22"/>
      <c r="Q22" s="589"/>
      <c r="R22" s="591"/>
      <c r="S22"/>
      <c r="AA22" t="s">
        <v>553</v>
      </c>
      <c r="AB22" t="s">
        <v>1423</v>
      </c>
    </row>
    <row r="23" spans="1:28" ht="21" customHeight="1" x14ac:dyDescent="0.3">
      <c r="A23" s="771"/>
      <c r="B23" s="772"/>
      <c r="C23" s="773"/>
      <c r="D23" s="774"/>
      <c r="E23" s="775"/>
      <c r="F23" s="865"/>
      <c r="G23" s="776"/>
      <c r="H23" s="777"/>
      <c r="I23" s="774"/>
      <c r="J23" s="82" t="str">
        <f>IF(D23="","",ROUNDUP(D23/IF(AND(C23="600 ml",ISNUMBER(SEARCH("NORCAU",B23))),95,IF(AND(C23="600 ml",ISNUMBER(SEARCH("APURATOS",B23))),190,IF(C23="600 ml",95,IF(C23="400 ml",125,IF(C23="200 ml",330,IF(C23="180 ml",240,1)))))),0))</f>
        <v/>
      </c>
      <c r="L23" s="81" t="str">
        <f>IF(H23="","",H23)</f>
        <v/>
      </c>
      <c r="N23" s="80" t="str">
        <f t="shared" si="2"/>
        <v/>
      </c>
      <c r="P23"/>
      <c r="Q23" s="589"/>
      <c r="R23" s="591"/>
      <c r="S23"/>
      <c r="AA23" t="s">
        <v>1205</v>
      </c>
      <c r="AB23" t="s">
        <v>1426</v>
      </c>
    </row>
    <row r="24" spans="1:28" ht="15" customHeight="1" x14ac:dyDescent="0.3">
      <c r="A24" s="853"/>
      <c r="B24" s="837" t="s">
        <v>186</v>
      </c>
      <c r="C24" s="838"/>
      <c r="D24" s="839">
        <f>SUM(D17:D23)</f>
        <v>1828</v>
      </c>
      <c r="E24" s="837"/>
      <c r="F24" s="854" t="s">
        <v>1400</v>
      </c>
      <c r="G24" s="840">
        <f>SUM(G17:G23)</f>
        <v>21</v>
      </c>
      <c r="H24" s="839">
        <f>SUM(H17:H23)</f>
        <v>1003</v>
      </c>
      <c r="I24" s="839">
        <f>SUM(I17:I23)</f>
        <v>12036</v>
      </c>
      <c r="J24" s="85">
        <f>SUM(D19:D23)</f>
        <v>1828</v>
      </c>
      <c r="K24" s="1">
        <f>SUM(G19:G23)</f>
        <v>21</v>
      </c>
      <c r="L24" s="84">
        <f>SUM(H19:H23)</f>
        <v>1003</v>
      </c>
      <c r="M24" s="1">
        <f>SUM(I19:I23)</f>
        <v>12036</v>
      </c>
      <c r="N24" s="83">
        <f t="shared" si="2"/>
        <v>12036</v>
      </c>
      <c r="O24" s="63">
        <f>SUM(N20:N23)</f>
        <v>12036</v>
      </c>
      <c r="P24"/>
      <c r="Q24" s="586" cm="1">
        <f t="array" ref="Q24">IF(H24=0,"",SUMPRODUCT(IFERROR(INT(H19:H23/F19:F23),0)))</f>
        <v>10</v>
      </c>
      <c r="R24" s="769">
        <f>IF(Q24="","",MAX(0,G24-Q24))</f>
        <v>11</v>
      </c>
      <c r="S24"/>
      <c r="AA24" t="s">
        <v>1165</v>
      </c>
      <c r="AB24" t="s">
        <v>1426</v>
      </c>
    </row>
    <row r="25" spans="1:28" ht="15" customHeight="1" x14ac:dyDescent="0.3">
      <c r="A25" s="782"/>
      <c r="B25" s="783"/>
      <c r="C25" s="784"/>
      <c r="D25" s="785"/>
      <c r="E25" s="786"/>
      <c r="F25" s="787"/>
      <c r="G25" s="788"/>
      <c r="H25" s="785"/>
      <c r="I25" s="785"/>
      <c r="J25" s="98" t="str">
        <f>IF(D25="","",ROUNDUP(D25/IF(AND(C25="600 ml",ISNUMBER(SEARCH("NORCAU",B25))),95,IF(AND(C25="600 ml",ISNUMBER(SEARCH("APURATOS",B25))),190,IF(C25="600 ml",95,IF(C25="400 ml",125,IF(C25="200 ml",330,IF(C25="180 ml",240,1)))))),0))</f>
        <v/>
      </c>
      <c r="K25" s="67"/>
      <c r="L25" s="97" t="str">
        <f>IF(H25="","",H25)</f>
        <v/>
      </c>
      <c r="M25" s="67"/>
      <c r="N25" s="96" t="str">
        <f t="shared" si="2"/>
        <v/>
      </c>
      <c r="P25"/>
      <c r="Q25" s="589"/>
      <c r="R25" s="591"/>
      <c r="S25"/>
      <c r="AA25" t="s">
        <v>1159</v>
      </c>
      <c r="AB25" t="s">
        <v>1423</v>
      </c>
    </row>
    <row r="26" spans="1:28" ht="15" customHeight="1" x14ac:dyDescent="0.3">
      <c r="A26" s="390">
        <v>46030</v>
      </c>
      <c r="B26" s="393" t="s">
        <v>49</v>
      </c>
      <c r="C26" s="391" t="s">
        <v>176</v>
      </c>
      <c r="D26" s="392" t="s">
        <v>177</v>
      </c>
      <c r="E26" s="392" t="s">
        <v>178</v>
      </c>
      <c r="F26" s="858" t="s">
        <v>179</v>
      </c>
      <c r="G26" s="392" t="s">
        <v>180</v>
      </c>
      <c r="H26" s="392" t="s">
        <v>181</v>
      </c>
      <c r="I26" s="392" t="s">
        <v>182</v>
      </c>
      <c r="P26"/>
      <c r="Q26" s="589"/>
      <c r="R26" s="591"/>
      <c r="S26"/>
      <c r="AA26" t="s">
        <v>287</v>
      </c>
      <c r="AB26" t="s">
        <v>1427</v>
      </c>
    </row>
    <row r="27" spans="1:28" ht="21" customHeight="1" x14ac:dyDescent="0.3">
      <c r="A27" s="390"/>
      <c r="B27" s="394"/>
      <c r="C27" s="395"/>
      <c r="D27" s="396"/>
      <c r="E27" s="397"/>
      <c r="F27" s="864"/>
      <c r="G27" s="398"/>
      <c r="H27" s="399"/>
      <c r="I27" s="396"/>
      <c r="J27" s="72" t="str">
        <f>IF(D27="","",ROUNDUP(D27/IF(AND(C27="600 ml",ISNUMBER(SEARCH("NORCAU",B27))),95,IF(AND(C27="600 ml",ISNUMBER(SEARCH("APURATOS",B27))),190,IF(C27="600 ml",95,IF(C27="400 ml",125,IF(C27="200 ml",330,IF(C27="180 ml",240,1)))))),0))</f>
        <v/>
      </c>
      <c r="K27" s="72"/>
      <c r="L27" s="87" t="str">
        <f>IF(H27="","",H27)</f>
        <v/>
      </c>
      <c r="M27" s="72"/>
      <c r="N27" s="87" t="str">
        <f t="shared" ref="N27:N33" si="3">IF(I27="","",I27)</f>
        <v/>
      </c>
      <c r="P27"/>
      <c r="Q27" s="589"/>
      <c r="R27" s="591"/>
      <c r="S27"/>
      <c r="AA27" t="s">
        <v>996</v>
      </c>
      <c r="AB27" t="s">
        <v>1426</v>
      </c>
    </row>
    <row r="28" spans="1:28" ht="21" customHeight="1" x14ac:dyDescent="0.3">
      <c r="A28" s="390"/>
      <c r="B28" s="394" t="s">
        <v>25</v>
      </c>
      <c r="C28" s="395">
        <v>600</v>
      </c>
      <c r="D28" s="396">
        <f>D21-L21</f>
        <v>839</v>
      </c>
      <c r="E28" s="397" t="s">
        <v>184</v>
      </c>
      <c r="F28" s="864">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95</v>
      </c>
      <c r="G28" s="398">
        <f>IFERROR(ROUNDUP(D28/F28,0),"")</f>
        <v>9</v>
      </c>
      <c r="H28" s="399">
        <v>821</v>
      </c>
      <c r="I28" s="396">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9852</v>
      </c>
      <c r="J28" s="85">
        <f>IF(D28="","",ROUNDUP(D28/IF(AND(C28="600 ml",ISNUMBER(SEARCH("NORCAU",B28))),95,IF(AND(C28="600 ml",ISNUMBER(SEARCH("APURATOS",B28))),190,IF(C28="600 ml",95,IF(C28="400 ml",125,IF(C28="200 ml",330,IF(C28="180 ml",240,1)))))),0))</f>
        <v>839</v>
      </c>
      <c r="L28" s="84">
        <f>IF(H28="","",H28)</f>
        <v>821</v>
      </c>
      <c r="N28" s="83">
        <f t="shared" si="3"/>
        <v>9852</v>
      </c>
      <c r="P28"/>
      <c r="Q28" s="589"/>
      <c r="R28" s="591"/>
      <c r="S28"/>
      <c r="AA28" t="s">
        <v>288</v>
      </c>
      <c r="AB28" t="s">
        <v>1426</v>
      </c>
    </row>
    <row r="29" spans="1:28" ht="21" customHeight="1" x14ac:dyDescent="0.3">
      <c r="A29" s="400"/>
      <c r="B29" s="394"/>
      <c r="C29" s="395"/>
      <c r="D29" s="396"/>
      <c r="E29" s="397" t="s">
        <v>184</v>
      </c>
      <c r="F29" s="864"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398" t="str">
        <f>IFERROR(ROUNDUP(D29/F29,0),"")</f>
        <v/>
      </c>
      <c r="H29" s="399"/>
      <c r="I29" s="396"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J29" s="82" t="str">
        <f>IF(D29="","",ROUNDUP(D29/IF(AND(C29="600 ml",ISNUMBER(SEARCH("NORCAU",B29))),95,IF(AND(C29="600 ml",ISNUMBER(SEARCH("APURATOS",B29))),190,IF(C29="600 ml",95,IF(C29="400 ml",125,IF(C29="200 ml",330,IF(C29="180 ml",240,1)))))),0))</f>
        <v/>
      </c>
      <c r="L29" s="81" t="str">
        <f>IF(H29="","",H29)</f>
        <v/>
      </c>
      <c r="M29" s="70"/>
      <c r="N29" s="80" t="str">
        <f t="shared" si="3"/>
        <v/>
      </c>
      <c r="P29"/>
      <c r="Q29" s="589"/>
      <c r="R29" s="591"/>
      <c r="S29"/>
      <c r="AA29" t="s">
        <v>93</v>
      </c>
      <c r="AB29" t="s">
        <v>1428</v>
      </c>
    </row>
    <row r="30" spans="1:28" ht="21" customHeight="1" x14ac:dyDescent="0.3">
      <c r="A30" s="401"/>
      <c r="B30" s="394"/>
      <c r="C30" s="395"/>
      <c r="D30" s="396"/>
      <c r="E30" s="397" t="s">
        <v>184</v>
      </c>
      <c r="F30" s="864"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398" t="str">
        <f>IFERROR(ROUNDUP(D30/F30,0),"")</f>
        <v/>
      </c>
      <c r="H30" s="399"/>
      <c r="I30" s="396"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J30" s="85" t="str">
        <f>IF(D30="","",ROUNDUP(D30/IF(AND(C30="600 ml",ISNUMBER(SEARCH("NORCAU",B30))),95,IF(AND(C30="600 ml",ISNUMBER(SEARCH("APURATOS",B30))),190,IF(C30="600 ml",95,IF(C30="400 ml",125,IF(C30="200 ml",330,IF(C30="180 ml",240,1)))))),0))</f>
        <v/>
      </c>
      <c r="L30" s="84" t="str">
        <f>IF(H30="","",H30)</f>
        <v/>
      </c>
      <c r="M30" s="70"/>
      <c r="N30" s="83" t="str">
        <f t="shared" si="3"/>
        <v/>
      </c>
      <c r="P30"/>
      <c r="Q30" s="589"/>
      <c r="R30" s="591"/>
      <c r="S30"/>
      <c r="AA30" t="s">
        <v>406</v>
      </c>
      <c r="AB30" t="s">
        <v>1428</v>
      </c>
    </row>
    <row r="31" spans="1:28" ht="21" customHeight="1" x14ac:dyDescent="0.3">
      <c r="A31" s="771"/>
      <c r="B31" s="772"/>
      <c r="C31" s="773"/>
      <c r="D31" s="774"/>
      <c r="E31" s="775"/>
      <c r="F31" s="865"/>
      <c r="G31" s="776"/>
      <c r="H31" s="777"/>
      <c r="I31" s="774"/>
      <c r="J31" s="82" t="str">
        <f>IF(D31="","",ROUNDUP(D31/IF(AND(C31="600 ml",ISNUMBER(SEARCH("NORCAU",B31))),95,IF(AND(C31="600 ml",ISNUMBER(SEARCH("APURATOS",B31))),190,IF(C31="600 ml",95,IF(C31="400 ml",125,IF(C31="200 ml",330,IF(C31="180 ml",240,1)))))),0))</f>
        <v/>
      </c>
      <c r="L31" s="81" t="str">
        <f>IF(H31="","",H31)</f>
        <v/>
      </c>
      <c r="M31" s="70"/>
      <c r="N31" s="80" t="str">
        <f t="shared" si="3"/>
        <v/>
      </c>
      <c r="P31"/>
      <c r="Q31" s="589"/>
      <c r="R31" s="591"/>
      <c r="S31"/>
      <c r="AA31" t="s">
        <v>407</v>
      </c>
      <c r="AB31" t="s">
        <v>1428</v>
      </c>
    </row>
    <row r="32" spans="1:28" ht="15" customHeight="1" x14ac:dyDescent="0.3">
      <c r="A32" s="853"/>
      <c r="B32" s="837" t="s">
        <v>186</v>
      </c>
      <c r="C32" s="838"/>
      <c r="D32" s="839">
        <f>SUM(D25:D31)</f>
        <v>839</v>
      </c>
      <c r="E32" s="837"/>
      <c r="F32" s="854" t="s">
        <v>1400</v>
      </c>
      <c r="G32" s="840">
        <f>SUM(G25:G31)</f>
        <v>9</v>
      </c>
      <c r="H32" s="839">
        <f>SUM(H25:H31)</f>
        <v>821</v>
      </c>
      <c r="I32" s="839">
        <f>SUM(I25:I31)</f>
        <v>9852</v>
      </c>
      <c r="J32" s="85">
        <f>SUM(D27:D31)</f>
        <v>839</v>
      </c>
      <c r="K32" s="1">
        <f>SUM(G27:G31)</f>
        <v>9</v>
      </c>
      <c r="L32" s="84">
        <f>SUM(H27:H31)</f>
        <v>821</v>
      </c>
      <c r="M32" s="70">
        <f>SUM(I27:I31)</f>
        <v>9852</v>
      </c>
      <c r="N32" s="83">
        <f t="shared" si="3"/>
        <v>9852</v>
      </c>
      <c r="O32" s="63">
        <f>SUM(N28:N31)</f>
        <v>9852</v>
      </c>
      <c r="P32"/>
      <c r="Q32" s="586" cm="1">
        <f t="array" ref="Q32">IF(H32=0,"",SUMPRODUCT(IFERROR(INT(H27:H31/F27:F31),0)))</f>
        <v>8</v>
      </c>
      <c r="R32" s="769">
        <f>IF(Q32="","",MAX(0,G32-Q32))</f>
        <v>1</v>
      </c>
      <c r="S32"/>
      <c r="AA32" t="s">
        <v>95</v>
      </c>
      <c r="AB32" t="s">
        <v>1428</v>
      </c>
    </row>
    <row r="33" spans="1:28" ht="15" customHeight="1" x14ac:dyDescent="0.3">
      <c r="A33" s="782"/>
      <c r="B33" s="779"/>
      <c r="C33" s="789"/>
      <c r="D33" s="790"/>
      <c r="E33" s="791"/>
      <c r="F33" s="781"/>
      <c r="G33" s="792"/>
      <c r="H33" s="793"/>
      <c r="I33" s="790"/>
      <c r="J33" s="82" t="str">
        <f>IF(D33="","",ROUNDUP(D33/IF(AND(C33="600 ml",ISNUMBER(SEARCH("NORCAU",B33))),95,IF(AND(C33="600 ml",ISNUMBER(SEARCH("APURATOS",B33))),190,IF(C33="600 ml",95,IF(C33="400 ml",125,IF(C33="200 ml",330,IF(C33="180 ml",240,1)))))),0))</f>
        <v/>
      </c>
      <c r="L33" s="81" t="str">
        <f>IF(H33="","",H33)</f>
        <v/>
      </c>
      <c r="N33" s="80" t="str">
        <f t="shared" si="3"/>
        <v/>
      </c>
      <c r="P33"/>
      <c r="Q33" s="589"/>
      <c r="R33" s="591"/>
      <c r="S33"/>
      <c r="AA33" t="s">
        <v>471</v>
      </c>
      <c r="AB33" t="s">
        <v>1428</v>
      </c>
    </row>
    <row r="34" spans="1:28" ht="15" customHeight="1" x14ac:dyDescent="0.3">
      <c r="A34" s="390">
        <v>46031</v>
      </c>
      <c r="B34" s="393" t="s">
        <v>49</v>
      </c>
      <c r="C34" s="391" t="s">
        <v>176</v>
      </c>
      <c r="D34" s="392" t="s">
        <v>177</v>
      </c>
      <c r="E34" s="392" t="s">
        <v>178</v>
      </c>
      <c r="F34" s="858" t="s">
        <v>179</v>
      </c>
      <c r="G34" s="392" t="s">
        <v>180</v>
      </c>
      <c r="H34" s="392" t="s">
        <v>181</v>
      </c>
      <c r="I34" s="392" t="s">
        <v>182</v>
      </c>
      <c r="L34" s="70"/>
      <c r="N34" s="69"/>
      <c r="P34"/>
      <c r="Q34" s="589"/>
      <c r="R34" s="591"/>
      <c r="S34"/>
      <c r="AA34" t="s">
        <v>292</v>
      </c>
      <c r="AB34" t="s">
        <v>1428</v>
      </c>
    </row>
    <row r="35" spans="1:28" ht="21" customHeight="1" x14ac:dyDescent="0.3">
      <c r="A35" s="390"/>
      <c r="B35" s="394"/>
      <c r="C35" s="395"/>
      <c r="D35" s="396"/>
      <c r="E35" s="397"/>
      <c r="F35" s="864"/>
      <c r="G35" s="398"/>
      <c r="H35" s="399"/>
      <c r="I35" s="396"/>
      <c r="J35" s="67" t="str">
        <f t="shared" ref="J35:J40" si="4">IF(D35="","",ROUNDUP(D35/IF(AND(C35="600 ml",ISNUMBER(SEARCH("NORCAU",B35))),95,IF(AND(C35="600 ml",ISNUMBER(SEARCH("APURATOS",B35))),190,IF(C35="600 ml",95,IF(C35="400 ml",125,IF(C35="200 ml",330,IF(C35="180 ml",240,1)))))),0))</f>
        <v/>
      </c>
      <c r="K35" s="67"/>
      <c r="L35" s="89" t="str">
        <f t="shared" ref="L35:L40" si="5">IF(H35="","",H35)</f>
        <v/>
      </c>
      <c r="M35" s="67"/>
      <c r="N35" s="88" t="str">
        <f t="shared" ref="N35:N42" si="6">IF(I35="","",I35)</f>
        <v/>
      </c>
      <c r="P35"/>
      <c r="Q35" s="589"/>
      <c r="R35" s="591"/>
      <c r="S35"/>
      <c r="AA35" t="s">
        <v>1193</v>
      </c>
      <c r="AB35" t="s">
        <v>1428</v>
      </c>
    </row>
    <row r="36" spans="1:28" ht="21" customHeight="1" x14ac:dyDescent="0.3">
      <c r="A36" s="401"/>
      <c r="B36" s="394" t="s">
        <v>25</v>
      </c>
      <c r="C36" s="395">
        <v>600</v>
      </c>
      <c r="D36" s="396">
        <f>D28-L28</f>
        <v>18</v>
      </c>
      <c r="E36" s="397" t="s">
        <v>184</v>
      </c>
      <c r="F36" s="864">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95</v>
      </c>
      <c r="G36" s="398">
        <f>IFERROR(ROUNDUP(D36/F36,0),"")</f>
        <v>1</v>
      </c>
      <c r="H36" s="399">
        <v>13</v>
      </c>
      <c r="I36" s="396">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156</v>
      </c>
      <c r="J36" s="1">
        <f t="shared" si="4"/>
        <v>18</v>
      </c>
      <c r="L36" s="1">
        <f t="shared" si="5"/>
        <v>13</v>
      </c>
      <c r="N36" s="1">
        <f t="shared" si="6"/>
        <v>156</v>
      </c>
      <c r="P36"/>
      <c r="Q36" s="589"/>
      <c r="R36" s="591"/>
      <c r="S36"/>
      <c r="AA36" t="s">
        <v>294</v>
      </c>
      <c r="AB36" t="s">
        <v>1428</v>
      </c>
    </row>
    <row r="37" spans="1:28" ht="21" customHeight="1" x14ac:dyDescent="0.3">
      <c r="A37" s="390"/>
      <c r="B37" s="394" t="s">
        <v>492</v>
      </c>
      <c r="C37" s="395">
        <v>600</v>
      </c>
      <c r="D37" s="396">
        <v>2660</v>
      </c>
      <c r="E37" s="397" t="s">
        <v>184</v>
      </c>
      <c r="F37" s="864">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190</v>
      </c>
      <c r="G37" s="398">
        <f>IFERROR(ROUNDUP(D37/F37,0),"")</f>
        <v>14</v>
      </c>
      <c r="H37" s="399">
        <v>1057</v>
      </c>
      <c r="I37" s="396">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6342</v>
      </c>
      <c r="J37" s="72">
        <f t="shared" si="4"/>
        <v>2660</v>
      </c>
      <c r="K37" s="72"/>
      <c r="L37" s="87">
        <f t="shared" si="5"/>
        <v>1057</v>
      </c>
      <c r="M37" s="72"/>
      <c r="N37" s="87">
        <f t="shared" si="6"/>
        <v>6342</v>
      </c>
      <c r="P37"/>
      <c r="Q37" s="589"/>
      <c r="R37" s="591"/>
      <c r="S37"/>
      <c r="AA37" t="s">
        <v>591</v>
      </c>
      <c r="AB37" t="s">
        <v>1428</v>
      </c>
    </row>
    <row r="38" spans="1:28" ht="21" customHeight="1" x14ac:dyDescent="0.3">
      <c r="A38" s="390"/>
      <c r="B38" s="394"/>
      <c r="C38" s="395"/>
      <c r="D38" s="396"/>
      <c r="E38" s="397" t="s">
        <v>184</v>
      </c>
      <c r="F38" s="864"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398" t="str">
        <f>IFERROR(ROUNDUP(D38/F38,0),"")</f>
        <v/>
      </c>
      <c r="H38" s="399"/>
      <c r="I38" s="396"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J38" s="85" t="str">
        <f t="shared" si="4"/>
        <v/>
      </c>
      <c r="L38" s="84" t="str">
        <f t="shared" si="5"/>
        <v/>
      </c>
      <c r="N38" s="83" t="str">
        <f t="shared" si="6"/>
        <v/>
      </c>
      <c r="P38"/>
      <c r="Q38" s="589"/>
      <c r="R38" s="591"/>
      <c r="S38"/>
      <c r="AA38" t="s">
        <v>590</v>
      </c>
      <c r="AB38" t="s">
        <v>1428</v>
      </c>
    </row>
    <row r="39" spans="1:28" ht="21" customHeight="1" x14ac:dyDescent="0.3">
      <c r="A39" s="400"/>
      <c r="B39" s="394"/>
      <c r="C39" s="395"/>
      <c r="D39" s="396"/>
      <c r="E39" s="397" t="s">
        <v>184</v>
      </c>
      <c r="F39" s="864"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398" t="str">
        <f>IFERROR(ROUNDUP(D39/F39,0),"")</f>
        <v/>
      </c>
      <c r="H39" s="399"/>
      <c r="I39" s="396"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J39" s="82" t="str">
        <f t="shared" si="4"/>
        <v/>
      </c>
      <c r="L39" s="81" t="str">
        <f t="shared" si="5"/>
        <v/>
      </c>
      <c r="M39" s="70"/>
      <c r="N39" s="80" t="str">
        <f t="shared" si="6"/>
        <v/>
      </c>
      <c r="P39"/>
      <c r="Q39" s="589"/>
      <c r="R39" s="591"/>
      <c r="S39"/>
      <c r="AA39" t="s">
        <v>592</v>
      </c>
      <c r="AB39" t="s">
        <v>1428</v>
      </c>
    </row>
    <row r="40" spans="1:28" ht="21" customHeight="1" x14ac:dyDescent="0.3">
      <c r="A40" s="794"/>
      <c r="B40" s="772"/>
      <c r="C40" s="773"/>
      <c r="D40" s="774"/>
      <c r="E40" s="775"/>
      <c r="F40" s="865"/>
      <c r="G40" s="776"/>
      <c r="H40" s="777"/>
      <c r="I40" s="774"/>
      <c r="J40" s="85" t="str">
        <f t="shared" si="4"/>
        <v/>
      </c>
      <c r="L40" s="84" t="str">
        <f t="shared" si="5"/>
        <v/>
      </c>
      <c r="M40" s="70"/>
      <c r="N40" s="83" t="str">
        <f t="shared" si="6"/>
        <v/>
      </c>
      <c r="P40"/>
      <c r="Q40" s="589"/>
      <c r="R40" s="591"/>
      <c r="S40"/>
      <c r="AA40" t="s">
        <v>473</v>
      </c>
      <c r="AB40" t="s">
        <v>1428</v>
      </c>
    </row>
    <row r="41" spans="1:28" ht="15" customHeight="1" x14ac:dyDescent="0.3">
      <c r="A41" s="853"/>
      <c r="B41" s="837" t="s">
        <v>186</v>
      </c>
      <c r="C41" s="838"/>
      <c r="D41" s="839">
        <f>SUM(D34:D40)</f>
        <v>2678</v>
      </c>
      <c r="E41" s="837"/>
      <c r="F41" s="854" t="s">
        <v>1400</v>
      </c>
      <c r="G41" s="840">
        <f>SUM(G34:G40)</f>
        <v>15</v>
      </c>
      <c r="H41" s="839">
        <f>SUM(H34:H40)</f>
        <v>1070</v>
      </c>
      <c r="I41" s="839">
        <f>SUM(I34:I40)</f>
        <v>6498</v>
      </c>
      <c r="J41" s="82">
        <f>SUM(D35:D40)</f>
        <v>2678</v>
      </c>
      <c r="K41" s="1">
        <f>SUM(G35:G40)</f>
        <v>15</v>
      </c>
      <c r="L41" s="81">
        <f>SUM(H35:H40)</f>
        <v>1070</v>
      </c>
      <c r="M41" s="1">
        <f>SUM(I35:I40)</f>
        <v>6498</v>
      </c>
      <c r="N41" s="80">
        <f t="shared" si="6"/>
        <v>6498</v>
      </c>
      <c r="O41" s="63">
        <f>SUM(N36:N40)</f>
        <v>6498</v>
      </c>
      <c r="P41"/>
      <c r="Q41" s="586" cm="1">
        <f t="array" ref="Q41">IF(H41=0,"",SUMPRODUCT(IFERROR(INT(H35:H40/F35:F40),0)))</f>
        <v>5</v>
      </c>
      <c r="R41" s="769">
        <f>IF(Q41="","",MAX(0,G41-Q41))</f>
        <v>10</v>
      </c>
      <c r="S41"/>
      <c r="AA41" t="s">
        <v>296</v>
      </c>
      <c r="AB41" t="s">
        <v>1428</v>
      </c>
    </row>
    <row r="42" spans="1:28" ht="15" customHeight="1" x14ac:dyDescent="0.3">
      <c r="A42" s="782"/>
      <c r="B42" s="779"/>
      <c r="C42" s="789"/>
      <c r="D42" s="790"/>
      <c r="E42" s="791"/>
      <c r="F42" s="781"/>
      <c r="G42" s="792"/>
      <c r="H42" s="793"/>
      <c r="I42" s="790"/>
      <c r="J42" s="85" t="str">
        <f>IF(D42="","",ROUNDUP(D42/IF(AND(C42="600 ml",ISNUMBER(SEARCH("NORCAU",B42))),95,IF(AND(C42="600 ml",ISNUMBER(SEARCH("APURATOS",B42))),190,IF(C42="600 ml",95,IF(C42="400 ml",125,IF(C42="200 ml",330,IF(C42="180 ml",240,1)))))),0))</f>
        <v/>
      </c>
      <c r="L42" s="84" t="str">
        <f>IF(H42="","",H42)</f>
        <v/>
      </c>
      <c r="N42" s="83" t="str">
        <f t="shared" si="6"/>
        <v/>
      </c>
      <c r="P42"/>
      <c r="Q42" s="589"/>
      <c r="R42" s="591"/>
      <c r="S42"/>
      <c r="AA42" t="s">
        <v>472</v>
      </c>
      <c r="AB42" t="s">
        <v>1428</v>
      </c>
    </row>
    <row r="43" spans="1:28" ht="15" customHeight="1" x14ac:dyDescent="0.3">
      <c r="A43" s="390">
        <v>46034</v>
      </c>
      <c r="B43" s="393" t="s">
        <v>49</v>
      </c>
      <c r="C43" s="391" t="s">
        <v>176</v>
      </c>
      <c r="D43" s="402" t="s">
        <v>177</v>
      </c>
      <c r="E43" s="392" t="s">
        <v>178</v>
      </c>
      <c r="F43" s="858" t="s">
        <v>179</v>
      </c>
      <c r="G43" s="404" t="s">
        <v>180</v>
      </c>
      <c r="H43" s="402" t="s">
        <v>181</v>
      </c>
      <c r="I43" s="402" t="s">
        <v>182</v>
      </c>
      <c r="J43" s="82"/>
      <c r="L43" s="81"/>
      <c r="N43" s="80"/>
      <c r="P43"/>
      <c r="Q43" s="589"/>
      <c r="R43" s="591"/>
      <c r="S43"/>
      <c r="AA43" t="s">
        <v>293</v>
      </c>
      <c r="AB43" t="s">
        <v>1428</v>
      </c>
    </row>
    <row r="44" spans="1:28" ht="21" customHeight="1" x14ac:dyDescent="0.3">
      <c r="A44" s="390"/>
      <c r="B44" s="394"/>
      <c r="C44" s="395"/>
      <c r="D44" s="396"/>
      <c r="E44" s="397"/>
      <c r="F44" s="864"/>
      <c r="G44" s="398"/>
      <c r="H44" s="399"/>
      <c r="I44" s="396"/>
      <c r="J44" s="67" t="str">
        <f>IF(D44="","",ROUNDUP(D44/IF(AND(C44="600 ml",ISNUMBER(SEARCH("NORCAU",B44))),95,IF(AND(C44="600 ml",ISNUMBER(SEARCH("APURATOS",B44))),190,IF(C44="600 ml",95,IF(C44="400 ml",125,IF(C44="200 ml",330,IF(C44="180 ml",240,1)))))),0))</f>
        <v/>
      </c>
      <c r="K44" s="67"/>
      <c r="L44" s="89" t="str">
        <f>IF(H44="","",H44)</f>
        <v/>
      </c>
      <c r="M44" s="67"/>
      <c r="N44" s="88" t="str">
        <f t="shared" ref="N44:N50" si="7">IF(I44="","",I44)</f>
        <v/>
      </c>
      <c r="P44"/>
      <c r="Q44" s="589"/>
      <c r="R44" s="591"/>
      <c r="S44"/>
      <c r="AA44" t="s">
        <v>101</v>
      </c>
      <c r="AB44" t="s">
        <v>1428</v>
      </c>
    </row>
    <row r="45" spans="1:28" ht="21" customHeight="1" x14ac:dyDescent="0.3">
      <c r="A45" s="401"/>
      <c r="B45" s="394" t="s">
        <v>492</v>
      </c>
      <c r="C45" s="395">
        <v>600</v>
      </c>
      <c r="D45" s="396">
        <f>D37-L37</f>
        <v>1603</v>
      </c>
      <c r="E45" s="397" t="s">
        <v>184</v>
      </c>
      <c r="F45" s="864">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190</v>
      </c>
      <c r="G45" s="398">
        <f>IFERROR(ROUNDUP(D45/F45,0),"")</f>
        <v>9</v>
      </c>
      <c r="H45" s="399">
        <v>1072</v>
      </c>
      <c r="I45" s="396">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6432</v>
      </c>
      <c r="J45" s="1">
        <f>IF(D45="","",ROUNDUP(D45/IF(AND(C45="600 ml",ISNUMBER(SEARCH("NORCAU",B45))),95,IF(AND(C45="600 ml",ISNUMBER(SEARCH("APURATOS",B45))),190,IF(C45="600 ml",95,IF(C45="400 ml",125,IF(C45="200 ml",330,IF(C45="180 ml",240,1)))))),0))</f>
        <v>1603</v>
      </c>
      <c r="L45" s="1">
        <f>IF(H45="","",H45)</f>
        <v>1072</v>
      </c>
      <c r="N45" s="1">
        <f t="shared" si="7"/>
        <v>6432</v>
      </c>
      <c r="P45"/>
      <c r="Q45" s="589"/>
      <c r="R45" s="591"/>
      <c r="S45"/>
      <c r="AA45" t="s">
        <v>474</v>
      </c>
      <c r="AB45" t="s">
        <v>1428</v>
      </c>
    </row>
    <row r="46" spans="1:28" ht="21" customHeight="1" x14ac:dyDescent="0.3">
      <c r="A46" s="390"/>
      <c r="B46" s="394"/>
      <c r="C46" s="395"/>
      <c r="D46" s="396"/>
      <c r="E46" s="397" t="s">
        <v>184</v>
      </c>
      <c r="F46" s="864"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398" t="str">
        <f>IFERROR(ROUNDUP(D46/F46,0),"")</f>
        <v/>
      </c>
      <c r="H46" s="399"/>
      <c r="I46" s="396"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J46" s="72" t="str">
        <f>IF(D46="","",ROUNDUP(D46/IF(AND(C46="600 ml",ISNUMBER(SEARCH("NORCAU",B46))),95,IF(AND(C46="600 ml",ISNUMBER(SEARCH("APURATOS",B46))),190,IF(C46="600 ml",95,IF(C46="400 ml",125,IF(C46="200 ml",330,IF(C46="180 ml",240,1)))))),0))</f>
        <v/>
      </c>
      <c r="K46" s="72"/>
      <c r="L46" s="87" t="str">
        <f>IF(H46="","",H46)</f>
        <v/>
      </c>
      <c r="M46" s="72"/>
      <c r="N46" s="87" t="str">
        <f t="shared" si="7"/>
        <v/>
      </c>
      <c r="P46"/>
      <c r="Q46" s="589"/>
      <c r="R46" s="591"/>
      <c r="S46"/>
      <c r="AA46" t="s">
        <v>295</v>
      </c>
      <c r="AB46" t="s">
        <v>1428</v>
      </c>
    </row>
    <row r="47" spans="1:28" ht="21" customHeight="1" x14ac:dyDescent="0.3">
      <c r="A47" s="390"/>
      <c r="B47" s="394"/>
      <c r="C47" s="395"/>
      <c r="D47" s="396"/>
      <c r="E47" s="397" t="s">
        <v>184</v>
      </c>
      <c r="F47" s="864"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398" t="str">
        <f>IFERROR(ROUNDUP(D47/F47,0),"")</f>
        <v/>
      </c>
      <c r="H47" s="399"/>
      <c r="I47" s="396"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J47" s="82" t="str">
        <f>IF(D47="","",ROUNDUP(D47/IF(AND(C47="600 ml",ISNUMBER(SEARCH("NORCAU",B47))),95,IF(AND(C47="600 ml",ISNUMBER(SEARCH("APURATOS",B47))),190,IF(C47="600 ml",95,IF(C47="400 ml",125,IF(C47="200 ml",330,IF(C47="180 ml",240,1)))))),0))</f>
        <v/>
      </c>
      <c r="L47" s="81" t="str">
        <f>IF(H47="","",H47)</f>
        <v/>
      </c>
      <c r="N47" s="80" t="str">
        <f t="shared" si="7"/>
        <v/>
      </c>
      <c r="P47"/>
      <c r="Q47" s="589"/>
      <c r="R47" s="591"/>
      <c r="S47"/>
      <c r="AA47" t="s">
        <v>97</v>
      </c>
      <c r="AB47" t="s">
        <v>1428</v>
      </c>
    </row>
    <row r="48" spans="1:28" ht="21" customHeight="1" x14ac:dyDescent="0.3">
      <c r="A48" s="795"/>
      <c r="B48" s="772"/>
      <c r="C48" s="773"/>
      <c r="D48" s="774"/>
      <c r="E48" s="775"/>
      <c r="F48" s="865"/>
      <c r="G48" s="776"/>
      <c r="H48" s="777"/>
      <c r="I48" s="774"/>
      <c r="J48" s="85" t="str">
        <f>IF(D48="","",ROUNDUP(D48/IF(AND(C48="600 ml",ISNUMBER(SEARCH("NORCAU",B48))),95,IF(AND(C48="600 ml",ISNUMBER(SEARCH("APURATOS",B48))),190,IF(C48="600 ml",95,IF(C48="400 ml",125,IF(C48="200 ml",330,IF(C48="180 ml",240,1)))))),0))</f>
        <v/>
      </c>
      <c r="L48" s="84" t="str">
        <f>IF(H48="","",H48)</f>
        <v/>
      </c>
      <c r="M48" s="70"/>
      <c r="N48" s="83" t="str">
        <f t="shared" si="7"/>
        <v/>
      </c>
      <c r="P48"/>
      <c r="Q48" s="589"/>
      <c r="R48" s="591"/>
      <c r="S48"/>
      <c r="AA48" t="s">
        <v>475</v>
      </c>
      <c r="AB48" t="s">
        <v>1428</v>
      </c>
    </row>
    <row r="49" spans="1:28" ht="15" customHeight="1" x14ac:dyDescent="0.3">
      <c r="A49" s="853"/>
      <c r="B49" s="837" t="s">
        <v>186</v>
      </c>
      <c r="C49" s="838"/>
      <c r="D49" s="839">
        <f>SUM(D42:D48)</f>
        <v>1603</v>
      </c>
      <c r="E49" s="837"/>
      <c r="F49" s="854" t="s">
        <v>1400</v>
      </c>
      <c r="G49" s="840">
        <f>SUM(G42:G48)</f>
        <v>9</v>
      </c>
      <c r="H49" s="839">
        <f>SUM(H42:H48)</f>
        <v>1072</v>
      </c>
      <c r="I49" s="839">
        <f>SUM(I42:I48)</f>
        <v>6432</v>
      </c>
      <c r="J49" s="82">
        <f>SUM(D44:D48)</f>
        <v>1603</v>
      </c>
      <c r="K49" s="1">
        <f>SUM(G44:G48)</f>
        <v>9</v>
      </c>
      <c r="L49" s="81">
        <f>SUM(H44:H48)</f>
        <v>1072</v>
      </c>
      <c r="M49" s="70">
        <f>SUM(I44:I48)</f>
        <v>6432</v>
      </c>
      <c r="N49" s="80">
        <f t="shared" si="7"/>
        <v>6432</v>
      </c>
      <c r="O49" s="63">
        <f>SUM(N45:N48)</f>
        <v>6432</v>
      </c>
      <c r="P49"/>
      <c r="Q49" s="586" cm="1">
        <f t="array" ref="Q49">IF(H49=0,"",SUMPRODUCT(IFERROR(INT(H44:H48/F44:F48),0)))</f>
        <v>5</v>
      </c>
      <c r="R49" s="769">
        <f>IF(Q49="","",MAX(0,G49-Q49))</f>
        <v>4</v>
      </c>
      <c r="S49"/>
      <c r="AA49" t="s">
        <v>491</v>
      </c>
      <c r="AB49" t="s">
        <v>1425</v>
      </c>
    </row>
    <row r="50" spans="1:28" ht="15" customHeight="1" x14ac:dyDescent="0.3">
      <c r="A50" s="782"/>
      <c r="B50" s="779"/>
      <c r="C50" s="789"/>
      <c r="D50" s="790"/>
      <c r="E50" s="791"/>
      <c r="F50" s="781"/>
      <c r="G50" s="792"/>
      <c r="H50" s="793"/>
      <c r="I50" s="790"/>
      <c r="J50" s="85" t="str">
        <f>IF(D50="","",ROUNDUP(D50/IF(AND(C50="600 ml",ISNUMBER(SEARCH("NORCAU",B50))),95,IF(AND(C50="600 ml",ISNUMBER(SEARCH("APURATOS",B50))),190,IF(C50="600 ml",95,IF(C50="400 ml",125,IF(C50="200 ml",330,IF(C50="180 ml",240,1)))))),0))</f>
        <v/>
      </c>
      <c r="L50" s="84" t="str">
        <f>IF(H50="","",H50)</f>
        <v/>
      </c>
      <c r="N50" s="83" t="str">
        <f t="shared" si="7"/>
        <v/>
      </c>
      <c r="P50"/>
      <c r="Q50" s="589"/>
      <c r="R50" s="591"/>
      <c r="S50"/>
      <c r="AA50" t="s">
        <v>1162</v>
      </c>
      <c r="AB50" t="s">
        <v>1424</v>
      </c>
    </row>
    <row r="51" spans="1:28" ht="15" customHeight="1" x14ac:dyDescent="0.3">
      <c r="A51" s="390">
        <v>46035</v>
      </c>
      <c r="B51" s="393" t="s">
        <v>49</v>
      </c>
      <c r="C51" s="391" t="s">
        <v>176</v>
      </c>
      <c r="D51" s="402" t="s">
        <v>177</v>
      </c>
      <c r="E51" s="392" t="s">
        <v>178</v>
      </c>
      <c r="F51" s="858" t="s">
        <v>179</v>
      </c>
      <c r="G51" s="403" t="s">
        <v>180</v>
      </c>
      <c r="H51" s="402" t="s">
        <v>181</v>
      </c>
      <c r="I51" s="402" t="s">
        <v>182</v>
      </c>
      <c r="J51" s="82"/>
      <c r="L51" s="81"/>
      <c r="N51" s="80"/>
      <c r="P51"/>
      <c r="Q51" s="589"/>
      <c r="R51" s="591"/>
      <c r="S51"/>
      <c r="AA51" t="s">
        <v>39</v>
      </c>
      <c r="AB51" t="s">
        <v>1423</v>
      </c>
    </row>
    <row r="52" spans="1:28" ht="21" customHeight="1" x14ac:dyDescent="0.3">
      <c r="A52" s="390"/>
      <c r="B52" s="394"/>
      <c r="C52" s="395"/>
      <c r="D52" s="396"/>
      <c r="E52" s="397"/>
      <c r="F52" s="864"/>
      <c r="G52" s="398"/>
      <c r="H52" s="399"/>
      <c r="I52" s="396"/>
      <c r="J52" s="85" t="str">
        <f>IF(D52="","",ROUNDUP(D52/IF(AND(C52="600 ml",ISNUMBER(SEARCH("NORCAU",B52))),95,IF(AND(C52="600 ml",ISNUMBER(SEARCH("APURATOS",B52))),190,IF(C52="600 ml",95,IF(C52="400 ml",125,IF(C52="200 ml",330,IF(C52="180 ml",240,1)))))),0))</f>
        <v/>
      </c>
      <c r="L52" s="84" t="str">
        <f>IF(H52="","",H52)</f>
        <v/>
      </c>
      <c r="N52" s="83" t="str">
        <f t="shared" ref="N52:N58" si="8">IF(I52="","",I52)</f>
        <v/>
      </c>
      <c r="P52"/>
      <c r="Q52" s="589"/>
      <c r="R52" s="591"/>
      <c r="S52"/>
      <c r="AA52" t="s">
        <v>240</v>
      </c>
      <c r="AB52" t="s">
        <v>1425</v>
      </c>
    </row>
    <row r="53" spans="1:28" ht="21" customHeight="1" x14ac:dyDescent="0.3">
      <c r="A53" s="390"/>
      <c r="B53" s="394" t="s">
        <v>492</v>
      </c>
      <c r="C53" s="395">
        <v>600</v>
      </c>
      <c r="D53" s="396">
        <f>D45-L45</f>
        <v>531</v>
      </c>
      <c r="E53" s="397" t="s">
        <v>184</v>
      </c>
      <c r="F53" s="864">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190</v>
      </c>
      <c r="G53" s="398">
        <f>IFERROR(ROUNDUP(D53/F53,0),"")</f>
        <v>3</v>
      </c>
      <c r="H53" s="399">
        <v>562</v>
      </c>
      <c r="I53" s="396">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3372</v>
      </c>
      <c r="J53" s="67">
        <f>IF(D53="","",ROUNDUP(D53/IF(AND(C53="600 ml",ISNUMBER(SEARCH("NORCAU",B53))),95,IF(AND(C53="600 ml",ISNUMBER(SEARCH("APURATOS",B53))),190,IF(C53="600 ml",95,IF(C53="400 ml",125,IF(C53="200 ml",330,IF(C53="180 ml",240,1)))))),0))</f>
        <v>531</v>
      </c>
      <c r="K53" s="67"/>
      <c r="L53" s="89">
        <f>IF(H53="","",H53)</f>
        <v>562</v>
      </c>
      <c r="M53" s="67"/>
      <c r="N53" s="88">
        <f t="shared" si="8"/>
        <v>3372</v>
      </c>
      <c r="P53"/>
      <c r="Q53" s="589"/>
      <c r="R53" s="591"/>
      <c r="S53"/>
      <c r="AA53" t="s">
        <v>596</v>
      </c>
      <c r="AB53" t="s">
        <v>1425</v>
      </c>
    </row>
    <row r="54" spans="1:28" ht="21" customHeight="1" x14ac:dyDescent="0.3">
      <c r="A54" s="401"/>
      <c r="B54" s="394"/>
      <c r="C54" s="395"/>
      <c r="D54" s="396"/>
      <c r="E54" s="397" t="s">
        <v>184</v>
      </c>
      <c r="F54" s="864"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398" t="str">
        <f>IFERROR(ROUNDUP(D54/F54,0),"")</f>
        <v/>
      </c>
      <c r="H54" s="399"/>
      <c r="I54" s="396"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J54" s="1" t="str">
        <f>IF(D54="","",ROUNDUP(D54/IF(AND(C54="600 ml",ISNUMBER(SEARCH("NORCAU",B54))),95,IF(AND(C54="600 ml",ISNUMBER(SEARCH("APURATOS",B54))),190,IF(C54="600 ml",95,IF(C54="400 ml",125,IF(C54="200 ml",330,IF(C54="180 ml",240,1)))))),0))</f>
        <v/>
      </c>
      <c r="L54" s="1" t="str">
        <f>IF(H54="","",H54)</f>
        <v/>
      </c>
      <c r="N54" s="1" t="str">
        <f t="shared" si="8"/>
        <v/>
      </c>
      <c r="P54"/>
      <c r="Q54" s="589"/>
      <c r="R54" s="591"/>
      <c r="S54"/>
      <c r="AA54" t="s">
        <v>33</v>
      </c>
      <c r="AB54" t="s">
        <v>1425</v>
      </c>
    </row>
    <row r="55" spans="1:28" ht="21" customHeight="1" x14ac:dyDescent="0.3">
      <c r="A55" s="390"/>
      <c r="B55" s="394" t="s">
        <v>492</v>
      </c>
      <c r="C55" s="395" t="s">
        <v>187</v>
      </c>
      <c r="D55" s="396">
        <v>1140</v>
      </c>
      <c r="E55" s="397" t="s">
        <v>184</v>
      </c>
      <c r="F55" s="864">
        <f>IF(AND(ISNUMBER(SEARCH("DESTAK",$B55)),SUBSTITUTE(UPPER($C55)," ","")="5L"),60,IF($B55="","",IF(SUMIFS(CONFIG_PALETES!$C:$C,CONFIG_PALETES!$A:$A,TRIM($B55),CONFIG_PALETES!$B:$B,$C55&amp;"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60</v>
      </c>
      <c r="G55" s="398">
        <f>IFERROR(ROUNDUP(D55/F55,0),"")</f>
        <v>19</v>
      </c>
      <c r="H55" s="399">
        <v>240</v>
      </c>
      <c r="I55" s="396">
        <f>IF(AND(ISNUMBER(SEARCH("DESTAK",$B55)),SUBSTITUTE(UPPER($C55)," ","")="5L"),IF(H55="","",H55*10),IF(H55="","",H55*IF(SUMIFS(CONFIG_PALETES!$D:$D,CONFIG_PALETES!$A:$A,IF(ISNUMBER(SEARCH("ESPUMA",$B55)),"ESPUMA",IF(OR(ISNUMBER(SEARCH("OLEO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2400</v>
      </c>
      <c r="J55" s="72">
        <f>IF(D55="","",ROUNDUP(D55/IF(AND(C55="600 ml",ISNUMBER(SEARCH("NORCAU",B55))),95,IF(AND(C55="600 ml",ISNUMBER(SEARCH("APURATOS",B55))),190,IF(C55="600 ml",95,IF(C55="400 ml",125,IF(C55="200 ml",330,IF(C55="180 ml",240,1)))))),0))</f>
        <v>1140</v>
      </c>
      <c r="K55" s="72"/>
      <c r="L55" s="87">
        <f>IF(H55="","",H55)</f>
        <v>240</v>
      </c>
      <c r="M55" s="72"/>
      <c r="N55" s="87">
        <f t="shared" si="8"/>
        <v>2400</v>
      </c>
      <c r="P55"/>
      <c r="Q55" s="589"/>
      <c r="R55" s="591"/>
      <c r="S55"/>
      <c r="AA55" t="s">
        <v>571</v>
      </c>
      <c r="AB55" t="s">
        <v>1425</v>
      </c>
    </row>
    <row r="56" spans="1:28" ht="21" customHeight="1" x14ac:dyDescent="0.3">
      <c r="A56" s="771"/>
      <c r="B56" s="772"/>
      <c r="C56" s="773"/>
      <c r="D56" s="774"/>
      <c r="E56" s="775"/>
      <c r="F56" s="865"/>
      <c r="G56" s="776"/>
      <c r="H56" s="777"/>
      <c r="I56" s="774"/>
      <c r="J56" s="85" t="str">
        <f>IF(D56="","",ROUNDUP(D56/IF(AND(C56="600 ml",ISNUMBER(SEARCH("NORCAU",B56))),95,IF(AND(C56="600 ml",ISNUMBER(SEARCH("APURATOS",B56))),190,IF(C56="600 ml",95,IF(C56="400 ml",125,IF(C56="200 ml",330,IF(C56="180 ml",240,1)))))),0))</f>
        <v/>
      </c>
      <c r="L56" s="84" t="str">
        <f>IF(H56="","",H56)</f>
        <v/>
      </c>
      <c r="N56" s="83" t="str">
        <f t="shared" si="8"/>
        <v/>
      </c>
      <c r="P56"/>
      <c r="Q56" s="589"/>
      <c r="R56" s="591"/>
      <c r="S56"/>
      <c r="AA56" t="s">
        <v>280</v>
      </c>
      <c r="AB56" t="s">
        <v>1423</v>
      </c>
    </row>
    <row r="57" spans="1:28" ht="15" customHeight="1" x14ac:dyDescent="0.3">
      <c r="A57" s="853"/>
      <c r="B57" s="837" t="s">
        <v>186</v>
      </c>
      <c r="C57" s="838"/>
      <c r="D57" s="839">
        <f>SUM(D50:D56)</f>
        <v>1671</v>
      </c>
      <c r="E57" s="837"/>
      <c r="F57" s="854" t="s">
        <v>1400</v>
      </c>
      <c r="G57" s="840">
        <f>SUM(G50:G56)</f>
        <v>22</v>
      </c>
      <c r="H57" s="839">
        <f>SUM(H50:H56)</f>
        <v>802</v>
      </c>
      <c r="I57" s="839">
        <f>SUM(I50:I56)</f>
        <v>5772</v>
      </c>
      <c r="J57" s="82">
        <f>SUM(D52:D56)</f>
        <v>1671</v>
      </c>
      <c r="K57" s="1">
        <f>SUM(G52:G56)</f>
        <v>22</v>
      </c>
      <c r="L57" s="81">
        <f>SUM(H52:H56)</f>
        <v>802</v>
      </c>
      <c r="M57" s="70">
        <f>SUM(I52:I56)</f>
        <v>5772</v>
      </c>
      <c r="N57" s="80">
        <f t="shared" si="8"/>
        <v>5772</v>
      </c>
      <c r="O57" s="63">
        <f>SUM(N53:N56)</f>
        <v>5772</v>
      </c>
      <c r="P57"/>
      <c r="Q57" s="586" cm="1">
        <f t="array" ref="Q57">IF(H57=0,"",SUMPRODUCT(IFERROR(INT(H52:H56/F52:F56),0)))</f>
        <v>6</v>
      </c>
      <c r="R57" s="769">
        <f>IF(Q57="","",MAX(0,G57-Q57))</f>
        <v>16</v>
      </c>
      <c r="S57"/>
      <c r="AA57" t="s">
        <v>595</v>
      </c>
      <c r="AB57" t="s">
        <v>1425</v>
      </c>
    </row>
    <row r="58" spans="1:28" ht="15" customHeight="1" x14ac:dyDescent="0.3">
      <c r="A58" s="778"/>
      <c r="B58" s="779"/>
      <c r="C58" s="789"/>
      <c r="D58" s="790"/>
      <c r="E58" s="791"/>
      <c r="F58" s="781"/>
      <c r="G58" s="792"/>
      <c r="H58" s="793"/>
      <c r="I58" s="790"/>
      <c r="J58" s="85" t="str">
        <f>IF(D58="","",ROUNDUP(D58/IF(AND(C58="600 ml",ISNUMBER(SEARCH("NORCAU",B58))),95,IF(AND(C58="600 ml",ISNUMBER(SEARCH("APURATOS",B58))),190,IF(C58="600 ml",95,IF(C58="400 ml",125,IF(C58="200 ml",330,IF(C58="180 ml",240,1)))))),0))</f>
        <v/>
      </c>
      <c r="L58" s="84" t="str">
        <f>IF(H58="","",H58)</f>
        <v/>
      </c>
      <c r="M58" s="70"/>
      <c r="N58" s="83" t="str">
        <f t="shared" si="8"/>
        <v/>
      </c>
      <c r="P58"/>
      <c r="Q58" s="589"/>
      <c r="R58" s="591"/>
      <c r="S58"/>
      <c r="AA58" t="s">
        <v>483</v>
      </c>
      <c r="AB58" t="s">
        <v>1422</v>
      </c>
    </row>
    <row r="59" spans="1:28" ht="15" customHeight="1" x14ac:dyDescent="0.3">
      <c r="A59" s="390">
        <v>46036</v>
      </c>
      <c r="B59" s="393" t="s">
        <v>49</v>
      </c>
      <c r="C59" s="391" t="s">
        <v>176</v>
      </c>
      <c r="D59" s="402" t="s">
        <v>177</v>
      </c>
      <c r="E59" s="392" t="s">
        <v>178</v>
      </c>
      <c r="F59" s="858" t="s">
        <v>179</v>
      </c>
      <c r="G59" s="403" t="s">
        <v>180</v>
      </c>
      <c r="H59" s="402" t="s">
        <v>181</v>
      </c>
      <c r="I59" s="402" t="s">
        <v>182</v>
      </c>
      <c r="J59" s="82"/>
      <c r="L59" s="81"/>
      <c r="N59" s="80"/>
      <c r="P59"/>
      <c r="Q59" s="589"/>
      <c r="R59" s="591"/>
      <c r="S59"/>
      <c r="AA59" t="s">
        <v>1202</v>
      </c>
      <c r="AB59" t="s">
        <v>1422</v>
      </c>
    </row>
    <row r="60" spans="1:28" ht="21" customHeight="1" x14ac:dyDescent="0.3">
      <c r="A60" s="390"/>
      <c r="B60" s="394"/>
      <c r="C60" s="395"/>
      <c r="D60" s="396"/>
      <c r="E60" s="397"/>
      <c r="F60" s="864"/>
      <c r="G60" s="398"/>
      <c r="H60" s="399"/>
      <c r="I60" s="396"/>
      <c r="J60" s="85" t="str">
        <f>IF(D60="","",ROUNDUP(D60/IF(AND(C60="600 ml",ISNUMBER(SEARCH("NORCAU",B60))),95,IF(AND(C60="600 ml",ISNUMBER(SEARCH("APURATOS",B60))),190,IF(C60="600 ml",95,IF(C60="400 ml",125,IF(C60="200 ml",330,IF(C60="180 ml",240,1)))))),0))</f>
        <v/>
      </c>
      <c r="L60" s="84" t="str">
        <f>IF(H60="","",H60)</f>
        <v/>
      </c>
      <c r="N60" s="83" t="str">
        <f t="shared" ref="N60:N66" si="9">IF(I60="","",I60)</f>
        <v/>
      </c>
      <c r="P60"/>
      <c r="Q60" s="589"/>
      <c r="R60" s="591"/>
      <c r="S60"/>
      <c r="AA60" t="s">
        <v>577</v>
      </c>
      <c r="AB60" t="s">
        <v>1422</v>
      </c>
    </row>
    <row r="61" spans="1:28" ht="21" customHeight="1" x14ac:dyDescent="0.3">
      <c r="A61" s="390"/>
      <c r="B61" s="394" t="s">
        <v>492</v>
      </c>
      <c r="C61" s="395" t="s">
        <v>187</v>
      </c>
      <c r="D61" s="396">
        <f>D55-L55</f>
        <v>900</v>
      </c>
      <c r="E61" s="397" t="s">
        <v>184</v>
      </c>
      <c r="F61" s="864">
        <f>IF(AND(ISNUMBER(SEARCH("DESTAK",$B61)),SUBSTITUTE(UPPER($C61)," ","")="5L"),60,IF($B61="","",IF(SUMIFS(CONFIG_PALETES!$C:$C,CONFIG_PALETES!$A:$A,TRIM($B61),CONFIG_PALETES!$B:$B,$C61&amp;"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60</v>
      </c>
      <c r="G61" s="398">
        <f>IFERROR(ROUNDUP(D61/F61,0),"")</f>
        <v>15</v>
      </c>
      <c r="H61" s="399">
        <v>900</v>
      </c>
      <c r="I61" s="396">
        <f>IF(AND(ISNUMBER(SEARCH("DESTAK",$B61)),SUBSTITUTE(UPPER($C61)," ","")="5L"),IF(H61="","",H61*10),IF(H61="","",H61*IF(SUMIFS(CONFIG_PALETES!$D:$D,CONFIG_PALETES!$A:$A,IF(ISNUMBER(SEARCH("ESPUMA",$B61)),"ESPUMA",IF(OR(ISNUMBER(SEARCH("OLEO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9000</v>
      </c>
      <c r="J61" s="98">
        <f>IF(D61="","",ROUNDUP(D61/IF(AND(C61="600 ml",ISNUMBER(SEARCH("NORCAU",B61))),95,IF(AND(C61="600 ml",ISNUMBER(SEARCH("APURATOS",B61))),190,IF(C61="600 ml",95,IF(C61="400 ml",125,IF(C61="200 ml",330,IF(C61="180 ml",240,1)))))),0))</f>
        <v>900</v>
      </c>
      <c r="K61" s="67"/>
      <c r="L61" s="97">
        <f>IF(H61="","",H61)</f>
        <v>900</v>
      </c>
      <c r="M61" s="67"/>
      <c r="N61" s="96">
        <f t="shared" si="9"/>
        <v>9000</v>
      </c>
      <c r="P61"/>
      <c r="Q61" s="589"/>
      <c r="R61" s="591"/>
      <c r="S61"/>
      <c r="AA61" t="s">
        <v>578</v>
      </c>
      <c r="AB61" t="s">
        <v>1422</v>
      </c>
    </row>
    <row r="62" spans="1:28" ht="21" customHeight="1" x14ac:dyDescent="0.3">
      <c r="A62" s="401"/>
      <c r="B62" s="394"/>
      <c r="C62" s="395"/>
      <c r="D62" s="396"/>
      <c r="E62" s="397" t="s">
        <v>184</v>
      </c>
      <c r="F62" s="864"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398" t="str">
        <f>IFERROR(ROUNDUP(D62/F62,0),"")</f>
        <v/>
      </c>
      <c r="H62" s="399"/>
      <c r="I62" s="396"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J62" s="1" t="str">
        <f>IF(D62="","",ROUNDUP(D62/IF(AND(C62="600 ml",ISNUMBER(SEARCH("NORCAU",B62))),95,IF(AND(C62="600 ml",ISNUMBER(SEARCH("APURATOS",B62))),190,IF(C62="600 ml",95,IF(C62="400 ml",125,IF(C62="200 ml",330,IF(C62="180 ml",240,1)))))),0))</f>
        <v/>
      </c>
      <c r="L62" s="1" t="str">
        <f>IF(H62="","",H62)</f>
        <v/>
      </c>
      <c r="N62" s="1" t="str">
        <f t="shared" si="9"/>
        <v/>
      </c>
      <c r="P62"/>
      <c r="Q62" s="589"/>
      <c r="R62" s="591"/>
      <c r="S62"/>
      <c r="AA62" t="s">
        <v>587</v>
      </c>
      <c r="AB62" t="s">
        <v>1422</v>
      </c>
    </row>
    <row r="63" spans="1:28" ht="21" customHeight="1" x14ac:dyDescent="0.3">
      <c r="A63" s="390"/>
      <c r="B63" s="394"/>
      <c r="C63" s="395"/>
      <c r="D63" s="396"/>
      <c r="E63" s="397" t="s">
        <v>184</v>
      </c>
      <c r="F63" s="864"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398" t="str">
        <f>IFERROR(ROUNDUP(D63/F63,0),"")</f>
        <v/>
      </c>
      <c r="H63" s="399"/>
      <c r="I63" s="396"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J63" s="72" t="str">
        <f>IF(D63="","",ROUNDUP(D63/IF(AND(C63="600 ml",ISNUMBER(SEARCH("NORCAU",B63))),95,IF(AND(C63="600 ml",ISNUMBER(SEARCH("APURATOS",B63))),190,IF(C63="600 ml",95,IF(C63="400 ml",125,IF(C63="200 ml",330,IF(C63="180 ml",240,1)))))),0))</f>
        <v/>
      </c>
      <c r="K63" s="72"/>
      <c r="L63" s="87" t="str">
        <f>IF(H63="","",H63)</f>
        <v/>
      </c>
      <c r="M63" s="72"/>
      <c r="N63" s="87" t="str">
        <f t="shared" si="9"/>
        <v/>
      </c>
      <c r="P63"/>
      <c r="Q63" s="589"/>
      <c r="R63" s="591"/>
      <c r="S63"/>
      <c r="AA63" t="s">
        <v>1413</v>
      </c>
      <c r="AB63" t="s">
        <v>1422</v>
      </c>
    </row>
    <row r="64" spans="1:28" ht="21" customHeight="1" x14ac:dyDescent="0.3">
      <c r="A64" s="771"/>
      <c r="B64" s="772"/>
      <c r="C64" s="773"/>
      <c r="D64" s="774"/>
      <c r="E64" s="775"/>
      <c r="F64" s="865"/>
      <c r="G64" s="776"/>
      <c r="H64" s="777"/>
      <c r="I64" s="774"/>
      <c r="J64" s="85" t="str">
        <f>IF(D64="","",ROUNDUP(D64/IF(AND(C64="600 ml",ISNUMBER(SEARCH("NORCAU",B64))),95,IF(AND(C64="600 ml",ISNUMBER(SEARCH("APURATOS",B64))),190,IF(C64="600 ml",95,IF(C64="400 ml",125,IF(C64="200 ml",330,IF(C64="180 ml",240,1)))))),0))</f>
        <v/>
      </c>
      <c r="L64" s="84" t="str">
        <f>IF(H64="","",H64)</f>
        <v/>
      </c>
      <c r="N64" s="83" t="str">
        <f t="shared" si="9"/>
        <v/>
      </c>
      <c r="P64"/>
      <c r="Q64" s="589"/>
      <c r="R64" s="591"/>
      <c r="S64"/>
      <c r="AA64" t="s">
        <v>1403</v>
      </c>
      <c r="AB64" t="s">
        <v>1422</v>
      </c>
    </row>
    <row r="65" spans="1:28" ht="15" customHeight="1" x14ac:dyDescent="0.3">
      <c r="A65" s="853"/>
      <c r="B65" s="837" t="s">
        <v>186</v>
      </c>
      <c r="C65" s="838"/>
      <c r="D65" s="839">
        <f>SUM(D58:D64)</f>
        <v>900</v>
      </c>
      <c r="E65" s="837"/>
      <c r="F65" s="854" t="s">
        <v>1400</v>
      </c>
      <c r="G65" s="840">
        <f>SUM(G58:G64)</f>
        <v>15</v>
      </c>
      <c r="H65" s="839">
        <f>SUM(H58:H64)</f>
        <v>900</v>
      </c>
      <c r="I65" s="839">
        <f>SUM(I58:I64)</f>
        <v>9000</v>
      </c>
      <c r="J65" s="82">
        <f>SUM(D60:D64)</f>
        <v>900</v>
      </c>
      <c r="K65" s="1">
        <f>SUM(G60:G64)</f>
        <v>15</v>
      </c>
      <c r="L65" s="81">
        <f>SUM(H60:H64)</f>
        <v>900</v>
      </c>
      <c r="M65" s="70">
        <f>SUM(I60:I64)</f>
        <v>9000</v>
      </c>
      <c r="N65" s="80">
        <f t="shared" si="9"/>
        <v>9000</v>
      </c>
      <c r="O65" s="63">
        <f>SUM(N61:N64)</f>
        <v>9000</v>
      </c>
      <c r="P65"/>
      <c r="Q65" s="586" cm="1">
        <f t="array" ref="Q65">IF(H65=0,"",SUMPRODUCT(IFERROR(INT(H60:H64/F60:F64),0)))</f>
        <v>15</v>
      </c>
      <c r="R65" s="769">
        <f>IF(Q65="","",MAX(0,G65-Q65))</f>
        <v>0</v>
      </c>
      <c r="S65"/>
      <c r="AA65" t="s">
        <v>114</v>
      </c>
      <c r="AB65" t="s">
        <v>1422</v>
      </c>
    </row>
    <row r="66" spans="1:28" ht="15" customHeight="1" x14ac:dyDescent="0.3">
      <c r="A66" s="778"/>
      <c r="B66" s="779"/>
      <c r="C66" s="789"/>
      <c r="D66" s="790"/>
      <c r="E66" s="791"/>
      <c r="F66" s="781"/>
      <c r="G66" s="792"/>
      <c r="H66" s="793"/>
      <c r="I66" s="790"/>
      <c r="J66" s="85" t="str">
        <f>IF(D66="","",ROUNDUP(D66/IF(AND(C66="600 ml",ISNUMBER(SEARCH("NORCAU",B66))),95,IF(AND(C66="600 ml",ISNUMBER(SEARCH("APURATOS",B66))),190,IF(C66="600 ml",95,IF(C66="400 ml",125,IF(C66="200 ml",330,IF(C66="180 ml",240,1)))))),0))</f>
        <v/>
      </c>
      <c r="L66" s="84" t="str">
        <f>IF(H66="","",H66)</f>
        <v/>
      </c>
      <c r="M66" s="70"/>
      <c r="N66" s="83" t="str">
        <f t="shared" si="9"/>
        <v/>
      </c>
      <c r="P66"/>
      <c r="Q66" s="589"/>
      <c r="R66" s="591"/>
      <c r="S66"/>
      <c r="AA66" t="s">
        <v>487</v>
      </c>
      <c r="AB66" t="s">
        <v>1422</v>
      </c>
    </row>
    <row r="67" spans="1:28" ht="15" customHeight="1" x14ac:dyDescent="0.3">
      <c r="A67" s="390">
        <v>46037</v>
      </c>
      <c r="B67" s="393" t="s">
        <v>49</v>
      </c>
      <c r="C67" s="391" t="s">
        <v>176</v>
      </c>
      <c r="D67" s="402" t="s">
        <v>177</v>
      </c>
      <c r="E67" s="392" t="s">
        <v>178</v>
      </c>
      <c r="F67" s="858" t="s">
        <v>179</v>
      </c>
      <c r="G67" s="403" t="s">
        <v>180</v>
      </c>
      <c r="H67" s="402" t="s">
        <v>181</v>
      </c>
      <c r="I67" s="402" t="s">
        <v>182</v>
      </c>
      <c r="J67" s="82"/>
      <c r="L67" s="81"/>
      <c r="N67" s="80"/>
      <c r="P67"/>
      <c r="Q67" s="589"/>
      <c r="R67" s="591"/>
      <c r="S67"/>
      <c r="AA67" t="s">
        <v>488</v>
      </c>
      <c r="AB67" t="s">
        <v>1422</v>
      </c>
    </row>
    <row r="68" spans="1:28" ht="21" customHeight="1" x14ac:dyDescent="0.3">
      <c r="A68" s="390"/>
      <c r="B68" s="394"/>
      <c r="C68" s="395"/>
      <c r="D68" s="396"/>
      <c r="E68" s="397"/>
      <c r="F68" s="864"/>
      <c r="G68" s="398"/>
      <c r="H68" s="399"/>
      <c r="I68" s="396"/>
      <c r="J68" s="85" t="str">
        <f t="shared" ref="J68:J73" si="10">IF(D68="","",ROUNDUP(D68/IF(AND(C68="600 ml",ISNUMBER(SEARCH("NORCAU",B68))),95,IF(AND(C68="600 ml",ISNUMBER(SEARCH("APURATOS",B68))),190,IF(C68="600 ml",95,IF(C68="400 ml",125,IF(C68="200 ml",330,IF(C68="180 ml",240,1)))))),0))</f>
        <v/>
      </c>
      <c r="L68" s="84" t="str">
        <f t="shared" ref="L68:L73" si="11">IF(H68="","",H68)</f>
        <v/>
      </c>
      <c r="N68" s="83" t="str">
        <f t="shared" ref="N68:N75" si="12">IF(I68="","",I68)</f>
        <v/>
      </c>
      <c r="P68"/>
      <c r="Q68" s="589"/>
      <c r="R68" s="591"/>
      <c r="S68"/>
      <c r="AA68" t="s">
        <v>477</v>
      </c>
      <c r="AB68" t="s">
        <v>1422</v>
      </c>
    </row>
    <row r="69" spans="1:28" ht="21" customHeight="1" x14ac:dyDescent="0.3">
      <c r="A69" s="390"/>
      <c r="B69" s="394" t="s">
        <v>131</v>
      </c>
      <c r="C69" s="395">
        <v>600</v>
      </c>
      <c r="D69" s="396">
        <v>190</v>
      </c>
      <c r="E69" s="397" t="s">
        <v>184</v>
      </c>
      <c r="F69" s="864">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95</v>
      </c>
      <c r="G69" s="398">
        <f>IFERROR(ROUNDUP(D69/F69,0),"")</f>
        <v>2</v>
      </c>
      <c r="H69" s="399">
        <v>190</v>
      </c>
      <c r="I69" s="396">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2280</v>
      </c>
      <c r="J69" s="98">
        <f t="shared" si="10"/>
        <v>190</v>
      </c>
      <c r="K69" s="67"/>
      <c r="L69" s="97">
        <f t="shared" si="11"/>
        <v>190</v>
      </c>
      <c r="M69" s="67"/>
      <c r="N69" s="96">
        <f t="shared" si="12"/>
        <v>2280</v>
      </c>
      <c r="P69"/>
      <c r="Q69" s="589"/>
      <c r="R69" s="591"/>
      <c r="S69"/>
      <c r="AA69" t="s">
        <v>1189</v>
      </c>
      <c r="AB69" t="s">
        <v>1422</v>
      </c>
    </row>
    <row r="70" spans="1:28" ht="21" customHeight="1" x14ac:dyDescent="0.3">
      <c r="A70" s="401"/>
      <c r="B70" s="394" t="s">
        <v>37</v>
      </c>
      <c r="C70" s="395">
        <v>600</v>
      </c>
      <c r="D70" s="396">
        <v>768</v>
      </c>
      <c r="E70" s="397" t="s">
        <v>184</v>
      </c>
      <c r="F70" s="864">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95</v>
      </c>
      <c r="G70" s="398">
        <f>IFERROR(ROUNDUP(D70/F70,0),"")</f>
        <v>9</v>
      </c>
      <c r="H70" s="399">
        <v>216</v>
      </c>
      <c r="I70" s="396">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2592</v>
      </c>
      <c r="J70" s="1">
        <f t="shared" si="10"/>
        <v>768</v>
      </c>
      <c r="L70" s="1">
        <f t="shared" si="11"/>
        <v>216</v>
      </c>
      <c r="N70" s="1">
        <f t="shared" si="12"/>
        <v>2592</v>
      </c>
      <c r="P70"/>
      <c r="Q70" s="589"/>
      <c r="R70" s="591"/>
      <c r="S70"/>
      <c r="AA70" t="s">
        <v>479</v>
      </c>
      <c r="AB70" t="s">
        <v>1422</v>
      </c>
    </row>
    <row r="71" spans="1:28" ht="21" customHeight="1" x14ac:dyDescent="0.3">
      <c r="A71" s="390"/>
      <c r="B71" s="394"/>
      <c r="C71" s="395"/>
      <c r="D71" s="396"/>
      <c r="E71" s="397" t="s">
        <v>184</v>
      </c>
      <c r="F71" s="864"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398" t="str">
        <f>IFERROR(ROUNDUP(D71/F71,0),"")</f>
        <v/>
      </c>
      <c r="H71" s="399"/>
      <c r="I71" s="396"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J71" s="72" t="str">
        <f t="shared" si="10"/>
        <v/>
      </c>
      <c r="K71" s="72"/>
      <c r="L71" s="87" t="str">
        <f t="shared" si="11"/>
        <v/>
      </c>
      <c r="M71" s="72"/>
      <c r="N71" s="87" t="str">
        <f t="shared" si="12"/>
        <v/>
      </c>
      <c r="P71"/>
      <c r="Q71" s="589"/>
      <c r="R71" s="591"/>
      <c r="S71"/>
      <c r="AA71" t="s">
        <v>476</v>
      </c>
      <c r="AB71" t="s">
        <v>1422</v>
      </c>
    </row>
    <row r="72" spans="1:28" ht="21" customHeight="1" x14ac:dyDescent="0.3">
      <c r="A72" s="390"/>
      <c r="B72" s="394"/>
      <c r="C72" s="395"/>
      <c r="D72" s="396"/>
      <c r="E72" s="397" t="s">
        <v>184</v>
      </c>
      <c r="F72" s="864"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398" t="str">
        <f>IFERROR(ROUNDUP(D72/F72,0),"")</f>
        <v/>
      </c>
      <c r="H72" s="399"/>
      <c r="I72" s="396"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J72" s="85" t="str">
        <f t="shared" si="10"/>
        <v/>
      </c>
      <c r="L72" s="84" t="str">
        <f t="shared" si="11"/>
        <v/>
      </c>
      <c r="N72" s="83" t="str">
        <f t="shared" si="12"/>
        <v/>
      </c>
      <c r="P72"/>
      <c r="Q72" s="589"/>
      <c r="R72" s="591"/>
      <c r="S72"/>
      <c r="AA72" t="s">
        <v>1190</v>
      </c>
      <c r="AB72" t="s">
        <v>1422</v>
      </c>
    </row>
    <row r="73" spans="1:28" ht="21" customHeight="1" x14ac:dyDescent="0.3">
      <c r="A73" s="795"/>
      <c r="B73" s="772"/>
      <c r="C73" s="773"/>
      <c r="D73" s="774"/>
      <c r="E73" s="775"/>
      <c r="F73" s="865"/>
      <c r="G73" s="776"/>
      <c r="H73" s="777"/>
      <c r="I73" s="774"/>
      <c r="J73" s="82" t="str">
        <f t="shared" si="10"/>
        <v/>
      </c>
      <c r="L73" s="81" t="str">
        <f t="shared" si="11"/>
        <v/>
      </c>
      <c r="M73" s="70"/>
      <c r="N73" s="80" t="str">
        <f t="shared" si="12"/>
        <v/>
      </c>
      <c r="P73"/>
      <c r="Q73" s="589"/>
      <c r="R73" s="591"/>
      <c r="S73"/>
      <c r="AA73" t="s">
        <v>1191</v>
      </c>
      <c r="AB73" t="s">
        <v>1422</v>
      </c>
    </row>
    <row r="74" spans="1:28" ht="15" customHeight="1" x14ac:dyDescent="0.3">
      <c r="A74" s="853"/>
      <c r="B74" s="837" t="s">
        <v>186</v>
      </c>
      <c r="C74" s="838"/>
      <c r="D74" s="839">
        <f>SUM(D67:D73)</f>
        <v>958</v>
      </c>
      <c r="E74" s="837"/>
      <c r="F74" s="854" t="s">
        <v>1400</v>
      </c>
      <c r="G74" s="840">
        <f>SUM(G67:G73)</f>
        <v>11</v>
      </c>
      <c r="H74" s="839">
        <f>SUM(H67:H73)</f>
        <v>406</v>
      </c>
      <c r="I74" s="839">
        <f>SUM(I67:I73)</f>
        <v>4872</v>
      </c>
      <c r="J74" s="85">
        <f>SUM(D68:D73)</f>
        <v>958</v>
      </c>
      <c r="K74" s="1">
        <f>SUM(G68:G73)</f>
        <v>11</v>
      </c>
      <c r="L74" s="84">
        <f>SUM(H68:H73)</f>
        <v>406</v>
      </c>
      <c r="M74" s="70">
        <f>SUM(I68:I73)</f>
        <v>4872</v>
      </c>
      <c r="N74" s="83">
        <f t="shared" si="12"/>
        <v>4872</v>
      </c>
      <c r="O74" s="63">
        <f>SUM(N69:N73)</f>
        <v>4872</v>
      </c>
      <c r="P74"/>
      <c r="Q74" s="586" cm="1">
        <f t="array" ref="Q74">IF(H74=0,"",SUMPRODUCT(IFERROR(INT(H68:H73/F68:F73),0)))</f>
        <v>4</v>
      </c>
      <c r="R74" s="769">
        <f>IF(Q74="","",MAX(0,G74-Q74))</f>
        <v>7</v>
      </c>
      <c r="S74"/>
      <c r="AA74" t="s">
        <v>481</v>
      </c>
      <c r="AB74" t="s">
        <v>1422</v>
      </c>
    </row>
    <row r="75" spans="1:28" ht="15" customHeight="1" x14ac:dyDescent="0.3">
      <c r="A75" s="782"/>
      <c r="B75" s="779"/>
      <c r="C75" s="789"/>
      <c r="D75" s="790"/>
      <c r="E75" s="791"/>
      <c r="F75" s="781"/>
      <c r="G75" s="792"/>
      <c r="H75" s="793"/>
      <c r="I75" s="790"/>
      <c r="J75" s="82" t="str">
        <f>IF(D75="","",ROUNDUP(D75/IF(AND(C75="600 ml",ISNUMBER(SEARCH("NORCAU",B75))),95,IF(AND(C75="600 ml",ISNUMBER(SEARCH("APURATOS",B75))),190,IF(C75="600 ml",95,IF(C75="400 ml",125,IF(C75="200 ml",330,IF(C75="180 ml",240,1)))))),0))</f>
        <v/>
      </c>
      <c r="L75" s="81" t="str">
        <f>IF(H75="","",H75)</f>
        <v/>
      </c>
      <c r="N75" s="80" t="str">
        <f t="shared" si="12"/>
        <v/>
      </c>
      <c r="P75"/>
      <c r="Q75" s="589"/>
      <c r="R75" s="591"/>
      <c r="S75"/>
      <c r="AA75" t="s">
        <v>482</v>
      </c>
      <c r="AB75" t="s">
        <v>1422</v>
      </c>
    </row>
    <row r="76" spans="1:28" ht="15" customHeight="1" x14ac:dyDescent="0.3">
      <c r="A76" s="390">
        <v>46038</v>
      </c>
      <c r="B76" s="393" t="s">
        <v>49</v>
      </c>
      <c r="C76" s="391" t="s">
        <v>176</v>
      </c>
      <c r="D76" s="402" t="s">
        <v>177</v>
      </c>
      <c r="E76" s="392" t="s">
        <v>178</v>
      </c>
      <c r="F76" s="858" t="s">
        <v>179</v>
      </c>
      <c r="G76" s="404" t="s">
        <v>180</v>
      </c>
      <c r="H76" s="402" t="s">
        <v>181</v>
      </c>
      <c r="I76" s="402" t="s">
        <v>182</v>
      </c>
      <c r="J76" s="85"/>
      <c r="L76" s="84"/>
      <c r="N76" s="83"/>
      <c r="P76"/>
      <c r="Q76" s="589"/>
      <c r="R76" s="591"/>
      <c r="S76"/>
      <c r="AA76" t="s">
        <v>1192</v>
      </c>
      <c r="AB76" t="s">
        <v>1422</v>
      </c>
    </row>
    <row r="77" spans="1:28" ht="21" customHeight="1" x14ac:dyDescent="0.3">
      <c r="A77" s="390"/>
      <c r="B77" s="394"/>
      <c r="C77" s="395"/>
      <c r="D77" s="396"/>
      <c r="E77" s="397"/>
      <c r="F77" s="864"/>
      <c r="G77" s="398"/>
      <c r="H77" s="399"/>
      <c r="I77" s="396"/>
      <c r="J77" s="98" t="str">
        <f>IF(D77="","",ROUNDUP(D77/IF(AND(C77="600 ml",ISNUMBER(SEARCH("NORCAU",B77))),95,IF(AND(C77="600 ml",ISNUMBER(SEARCH("APURATOS",B77))),190,IF(C77="600 ml",95,IF(C77="400 ml",125,IF(C77="200 ml",330,IF(C77="180 ml",240,1)))))),0))</f>
        <v/>
      </c>
      <c r="K77" s="67"/>
      <c r="L77" s="97" t="str">
        <f>IF(H77="","",H77)</f>
        <v/>
      </c>
      <c r="M77" s="67"/>
      <c r="N77" s="96" t="str">
        <f t="shared" ref="N77:N83" si="13">IF(I77="","",I77)</f>
        <v/>
      </c>
      <c r="P77"/>
      <c r="Q77" s="589"/>
      <c r="R77" s="591"/>
      <c r="S77"/>
      <c r="AA77" t="s">
        <v>480</v>
      </c>
      <c r="AB77" t="s">
        <v>1422</v>
      </c>
    </row>
    <row r="78" spans="1:28" ht="21" customHeight="1" x14ac:dyDescent="0.3">
      <c r="A78" s="401"/>
      <c r="B78" s="394" t="s">
        <v>37</v>
      </c>
      <c r="C78" s="395">
        <v>600</v>
      </c>
      <c r="D78" s="396">
        <f>D70-L70</f>
        <v>552</v>
      </c>
      <c r="E78" s="397" t="s">
        <v>184</v>
      </c>
      <c r="F78" s="864">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95</v>
      </c>
      <c r="G78" s="398">
        <f>IFERROR(ROUNDUP(D78/F78,0),"")</f>
        <v>6</v>
      </c>
      <c r="H78" s="399">
        <v>552</v>
      </c>
      <c r="I78" s="396">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6624</v>
      </c>
      <c r="J78" s="1">
        <f>IF(D78="","",ROUNDUP(D78/IF(AND(C78="600 ml",ISNUMBER(SEARCH("NORCAU",B78))),95,IF(AND(C78="600 ml",ISNUMBER(SEARCH("APURATOS",B78))),190,IF(C78="600 ml",95,IF(C78="400 ml",125,IF(C78="200 ml",330,IF(C78="180 ml",240,1)))))),0))</f>
        <v>552</v>
      </c>
      <c r="L78" s="1">
        <f>IF(H78="","",H78)</f>
        <v>552</v>
      </c>
      <c r="N78" s="1">
        <f t="shared" si="13"/>
        <v>6624</v>
      </c>
      <c r="P78"/>
      <c r="Q78" s="589"/>
      <c r="R78" s="591"/>
      <c r="S78"/>
      <c r="AA78" t="s">
        <v>1414</v>
      </c>
      <c r="AB78" t="s">
        <v>1422</v>
      </c>
    </row>
    <row r="79" spans="1:28" ht="21" customHeight="1" x14ac:dyDescent="0.3">
      <c r="A79" s="390"/>
      <c r="B79" s="394" t="s">
        <v>492</v>
      </c>
      <c r="C79" s="395">
        <v>600</v>
      </c>
      <c r="D79" s="396">
        <v>950</v>
      </c>
      <c r="E79" s="397" t="s">
        <v>184</v>
      </c>
      <c r="F79" s="864">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190</v>
      </c>
      <c r="G79" s="398">
        <f>IFERROR(ROUNDUP(D79/F79,0),"")</f>
        <v>5</v>
      </c>
      <c r="H79" s="399">
        <v>559</v>
      </c>
      <c r="I79" s="396">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3354</v>
      </c>
      <c r="J79" s="72">
        <f>IF(D79="","",ROUNDUP(D79/IF(AND(C79="600 ml",ISNUMBER(SEARCH("NORCAU",B79))),95,IF(AND(C79="600 ml",ISNUMBER(SEARCH("APURATOS",B79))),190,IF(C79="600 ml",95,IF(C79="400 ml",125,IF(C79="200 ml",330,IF(C79="180 ml",240,1)))))),0))</f>
        <v>950</v>
      </c>
      <c r="K79" s="72"/>
      <c r="L79" s="87">
        <f>IF(H79="","",H79)</f>
        <v>559</v>
      </c>
      <c r="M79" s="72"/>
      <c r="N79" s="87">
        <f t="shared" si="13"/>
        <v>3354</v>
      </c>
      <c r="P79"/>
      <c r="Q79" s="589"/>
      <c r="R79" s="591"/>
      <c r="S79"/>
      <c r="AA79" t="s">
        <v>582</v>
      </c>
      <c r="AB79" t="s">
        <v>1422</v>
      </c>
    </row>
    <row r="80" spans="1:28" ht="21" customHeight="1" x14ac:dyDescent="0.3">
      <c r="A80" s="390"/>
      <c r="B80" s="394"/>
      <c r="C80" s="395"/>
      <c r="D80" s="396"/>
      <c r="E80" s="397" t="s">
        <v>184</v>
      </c>
      <c r="F80" s="864"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398" t="str">
        <f>IFERROR(ROUNDUP(D80/F80,0),"")</f>
        <v/>
      </c>
      <c r="H80" s="399"/>
      <c r="I80" s="396"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J80" s="85" t="str">
        <f>IF(D80="","",ROUNDUP(D80/IF(AND(C80="600 ml",ISNUMBER(SEARCH("NORCAU",B80))),95,IF(AND(C80="600 ml",ISNUMBER(SEARCH("APURATOS",B80))),190,IF(C80="600 ml",95,IF(C80="400 ml",125,IF(C80="200 ml",330,IF(C80="180 ml",240,1)))))),0))</f>
        <v/>
      </c>
      <c r="L80" s="84" t="str">
        <f>IF(H80="","",H80)</f>
        <v/>
      </c>
      <c r="N80" s="83" t="str">
        <f t="shared" si="13"/>
        <v/>
      </c>
      <c r="P80"/>
      <c r="Q80" s="589"/>
      <c r="R80" s="591"/>
      <c r="S80"/>
      <c r="AA80" t="s">
        <v>1207</v>
      </c>
      <c r="AB80" t="s">
        <v>1422</v>
      </c>
    </row>
    <row r="81" spans="1:28" ht="21" customHeight="1" x14ac:dyDescent="0.3">
      <c r="A81" s="795"/>
      <c r="B81" s="772"/>
      <c r="C81" s="773"/>
      <c r="D81" s="774"/>
      <c r="E81" s="775"/>
      <c r="F81" s="865"/>
      <c r="G81" s="776"/>
      <c r="H81" s="777"/>
      <c r="I81" s="774"/>
      <c r="J81" s="82" t="str">
        <f>IF(D81="","",ROUNDUP(D81/IF(AND(C81="600 ml",ISNUMBER(SEARCH("NORCAU",B81))),95,IF(AND(C81="600 ml",ISNUMBER(SEARCH("APURATOS",B81))),190,IF(C81="600 ml",95,IF(C81="400 ml",125,IF(C81="200 ml",330,IF(C81="180 ml",240,1)))))),0))</f>
        <v/>
      </c>
      <c r="L81" s="81" t="str">
        <f>IF(H81="","",H81)</f>
        <v/>
      </c>
      <c r="M81" s="70"/>
      <c r="N81" s="80" t="str">
        <f t="shared" si="13"/>
        <v/>
      </c>
      <c r="P81"/>
      <c r="Q81" s="589"/>
      <c r="R81" s="591"/>
      <c r="S81"/>
      <c r="AA81" t="s">
        <v>486</v>
      </c>
      <c r="AB81" t="s">
        <v>1422</v>
      </c>
    </row>
    <row r="82" spans="1:28" ht="15" customHeight="1" x14ac:dyDescent="0.3">
      <c r="A82" s="853"/>
      <c r="B82" s="837" t="s">
        <v>186</v>
      </c>
      <c r="C82" s="838"/>
      <c r="D82" s="839">
        <f>SUM(D75:D81)</f>
        <v>1502</v>
      </c>
      <c r="E82" s="837"/>
      <c r="F82" s="854" t="s">
        <v>1400</v>
      </c>
      <c r="G82" s="840">
        <f>SUM(G75:G81)</f>
        <v>11</v>
      </c>
      <c r="H82" s="839">
        <f>SUM(H75:H81)</f>
        <v>1111</v>
      </c>
      <c r="I82" s="839">
        <f>SUM(I75:I81)</f>
        <v>9978</v>
      </c>
      <c r="J82" s="85">
        <f>SUM(D77:D81)</f>
        <v>1502</v>
      </c>
      <c r="K82" s="1">
        <f>SUM(G77:G81)</f>
        <v>11</v>
      </c>
      <c r="L82" s="84">
        <f>SUM(H77:H81)</f>
        <v>1111</v>
      </c>
      <c r="M82" s="70">
        <f>SUM(I77:I81)</f>
        <v>9978</v>
      </c>
      <c r="N82" s="83">
        <f t="shared" si="13"/>
        <v>9978</v>
      </c>
      <c r="O82" s="63">
        <f>SUM(N78:N81)</f>
        <v>9978</v>
      </c>
      <c r="P82"/>
      <c r="Q82" s="586" cm="1">
        <f t="array" ref="Q82">IF(H82=0,"",SUMPRODUCT(IFERROR(INT(H77:H81/F77:F81),0)))</f>
        <v>7</v>
      </c>
      <c r="R82" s="769">
        <f>IF(Q82="","",MAX(0,G82-Q82))</f>
        <v>4</v>
      </c>
      <c r="S82"/>
      <c r="AA82" t="s">
        <v>485</v>
      </c>
      <c r="AB82" t="s">
        <v>1422</v>
      </c>
    </row>
    <row r="83" spans="1:28" ht="15" customHeight="1" x14ac:dyDescent="0.3">
      <c r="A83" s="782"/>
      <c r="B83" s="779"/>
      <c r="C83" s="789"/>
      <c r="D83" s="790"/>
      <c r="E83" s="791"/>
      <c r="F83" s="781"/>
      <c r="G83" s="792"/>
      <c r="H83" s="793"/>
      <c r="I83" s="790"/>
      <c r="J83" s="82" t="str">
        <f>IF(D83="","",ROUNDUP(D83/IF(AND(C83="600 ml",ISNUMBER(SEARCH("NORCAU",B83))),95,IF(AND(C83="600 ml",ISNUMBER(SEARCH("APURATOS",B83))),190,IF(C83="600 ml",95,IF(C83="400 ml",125,IF(C83="200 ml",330,IF(C83="180 ml",240,1)))))),0))</f>
        <v/>
      </c>
      <c r="L83" s="81" t="str">
        <f>IF(H83="","",H83)</f>
        <v/>
      </c>
      <c r="N83" s="80" t="str">
        <f t="shared" si="13"/>
        <v/>
      </c>
      <c r="P83"/>
      <c r="Q83" s="589"/>
      <c r="R83" s="591"/>
      <c r="S83"/>
      <c r="AA83" t="s">
        <v>583</v>
      </c>
      <c r="AB83" t="s">
        <v>1422</v>
      </c>
    </row>
    <row r="84" spans="1:28" ht="15" customHeight="1" x14ac:dyDescent="0.3">
      <c r="A84" s="390">
        <v>46041</v>
      </c>
      <c r="B84" s="393" t="s">
        <v>49</v>
      </c>
      <c r="C84" s="391" t="s">
        <v>176</v>
      </c>
      <c r="D84" s="402" t="s">
        <v>177</v>
      </c>
      <c r="E84" s="392" t="s">
        <v>178</v>
      </c>
      <c r="F84" s="858" t="s">
        <v>179</v>
      </c>
      <c r="G84" s="403" t="s">
        <v>180</v>
      </c>
      <c r="H84" s="402" t="s">
        <v>181</v>
      </c>
      <c r="I84" s="402" t="s">
        <v>182</v>
      </c>
      <c r="J84" s="85"/>
      <c r="L84" s="84"/>
      <c r="N84" s="83"/>
      <c r="P84"/>
      <c r="Q84" s="589"/>
      <c r="R84" s="591"/>
      <c r="S84"/>
      <c r="AA84" t="s">
        <v>584</v>
      </c>
      <c r="AB84" t="s">
        <v>1422</v>
      </c>
    </row>
    <row r="85" spans="1:28" ht="21" customHeight="1" x14ac:dyDescent="0.3">
      <c r="A85" s="390"/>
      <c r="B85" s="394"/>
      <c r="C85" s="395"/>
      <c r="D85" s="396"/>
      <c r="E85" s="397"/>
      <c r="F85" s="864"/>
      <c r="G85" s="398"/>
      <c r="H85" s="399"/>
      <c r="I85" s="396"/>
      <c r="J85" s="82" t="str">
        <f t="shared" ref="J85:J91" si="14">IF(D85="","",ROUNDUP(D85/IF(AND(C85="600 ml",ISNUMBER(SEARCH("NORCAU",B85))),95,IF(AND(C85="600 ml",ISNUMBER(SEARCH("APURATOS",B85))),190,IF(C85="600 ml",95,IF(C85="400 ml",125,IF(C85="200 ml",330,IF(C85="180 ml",240,1)))))),0))</f>
        <v/>
      </c>
      <c r="L85" s="81" t="str">
        <f t="shared" ref="L85:L91" si="15">IF(H85="","",H85)</f>
        <v/>
      </c>
      <c r="N85" s="80" t="str">
        <f t="shared" ref="N85:N93" si="16">IF(I85="","",I85)</f>
        <v/>
      </c>
      <c r="P85"/>
      <c r="Q85" s="589"/>
      <c r="R85" s="591"/>
      <c r="S85"/>
      <c r="AA85" t="s">
        <v>579</v>
      </c>
      <c r="AB85" t="s">
        <v>1422</v>
      </c>
    </row>
    <row r="86" spans="1:28" ht="21" customHeight="1" x14ac:dyDescent="0.3">
      <c r="A86" s="390"/>
      <c r="B86" s="394" t="s">
        <v>492</v>
      </c>
      <c r="C86" s="395">
        <v>600</v>
      </c>
      <c r="D86" s="396">
        <f>D79-L79</f>
        <v>391</v>
      </c>
      <c r="E86" s="397" t="s">
        <v>184</v>
      </c>
      <c r="F86" s="864">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190</v>
      </c>
      <c r="G86" s="398">
        <f>IFERROR(ROUNDUP(D86/F86,0),"")</f>
        <v>3</v>
      </c>
      <c r="H86" s="399">
        <v>400</v>
      </c>
      <c r="I86" s="396">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2400</v>
      </c>
      <c r="J86" s="1">
        <f t="shared" si="14"/>
        <v>391</v>
      </c>
      <c r="L86" s="70">
        <f t="shared" si="15"/>
        <v>400</v>
      </c>
      <c r="N86" s="69">
        <f t="shared" si="16"/>
        <v>2400</v>
      </c>
      <c r="P86"/>
      <c r="Q86" s="589"/>
      <c r="R86" s="591"/>
      <c r="S86"/>
      <c r="AA86" t="s">
        <v>484</v>
      </c>
      <c r="AB86" t="s">
        <v>1422</v>
      </c>
    </row>
    <row r="87" spans="1:28" ht="21" customHeight="1" x14ac:dyDescent="0.3">
      <c r="A87" s="390"/>
      <c r="B87" s="394" t="s">
        <v>188</v>
      </c>
      <c r="C87" s="395">
        <v>600</v>
      </c>
      <c r="D87" s="396">
        <v>308</v>
      </c>
      <c r="E87" s="397" t="s">
        <v>184</v>
      </c>
      <c r="F87" s="864">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95</v>
      </c>
      <c r="G87" s="398">
        <f>IFERROR(ROUNDUP(D87/F87,0),"")</f>
        <v>4</v>
      </c>
      <c r="H87" s="399">
        <v>308</v>
      </c>
      <c r="I87" s="396">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3696</v>
      </c>
      <c r="J87" s="1">
        <f t="shared" si="14"/>
        <v>308</v>
      </c>
      <c r="L87" s="70">
        <f t="shared" si="15"/>
        <v>308</v>
      </c>
      <c r="N87" s="69">
        <f t="shared" si="16"/>
        <v>3696</v>
      </c>
      <c r="P87"/>
      <c r="Q87" s="589"/>
      <c r="R87" s="591"/>
      <c r="S87"/>
      <c r="AA87" t="s">
        <v>580</v>
      </c>
      <c r="AB87" t="s">
        <v>1422</v>
      </c>
    </row>
    <row r="88" spans="1:28" ht="21" customHeight="1" x14ac:dyDescent="0.3">
      <c r="A88" s="390"/>
      <c r="B88" s="394" t="s">
        <v>72</v>
      </c>
      <c r="C88" s="395">
        <v>600</v>
      </c>
      <c r="D88" s="396">
        <v>461</v>
      </c>
      <c r="E88" s="397" t="s">
        <v>184</v>
      </c>
      <c r="F88" s="864">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95</v>
      </c>
      <c r="G88" s="398">
        <f>IFERROR(ROUNDUP(D88/F88,0),"")</f>
        <v>5</v>
      </c>
      <c r="H88" s="399">
        <v>379</v>
      </c>
      <c r="I88" s="396">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4548</v>
      </c>
      <c r="J88" s="1">
        <f t="shared" si="14"/>
        <v>461</v>
      </c>
      <c r="L88" s="70">
        <f t="shared" si="15"/>
        <v>379</v>
      </c>
      <c r="N88" s="69">
        <f t="shared" si="16"/>
        <v>4548</v>
      </c>
      <c r="P88"/>
      <c r="Q88" s="589"/>
      <c r="R88" s="591"/>
      <c r="S88"/>
      <c r="AA88" t="s">
        <v>585</v>
      </c>
      <c r="AB88" t="s">
        <v>1422</v>
      </c>
    </row>
    <row r="89" spans="1:28" ht="21" customHeight="1" x14ac:dyDescent="0.3">
      <c r="A89" s="390"/>
      <c r="B89" s="394"/>
      <c r="C89" s="395"/>
      <c r="D89" s="396"/>
      <c r="E89" s="397" t="s">
        <v>184</v>
      </c>
      <c r="F89" s="864" t="str">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
      </c>
      <c r="G89" s="398" t="str">
        <f>IFERROR(ROUNDUP(D89/F89,0),"")</f>
        <v/>
      </c>
      <c r="H89" s="399"/>
      <c r="I89" s="396" t="str">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
      </c>
      <c r="J89" s="67" t="str">
        <f t="shared" si="14"/>
        <v/>
      </c>
      <c r="K89" s="67"/>
      <c r="L89" s="89" t="str">
        <f t="shared" si="15"/>
        <v/>
      </c>
      <c r="M89" s="67"/>
      <c r="N89" s="88" t="str">
        <f t="shared" si="16"/>
        <v/>
      </c>
      <c r="P89"/>
      <c r="Q89" s="589"/>
      <c r="R89" s="591"/>
      <c r="S89"/>
      <c r="AA89" t="s">
        <v>586</v>
      </c>
      <c r="AB89" t="s">
        <v>1422</v>
      </c>
    </row>
    <row r="90" spans="1:28" ht="21" customHeight="1" x14ac:dyDescent="0.3">
      <c r="A90" s="401"/>
      <c r="B90" s="394"/>
      <c r="C90" s="395"/>
      <c r="D90" s="396"/>
      <c r="E90" s="397" t="s">
        <v>184</v>
      </c>
      <c r="F90" s="864" t="str">
        <f>IF($B90="","",IF(SUMIFS(CONFIG_PALETES!$C:$C,CONFIG_PALETES!$A:$A,TRIM($B90),CONFIG_PALETES!$B:$B,$C90&amp;" ml")&gt;0,SUMIFS(CONFIG_PALETES!$C:$C,CONFIG_PALETES!$A:$A,TRIM($B90),CONFIG_PALETES!$B:$B,$C90&amp;" ml"),IF(SUMIFS(CONFIG_PALETES!$C:$C,CONFIG_PALETES!$A:$A,"GERAL",CONFIG_PALETES!$B:$B,$C90&amp;" ml")&gt;0,SUMIFS(CONFIG_PALETES!$C:$C,CONFIG_PALETES!$A:$A,"GERAL",CONFIG_PALETES!$B:$B,$C90&amp;" ml"),"")))</f>
        <v/>
      </c>
      <c r="G90" s="398" t="str">
        <f>IFERROR(ROUNDUP(D90/F90,0),"")</f>
        <v/>
      </c>
      <c r="H90" s="399"/>
      <c r="I90" s="396" t="str">
        <f>IF(H90="","",H90*IF(SUMIFS(CONFIG_PALETES!$D:$D,CONFIG_PALETES!$A:$A,IF(ISNUMBER(SEARCH("ESPUMA",$B90)),"ESPUMA",IF(OR(ISNUMBER(SEARCH("OLEO DE COCO",$B90)),ISNUMBER(SEARCH("ÓLEO DE COCO",$B90)),ISNUMBER(SEARCH("COPRA",$B90))),"ÓLEO DE COCO",IF(ISNUMBER(SEARCH("CORANTE",$B90)),"CORANTE",TRIM($B90)))),CONFIG_PALETES!$B:$B,$C90&amp;" ml")&gt;0,SUMIFS(CONFIG_PALETES!$D:$D,CONFIG_PALETES!$A:$A,IF(ISNUMBER(SEARCH("ESPUMA",$B90)),"ESPUMA",IF(OR(ISNUMBER(SEARCH("OLEO DE COCO",$B90)),ISNUMBER(SEARCH("ÓLEO DE COCO",$B90)),ISNUMBER(SEARCH("COPRA",$B90))),"ÓLEO DE COCO",IF(ISNUMBER(SEARCH("CORANTE",$B90)),"CORANTE",TRIM($B90)))),CONFIG_PALETES!$B:$B,$C90&amp;" ml"),IF(SUMIFS(CONFIG_PALETES!$D:$D,CONFIG_PALETES!$A:$A,"GERAL",CONFIG_PALETES!$B:$B,$C90&amp;" ml")&gt;0,SUMIFS(CONFIG_PALETES!$D:$D,CONFIG_PALETES!$A:$A,"GERAL",CONFIG_PALETES!$B:$B,$C90&amp;" ml"),12)))</f>
        <v/>
      </c>
      <c r="J90" s="1" t="str">
        <f t="shared" si="14"/>
        <v/>
      </c>
      <c r="L90" s="1" t="str">
        <f t="shared" si="15"/>
        <v/>
      </c>
      <c r="N90" s="1" t="str">
        <f t="shared" si="16"/>
        <v/>
      </c>
      <c r="P90"/>
      <c r="Q90" s="589"/>
      <c r="R90" s="591"/>
      <c r="S90"/>
      <c r="AA90" t="s">
        <v>194</v>
      </c>
      <c r="AB90" t="s">
        <v>1422</v>
      </c>
    </row>
    <row r="91" spans="1:28" ht="21" customHeight="1" x14ac:dyDescent="0.3">
      <c r="A91" s="771"/>
      <c r="B91" s="772"/>
      <c r="C91" s="773"/>
      <c r="D91" s="774"/>
      <c r="E91" s="775"/>
      <c r="F91" s="865"/>
      <c r="G91" s="776"/>
      <c r="H91" s="777"/>
      <c r="I91" s="774"/>
      <c r="J91" s="72" t="str">
        <f t="shared" si="14"/>
        <v/>
      </c>
      <c r="K91" s="72"/>
      <c r="L91" s="87" t="str">
        <f t="shared" si="15"/>
        <v/>
      </c>
      <c r="M91" s="72"/>
      <c r="N91" s="87" t="str">
        <f t="shared" si="16"/>
        <v/>
      </c>
      <c r="P91"/>
      <c r="Q91" s="589"/>
      <c r="R91" s="591"/>
      <c r="S91"/>
      <c r="AA91" t="s">
        <v>35</v>
      </c>
      <c r="AB91" t="s">
        <v>1425</v>
      </c>
    </row>
    <row r="92" spans="1:28" ht="15" customHeight="1" x14ac:dyDescent="0.3">
      <c r="A92" s="853"/>
      <c r="B92" s="837" t="s">
        <v>186</v>
      </c>
      <c r="C92" s="838"/>
      <c r="D92" s="839">
        <f>SUM(D85:D91)</f>
        <v>1160</v>
      </c>
      <c r="E92" s="837"/>
      <c r="F92" s="854" t="s">
        <v>1400</v>
      </c>
      <c r="G92" s="840">
        <f>SUM(G85:G91)</f>
        <v>12</v>
      </c>
      <c r="H92" s="839">
        <f>SUM(H85:H91)</f>
        <v>1087</v>
      </c>
      <c r="I92" s="839">
        <f>SUM(I85:I91)</f>
        <v>10644</v>
      </c>
      <c r="J92" s="85">
        <f>SUM(D85:D91)</f>
        <v>1160</v>
      </c>
      <c r="K92" s="1">
        <f>SUM(G85:G91)</f>
        <v>12</v>
      </c>
      <c r="L92" s="84">
        <f>SUM(H85:H91)</f>
        <v>1087</v>
      </c>
      <c r="M92" s="1">
        <f>SUM(I85:I91)</f>
        <v>10644</v>
      </c>
      <c r="N92" s="83">
        <f t="shared" si="16"/>
        <v>10644</v>
      </c>
      <c r="O92" s="63">
        <f>SUM(N86:N91)</f>
        <v>10644</v>
      </c>
      <c r="P92"/>
      <c r="Q92" s="586" cm="1">
        <f t="array" ref="Q92">IF(H92=0,"",SUMPRODUCT(IFERROR(INT(H85:H91/F85:F91),0)))</f>
        <v>8</v>
      </c>
      <c r="R92" s="769">
        <f>IF(Q92="","",MAX(0,G92-Q92))</f>
        <v>4</v>
      </c>
      <c r="S92"/>
      <c r="AA92" t="s">
        <v>597</v>
      </c>
      <c r="AB92" t="s">
        <v>1425</v>
      </c>
    </row>
    <row r="93" spans="1:28" ht="15" customHeight="1" x14ac:dyDescent="0.3">
      <c r="A93" s="796"/>
      <c r="B93" s="779"/>
      <c r="C93" s="789"/>
      <c r="D93" s="790"/>
      <c r="E93" s="791"/>
      <c r="F93" s="781"/>
      <c r="G93" s="792"/>
      <c r="H93" s="793"/>
      <c r="I93" s="790"/>
      <c r="J93" s="82" t="str">
        <f>IF(D93="","",ROUNDUP(D93/IF(AND(C93="600 ml",ISNUMBER(SEARCH("NORCAU",B93))),95,IF(AND(C93="600 ml",ISNUMBER(SEARCH("APURATOS",B93))),190,IF(C93="600 ml",95,IF(C93="400 ml",125,IF(C93="200 ml",330,IF(C93="180 ml",240,1)))))),0))</f>
        <v/>
      </c>
      <c r="L93" s="81" t="str">
        <f>IF(H93="","",H93)</f>
        <v/>
      </c>
      <c r="N93" s="80" t="str">
        <f t="shared" si="16"/>
        <v/>
      </c>
      <c r="P93"/>
      <c r="Q93" s="589"/>
      <c r="R93" s="591"/>
      <c r="S93"/>
      <c r="AA93" t="s">
        <v>196</v>
      </c>
      <c r="AB93" t="s">
        <v>1429</v>
      </c>
    </row>
    <row r="94" spans="1:28" ht="15" customHeight="1" x14ac:dyDescent="0.3">
      <c r="A94" s="390">
        <v>46042</v>
      </c>
      <c r="B94" s="393" t="s">
        <v>49</v>
      </c>
      <c r="C94" s="391" t="s">
        <v>176</v>
      </c>
      <c r="D94" s="402" t="s">
        <v>177</v>
      </c>
      <c r="E94" s="392" t="s">
        <v>178</v>
      </c>
      <c r="F94" s="858" t="s">
        <v>179</v>
      </c>
      <c r="G94" s="403" t="s">
        <v>180</v>
      </c>
      <c r="H94" s="402" t="s">
        <v>181</v>
      </c>
      <c r="I94" s="402" t="s">
        <v>182</v>
      </c>
      <c r="J94" s="85"/>
      <c r="L94" s="84"/>
      <c r="N94" s="83"/>
      <c r="P94"/>
      <c r="Q94" s="589"/>
      <c r="R94" s="591"/>
      <c r="S94"/>
      <c r="AA94" t="s">
        <v>298</v>
      </c>
      <c r="AB94" t="s">
        <v>1422</v>
      </c>
    </row>
    <row r="95" spans="1:28" ht="21" customHeight="1" x14ac:dyDescent="0.3">
      <c r="A95" s="401"/>
      <c r="B95" s="394"/>
      <c r="C95" s="395"/>
      <c r="D95" s="396"/>
      <c r="E95" s="397"/>
      <c r="F95" s="864"/>
      <c r="G95" s="398"/>
      <c r="H95" s="399"/>
      <c r="I95" s="396"/>
      <c r="J95" s="82" t="str">
        <f t="shared" ref="J95:J101" si="17">IF(D95="","",ROUNDUP(D95/IF(AND(C95="600 ml",ISNUMBER(SEARCH("NORCAU",B95))),95,IF(AND(C95="600 ml",ISNUMBER(SEARCH("APURATOS",B95))),190,IF(C95="600 ml",95,IF(C95="400 ml",125,IF(C95="200 ml",330,IF(C95="180 ml",240,1)))))),0))</f>
        <v/>
      </c>
      <c r="L95" s="81" t="str">
        <f t="shared" ref="L95:L101" si="18">IF(H95="","",H95)</f>
        <v/>
      </c>
      <c r="N95" s="80" t="str">
        <f t="shared" ref="N95:N103" si="19">IF(I95="","",I95)</f>
        <v/>
      </c>
      <c r="P95"/>
      <c r="Q95" s="589"/>
      <c r="R95" s="591"/>
      <c r="S95"/>
      <c r="AA95" t="s">
        <v>191</v>
      </c>
      <c r="AB95" t="s">
        <v>1422</v>
      </c>
    </row>
    <row r="96" spans="1:28" ht="21" customHeight="1" x14ac:dyDescent="0.3">
      <c r="A96" s="401"/>
      <c r="B96" s="394" t="s">
        <v>72</v>
      </c>
      <c r="C96" s="395">
        <v>600</v>
      </c>
      <c r="D96" s="396">
        <f>D88-L88</f>
        <v>82</v>
      </c>
      <c r="E96" s="397" t="s">
        <v>184</v>
      </c>
      <c r="F96" s="864">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95</v>
      </c>
      <c r="G96" s="398">
        <f>IFERROR(ROUNDUP(D96/F96,0),"")</f>
        <v>1</v>
      </c>
      <c r="H96" s="399">
        <v>82</v>
      </c>
      <c r="I96" s="396">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984</v>
      </c>
      <c r="J96" s="85">
        <f t="shared" si="17"/>
        <v>82</v>
      </c>
      <c r="L96" s="84">
        <f t="shared" si="18"/>
        <v>82</v>
      </c>
      <c r="M96" s="70"/>
      <c r="N96" s="83">
        <f t="shared" si="19"/>
        <v>984</v>
      </c>
      <c r="P96"/>
      <c r="Q96" s="589"/>
      <c r="R96" s="591"/>
      <c r="S96"/>
      <c r="AA96" t="s">
        <v>190</v>
      </c>
      <c r="AB96" t="s">
        <v>1422</v>
      </c>
    </row>
    <row r="97" spans="1:28" ht="21" customHeight="1" x14ac:dyDescent="0.3">
      <c r="A97" s="390"/>
      <c r="B97" s="394" t="s">
        <v>135</v>
      </c>
      <c r="C97" s="395">
        <v>400</v>
      </c>
      <c r="D97" s="396">
        <v>250</v>
      </c>
      <c r="E97" s="397" t="s">
        <v>184</v>
      </c>
      <c r="F97" s="864">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125</v>
      </c>
      <c r="G97" s="398">
        <f>IFERROR(ROUNDUP(D97/F97,0),"")</f>
        <v>2</v>
      </c>
      <c r="H97" s="399">
        <v>250</v>
      </c>
      <c r="I97" s="396">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3000</v>
      </c>
      <c r="J97" s="82">
        <f t="shared" si="17"/>
        <v>250</v>
      </c>
      <c r="L97" s="81">
        <f t="shared" si="18"/>
        <v>250</v>
      </c>
      <c r="N97" s="80">
        <f t="shared" si="19"/>
        <v>3000</v>
      </c>
      <c r="P97"/>
      <c r="Q97" s="589"/>
      <c r="R97" s="591"/>
      <c r="S97"/>
      <c r="AA97" t="s">
        <v>594</v>
      </c>
      <c r="AB97" t="s">
        <v>1424</v>
      </c>
    </row>
    <row r="98" spans="1:28" ht="21" customHeight="1" x14ac:dyDescent="0.3">
      <c r="A98" s="390"/>
      <c r="B98" s="394" t="s">
        <v>189</v>
      </c>
      <c r="C98" s="395">
        <v>400</v>
      </c>
      <c r="D98" s="396">
        <v>200</v>
      </c>
      <c r="E98" s="397" t="s">
        <v>184</v>
      </c>
      <c r="F98" s="864">
        <f>IF($B98="","",IF(SUMIFS(CONFIG_PALETES!$C:$C,CONFIG_PALETES!$A:$A,TRIM($B98),CONFIG_PALETES!$B:$B,$C98&amp;" ml")&gt;0,SUMIFS(CONFIG_PALETES!$C:$C,CONFIG_PALETES!$A:$A,TRIM($B98),CONFIG_PALETES!$B:$B,$C98&amp;" ml"),IF(SUMIFS(CONFIG_PALETES!$C:$C,CONFIG_PALETES!$A:$A,"GERAL",CONFIG_PALETES!$B:$B,$C98&amp;" ml")&gt;0,SUMIFS(CONFIG_PALETES!$C:$C,CONFIG_PALETES!$A:$A,"GERAL",CONFIG_PALETES!$B:$B,$C98&amp;" ml"),"")))</f>
        <v>125</v>
      </c>
      <c r="G98" s="398">
        <f>IFERROR(ROUNDUP(D98/F98,0),"")</f>
        <v>2</v>
      </c>
      <c r="H98" s="399">
        <v>201</v>
      </c>
      <c r="I98" s="396">
        <f>IF(H98="","",H98*IF(SUMIFS(CONFIG_PALETES!$D:$D,CONFIG_PALETES!$A:$A,IF(ISNUMBER(SEARCH("ESPUMA",$B98)),"ESPUMA",IF(OR(ISNUMBER(SEARCH("OLEO DE COCO",$B98)),ISNUMBER(SEARCH("ÓLEO DE COCO",$B98)),ISNUMBER(SEARCH("COPRA",$B98))),"ÓLEO DE COCO",IF(ISNUMBER(SEARCH("CORANTE",$B98)),"CORANTE",TRIM($B98)))),CONFIG_PALETES!$B:$B,$C98&amp;" ml")&gt;0,SUMIFS(CONFIG_PALETES!$D:$D,CONFIG_PALETES!$A:$A,IF(ISNUMBER(SEARCH("ESPUMA",$B98)),"ESPUMA",IF(OR(ISNUMBER(SEARCH("OLEO DE COCO",$B98)),ISNUMBER(SEARCH("ÓLEO DE COCO",$B98)),ISNUMBER(SEARCH("COPRA",$B98))),"ÓLEO DE COCO",IF(ISNUMBER(SEARCH("CORANTE",$B98)),"CORANTE",TRIM($B98)))),CONFIG_PALETES!$B:$B,$C98&amp;" ml"),IF(SUMIFS(CONFIG_PALETES!$D:$D,CONFIG_PALETES!$A:$A,"GERAL",CONFIG_PALETES!$B:$B,$C98&amp;" ml")&gt;0,SUMIFS(CONFIG_PALETES!$D:$D,CONFIG_PALETES!$A:$A,"GERAL",CONFIG_PALETES!$B:$B,$C98&amp;" ml"),12)))</f>
        <v>2412</v>
      </c>
      <c r="J98" s="1">
        <f t="shared" si="17"/>
        <v>200</v>
      </c>
      <c r="L98" s="70">
        <f t="shared" si="18"/>
        <v>201</v>
      </c>
      <c r="N98" s="69">
        <f t="shared" si="19"/>
        <v>2412</v>
      </c>
      <c r="P98"/>
      <c r="Q98" s="589"/>
      <c r="R98" s="591"/>
      <c r="S98"/>
      <c r="AA98" t="s">
        <v>1061</v>
      </c>
      <c r="AB98" t="s">
        <v>1429</v>
      </c>
    </row>
    <row r="99" spans="1:28" ht="21" customHeight="1" x14ac:dyDescent="0.3">
      <c r="A99" s="390"/>
      <c r="B99" s="394"/>
      <c r="C99" s="395"/>
      <c r="D99" s="396"/>
      <c r="E99" s="397" t="s">
        <v>184</v>
      </c>
      <c r="F99" s="864" t="str">
        <f>IF($B99="","",IF(SUMIFS(CONFIG_PALETES!$C:$C,CONFIG_PALETES!$A:$A,TRIM($B99),CONFIG_PALETES!$B:$B,$C99&amp;" ml")&gt;0,SUMIFS(CONFIG_PALETES!$C:$C,CONFIG_PALETES!$A:$A,TRIM($B99),CONFIG_PALETES!$B:$B,$C99&amp;" ml"),IF(SUMIFS(CONFIG_PALETES!$C:$C,CONFIG_PALETES!$A:$A,"GERAL",CONFIG_PALETES!$B:$B,$C99&amp;" ml")&gt;0,SUMIFS(CONFIG_PALETES!$C:$C,CONFIG_PALETES!$A:$A,"GERAL",CONFIG_PALETES!$B:$B,$C99&amp;" ml"),"")))</f>
        <v/>
      </c>
      <c r="G99" s="398" t="str">
        <f>IFERROR(ROUNDUP(D99/F99,0),"")</f>
        <v/>
      </c>
      <c r="H99" s="399"/>
      <c r="I99" s="396" t="str">
        <f>IF(H99="","",H99*IF(SUMIFS(CONFIG_PALETES!$D:$D,CONFIG_PALETES!$A:$A,IF(ISNUMBER(SEARCH("ESPUMA",$B99)),"ESPUMA",IF(OR(ISNUMBER(SEARCH("OLEO DE COCO",$B99)),ISNUMBER(SEARCH("ÓLEO DE COCO",$B99)),ISNUMBER(SEARCH("COPRA",$B99))),"ÓLEO DE COCO",IF(ISNUMBER(SEARCH("CORANTE",$B99)),"CORANTE",TRIM($B99)))),CONFIG_PALETES!$B:$B,$C99&amp;" ml")&gt;0,SUMIFS(CONFIG_PALETES!$D:$D,CONFIG_PALETES!$A:$A,IF(ISNUMBER(SEARCH("ESPUMA",$B99)),"ESPUMA",IF(OR(ISNUMBER(SEARCH("OLEO DE COCO",$B99)),ISNUMBER(SEARCH("ÓLEO DE COCO",$B99)),ISNUMBER(SEARCH("COPRA",$B99))),"ÓLEO DE COCO",IF(ISNUMBER(SEARCH("CORANTE",$B99)),"CORANTE",TRIM($B99)))),CONFIG_PALETES!$B:$B,$C99&amp;" ml"),IF(SUMIFS(CONFIG_PALETES!$D:$D,CONFIG_PALETES!$A:$A,"GERAL",CONFIG_PALETES!$B:$B,$C99&amp;" ml")&gt;0,SUMIFS(CONFIG_PALETES!$D:$D,CONFIG_PALETES!$A:$A,"GERAL",CONFIG_PALETES!$B:$B,$C99&amp;" ml"),12)))</f>
        <v/>
      </c>
      <c r="J99" s="67" t="str">
        <f t="shared" si="17"/>
        <v/>
      </c>
      <c r="K99" s="67"/>
      <c r="L99" s="89" t="str">
        <f t="shared" si="18"/>
        <v/>
      </c>
      <c r="M99" s="67"/>
      <c r="N99" s="88" t="str">
        <f t="shared" si="19"/>
        <v/>
      </c>
      <c r="P99"/>
      <c r="Q99" s="589"/>
      <c r="R99" s="591"/>
      <c r="S99"/>
      <c r="AA99" t="s">
        <v>149</v>
      </c>
      <c r="AB99" t="s">
        <v>1425</v>
      </c>
    </row>
    <row r="100" spans="1:28" ht="21" customHeight="1" x14ac:dyDescent="0.3">
      <c r="A100" s="401"/>
      <c r="B100" s="394"/>
      <c r="C100" s="395"/>
      <c r="D100" s="396"/>
      <c r="E100" s="397" t="s">
        <v>184</v>
      </c>
      <c r="F100" s="864"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398" t="str">
        <f>IFERROR(ROUNDUP(D100/F100,0),"")</f>
        <v/>
      </c>
      <c r="H100" s="399"/>
      <c r="I100" s="396"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J100" s="1" t="str">
        <f t="shared" si="17"/>
        <v/>
      </c>
      <c r="L100" s="1" t="str">
        <f t="shared" si="18"/>
        <v/>
      </c>
      <c r="N100" s="1" t="str">
        <f t="shared" si="19"/>
        <v/>
      </c>
      <c r="P100"/>
      <c r="Q100" s="589"/>
      <c r="R100" s="591"/>
      <c r="S100"/>
      <c r="AA100" t="s">
        <v>29</v>
      </c>
      <c r="AB100" t="s">
        <v>1425</v>
      </c>
    </row>
    <row r="101" spans="1:28" ht="21" customHeight="1" x14ac:dyDescent="0.3">
      <c r="A101" s="771"/>
      <c r="B101" s="772"/>
      <c r="C101" s="773"/>
      <c r="D101" s="774"/>
      <c r="E101" s="775"/>
      <c r="F101" s="865"/>
      <c r="G101" s="776"/>
      <c r="H101" s="777"/>
      <c r="I101" s="774"/>
      <c r="J101" s="72" t="str">
        <f t="shared" si="17"/>
        <v/>
      </c>
      <c r="K101" s="72"/>
      <c r="L101" s="87" t="str">
        <f t="shared" si="18"/>
        <v/>
      </c>
      <c r="M101" s="72"/>
      <c r="N101" s="87" t="str">
        <f t="shared" si="19"/>
        <v/>
      </c>
      <c r="AA101" t="s">
        <v>62</v>
      </c>
      <c r="AB101" t="s">
        <v>1423</v>
      </c>
    </row>
    <row r="102" spans="1:28" ht="15" customHeight="1" x14ac:dyDescent="0.3">
      <c r="A102" s="853"/>
      <c r="B102" s="837" t="s">
        <v>186</v>
      </c>
      <c r="C102" s="838"/>
      <c r="D102" s="839">
        <f>SUM(D95:D101)</f>
        <v>532</v>
      </c>
      <c r="E102" s="837"/>
      <c r="F102" s="854" t="s">
        <v>1400</v>
      </c>
      <c r="G102" s="840">
        <f>SUM(G95:G101)</f>
        <v>5</v>
      </c>
      <c r="H102" s="839">
        <f>SUM(H95:H101)</f>
        <v>533</v>
      </c>
      <c r="I102" s="839">
        <f>SUM(I95:I101)</f>
        <v>6396</v>
      </c>
      <c r="J102" s="85">
        <f>SUM(D95:D101)</f>
        <v>532</v>
      </c>
      <c r="K102" s="1">
        <f>SUM(G95:G101)</f>
        <v>5</v>
      </c>
      <c r="L102" s="84">
        <f>SUM(H95:H101)</f>
        <v>533</v>
      </c>
      <c r="M102" s="1">
        <f>SUM(I95:I101)</f>
        <v>6396</v>
      </c>
      <c r="N102" s="83">
        <f t="shared" si="19"/>
        <v>6396</v>
      </c>
      <c r="O102" s="63">
        <f>SUM(N96:N101)</f>
        <v>6396</v>
      </c>
      <c r="Q102" s="587" cm="1">
        <f t="array" ref="Q102">IF(H102=0,"",SUMPRODUCT(IFERROR(INT(H95:H101/F95:F101),0)))</f>
        <v>3</v>
      </c>
      <c r="R102" s="770">
        <f>IF(Q102="","",MAX(0,G102-Q102))</f>
        <v>2</v>
      </c>
      <c r="AA102" t="s">
        <v>649</v>
      </c>
      <c r="AB102" t="s">
        <v>1423</v>
      </c>
    </row>
    <row r="103" spans="1:28" ht="15" customHeight="1" x14ac:dyDescent="0.3">
      <c r="A103" s="796"/>
      <c r="B103" s="779"/>
      <c r="C103" s="789"/>
      <c r="D103" s="790"/>
      <c r="E103" s="791"/>
      <c r="F103" s="781"/>
      <c r="G103" s="792"/>
      <c r="H103" s="793"/>
      <c r="I103" s="790"/>
      <c r="J103" s="82" t="str">
        <f>IF(D103="","",ROUNDUP(D103/IF(AND(C103="600 ml",ISNUMBER(SEARCH("NORCAU",B103))),95,IF(AND(C103="600 ml",ISNUMBER(SEARCH("APURATOS",B103))),190,IF(C103="600 ml",95,IF(C103="400 ml",125,IF(C103="200 ml",330,IF(C103="180 ml",240,1)))))),0))</f>
        <v/>
      </c>
      <c r="L103" s="81" t="str">
        <f>IF(H103="","",H103)</f>
        <v/>
      </c>
      <c r="M103" s="70"/>
      <c r="N103" s="80" t="str">
        <f t="shared" si="19"/>
        <v/>
      </c>
      <c r="AA103" t="s">
        <v>188</v>
      </c>
      <c r="AB103" t="s">
        <v>1423</v>
      </c>
    </row>
    <row r="104" spans="1:28" ht="15" customHeight="1" x14ac:dyDescent="0.3">
      <c r="A104" s="390">
        <v>46043</v>
      </c>
      <c r="B104" s="393" t="s">
        <v>49</v>
      </c>
      <c r="C104" s="391" t="s">
        <v>176</v>
      </c>
      <c r="D104" s="402" t="s">
        <v>177</v>
      </c>
      <c r="E104" s="392" t="s">
        <v>178</v>
      </c>
      <c r="F104" s="858" t="s">
        <v>179</v>
      </c>
      <c r="G104" s="403" t="s">
        <v>180</v>
      </c>
      <c r="H104" s="402" t="s">
        <v>181</v>
      </c>
      <c r="I104" s="402" t="s">
        <v>182</v>
      </c>
      <c r="J104" s="85"/>
      <c r="L104" s="84"/>
      <c r="M104" s="70"/>
      <c r="N104" s="83"/>
      <c r="AA104" t="s">
        <v>1164</v>
      </c>
      <c r="AB104" t="s">
        <v>1423</v>
      </c>
    </row>
    <row r="105" spans="1:28" ht="21" customHeight="1" x14ac:dyDescent="0.3">
      <c r="A105" s="405"/>
      <c r="B105" s="394"/>
      <c r="C105" s="395"/>
      <c r="D105" s="396"/>
      <c r="E105" s="397"/>
      <c r="F105" s="864"/>
      <c r="G105" s="398"/>
      <c r="H105" s="399"/>
      <c r="I105" s="396"/>
      <c r="J105" s="82" t="str">
        <f>IF(D105="","",ROUNDUP(D105/IF(AND(C105="600 ml",ISNUMBER(SEARCH("NORCAU",B105))),95,IF(AND(C105="600 ml",ISNUMBER(SEARCH("APURATOS",B105))),190,IF(C105="600 ml",95,IF(C105="400 ml",125,IF(C105="200 ml",330,IF(C105="180 ml",240,1)))))),0))</f>
        <v/>
      </c>
      <c r="L105" s="81" t="str">
        <f>IF(H105="","",H105)</f>
        <v/>
      </c>
      <c r="N105" s="80" t="str">
        <f t="shared" ref="N105:N111" si="20">IF(I105="","",I105)</f>
        <v/>
      </c>
      <c r="AA105" t="s">
        <v>131</v>
      </c>
      <c r="AB105" t="s">
        <v>1423</v>
      </c>
    </row>
    <row r="106" spans="1:28" ht="21" customHeight="1" x14ac:dyDescent="0.3">
      <c r="A106" s="405"/>
      <c r="B106" s="394" t="s">
        <v>190</v>
      </c>
      <c r="C106" s="395">
        <v>200</v>
      </c>
      <c r="D106" s="396">
        <v>660</v>
      </c>
      <c r="E106" s="397" t="s">
        <v>184</v>
      </c>
      <c r="F106" s="864">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330</v>
      </c>
      <c r="G106" s="398">
        <f>IFERROR(ROUNDUP(D106/F106,0),"")</f>
        <v>2</v>
      </c>
      <c r="H106" s="399">
        <v>660</v>
      </c>
      <c r="I106" s="396">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f>
        <v>3960</v>
      </c>
      <c r="J106" s="85">
        <f>IF(D106="","",ROUNDUP(D106/IF(AND(C106="600 ml",ISNUMBER(SEARCH("NORCAU",B106))),95,IF(AND(C106="600 ml",ISNUMBER(SEARCH("APURATOS",B106))),190,IF(C106="600 ml",95,IF(C106="400 ml",125,IF(C106="200 ml",330,IF(C106="180 ml",240,1)))))),0))</f>
        <v>660</v>
      </c>
      <c r="L106" s="84">
        <f>IF(H106="","",H106)</f>
        <v>660</v>
      </c>
      <c r="M106" s="70"/>
      <c r="N106" s="83">
        <f t="shared" si="20"/>
        <v>3960</v>
      </c>
      <c r="AA106" t="s">
        <v>1225</v>
      </c>
      <c r="AB106" t="s">
        <v>1426</v>
      </c>
    </row>
    <row r="107" spans="1:28" ht="21" customHeight="1" x14ac:dyDescent="0.3">
      <c r="A107" s="390"/>
      <c r="B107" s="394" t="s">
        <v>191</v>
      </c>
      <c r="C107" s="395">
        <v>200</v>
      </c>
      <c r="D107" s="396">
        <v>1320</v>
      </c>
      <c r="E107" s="397" t="s">
        <v>184</v>
      </c>
      <c r="F107" s="864">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330</v>
      </c>
      <c r="G107" s="398">
        <f>IFERROR(ROUNDUP(D107/F107,0),"")</f>
        <v>4</v>
      </c>
      <c r="H107" s="399">
        <v>1020</v>
      </c>
      <c r="I107" s="396">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6120</v>
      </c>
      <c r="J107" s="82">
        <f>IF(D107="","",ROUNDUP(D107/IF(AND(C107="600 ml",ISNUMBER(SEARCH("NORCAU",B107))),95,IF(AND(C107="600 ml",ISNUMBER(SEARCH("APURATOS",B107))),190,IF(C107="600 ml",95,IF(C107="400 ml",125,IF(C107="200 ml",330,IF(C107="180 ml",240,1)))))),0))</f>
        <v>1320</v>
      </c>
      <c r="L107" s="81">
        <f>IF(H107="","",H107)</f>
        <v>1020</v>
      </c>
      <c r="N107" s="80">
        <f t="shared" si="20"/>
        <v>6120</v>
      </c>
      <c r="AA107" t="s">
        <v>198</v>
      </c>
      <c r="AB107" t="s">
        <v>1425</v>
      </c>
    </row>
    <row r="108" spans="1:28" ht="21" customHeight="1" x14ac:dyDescent="0.3">
      <c r="A108" s="390"/>
      <c r="B108" s="394"/>
      <c r="C108" s="395"/>
      <c r="D108" s="396"/>
      <c r="E108" s="397" t="s">
        <v>184</v>
      </c>
      <c r="F108" s="864"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398" t="str">
        <f>IFERROR(ROUNDUP(D108/F108,0),"")</f>
        <v/>
      </c>
      <c r="H108" s="399"/>
      <c r="I108" s="396"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J108" s="1" t="str">
        <f>IF(D108="","",ROUNDUP(D108/IF(AND(C108="600 ml",ISNUMBER(SEARCH("NORCAU",B108))),95,IF(AND(C108="600 ml",ISNUMBER(SEARCH("APURATOS",B108))),190,IF(C108="600 ml",95,IF(C108="400 ml",125,IF(C108="200 ml",330,IF(C108="180 ml",240,1)))))),0))</f>
        <v/>
      </c>
      <c r="L108" s="70" t="str">
        <f>IF(H108="","",H108)</f>
        <v/>
      </c>
      <c r="N108" s="69" t="str">
        <f t="shared" si="20"/>
        <v/>
      </c>
      <c r="AA108" t="s">
        <v>1226</v>
      </c>
      <c r="AB108" t="s">
        <v>1426</v>
      </c>
    </row>
    <row r="109" spans="1:28" ht="21" customHeight="1" x14ac:dyDescent="0.3">
      <c r="A109" s="771"/>
      <c r="B109" s="772"/>
      <c r="C109" s="773"/>
      <c r="D109" s="774"/>
      <c r="E109" s="775"/>
      <c r="F109" s="865"/>
      <c r="G109" s="776"/>
      <c r="H109" s="777"/>
      <c r="I109" s="774"/>
      <c r="J109" s="67" t="str">
        <f>IF(D109="","",ROUNDUP(D109/IF(AND(C109="600 ml",ISNUMBER(SEARCH("NORCAU",B109))),95,IF(AND(C109="600 ml",ISNUMBER(SEARCH("APURATOS",B109))),190,IF(C109="600 ml",95,IF(C109="400 ml",125,IF(C109="200 ml",330,IF(C109="180 ml",240,1)))))),0))</f>
        <v/>
      </c>
      <c r="K109" s="67"/>
      <c r="L109" s="89" t="str">
        <f>IF(H109="","",H109)</f>
        <v/>
      </c>
      <c r="M109" s="67"/>
      <c r="N109" s="88" t="str">
        <f t="shared" si="20"/>
        <v/>
      </c>
      <c r="AA109" t="s">
        <v>192</v>
      </c>
      <c r="AB109" t="s">
        <v>1422</v>
      </c>
    </row>
    <row r="110" spans="1:28" ht="15" customHeight="1" x14ac:dyDescent="0.3">
      <c r="A110" s="853"/>
      <c r="B110" s="837" t="s">
        <v>186</v>
      </c>
      <c r="C110" s="838"/>
      <c r="D110" s="839">
        <f>SUM(D103:D109)</f>
        <v>1980</v>
      </c>
      <c r="E110" s="837"/>
      <c r="F110" s="854" t="s">
        <v>1400</v>
      </c>
      <c r="G110" s="840">
        <f>SUM(G103:G109)</f>
        <v>6</v>
      </c>
      <c r="H110" s="839">
        <f>SUM(H103:H109)</f>
        <v>1680</v>
      </c>
      <c r="I110" s="839">
        <f>SUM(I103:I109)</f>
        <v>10080</v>
      </c>
      <c r="J110" s="1">
        <f>SUM(D105:D109)</f>
        <v>1980</v>
      </c>
      <c r="K110" s="1">
        <f>SUM(G105:G109)</f>
        <v>6</v>
      </c>
      <c r="L110" s="1">
        <f>SUM(H105:H109)</f>
        <v>1680</v>
      </c>
      <c r="M110" s="1">
        <f>SUM(I105:I109)</f>
        <v>10080</v>
      </c>
      <c r="N110" s="1">
        <f t="shared" si="20"/>
        <v>10080</v>
      </c>
      <c r="O110" s="63">
        <f>SUM(N106:N109)</f>
        <v>10080</v>
      </c>
      <c r="Q110" s="587" cm="1">
        <f t="array" ref="Q110">IF(H110=0,"",SUMPRODUCT(IFERROR(INT(H105:H109/F105:F109),0)))</f>
        <v>5</v>
      </c>
      <c r="R110" s="770">
        <f>IF(Q110="","",MAX(0,G110-Q110))</f>
        <v>1</v>
      </c>
      <c r="AA110" t="s">
        <v>1163</v>
      </c>
      <c r="AB110" t="s">
        <v>1423</v>
      </c>
    </row>
    <row r="111" spans="1:28" ht="15" customHeight="1" x14ac:dyDescent="0.3">
      <c r="A111" s="782"/>
      <c r="B111" s="797"/>
      <c r="C111" s="798"/>
      <c r="D111" s="799"/>
      <c r="E111" s="799"/>
      <c r="F111" s="791"/>
      <c r="G111" s="799"/>
      <c r="H111" s="799"/>
      <c r="I111" s="799"/>
      <c r="J111" s="72" t="str">
        <f>IF(D111="","",ROUNDUP(D111/IF(AND(C111="600 ml",ISNUMBER(SEARCH("NORCAU",B111))),95,IF(AND(C111="600 ml",ISNUMBER(SEARCH("APURATOS",B111))),190,IF(C111="600 ml",95,IF(C111="400 ml",125,IF(C111="200 ml",330,IF(C111="180 ml",240,1)))))),0))</f>
        <v/>
      </c>
      <c r="K111" s="72"/>
      <c r="L111" s="87" t="str">
        <f>IF(H111="","",H111)</f>
        <v/>
      </c>
      <c r="M111" s="72"/>
      <c r="N111" s="87" t="str">
        <f t="shared" si="20"/>
        <v/>
      </c>
      <c r="AA111" t="s">
        <v>41</v>
      </c>
      <c r="AB111" t="s">
        <v>1423</v>
      </c>
    </row>
    <row r="112" spans="1:28" ht="15" customHeight="1" x14ac:dyDescent="0.3">
      <c r="A112" s="390">
        <v>46044</v>
      </c>
      <c r="B112" s="393" t="s">
        <v>49</v>
      </c>
      <c r="C112" s="391" t="s">
        <v>176</v>
      </c>
      <c r="D112" s="402" t="s">
        <v>177</v>
      </c>
      <c r="E112" s="392" t="s">
        <v>178</v>
      </c>
      <c r="F112" s="858" t="s">
        <v>179</v>
      </c>
      <c r="G112" s="404" t="s">
        <v>180</v>
      </c>
      <c r="H112" s="402" t="s">
        <v>181</v>
      </c>
      <c r="I112" s="402" t="s">
        <v>182</v>
      </c>
      <c r="J112" s="85"/>
      <c r="L112" s="84"/>
      <c r="N112" s="83"/>
      <c r="AA112" t="s">
        <v>399</v>
      </c>
      <c r="AB112" t="s">
        <v>1430</v>
      </c>
    </row>
    <row r="113" spans="1:28" ht="21" customHeight="1" x14ac:dyDescent="0.3">
      <c r="A113" s="400"/>
      <c r="B113" s="394"/>
      <c r="C113" s="395"/>
      <c r="D113" s="396"/>
      <c r="E113" s="397"/>
      <c r="F113" s="864"/>
      <c r="G113" s="398"/>
      <c r="H113" s="399"/>
      <c r="I113" s="396"/>
      <c r="J113" s="82" t="str">
        <f t="shared" ref="J113:J119" si="21">IF(D113="","",ROUNDUP(D113/IF(AND(C113="600 ml",ISNUMBER(SEARCH("NORCAU",B113))),95,IF(AND(C113="600 ml",ISNUMBER(SEARCH("APURATOS",B113))),190,IF(C113="600 ml",95,IF(C113="400 ml",125,IF(C113="200 ml",330,IF(C113="180 ml",240,1)))))),0))</f>
        <v/>
      </c>
      <c r="L113" s="81" t="str">
        <f t="shared" ref="L113:L119" si="22">IF(H113="","",H113)</f>
        <v/>
      </c>
      <c r="M113" s="70"/>
      <c r="N113" s="80" t="str">
        <f t="shared" ref="N113:N121" si="23">IF(I113="","",I113)</f>
        <v/>
      </c>
      <c r="AA113" t="s">
        <v>494</v>
      </c>
      <c r="AB113" t="s">
        <v>1426</v>
      </c>
    </row>
    <row r="114" spans="1:28" ht="21" customHeight="1" x14ac:dyDescent="0.3">
      <c r="A114" s="401"/>
      <c r="B114" s="394" t="s">
        <v>191</v>
      </c>
      <c r="C114" s="395">
        <v>200</v>
      </c>
      <c r="D114" s="396">
        <f>D107-L107</f>
        <v>300</v>
      </c>
      <c r="E114" s="397" t="s">
        <v>184</v>
      </c>
      <c r="F114" s="864">
        <f>IF($B114="","",IF(SUMIFS(CONFIG_PALETES!$C:$C,CONFIG_PALETES!$A:$A,TRIM($B114),CONFIG_PALETES!$B:$B,$C114&amp;" ml")&gt;0,SUMIFS(CONFIG_PALETES!$C:$C,CONFIG_PALETES!$A:$A,TRIM($B114),CONFIG_PALETES!$B:$B,$C114&amp;" ml"),IF(SUMIFS(CONFIG_PALETES!$C:$C,CONFIG_PALETES!$A:$A,"GERAL",CONFIG_PALETES!$B:$B,$C114&amp;" ml")&gt;0,SUMIFS(CONFIG_PALETES!$C:$C,CONFIG_PALETES!$A:$A,"GERAL",CONFIG_PALETES!$B:$B,$C114&amp;" ml"),"")))</f>
        <v>330</v>
      </c>
      <c r="G114" s="398">
        <f>IFERROR(ROUNDUP(D114/F114,0),"")</f>
        <v>1</v>
      </c>
      <c r="H114" s="399">
        <v>382</v>
      </c>
      <c r="I114" s="396">
        <f>IF(H114="","",H114*IF(SUMIFS(CONFIG_PALETES!$D:$D,CONFIG_PALETES!$A:$A,IF(ISNUMBER(SEARCH("ESPUMA",$B114)),"ESPUMA",IF(OR(ISNUMBER(SEARCH("OLEO DE COCO",$B114)),ISNUMBER(SEARCH("ÓLEO DE COCO",$B114)),ISNUMBER(SEARCH("COPRA",$B114))),"ÓLEO DE COCO",IF(ISNUMBER(SEARCH("CORANTE",$B114)),"CORANTE",TRIM($B114)))),CONFIG_PALETES!$B:$B,$C114&amp;" ml")&gt;0,SUMIFS(CONFIG_PALETES!$D:$D,CONFIG_PALETES!$A:$A,IF(ISNUMBER(SEARCH("ESPUMA",$B114)),"ESPUMA",IF(OR(ISNUMBER(SEARCH("OLEO DE COCO",$B114)),ISNUMBER(SEARCH("ÓLEO DE COCO",$B114)),ISNUMBER(SEARCH("COPRA",$B114))),"ÓLEO DE COCO",IF(ISNUMBER(SEARCH("CORANTE",$B114)),"CORANTE",TRIM($B114)))),CONFIG_PALETES!$B:$B,$C114&amp;" ml"),IF(SUMIFS(CONFIG_PALETES!$D:$D,CONFIG_PALETES!$A:$A,"GERAL",CONFIG_PALETES!$B:$B,$C114&amp;" ml")&gt;0,SUMIFS(CONFIG_PALETES!$D:$D,CONFIG_PALETES!$A:$A,"GERAL",CONFIG_PALETES!$B:$B,$C114&amp;" ml"),12)))</f>
        <v>2292</v>
      </c>
      <c r="J114" s="85">
        <f t="shared" si="21"/>
        <v>300</v>
      </c>
      <c r="L114" s="84">
        <f t="shared" si="22"/>
        <v>382</v>
      </c>
      <c r="M114" s="70"/>
      <c r="N114" s="83">
        <f t="shared" si="23"/>
        <v>2292</v>
      </c>
      <c r="AA114" t="s">
        <v>404</v>
      </c>
      <c r="AB114" t="s">
        <v>1422</v>
      </c>
    </row>
    <row r="115" spans="1:28" ht="21" customHeight="1" x14ac:dyDescent="0.3">
      <c r="A115" s="390"/>
      <c r="B115" s="394" t="s">
        <v>192</v>
      </c>
      <c r="C115" s="395">
        <v>200</v>
      </c>
      <c r="D115" s="396">
        <v>990</v>
      </c>
      <c r="E115" s="397" t="s">
        <v>184</v>
      </c>
      <c r="F115" s="864">
        <f>IF($B115="","",IF(SUMIFS(CONFIG_PALETES!$C:$C,CONFIG_PALETES!$A:$A,TRIM($B115),CONFIG_PALETES!$B:$B,$C115&amp;" ml")&gt;0,SUMIFS(CONFIG_PALETES!$C:$C,CONFIG_PALETES!$A:$A,TRIM($B115),CONFIG_PALETES!$B:$B,$C115&amp;" ml"),IF(SUMIFS(CONFIG_PALETES!$C:$C,CONFIG_PALETES!$A:$A,"GERAL",CONFIG_PALETES!$B:$B,$C115&amp;" ml")&gt;0,SUMIFS(CONFIG_PALETES!$C:$C,CONFIG_PALETES!$A:$A,"GERAL",CONFIG_PALETES!$B:$B,$C115&amp;" ml"),"")))</f>
        <v>330</v>
      </c>
      <c r="G115" s="398">
        <f>IFERROR(ROUNDUP(D115/F115,0),"")</f>
        <v>3</v>
      </c>
      <c r="H115" s="399">
        <v>853</v>
      </c>
      <c r="I115" s="396">
        <f>IF(H115="","",H115*IF(SUMIFS(CONFIG_PALETES!$D:$D,CONFIG_PALETES!$A:$A,IF(ISNUMBER(SEARCH("ESPUMA",$B115)),"ESPUMA",IF(OR(ISNUMBER(SEARCH("OLEO DE COCO",$B115)),ISNUMBER(SEARCH("ÓLEO DE COCO",$B115)),ISNUMBER(SEARCH("COPRA",$B115))),"ÓLEO DE COCO",IF(ISNUMBER(SEARCH("CORANTE",$B115)),"CORANTE",TRIM($B115)))),CONFIG_PALETES!$B:$B,$C115&amp;" ml")&gt;0,SUMIFS(CONFIG_PALETES!$D:$D,CONFIG_PALETES!$A:$A,IF(ISNUMBER(SEARCH("ESPUMA",$B115)),"ESPUMA",IF(OR(ISNUMBER(SEARCH("OLEO DE COCO",$B115)),ISNUMBER(SEARCH("ÓLEO DE COCO",$B115)),ISNUMBER(SEARCH("COPRA",$B115))),"ÓLEO DE COCO",IF(ISNUMBER(SEARCH("CORANTE",$B115)),"CORANTE",TRIM($B115)))),CONFIG_PALETES!$B:$B,$C115&amp;" ml"),IF(SUMIFS(CONFIG_PALETES!$D:$D,CONFIG_PALETES!$A:$A,"GERAL",CONFIG_PALETES!$B:$B,$C115&amp;" ml")&gt;0,SUMIFS(CONFIG_PALETES!$D:$D,CONFIG_PALETES!$A:$A,"GERAL",CONFIG_PALETES!$B:$B,$C115&amp;" ml"),12)))</f>
        <v>5118</v>
      </c>
      <c r="J115" s="82">
        <f t="shared" si="21"/>
        <v>990</v>
      </c>
      <c r="L115" s="81">
        <f t="shared" si="22"/>
        <v>853</v>
      </c>
      <c r="N115" s="80">
        <f t="shared" si="23"/>
        <v>5118</v>
      </c>
      <c r="AA115" t="s">
        <v>493</v>
      </c>
      <c r="AB115" t="s">
        <v>1431</v>
      </c>
    </row>
    <row r="116" spans="1:28" ht="21" customHeight="1" x14ac:dyDescent="0.3">
      <c r="A116" s="390"/>
      <c r="B116" s="394" t="s">
        <v>193</v>
      </c>
      <c r="C116" s="395">
        <v>200</v>
      </c>
      <c r="D116" s="396">
        <v>990</v>
      </c>
      <c r="E116" s="397" t="s">
        <v>184</v>
      </c>
      <c r="F116" s="864">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330</v>
      </c>
      <c r="G116" s="398">
        <f>IFERROR(ROUNDUP(D116/F116,0),"")</f>
        <v>3</v>
      </c>
      <c r="H116" s="399">
        <v>813</v>
      </c>
      <c r="I116" s="396">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4878</v>
      </c>
      <c r="J116" s="85">
        <f t="shared" si="21"/>
        <v>990</v>
      </c>
      <c r="L116" s="84">
        <f t="shared" si="22"/>
        <v>813</v>
      </c>
      <c r="N116" s="83">
        <f t="shared" si="23"/>
        <v>4878</v>
      </c>
      <c r="AA116" t="s">
        <v>400</v>
      </c>
      <c r="AB116" t="s">
        <v>1430</v>
      </c>
    </row>
    <row r="117" spans="1:28" ht="21" customHeight="1" x14ac:dyDescent="0.3">
      <c r="A117" s="390"/>
      <c r="B117" s="394"/>
      <c r="C117" s="395"/>
      <c r="D117" s="396"/>
      <c r="E117" s="397" t="s">
        <v>184</v>
      </c>
      <c r="F117" s="864"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398" t="str">
        <f>IFERROR(ROUNDUP(D117/F117,0),"")</f>
        <v/>
      </c>
      <c r="H117" s="399"/>
      <c r="I117" s="396"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J117" s="82" t="str">
        <f t="shared" si="21"/>
        <v/>
      </c>
      <c r="L117" s="81" t="str">
        <f t="shared" si="22"/>
        <v/>
      </c>
      <c r="N117" s="80" t="str">
        <f t="shared" si="23"/>
        <v/>
      </c>
      <c r="AA117" t="s">
        <v>492</v>
      </c>
      <c r="AB117" t="s">
        <v>1435</v>
      </c>
    </row>
    <row r="118" spans="1:28" ht="21" customHeight="1" x14ac:dyDescent="0.3">
      <c r="A118" s="390"/>
      <c r="B118" s="394"/>
      <c r="C118" s="395"/>
      <c r="D118" s="396"/>
      <c r="E118" s="397" t="s">
        <v>184</v>
      </c>
      <c r="F118" s="864"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398" t="str">
        <f>IFERROR(ROUNDUP(D118/F118,0),"")</f>
        <v/>
      </c>
      <c r="H118" s="399"/>
      <c r="I118" s="396"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J118" s="67" t="str">
        <f t="shared" si="21"/>
        <v/>
      </c>
      <c r="K118" s="67"/>
      <c r="L118" s="89" t="str">
        <f t="shared" si="22"/>
        <v/>
      </c>
      <c r="M118" s="67"/>
      <c r="N118" s="88" t="str">
        <f t="shared" si="23"/>
        <v/>
      </c>
      <c r="AA118" t="s">
        <v>498</v>
      </c>
      <c r="AB118" t="s">
        <v>1423</v>
      </c>
    </row>
    <row r="119" spans="1:28" ht="21" customHeight="1" x14ac:dyDescent="0.3">
      <c r="A119" s="794"/>
      <c r="B119" s="772"/>
      <c r="C119" s="773"/>
      <c r="D119" s="774"/>
      <c r="E119" s="775"/>
      <c r="F119" s="865"/>
      <c r="G119" s="776"/>
      <c r="H119" s="777"/>
      <c r="I119" s="774"/>
      <c r="J119" s="1" t="str">
        <f t="shared" si="21"/>
        <v/>
      </c>
      <c r="L119" s="1" t="str">
        <f t="shared" si="22"/>
        <v/>
      </c>
      <c r="N119" s="1" t="str">
        <f t="shared" si="23"/>
        <v/>
      </c>
      <c r="AA119" t="s">
        <v>995</v>
      </c>
      <c r="AB119" t="s">
        <v>1426</v>
      </c>
    </row>
    <row r="120" spans="1:28" ht="15" customHeight="1" x14ac:dyDescent="0.3">
      <c r="A120" s="853"/>
      <c r="B120" s="837" t="s">
        <v>186</v>
      </c>
      <c r="C120" s="838"/>
      <c r="D120" s="839">
        <f>SUM(D113:D119)</f>
        <v>2280</v>
      </c>
      <c r="E120" s="837"/>
      <c r="F120" s="854" t="s">
        <v>1400</v>
      </c>
      <c r="G120" s="840">
        <f>SUM(G113:G119)</f>
        <v>7</v>
      </c>
      <c r="H120" s="839">
        <f>SUM(H113:H119)</f>
        <v>2048</v>
      </c>
      <c r="I120" s="839">
        <f>SUM(I113:I119)</f>
        <v>12288</v>
      </c>
      <c r="J120" s="72">
        <f>SUM(D113:D119)</f>
        <v>2280</v>
      </c>
      <c r="K120" s="72">
        <f>SUM(G113:G119)</f>
        <v>7</v>
      </c>
      <c r="L120" s="87">
        <f>SUM(H113:H119)</f>
        <v>2048</v>
      </c>
      <c r="M120" s="72">
        <f>SUM(I113:I119)</f>
        <v>12288</v>
      </c>
      <c r="N120" s="87">
        <f t="shared" si="23"/>
        <v>12288</v>
      </c>
      <c r="O120" s="63">
        <f>SUM(N114:N119)</f>
        <v>12288</v>
      </c>
      <c r="Q120" s="587" cm="1">
        <f t="array" ref="Q120">IF(H120=0,"",SUMPRODUCT(IFERROR(INT(H113:H119/F113:F119),0)))</f>
        <v>5</v>
      </c>
      <c r="R120" s="770">
        <f>IF(Q120="","",MAX(0,G120-Q120))</f>
        <v>2</v>
      </c>
      <c r="AA120" t="s">
        <v>286</v>
      </c>
      <c r="AB120" t="s">
        <v>1426</v>
      </c>
    </row>
    <row r="121" spans="1:28" ht="15" customHeight="1" x14ac:dyDescent="0.3">
      <c r="A121" s="782"/>
      <c r="B121" s="779"/>
      <c r="C121" s="789"/>
      <c r="D121" s="790"/>
      <c r="E121" s="791"/>
      <c r="F121" s="781"/>
      <c r="G121" s="800"/>
      <c r="H121" s="793"/>
      <c r="I121" s="790"/>
      <c r="J121" s="82" t="str">
        <f>IF(D121="","",ROUNDUP(D121/IF(AND(C121="600 ml",ISNUMBER(SEARCH("NORCAU",B121))),95,IF(AND(C121="600 ml",ISNUMBER(SEARCH("APURATOS",B121))),190,IF(C121="600 ml",95,IF(C121="400 ml",125,IF(C121="200 ml",330,IF(C121="180 ml",240,1)))))),0))</f>
        <v/>
      </c>
      <c r="L121" s="81" t="str">
        <f>IF(H121="","",H121)</f>
        <v/>
      </c>
      <c r="N121" s="80" t="str">
        <f t="shared" si="23"/>
        <v/>
      </c>
      <c r="AA121" t="s">
        <v>285</v>
      </c>
      <c r="AB121" t="s">
        <v>1426</v>
      </c>
    </row>
    <row r="122" spans="1:28" ht="15" customHeight="1" x14ac:dyDescent="0.3">
      <c r="A122" s="390">
        <v>46045</v>
      </c>
      <c r="B122" s="393" t="s">
        <v>49</v>
      </c>
      <c r="C122" s="391" t="s">
        <v>176</v>
      </c>
      <c r="D122" s="402" t="s">
        <v>177</v>
      </c>
      <c r="E122" s="392" t="s">
        <v>178</v>
      </c>
      <c r="F122" s="858" t="s">
        <v>179</v>
      </c>
      <c r="G122" s="403" t="s">
        <v>180</v>
      </c>
      <c r="H122" s="402" t="s">
        <v>181</v>
      </c>
      <c r="I122" s="402" t="s">
        <v>182</v>
      </c>
      <c r="J122" s="85"/>
      <c r="L122" s="84"/>
      <c r="M122" s="70"/>
      <c r="N122" s="83"/>
      <c r="AA122" t="s">
        <v>103</v>
      </c>
      <c r="AB122" t="s">
        <v>1425</v>
      </c>
    </row>
    <row r="123" spans="1:28" ht="21" customHeight="1" x14ac:dyDescent="0.3">
      <c r="A123" s="401"/>
      <c r="B123" s="394"/>
      <c r="C123" s="395"/>
      <c r="D123" s="396"/>
      <c r="E123" s="397"/>
      <c r="F123" s="864"/>
      <c r="G123" s="398"/>
      <c r="H123" s="399"/>
      <c r="I123" s="396"/>
      <c r="J123" s="82" t="str">
        <f t="shared" ref="J123:J131" si="24">IF(D123="","",ROUNDUP(D123/IF(AND(C123="600 ml",ISNUMBER(SEARCH("NORCAU",B123))),95,IF(AND(C123="600 ml",ISNUMBER(SEARCH("APURATOS",B123))),190,IF(C123="600 ml",95,IF(C123="400 ml",125,IF(C123="200 ml",330,IF(C123="180 ml",240,1)))))),0))</f>
        <v/>
      </c>
      <c r="L123" s="81" t="str">
        <f t="shared" ref="L123:L131" si="25">IF(H123="","",H123)</f>
        <v/>
      </c>
      <c r="M123" s="70"/>
      <c r="N123" s="80" t="str">
        <f t="shared" ref="N123:N133" si="26">IF(I123="","",I123)</f>
        <v/>
      </c>
      <c r="AA123" t="s">
        <v>282</v>
      </c>
      <c r="AB123" t="s">
        <v>1425</v>
      </c>
    </row>
    <row r="124" spans="1:28" ht="21" customHeight="1" x14ac:dyDescent="0.3">
      <c r="A124" s="390"/>
      <c r="B124" s="394" t="s">
        <v>193</v>
      </c>
      <c r="C124" s="395">
        <v>200</v>
      </c>
      <c r="D124" s="396">
        <f>D116-L116</f>
        <v>177</v>
      </c>
      <c r="E124" s="397" t="s">
        <v>184</v>
      </c>
      <c r="F124" s="864">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330</v>
      </c>
      <c r="G124" s="398">
        <f t="shared" ref="G124:G130" si="27">IFERROR(ROUNDUP(D124/F124,0),"")</f>
        <v>1</v>
      </c>
      <c r="H124" s="399">
        <v>184</v>
      </c>
      <c r="I124" s="396">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1104</v>
      </c>
      <c r="J124" s="85">
        <f t="shared" si="24"/>
        <v>177</v>
      </c>
      <c r="L124" s="84">
        <f t="shared" si="25"/>
        <v>184</v>
      </c>
      <c r="N124" s="83">
        <f t="shared" si="26"/>
        <v>1104</v>
      </c>
      <c r="AA124" t="s">
        <v>576</v>
      </c>
      <c r="AB124" t="s">
        <v>1425</v>
      </c>
    </row>
    <row r="125" spans="1:28" ht="21" customHeight="1" x14ac:dyDescent="0.3">
      <c r="A125" s="390"/>
      <c r="B125" s="394" t="s">
        <v>194</v>
      </c>
      <c r="C125" s="395">
        <v>200</v>
      </c>
      <c r="D125" s="396">
        <v>330</v>
      </c>
      <c r="E125" s="397" t="s">
        <v>184</v>
      </c>
      <c r="F125" s="864">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330</v>
      </c>
      <c r="G125" s="398">
        <f t="shared" si="27"/>
        <v>1</v>
      </c>
      <c r="H125" s="399">
        <v>197</v>
      </c>
      <c r="I125" s="396">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1182</v>
      </c>
      <c r="J125" s="82">
        <f t="shared" si="24"/>
        <v>330</v>
      </c>
      <c r="L125" s="81">
        <f t="shared" si="25"/>
        <v>197</v>
      </c>
      <c r="N125" s="80">
        <f t="shared" si="26"/>
        <v>1182</v>
      </c>
      <c r="AA125" t="s">
        <v>135</v>
      </c>
      <c r="AB125" t="s">
        <v>1425</v>
      </c>
    </row>
    <row r="126" spans="1:28" ht="21" customHeight="1" x14ac:dyDescent="0.3">
      <c r="A126" s="390"/>
      <c r="B126" s="394" t="s">
        <v>93</v>
      </c>
      <c r="C126" s="395">
        <v>70</v>
      </c>
      <c r="D126" s="396">
        <v>120</v>
      </c>
      <c r="E126" s="397" t="s">
        <v>184</v>
      </c>
      <c r="F126" s="864">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240</v>
      </c>
      <c r="G126" s="398">
        <f t="shared" si="27"/>
        <v>1</v>
      </c>
      <c r="H126" s="399">
        <v>123</v>
      </c>
      <c r="I126" s="396">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1476</v>
      </c>
      <c r="J126" s="79">
        <f t="shared" si="24"/>
        <v>120</v>
      </c>
      <c r="K126" s="67"/>
      <c r="L126" s="78">
        <f t="shared" si="25"/>
        <v>123</v>
      </c>
      <c r="M126" s="67"/>
      <c r="N126" s="77">
        <f t="shared" si="26"/>
        <v>1476</v>
      </c>
      <c r="AA126" t="s">
        <v>402</v>
      </c>
      <c r="AB126" t="s">
        <v>1425</v>
      </c>
    </row>
    <row r="127" spans="1:28" ht="21" customHeight="1" x14ac:dyDescent="0.3">
      <c r="A127" s="401"/>
      <c r="B127" s="394" t="s">
        <v>95</v>
      </c>
      <c r="C127" s="395">
        <v>70</v>
      </c>
      <c r="D127" s="396">
        <v>120</v>
      </c>
      <c r="E127" s="397" t="s">
        <v>184</v>
      </c>
      <c r="F127" s="864">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240</v>
      </c>
      <c r="G127" s="398">
        <f t="shared" si="27"/>
        <v>1</v>
      </c>
      <c r="H127" s="399">
        <v>121</v>
      </c>
      <c r="I127" s="396">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1452</v>
      </c>
      <c r="J127" s="1">
        <f t="shared" si="24"/>
        <v>120</v>
      </c>
      <c r="L127" s="1">
        <f t="shared" si="25"/>
        <v>121</v>
      </c>
      <c r="N127" s="1">
        <f t="shared" si="26"/>
        <v>1452</v>
      </c>
      <c r="AA127" t="s">
        <v>290</v>
      </c>
      <c r="AB127" t="s">
        <v>1426</v>
      </c>
    </row>
    <row r="128" spans="1:28" ht="21" customHeight="1" x14ac:dyDescent="0.3">
      <c r="A128" s="390"/>
      <c r="B128" s="394" t="s">
        <v>97</v>
      </c>
      <c r="C128" s="395">
        <v>70</v>
      </c>
      <c r="D128" s="396">
        <v>120</v>
      </c>
      <c r="E128" s="397" t="s">
        <v>184</v>
      </c>
      <c r="F128" s="864">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240</v>
      </c>
      <c r="G128" s="398">
        <f t="shared" si="27"/>
        <v>1</v>
      </c>
      <c r="H128" s="399">
        <v>121</v>
      </c>
      <c r="I128" s="396">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1452</v>
      </c>
      <c r="J128" s="72">
        <f t="shared" si="24"/>
        <v>120</v>
      </c>
      <c r="K128" s="72"/>
      <c r="L128" s="87">
        <f t="shared" si="25"/>
        <v>121</v>
      </c>
      <c r="M128" s="72"/>
      <c r="N128" s="87">
        <f t="shared" si="26"/>
        <v>1452</v>
      </c>
      <c r="AA128" t="s">
        <v>289</v>
      </c>
      <c r="AB128" t="s">
        <v>1426</v>
      </c>
    </row>
    <row r="129" spans="1:28" ht="21" customHeight="1" x14ac:dyDescent="0.3">
      <c r="A129" s="390"/>
      <c r="B129" s="394" t="s">
        <v>101</v>
      </c>
      <c r="C129" s="395">
        <v>70</v>
      </c>
      <c r="D129" s="396">
        <v>120</v>
      </c>
      <c r="E129" s="397" t="s">
        <v>184</v>
      </c>
      <c r="F129" s="864">
        <f>IF($B129="","",IF(SUMIFS(CONFIG_PALETES!$C:$C,CONFIG_PALETES!$A:$A,TRIM($B129),CONFIG_PALETES!$B:$B,$C129&amp;" ml")&gt;0,SUMIFS(CONFIG_PALETES!$C:$C,CONFIG_PALETES!$A:$A,TRIM($B129),CONFIG_PALETES!$B:$B,$C129&amp;" ml"),IF(SUMIFS(CONFIG_PALETES!$C:$C,CONFIG_PALETES!$A:$A,"GERAL",CONFIG_PALETES!$B:$B,$C129&amp;" ml")&gt;0,SUMIFS(CONFIG_PALETES!$C:$C,CONFIG_PALETES!$A:$A,"GERAL",CONFIG_PALETES!$B:$B,$C129&amp;" ml"),"")))</f>
        <v>240</v>
      </c>
      <c r="G129" s="398">
        <f t="shared" si="27"/>
        <v>1</v>
      </c>
      <c r="H129" s="399">
        <v>122</v>
      </c>
      <c r="I129" s="396">
        <f>IF(H129="","",H129*IF(SUMIFS(CONFIG_PALETES!$D:$D,CONFIG_PALETES!$A:$A,IF(ISNUMBER(SEARCH("ESPUMA",$B129)),"ESPUMA",IF(OR(ISNUMBER(SEARCH("OLEO DE COCO",$B129)),ISNUMBER(SEARCH("ÓLEO DE COCO",$B129)),ISNUMBER(SEARCH("COPRA",$B129))),"ÓLEO DE COCO",IF(ISNUMBER(SEARCH("CORANTE",$B129)),"CORANTE",TRIM($B129)))),CONFIG_PALETES!$B:$B,$C129&amp;" ml")&gt;0,SUMIFS(CONFIG_PALETES!$D:$D,CONFIG_PALETES!$A:$A,IF(ISNUMBER(SEARCH("ESPUMA",$B129)),"ESPUMA",IF(OR(ISNUMBER(SEARCH("OLEO DE COCO",$B129)),ISNUMBER(SEARCH("ÓLEO DE COCO",$B129)),ISNUMBER(SEARCH("COPRA",$B129))),"ÓLEO DE COCO",IF(ISNUMBER(SEARCH("CORANTE",$B129)),"CORANTE",TRIM($B129)))),CONFIG_PALETES!$B:$B,$C129&amp;" ml"),IF(SUMIFS(CONFIG_PALETES!$D:$D,CONFIG_PALETES!$A:$A,"GERAL",CONFIG_PALETES!$B:$B,$C129&amp;" ml")&gt;0,SUMIFS(CONFIG_PALETES!$D:$D,CONFIG_PALETES!$A:$A,"GERAL",CONFIG_PALETES!$B:$B,$C129&amp;" ml"),12)))</f>
        <v>1464</v>
      </c>
      <c r="J129" s="82">
        <f t="shared" si="24"/>
        <v>120</v>
      </c>
      <c r="L129" s="81">
        <f t="shared" si="25"/>
        <v>122</v>
      </c>
      <c r="N129" s="80">
        <f t="shared" si="26"/>
        <v>1464</v>
      </c>
      <c r="AA129" t="s">
        <v>72</v>
      </c>
      <c r="AB129" t="s">
        <v>1432</v>
      </c>
    </row>
    <row r="130" spans="1:28" ht="21" customHeight="1" x14ac:dyDescent="0.3">
      <c r="A130" s="400"/>
      <c r="B130" s="394"/>
      <c r="C130" s="395"/>
      <c r="D130" s="396"/>
      <c r="E130" s="397" t="s">
        <v>184</v>
      </c>
      <c r="F130" s="864" t="str">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
      </c>
      <c r="G130" s="398" t="str">
        <f t="shared" si="27"/>
        <v/>
      </c>
      <c r="H130" s="399"/>
      <c r="I130" s="396" t="str">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
      </c>
      <c r="J130" s="85" t="str">
        <f t="shared" si="24"/>
        <v/>
      </c>
      <c r="L130" s="84" t="str">
        <f t="shared" si="25"/>
        <v/>
      </c>
      <c r="M130" s="70"/>
      <c r="N130" s="83" t="str">
        <f t="shared" si="26"/>
        <v/>
      </c>
      <c r="AA130" t="s">
        <v>395</v>
      </c>
      <c r="AB130" t="s">
        <v>1423</v>
      </c>
    </row>
    <row r="131" spans="1:28" ht="21" customHeight="1" x14ac:dyDescent="0.3">
      <c r="A131" s="794"/>
      <c r="B131" s="772"/>
      <c r="C131" s="773"/>
      <c r="D131" s="774"/>
      <c r="E131" s="775"/>
      <c r="F131" s="865"/>
      <c r="G131" s="776"/>
      <c r="H131" s="777"/>
      <c r="I131" s="774"/>
      <c r="J131" s="82" t="str">
        <f t="shared" si="24"/>
        <v/>
      </c>
      <c r="L131" s="81" t="str">
        <f t="shared" si="25"/>
        <v/>
      </c>
      <c r="M131" s="70"/>
      <c r="N131" s="80" t="str">
        <f t="shared" si="26"/>
        <v/>
      </c>
      <c r="AA131" t="s">
        <v>25</v>
      </c>
      <c r="AB131" t="s">
        <v>1433</v>
      </c>
    </row>
    <row r="132" spans="1:28" ht="15" customHeight="1" x14ac:dyDescent="0.3">
      <c r="A132" s="853"/>
      <c r="B132" s="837" t="s">
        <v>186</v>
      </c>
      <c r="C132" s="838"/>
      <c r="D132" s="839">
        <f>SUM(D125:D131)</f>
        <v>810</v>
      </c>
      <c r="E132" s="837"/>
      <c r="F132" s="854" t="s">
        <v>1400</v>
      </c>
      <c r="G132" s="840">
        <f>SUM(G125:G131)</f>
        <v>5</v>
      </c>
      <c r="H132" s="839">
        <f>SUM(H125:H131)</f>
        <v>684</v>
      </c>
      <c r="I132" s="839">
        <f>SUM(I125:I131)</f>
        <v>7026</v>
      </c>
      <c r="J132" s="85">
        <f>SUM(D123:D131)</f>
        <v>987</v>
      </c>
      <c r="K132" s="1">
        <f>SUM(G123:G131)</f>
        <v>6</v>
      </c>
      <c r="L132" s="84">
        <f>SUM(H123:H131)</f>
        <v>868</v>
      </c>
      <c r="M132" s="1">
        <f>SUM(I123:I131)</f>
        <v>8130</v>
      </c>
      <c r="N132" s="83">
        <f t="shared" si="26"/>
        <v>7026</v>
      </c>
      <c r="O132" s="63">
        <f>SUM(N124:N131)</f>
        <v>8130</v>
      </c>
      <c r="Q132" s="587" cm="1">
        <f t="array" ref="Q132">IF(H132=0,"",SUMPRODUCT(IFERROR(INT(H123:H131/F123:F131),0)))</f>
        <v>0</v>
      </c>
      <c r="R132" s="770">
        <f>IF(Q132="","",MAX(0,G132-Q132))</f>
        <v>5</v>
      </c>
      <c r="AA132" t="s">
        <v>398</v>
      </c>
      <c r="AB132" t="s">
        <v>1424</v>
      </c>
    </row>
    <row r="133" spans="1:28" ht="15" customHeight="1" x14ac:dyDescent="0.3">
      <c r="A133" s="782"/>
      <c r="B133" s="779"/>
      <c r="C133" s="789"/>
      <c r="D133" s="790"/>
      <c r="E133" s="791"/>
      <c r="F133" s="781"/>
      <c r="G133" s="792"/>
      <c r="H133" s="793"/>
      <c r="I133" s="790"/>
      <c r="J133" s="82" t="str">
        <f>IF(D133="","",ROUNDUP(D133/IF(AND(C133="600 ml",ISNUMBER(SEARCH("NORCAU",B133))),95,IF(AND(C133="600 ml",ISNUMBER(SEARCH("APURATOS",B133))),190,IF(C133="600 ml",95,IF(C133="400 ml",125,IF(C133="200 ml",330,IF(C133="180 ml",240,1)))))),0))</f>
        <v/>
      </c>
      <c r="L133" s="81" t="str">
        <f>IF(H133="","",H133)</f>
        <v/>
      </c>
      <c r="N133" s="80" t="str">
        <f t="shared" si="26"/>
        <v/>
      </c>
      <c r="AA133" t="s">
        <v>396</v>
      </c>
      <c r="AB133" t="s">
        <v>1432</v>
      </c>
    </row>
    <row r="134" spans="1:28" ht="15" customHeight="1" x14ac:dyDescent="0.3">
      <c r="A134" s="390">
        <v>46048</v>
      </c>
      <c r="B134" s="393" t="s">
        <v>49</v>
      </c>
      <c r="C134" s="391" t="s">
        <v>176</v>
      </c>
      <c r="D134" s="402" t="s">
        <v>177</v>
      </c>
      <c r="E134" s="392" t="s">
        <v>178</v>
      </c>
      <c r="F134" s="858" t="s">
        <v>179</v>
      </c>
      <c r="G134" s="404" t="s">
        <v>180</v>
      </c>
      <c r="H134" s="402" t="s">
        <v>181</v>
      </c>
      <c r="I134" s="402" t="s">
        <v>182</v>
      </c>
      <c r="J134" s="85"/>
      <c r="L134" s="84"/>
      <c r="N134" s="83"/>
      <c r="AA134" t="s">
        <v>490</v>
      </c>
      <c r="AB134" t="s">
        <v>1425</v>
      </c>
    </row>
    <row r="135" spans="1:28" ht="21" customHeight="1" x14ac:dyDescent="0.3">
      <c r="A135" s="390"/>
      <c r="B135" s="394"/>
      <c r="C135" s="395"/>
      <c r="D135" s="396"/>
      <c r="E135" s="397"/>
      <c r="F135" s="864"/>
      <c r="G135" s="398"/>
      <c r="H135" s="399"/>
      <c r="I135" s="396"/>
      <c r="J135" s="67" t="str">
        <f t="shared" ref="J135:J141" si="28">IF(D135="","",ROUNDUP(D135/IF(AND(C135="600 ml",ISNUMBER(SEARCH("NORCAU",B135))),95,IF(AND(C135="600 ml",ISNUMBER(SEARCH("APURATOS",B135))),190,IF(C135="600 ml",95,IF(C135="400 ml",125,IF(C135="200 ml",330,IF(C135="180 ml",240,1)))))),0))</f>
        <v/>
      </c>
      <c r="K135" s="67"/>
      <c r="L135" s="89" t="str">
        <f t="shared" ref="L135:L141" si="29">IF(H135="","",H135)</f>
        <v/>
      </c>
      <c r="M135" s="67"/>
      <c r="N135" s="88" t="str">
        <f t="shared" ref="N135:N143" si="30">IF(I135="","",I135)</f>
        <v/>
      </c>
      <c r="AA135" t="s">
        <v>1082</v>
      </c>
      <c r="AB135" t="s">
        <v>1424</v>
      </c>
    </row>
    <row r="136" spans="1:28" ht="21" customHeight="1" x14ac:dyDescent="0.3">
      <c r="A136" s="401"/>
      <c r="B136" s="394"/>
      <c r="C136" s="395"/>
      <c r="D136" s="396"/>
      <c r="E136" s="397" t="s">
        <v>184</v>
      </c>
      <c r="F136" s="864"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398" t="str">
        <f>IFERROR(ROUNDUP(D136/F136,0),"")</f>
        <v/>
      </c>
      <c r="H136" s="399"/>
      <c r="I136" s="396"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J136" s="1" t="str">
        <f t="shared" si="28"/>
        <v/>
      </c>
      <c r="L136" s="1" t="str">
        <f t="shared" si="29"/>
        <v/>
      </c>
      <c r="N136" s="1" t="str">
        <f t="shared" si="30"/>
        <v/>
      </c>
      <c r="AA136" t="s">
        <v>598</v>
      </c>
      <c r="AB136" t="s">
        <v>1432</v>
      </c>
    </row>
    <row r="137" spans="1:28" ht="21" customHeight="1" x14ac:dyDescent="0.3">
      <c r="A137" s="390"/>
      <c r="B137" s="394" t="s">
        <v>195</v>
      </c>
      <c r="C137" s="395">
        <v>180</v>
      </c>
      <c r="D137" s="396">
        <v>720</v>
      </c>
      <c r="E137" s="397" t="s">
        <v>184</v>
      </c>
      <c r="F137" s="864">
        <f>IF($B137="","",IF(SUMIFS(CONFIG_PALETES!$C:$C,CONFIG_PALETES!$A:$A,TRIM($B137),CONFIG_PALETES!$B:$B,$C137&amp;" ml")&gt;0,SUMIFS(CONFIG_PALETES!$C:$C,CONFIG_PALETES!$A:$A,TRIM($B137),CONFIG_PALETES!$B:$B,$C137&amp;" ml"),IF(SUMIFS(CONFIG_PALETES!$C:$C,CONFIG_PALETES!$A:$A,"GERAL",CONFIG_PALETES!$B:$B,$C137&amp;" ml")&gt;0,SUMIFS(CONFIG_PALETES!$C:$C,CONFIG_PALETES!$A:$A,"GERAL",CONFIG_PALETES!$B:$B,$C137&amp;" ml"),"")))</f>
        <v>240</v>
      </c>
      <c r="G137" s="398">
        <f>IFERROR(ROUNDUP(D137/F137,0),"")</f>
        <v>3</v>
      </c>
      <c r="H137" s="399">
        <v>722</v>
      </c>
      <c r="I137" s="396">
        <f>IF(H137="","",H137*IF(SUMIFS(CONFIG_PALETES!$D:$D,CONFIG_PALETES!$A:$A,IF(ISNUMBER(SEARCH("ESPUMA",$B137)),"ESPUMA",IF(OR(ISNUMBER(SEARCH("OLEO DE COCO",$B137)),ISNUMBER(SEARCH("ÓLEO DE COCO",$B137)),ISNUMBER(SEARCH("COPRA",$B137))),"ÓLEO DE COCO",IF(ISNUMBER(SEARCH("CORANTE",$B137)),"CORANTE",TRIM($B137)))),CONFIG_PALETES!$B:$B,$C137&amp;" ml")&gt;0,SUMIFS(CONFIG_PALETES!$D:$D,CONFIG_PALETES!$A:$A,IF(ISNUMBER(SEARCH("ESPUMA",$B137)),"ESPUMA",IF(OR(ISNUMBER(SEARCH("OLEO DE COCO",$B137)),ISNUMBER(SEARCH("ÓLEO DE COCO",$B137)),ISNUMBER(SEARCH("COPRA",$B137))),"ÓLEO DE COCO",IF(ISNUMBER(SEARCH("CORANTE",$B137)),"CORANTE",TRIM($B137)))),CONFIG_PALETES!$B:$B,$C137&amp;" ml"),IF(SUMIFS(CONFIG_PALETES!$D:$D,CONFIG_PALETES!$A:$A,"GERAL",CONFIG_PALETES!$B:$B,$C137&amp;" ml")&gt;0,SUMIFS(CONFIG_PALETES!$D:$D,CONFIG_PALETES!$A:$A,"GERAL",CONFIG_PALETES!$B:$B,$C137&amp;" ml"),12)))</f>
        <v>8664</v>
      </c>
      <c r="J137" s="72">
        <f t="shared" si="28"/>
        <v>720</v>
      </c>
      <c r="K137" s="72"/>
      <c r="L137" s="87">
        <f t="shared" si="29"/>
        <v>722</v>
      </c>
      <c r="M137" s="72"/>
      <c r="N137" s="87">
        <f t="shared" si="30"/>
        <v>8664</v>
      </c>
      <c r="AA137" t="s">
        <v>397</v>
      </c>
      <c r="AB137" t="s">
        <v>1424</v>
      </c>
    </row>
    <row r="138" spans="1:28" ht="21" customHeight="1" x14ac:dyDescent="0.3">
      <c r="A138" s="390"/>
      <c r="B138" s="394" t="s">
        <v>196</v>
      </c>
      <c r="C138" s="395">
        <v>210</v>
      </c>
      <c r="D138" s="396">
        <v>233</v>
      </c>
      <c r="E138" s="397" t="s">
        <v>184</v>
      </c>
      <c r="F138" s="864" t="str">
        <f>IF($B138="","",IF(SUMIFS(CONFIG_PALETES!$C:$C,CONFIG_PALETES!$A:$A,TRIM($B138),CONFIG_PALETES!$B:$B,$C138&amp;" ml")&gt;0,SUMIFS(CONFIG_PALETES!$C:$C,CONFIG_PALETES!$A:$A,TRIM($B138),CONFIG_PALETES!$B:$B,$C138&amp;" ml"),IF(SUMIFS(CONFIG_PALETES!$C:$C,CONFIG_PALETES!$A:$A,"GERAL",CONFIG_PALETES!$B:$B,$C138&amp;" ml")&gt;0,SUMIFS(CONFIG_PALETES!$C:$C,CONFIG_PALETES!$A:$A,"GERAL",CONFIG_PALETES!$B:$B,$C138&amp;" ml"),"")))</f>
        <v/>
      </c>
      <c r="G138" s="398" t="str">
        <f>IFERROR(ROUNDUP(D138/F138,0),"")</f>
        <v/>
      </c>
      <c r="H138" s="399">
        <v>176.25</v>
      </c>
      <c r="I138" s="396">
        <f>IF(H138="","",H138*IF(SUMIFS(CONFIG_PALETES!$D:$D,CONFIG_PALETES!$A:$A,IF(ISNUMBER(SEARCH("ESPUMA",$B138)),"ESPUMA",IF(OR(ISNUMBER(SEARCH("OLEO DE COCO",$B138)),ISNUMBER(SEARCH("ÓLEO DE COCO",$B138)),ISNUMBER(SEARCH("COPRA",$B138))),"ÓLEO DE COCO",IF(ISNUMBER(SEARCH("CORANTE",$B138)),"CORANTE",TRIM($B138)))),CONFIG_PALETES!$B:$B,$C138&amp;" ml")&gt;0,SUMIFS(CONFIG_PALETES!$D:$D,CONFIG_PALETES!$A:$A,IF(ISNUMBER(SEARCH("ESPUMA",$B138)),"ESPUMA",IF(OR(ISNUMBER(SEARCH("OLEO DE COCO",$B138)),ISNUMBER(SEARCH("ÓLEO DE COCO",$B138)),ISNUMBER(SEARCH("COPRA",$B138))),"ÓLEO DE COCO",IF(ISNUMBER(SEARCH("CORANTE",$B138)),"CORANTE",TRIM($B138)))),CONFIG_PALETES!$B:$B,$C138&amp;" ml"),IF(SUMIFS(CONFIG_PALETES!$D:$D,CONFIG_PALETES!$A:$A,"GERAL",CONFIG_PALETES!$B:$B,$C138&amp;" ml")&gt;0,SUMIFS(CONFIG_PALETES!$D:$D,CONFIG_PALETES!$A:$A,"GERAL",CONFIG_PALETES!$B:$B,$C138&amp;" ml"),12)))</f>
        <v>2115</v>
      </c>
      <c r="J138" s="85">
        <f t="shared" si="28"/>
        <v>233</v>
      </c>
      <c r="L138" s="84">
        <f t="shared" si="29"/>
        <v>176.25</v>
      </c>
      <c r="N138" s="83">
        <f t="shared" si="30"/>
        <v>2115</v>
      </c>
      <c r="AA138" t="s">
        <v>163</v>
      </c>
      <c r="AB138" t="s">
        <v>1423</v>
      </c>
    </row>
    <row r="139" spans="1:28" ht="21" customHeight="1" x14ac:dyDescent="0.3">
      <c r="A139" s="400"/>
      <c r="B139" s="394" t="s">
        <v>195</v>
      </c>
      <c r="C139" s="395">
        <v>400</v>
      </c>
      <c r="D139" s="396">
        <v>1000</v>
      </c>
      <c r="E139" s="397" t="s">
        <v>184</v>
      </c>
      <c r="F139" s="864">
        <f>IF($B139="","",IF(SUMIFS(CONFIG_PALETES!$C:$C,CONFIG_PALETES!$A:$A,TRIM($B139),CONFIG_PALETES!$B:$B,$C139&amp;" ml")&gt;0,SUMIFS(CONFIG_PALETES!$C:$C,CONFIG_PALETES!$A:$A,TRIM($B139),CONFIG_PALETES!$B:$B,$C139&amp;" ml"),IF(SUMIFS(CONFIG_PALETES!$C:$C,CONFIG_PALETES!$A:$A,"GERAL",CONFIG_PALETES!$B:$B,$C139&amp;" ml")&gt;0,SUMIFS(CONFIG_PALETES!$C:$C,CONFIG_PALETES!$A:$A,"GERAL",CONFIG_PALETES!$B:$B,$C139&amp;" ml"),"")))</f>
        <v>125</v>
      </c>
      <c r="G139" s="398">
        <f>IFERROR(ROUNDUP(D139/F139,0),"")</f>
        <v>8</v>
      </c>
      <c r="H139" s="399">
        <v>346</v>
      </c>
      <c r="I139" s="396">
        <f>IF(H139="","",H139*IF(SUMIFS(CONFIG_PALETES!$D:$D,CONFIG_PALETES!$A:$A,IF(ISNUMBER(SEARCH("ESPUMA",$B139)),"ESPUMA",IF(OR(ISNUMBER(SEARCH("OLEO DE COCO",$B139)),ISNUMBER(SEARCH("ÓLEO DE COCO",$B139)),ISNUMBER(SEARCH("COPRA",$B139))),"ÓLEO DE COCO",IF(ISNUMBER(SEARCH("CORANTE",$B139)),"CORANTE",TRIM($B139)))),CONFIG_PALETES!$B:$B,$C139&amp;" ml")&gt;0,SUMIFS(CONFIG_PALETES!$D:$D,CONFIG_PALETES!$A:$A,IF(ISNUMBER(SEARCH("ESPUMA",$B139)),"ESPUMA",IF(OR(ISNUMBER(SEARCH("OLEO DE COCO",$B139)),ISNUMBER(SEARCH("ÓLEO DE COCO",$B139)),ISNUMBER(SEARCH("COPRA",$B139))),"ÓLEO DE COCO",IF(ISNUMBER(SEARCH("CORANTE",$B139)),"CORANTE",TRIM($B139)))),CONFIG_PALETES!$B:$B,$C139&amp;" ml"),IF(SUMIFS(CONFIG_PALETES!$D:$D,CONFIG_PALETES!$A:$A,"GERAL",CONFIG_PALETES!$B:$B,$C139&amp;" ml")&gt;0,SUMIFS(CONFIG_PALETES!$D:$D,CONFIG_PALETES!$A:$A,"GERAL",CONFIG_PALETES!$B:$B,$C139&amp;" ml"),12)))</f>
        <v>4152</v>
      </c>
      <c r="J139" s="82">
        <f t="shared" si="28"/>
        <v>1000</v>
      </c>
      <c r="L139" s="81">
        <f t="shared" si="29"/>
        <v>346</v>
      </c>
      <c r="M139" s="70"/>
      <c r="N139" s="80">
        <f t="shared" si="30"/>
        <v>4152</v>
      </c>
      <c r="AA139" t="s">
        <v>1361</v>
      </c>
      <c r="AB139" t="s">
        <v>1436</v>
      </c>
    </row>
    <row r="140" spans="1:28" ht="21" customHeight="1" x14ac:dyDescent="0.3">
      <c r="A140" s="401"/>
      <c r="B140" s="394"/>
      <c r="C140" s="395"/>
      <c r="D140" s="396"/>
      <c r="E140" s="397" t="s">
        <v>184</v>
      </c>
      <c r="F140" s="864"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398" t="str">
        <f>IFERROR(ROUNDUP(D140/F140,0),"")</f>
        <v/>
      </c>
      <c r="H140" s="399"/>
      <c r="I140" s="396"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c r="J140" s="85" t="str">
        <f t="shared" si="28"/>
        <v/>
      </c>
      <c r="L140" s="84" t="str">
        <f t="shared" si="29"/>
        <v/>
      </c>
      <c r="M140" s="70"/>
      <c r="N140" s="83" t="str">
        <f t="shared" si="30"/>
        <v/>
      </c>
    </row>
    <row r="141" spans="1:28" ht="21" customHeight="1" x14ac:dyDescent="0.3">
      <c r="A141" s="771"/>
      <c r="B141" s="772"/>
      <c r="C141" s="773"/>
      <c r="D141" s="774"/>
      <c r="E141" s="775"/>
      <c r="F141" s="865"/>
      <c r="G141" s="776"/>
      <c r="H141" s="777"/>
      <c r="I141" s="774"/>
      <c r="J141" s="82" t="str">
        <f t="shared" si="28"/>
        <v/>
      </c>
      <c r="L141" s="81" t="str">
        <f t="shared" si="29"/>
        <v/>
      </c>
      <c r="N141" s="80" t="str">
        <f t="shared" si="30"/>
        <v/>
      </c>
    </row>
    <row r="142" spans="1:28" ht="15" customHeight="1" x14ac:dyDescent="0.3">
      <c r="A142" s="853"/>
      <c r="B142" s="837" t="s">
        <v>186</v>
      </c>
      <c r="C142" s="838"/>
      <c r="D142" s="839">
        <f>SUM(D135:D141)</f>
        <v>1953</v>
      </c>
      <c r="E142" s="837"/>
      <c r="F142" s="854" t="s">
        <v>1400</v>
      </c>
      <c r="G142" s="840">
        <f>SUM(G135:G141)</f>
        <v>11</v>
      </c>
      <c r="H142" s="839">
        <f>SUM(H135:H141)</f>
        <v>1244.25</v>
      </c>
      <c r="I142" s="839">
        <f>SUM(I135:I141)</f>
        <v>14931</v>
      </c>
      <c r="J142" s="85">
        <f>SUM(D135:D141)</f>
        <v>1953</v>
      </c>
      <c r="K142" s="1">
        <f>SUM(G135:G141)</f>
        <v>11</v>
      </c>
      <c r="L142" s="84">
        <f>SUM(H135:H141)</f>
        <v>1244.25</v>
      </c>
      <c r="M142" s="1">
        <f>SUM(I135:I141)</f>
        <v>14931</v>
      </c>
      <c r="N142" s="83">
        <f t="shared" si="30"/>
        <v>14931</v>
      </c>
      <c r="O142" s="63">
        <f>SUM(N136:N141)</f>
        <v>14931</v>
      </c>
      <c r="Q142" s="587" cm="1">
        <f t="array" ref="Q142">IF(H142=0,"",SUMPRODUCT(IFERROR(INT(H135:H141/F135:F141),0)))</f>
        <v>5</v>
      </c>
      <c r="R142" s="770">
        <f>IF(Q142="","",MAX(0,G142-Q142))</f>
        <v>6</v>
      </c>
    </row>
    <row r="143" spans="1:28" ht="15" customHeight="1" x14ac:dyDescent="0.3">
      <c r="A143" s="782"/>
      <c r="B143" s="779"/>
      <c r="C143" s="789"/>
      <c r="D143" s="790"/>
      <c r="E143" s="791"/>
      <c r="F143" s="781"/>
      <c r="G143" s="792"/>
      <c r="H143" s="793"/>
      <c r="I143" s="790"/>
      <c r="J143" s="82" t="str">
        <f>IF(D143="","",ROUNDUP(D143/IF(AND(C143="600 ml",ISNUMBER(SEARCH("NORCAU",B143))),95,IF(AND(C143="600 ml",ISNUMBER(SEARCH("APURATOS",B143))),190,IF(C143="600 ml",95,IF(C143="400 ml",125,IF(C143="200 ml",330,IF(C143="180 ml",240,1)))))),0))</f>
        <v/>
      </c>
      <c r="L143" s="81" t="str">
        <f>IF(H143="","",H143)</f>
        <v/>
      </c>
      <c r="N143" s="80" t="str">
        <f t="shared" si="30"/>
        <v/>
      </c>
    </row>
    <row r="144" spans="1:28" ht="15" customHeight="1" x14ac:dyDescent="0.3">
      <c r="A144" s="390">
        <v>46049</v>
      </c>
      <c r="B144" s="393" t="s">
        <v>49</v>
      </c>
      <c r="C144" s="391" t="s">
        <v>176</v>
      </c>
      <c r="D144" s="392" t="s">
        <v>177</v>
      </c>
      <c r="E144" s="392" t="s">
        <v>178</v>
      </c>
      <c r="F144" s="858" t="s">
        <v>179</v>
      </c>
      <c r="G144" s="403" t="s">
        <v>180</v>
      </c>
      <c r="H144" s="392" t="s">
        <v>181</v>
      </c>
      <c r="I144" s="392" t="s">
        <v>182</v>
      </c>
      <c r="J144" s="92"/>
      <c r="L144" s="91"/>
      <c r="N144" s="90"/>
    </row>
    <row r="145" spans="1:21" ht="21" customHeight="1" x14ac:dyDescent="0.3">
      <c r="A145" s="390"/>
      <c r="B145" s="394"/>
      <c r="C145" s="395"/>
      <c r="D145" s="396"/>
      <c r="E145" s="397"/>
      <c r="F145" s="864"/>
      <c r="G145" s="398"/>
      <c r="H145" s="399"/>
      <c r="I145" s="396"/>
      <c r="J145" s="82" t="str">
        <f>IF(D145="","",ROUNDUP(D145/IF(AND(C145="600 ml",ISNUMBER(SEARCH("NORCAU",B145))),95,IF(AND(C145="600 ml",ISNUMBER(SEARCH("APURATOS",B145))),190,IF(C145="600 ml",95,IF(C145="400 ml",125,IF(C145="200 ml",330,IF(C145="180 ml",240,1)))))),0))</f>
        <v/>
      </c>
      <c r="L145" s="70" t="str">
        <f>IF(H145="","",H145)</f>
        <v/>
      </c>
      <c r="N145" s="90" t="str">
        <f t="shared" ref="N145:N151" si="31">IF(I145="","",I145)</f>
        <v/>
      </c>
      <c r="Q145" s="646"/>
      <c r="R145" s="646"/>
      <c r="S145" s="646"/>
      <c r="T145" s="646"/>
      <c r="U145" s="646"/>
    </row>
    <row r="146" spans="1:21" ht="21" customHeight="1" x14ac:dyDescent="0.3">
      <c r="A146" s="390"/>
      <c r="B146" s="394" t="s">
        <v>195</v>
      </c>
      <c r="C146" s="395">
        <v>400</v>
      </c>
      <c r="D146" s="396">
        <f>D139-L139</f>
        <v>654</v>
      </c>
      <c r="E146" s="397" t="s">
        <v>184</v>
      </c>
      <c r="F146" s="864">
        <f>IF($B146="","",IF(SUMIFS(CONFIG_PALETES!$C:$C,CONFIG_PALETES!$A:$A,TRIM($B146),CONFIG_PALETES!$B:$B,$C146&amp;" ml")&gt;0,SUMIFS(CONFIG_PALETES!$C:$C,CONFIG_PALETES!$A:$A,TRIM($B146),CONFIG_PALETES!$B:$B,$C146&amp;" ml"),IF(SUMIFS(CONFIG_PALETES!$C:$C,CONFIG_PALETES!$A:$A,"GERAL",CONFIG_PALETES!$B:$B,$C146&amp;" ml")&gt;0,SUMIFS(CONFIG_PALETES!$C:$C,CONFIG_PALETES!$A:$A,"GERAL",CONFIG_PALETES!$B:$B,$C146&amp;" ml"),"")))</f>
        <v>125</v>
      </c>
      <c r="G146" s="398">
        <f>IFERROR(ROUNDUP(D146/F146,0),"")</f>
        <v>6</v>
      </c>
      <c r="H146" s="399">
        <v>654</v>
      </c>
      <c r="I146" s="396">
        <f>IF(H146="","",H146*IF(SUMIFS(CONFIG_PALETES!$D:$D,CONFIG_PALETES!$A:$A,IF(ISNUMBER(SEARCH("ESPUMA",$B146)),"ESPUMA",IF(OR(ISNUMBER(SEARCH("OLEO DE COCO",$B146)),ISNUMBER(SEARCH("ÓLEO DE COCO",$B146)),ISNUMBER(SEARCH("COPRA",$B146))),"ÓLEO DE COCO",IF(ISNUMBER(SEARCH("CORANTE",$B146)),"CORANTE",TRIM($B146)))),CONFIG_PALETES!$B:$B,$C146&amp;" ml")&gt;0,SUMIFS(CONFIG_PALETES!$D:$D,CONFIG_PALETES!$A:$A,IF(ISNUMBER(SEARCH("ESPUMA",$B146)),"ESPUMA",IF(OR(ISNUMBER(SEARCH("OLEO DE COCO",$B146)),ISNUMBER(SEARCH("ÓLEO DE COCO",$B146)),ISNUMBER(SEARCH("COPRA",$B146))),"ÓLEO DE COCO",IF(ISNUMBER(SEARCH("CORANTE",$B146)),"CORANTE",TRIM($B146)))),CONFIG_PALETES!$B:$B,$C146&amp;" ml"),IF(SUMIFS(CONFIG_PALETES!$D:$D,CONFIG_PALETES!$A:$A,"GERAL",CONFIG_PALETES!$B:$B,$C146&amp;" ml")&gt;0,SUMIFS(CONFIG_PALETES!$D:$D,CONFIG_PALETES!$A:$A,"GERAL",CONFIG_PALETES!$B:$B,$C146&amp;" ml"),12)))</f>
        <v>7848</v>
      </c>
      <c r="J146" s="1">
        <f>IF(D146="","",ROUNDUP(D146/IF(AND(C146="600 ml",ISNUMBER(SEARCH("NORCAU",B146))),95,IF(AND(C146="600 ml",ISNUMBER(SEARCH("APURATOS",B146))),190,IF(C146="600 ml",95,IF(C146="400 ml",125,IF(C146="200 ml",330,IF(C146="180 ml",240,1)))))),0))</f>
        <v>654</v>
      </c>
      <c r="L146" s="70">
        <f>IF(H146="","",H146)</f>
        <v>654</v>
      </c>
      <c r="N146" s="69">
        <f t="shared" si="31"/>
        <v>7848</v>
      </c>
      <c r="Q146" s="646"/>
      <c r="R146" s="646"/>
      <c r="S146" s="646"/>
      <c r="T146" s="646"/>
      <c r="U146" s="646"/>
    </row>
    <row r="147" spans="1:21" ht="21" customHeight="1" x14ac:dyDescent="0.3">
      <c r="A147" s="401"/>
      <c r="B147" s="394"/>
      <c r="C147" s="395"/>
      <c r="D147" s="396"/>
      <c r="E147" s="397" t="s">
        <v>184</v>
      </c>
      <c r="F147" s="864" t="str">
        <f>IF($B147="","",IF(SUMIFS(CONFIG_PALETES!$C:$C,CONFIG_PALETES!$A:$A,TRIM($B147),CONFIG_PALETES!$B:$B,$C147&amp;" ml")&gt;0,SUMIFS(CONFIG_PALETES!$C:$C,CONFIG_PALETES!$A:$A,TRIM($B147),CONFIG_PALETES!$B:$B,$C147&amp;" ml"),IF(SUMIFS(CONFIG_PALETES!$C:$C,CONFIG_PALETES!$A:$A,"GERAL",CONFIG_PALETES!$B:$B,$C147&amp;" ml")&gt;0,SUMIFS(CONFIG_PALETES!$C:$C,CONFIG_PALETES!$A:$A,"GERAL",CONFIG_PALETES!$B:$B,$C147&amp;" ml"),"")))</f>
        <v/>
      </c>
      <c r="G147" s="398" t="str">
        <f>IFERROR(ROUNDUP(D147/F147,0),"")</f>
        <v/>
      </c>
      <c r="H147" s="399"/>
      <c r="I147" s="396" t="str">
        <f>IF(H147="","",H147*IF(SUMIFS(CONFIG_PALETES!$D:$D,CONFIG_PALETES!$A:$A,IF(ISNUMBER(SEARCH("ESPUMA",$B147)),"ESPUMA",IF(OR(ISNUMBER(SEARCH("OLEO DE COCO",$B147)),ISNUMBER(SEARCH("ÓLEO DE COCO",$B147)),ISNUMBER(SEARCH("COPRA",$B147))),"ÓLEO DE COCO",IF(ISNUMBER(SEARCH("CORANTE",$B147)),"CORANTE",TRIM($B147)))),CONFIG_PALETES!$B:$B,$C147&amp;" ml")&gt;0,SUMIFS(CONFIG_PALETES!$D:$D,CONFIG_PALETES!$A:$A,IF(ISNUMBER(SEARCH("ESPUMA",$B147)),"ESPUMA",IF(OR(ISNUMBER(SEARCH("OLEO DE COCO",$B147)),ISNUMBER(SEARCH("ÓLEO DE COCO",$B147)),ISNUMBER(SEARCH("COPRA",$B147))),"ÓLEO DE COCO",IF(ISNUMBER(SEARCH("CORANTE",$B147)),"CORANTE",TRIM($B147)))),CONFIG_PALETES!$B:$B,$C147&amp;" ml"),IF(SUMIFS(CONFIG_PALETES!$D:$D,CONFIG_PALETES!$A:$A,"GERAL",CONFIG_PALETES!$B:$B,$C147&amp;" ml")&gt;0,SUMIFS(CONFIG_PALETES!$D:$D,CONFIG_PALETES!$A:$A,"GERAL",CONFIG_PALETES!$B:$B,$C147&amp;" ml"),12)))</f>
        <v/>
      </c>
      <c r="J147" s="67" t="str">
        <f>IF(D147="","",ROUNDUP(D147/IF(AND(C147="600 ml",ISNUMBER(SEARCH("NORCAU",B147))),95,IF(AND(C147="600 ml",ISNUMBER(SEARCH("APURATOS",B147))),190,IF(C147="600 ml",95,IF(C147="400 ml",125,IF(C147="200 ml",330,IF(C147="180 ml",240,1)))))),0))</f>
        <v/>
      </c>
      <c r="K147" s="67"/>
      <c r="L147" s="89" t="str">
        <f>IF(H147="","",H147)</f>
        <v/>
      </c>
      <c r="M147" s="67"/>
      <c r="N147" s="88" t="str">
        <f t="shared" si="31"/>
        <v/>
      </c>
      <c r="Q147" s="646"/>
      <c r="R147" s="646"/>
      <c r="S147" s="646"/>
      <c r="T147" s="646"/>
      <c r="U147" s="646"/>
    </row>
    <row r="148" spans="1:21" ht="21" customHeight="1" x14ac:dyDescent="0.3">
      <c r="A148" s="401"/>
      <c r="B148" s="394"/>
      <c r="C148" s="395"/>
      <c r="D148" s="396"/>
      <c r="E148" s="397" t="s">
        <v>184</v>
      </c>
      <c r="F148" s="864"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398" t="str">
        <f>IFERROR(ROUNDUP(D148/F148,0),"")</f>
        <v/>
      </c>
      <c r="H148" s="399"/>
      <c r="I148" s="396"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c r="J148" s="1" t="str">
        <f>IF(D148="","",ROUNDUP(D148/IF(AND(C148="600 ml",ISNUMBER(SEARCH("NORCAU",B148))),95,IF(AND(C148="600 ml",ISNUMBER(SEARCH("APURATOS",B148))),190,IF(C148="600 ml",95,IF(C148="400 ml",125,IF(C148="200 ml",330,IF(C148="180 ml",240,1)))))),0))</f>
        <v/>
      </c>
      <c r="L148" s="1" t="str">
        <f>IF(H148="","",H148)</f>
        <v/>
      </c>
      <c r="N148" s="1" t="str">
        <f t="shared" si="31"/>
        <v/>
      </c>
      <c r="Q148" s="646"/>
      <c r="R148" s="646"/>
      <c r="S148" s="646"/>
      <c r="T148" s="646"/>
      <c r="U148" s="646"/>
    </row>
    <row r="149" spans="1:21" ht="21" customHeight="1" x14ac:dyDescent="0.3">
      <c r="A149" s="771"/>
      <c r="B149" s="772"/>
      <c r="C149" s="773"/>
      <c r="D149" s="774"/>
      <c r="E149" s="775"/>
      <c r="F149" s="865"/>
      <c r="G149" s="776"/>
      <c r="H149" s="777"/>
      <c r="I149" s="774"/>
      <c r="J149" s="72" t="str">
        <f>IF(D149="","",ROUNDUP(D149/IF(AND(C149="600 ml",ISNUMBER(SEARCH("NORCAU",B149))),95,IF(AND(C149="600 ml",ISNUMBER(SEARCH("APURATOS",B149))),190,IF(C149="600 ml",95,IF(C149="400 ml",125,IF(C149="200 ml",330,IF(C149="180 ml",240,1)))))),0))</f>
        <v/>
      </c>
      <c r="K149" s="72"/>
      <c r="L149" s="87" t="str">
        <f>IF(H149="","",H149)</f>
        <v/>
      </c>
      <c r="M149" s="72"/>
      <c r="N149" s="87" t="str">
        <f t="shared" si="31"/>
        <v/>
      </c>
    </row>
    <row r="150" spans="1:21" ht="15" customHeight="1" x14ac:dyDescent="0.3">
      <c r="A150" s="853"/>
      <c r="B150" s="837" t="s">
        <v>186</v>
      </c>
      <c r="C150" s="838"/>
      <c r="D150" s="839">
        <f>SUM(D143:D149)</f>
        <v>654</v>
      </c>
      <c r="E150" s="837"/>
      <c r="F150" s="854" t="s">
        <v>1400</v>
      </c>
      <c r="G150" s="840">
        <f>SUM(G143:G149)</f>
        <v>6</v>
      </c>
      <c r="H150" s="839">
        <f>SUM(H143:H149)</f>
        <v>654</v>
      </c>
      <c r="I150" s="839">
        <f>SUM(I143:I149)</f>
        <v>7848</v>
      </c>
      <c r="J150" s="85">
        <f>SUM(D145:D149)</f>
        <v>654</v>
      </c>
      <c r="K150" s="1">
        <f>SUM(G145:G149)</f>
        <v>6</v>
      </c>
      <c r="L150" s="84">
        <f>SUM(H145:H149)</f>
        <v>654</v>
      </c>
      <c r="M150" s="1">
        <f>SUM(I145:I149)</f>
        <v>7848</v>
      </c>
      <c r="N150" s="83">
        <f t="shared" si="31"/>
        <v>7848</v>
      </c>
      <c r="O150" s="63">
        <f>SUM(N146:N149)</f>
        <v>7848</v>
      </c>
      <c r="Q150" s="587" cm="1">
        <f t="array" ref="Q150">IF(H150=0,"",SUMPRODUCT(IFERROR(INT(H145:H149/F145:F149),0)))</f>
        <v>5</v>
      </c>
      <c r="R150" s="770">
        <f>IF(Q150="","",MAX(0,G150-Q150))</f>
        <v>1</v>
      </c>
    </row>
    <row r="151" spans="1:21" ht="15" customHeight="1" x14ac:dyDescent="0.3">
      <c r="A151" s="796"/>
      <c r="B151" s="779"/>
      <c r="C151" s="789"/>
      <c r="D151" s="790"/>
      <c r="E151" s="791"/>
      <c r="F151" s="781"/>
      <c r="G151" s="792"/>
      <c r="H151" s="793"/>
      <c r="I151" s="790"/>
      <c r="J151" s="82" t="str">
        <f>IF(D151="","",ROUNDUP(D151/IF(AND(C151="600 ml",ISNUMBER(SEARCH("NORCAU",B151))),95,IF(AND(C151="600 ml",ISNUMBER(SEARCH("APURATOS",B151))),190,IF(C151="600 ml",95,IF(C151="400 ml",125,IF(C151="200 ml",330,IF(C151="180 ml",240,1)))))),0))</f>
        <v/>
      </c>
      <c r="L151" s="81" t="str">
        <f>IF(H151="","",H151)</f>
        <v/>
      </c>
      <c r="M151" s="70"/>
      <c r="N151" s="80" t="str">
        <f t="shared" si="31"/>
        <v/>
      </c>
    </row>
    <row r="152" spans="1:21" ht="15" customHeight="1" x14ac:dyDescent="0.3">
      <c r="A152" s="390">
        <v>46050</v>
      </c>
      <c r="B152" s="481" t="s">
        <v>49</v>
      </c>
      <c r="C152" s="482" t="s">
        <v>176</v>
      </c>
      <c r="D152" s="483" t="s">
        <v>177</v>
      </c>
      <c r="E152" s="484" t="s">
        <v>178</v>
      </c>
      <c r="F152" s="859" t="s">
        <v>179</v>
      </c>
      <c r="G152" s="485" t="s">
        <v>180</v>
      </c>
      <c r="H152" s="483" t="s">
        <v>181</v>
      </c>
      <c r="I152" s="483" t="s">
        <v>182</v>
      </c>
      <c r="J152" s="85"/>
      <c r="L152" s="84"/>
      <c r="M152" s="70"/>
      <c r="N152" s="83"/>
    </row>
    <row r="153" spans="1:21" ht="21" customHeight="1" x14ac:dyDescent="0.3">
      <c r="A153" s="479"/>
      <c r="B153" s="649" t="s">
        <v>197</v>
      </c>
      <c r="C153" s="650"/>
      <c r="D153" s="650"/>
      <c r="E153" s="650"/>
      <c r="F153" s="866"/>
      <c r="G153" s="650"/>
      <c r="H153" s="650"/>
      <c r="I153" s="651"/>
      <c r="J153" s="82" t="str">
        <f t="shared" ref="J153:J160" si="32">IF(D153="","",ROUNDUP(D153/IF(AND(C153="600 ml",ISNUMBER(SEARCH("NORCAU",B153))),95,IF(AND(C153="600 ml",ISNUMBER(SEARCH("APURATOS",B153))),190,IF(C153="600 ml",95,IF(C153="400 ml",125,IF(C153="200 ml",330,IF(C153="180 ml",240,1)))))),0))</f>
        <v/>
      </c>
      <c r="L153" s="81" t="str">
        <f t="shared" ref="L153:L160" si="33">IF(H153="","",H153)</f>
        <v/>
      </c>
      <c r="N153" s="80" t="str">
        <f t="shared" ref="N153:N162" si="34">IF(I153="","",I153)</f>
        <v/>
      </c>
    </row>
    <row r="154" spans="1:21" ht="21" customHeight="1" x14ac:dyDescent="0.3">
      <c r="A154" s="479"/>
      <c r="B154" s="652"/>
      <c r="C154" s="653"/>
      <c r="D154" s="653"/>
      <c r="E154" s="653"/>
      <c r="F154" s="867"/>
      <c r="G154" s="653"/>
      <c r="H154" s="653"/>
      <c r="I154" s="654"/>
      <c r="J154" s="85" t="str">
        <f t="shared" si="32"/>
        <v/>
      </c>
      <c r="L154" s="84" t="str">
        <f t="shared" si="33"/>
        <v/>
      </c>
      <c r="N154" s="83" t="str">
        <f t="shared" si="34"/>
        <v/>
      </c>
      <c r="Q154" s="646"/>
      <c r="R154" s="646"/>
      <c r="S154" s="646"/>
      <c r="T154" s="646"/>
      <c r="U154" s="646"/>
    </row>
    <row r="155" spans="1:21" ht="21" customHeight="1" x14ac:dyDescent="0.3">
      <c r="A155" s="479"/>
      <c r="B155" s="652"/>
      <c r="C155" s="653"/>
      <c r="D155" s="653"/>
      <c r="E155" s="653"/>
      <c r="F155" s="867"/>
      <c r="G155" s="653"/>
      <c r="H155" s="653"/>
      <c r="I155" s="654"/>
      <c r="J155" s="82" t="str">
        <f t="shared" si="32"/>
        <v/>
      </c>
      <c r="L155" s="81" t="str">
        <f t="shared" si="33"/>
        <v/>
      </c>
      <c r="N155" s="80" t="str">
        <f t="shared" si="34"/>
        <v/>
      </c>
      <c r="Q155" s="646"/>
      <c r="R155" s="646"/>
      <c r="S155" s="646"/>
      <c r="T155" s="646"/>
      <c r="U155" s="646"/>
    </row>
    <row r="156" spans="1:21" ht="21" customHeight="1" x14ac:dyDescent="0.3">
      <c r="A156" s="479"/>
      <c r="B156" s="652"/>
      <c r="C156" s="653"/>
      <c r="D156" s="653"/>
      <c r="E156" s="653"/>
      <c r="F156" s="867"/>
      <c r="G156" s="653"/>
      <c r="H156" s="653"/>
      <c r="I156" s="654"/>
      <c r="J156" s="67" t="str">
        <f t="shared" si="32"/>
        <v/>
      </c>
      <c r="K156" s="67"/>
      <c r="L156" s="89" t="str">
        <f t="shared" si="33"/>
        <v/>
      </c>
      <c r="M156" s="67"/>
      <c r="N156" s="88" t="str">
        <f t="shared" si="34"/>
        <v/>
      </c>
      <c r="Q156" s="646"/>
      <c r="R156" s="646"/>
      <c r="S156" s="646"/>
      <c r="T156" s="646"/>
      <c r="U156" s="646"/>
    </row>
    <row r="157" spans="1:21" ht="21" customHeight="1" x14ac:dyDescent="0.3">
      <c r="A157" s="480"/>
      <c r="B157" s="652"/>
      <c r="C157" s="653"/>
      <c r="D157" s="653"/>
      <c r="E157" s="653"/>
      <c r="F157" s="867"/>
      <c r="G157" s="653"/>
      <c r="H157" s="653"/>
      <c r="I157" s="654"/>
      <c r="J157" s="1" t="str">
        <f t="shared" si="32"/>
        <v/>
      </c>
      <c r="L157" s="1" t="str">
        <f t="shared" si="33"/>
        <v/>
      </c>
      <c r="N157" s="1" t="str">
        <f t="shared" si="34"/>
        <v/>
      </c>
      <c r="Q157" s="646"/>
      <c r="R157" s="646"/>
      <c r="S157" s="646"/>
      <c r="T157" s="646"/>
      <c r="U157" s="646"/>
    </row>
    <row r="158" spans="1:21" ht="21" customHeight="1" x14ac:dyDescent="0.3">
      <c r="A158" s="479"/>
      <c r="B158" s="652"/>
      <c r="C158" s="653"/>
      <c r="D158" s="653"/>
      <c r="E158" s="653"/>
      <c r="F158" s="867"/>
      <c r="G158" s="653"/>
      <c r="H158" s="653"/>
      <c r="I158" s="654"/>
      <c r="J158" s="72" t="str">
        <f t="shared" si="32"/>
        <v/>
      </c>
      <c r="K158" s="72"/>
      <c r="L158" s="87" t="str">
        <f t="shared" si="33"/>
        <v/>
      </c>
      <c r="M158" s="72"/>
      <c r="N158" s="87" t="str">
        <f t="shared" si="34"/>
        <v/>
      </c>
    </row>
    <row r="159" spans="1:21" ht="21" customHeight="1" x14ac:dyDescent="0.3">
      <c r="A159" s="479"/>
      <c r="B159" s="652"/>
      <c r="C159" s="653"/>
      <c r="D159" s="653"/>
      <c r="E159" s="653"/>
      <c r="F159" s="867"/>
      <c r="G159" s="653"/>
      <c r="H159" s="653"/>
      <c r="I159" s="654"/>
      <c r="J159" s="82" t="str">
        <f t="shared" si="32"/>
        <v/>
      </c>
      <c r="L159" s="81" t="str">
        <f t="shared" si="33"/>
        <v/>
      </c>
      <c r="N159" s="80" t="str">
        <f t="shared" si="34"/>
        <v/>
      </c>
    </row>
    <row r="160" spans="1:21" ht="21" customHeight="1" x14ac:dyDescent="0.3">
      <c r="A160" s="801"/>
      <c r="B160" s="652"/>
      <c r="C160" s="802"/>
      <c r="D160" s="802"/>
      <c r="E160" s="802"/>
      <c r="F160" s="868"/>
      <c r="G160" s="802"/>
      <c r="H160" s="802"/>
      <c r="I160" s="654"/>
      <c r="J160" s="85" t="str">
        <f t="shared" si="32"/>
        <v/>
      </c>
      <c r="L160" s="84" t="str">
        <f t="shared" si="33"/>
        <v/>
      </c>
      <c r="M160" s="70"/>
      <c r="N160" s="83" t="str">
        <f t="shared" si="34"/>
        <v/>
      </c>
    </row>
    <row r="161" spans="1:21" ht="15" customHeight="1" x14ac:dyDescent="0.3">
      <c r="A161" s="853"/>
      <c r="B161" s="837" t="s">
        <v>186</v>
      </c>
      <c r="C161" s="838"/>
      <c r="D161" s="839">
        <f>SUM(D154:D160)</f>
        <v>0</v>
      </c>
      <c r="E161" s="837"/>
      <c r="F161" s="854" t="s">
        <v>1400</v>
      </c>
      <c r="G161" s="840">
        <f>SUM(G154:G160)</f>
        <v>0</v>
      </c>
      <c r="H161" s="839">
        <f>SUM(H154:H160)</f>
        <v>0</v>
      </c>
      <c r="I161" s="839">
        <f>SUM(I154:I160)</f>
        <v>0</v>
      </c>
      <c r="J161" s="82">
        <f>SUM(D153:D160)</f>
        <v>0</v>
      </c>
      <c r="K161" s="1">
        <f>SUM(G153:G160)</f>
        <v>0</v>
      </c>
      <c r="L161" s="81">
        <f>SUM(H153:H160)</f>
        <v>0</v>
      </c>
      <c r="M161" s="70">
        <f>SUM(I153:I160)</f>
        <v>0</v>
      </c>
      <c r="N161" s="80">
        <f t="shared" si="34"/>
        <v>0</v>
      </c>
      <c r="O161" s="63">
        <f>SUM(N154:N160)</f>
        <v>0</v>
      </c>
      <c r="Q161" s="587" t="str" cm="1">
        <f t="array" ref="Q161">IF(H161=0,"",SUMPRODUCT(IFERROR(INT(H153:H160/F153:F160),0)))</f>
        <v/>
      </c>
      <c r="R161" s="770" t="str">
        <f>IF(Q161="","",MAX(0,G161-Q161))</f>
        <v/>
      </c>
    </row>
    <row r="162" spans="1:21" ht="15" customHeight="1" x14ac:dyDescent="0.3">
      <c r="A162" s="782"/>
      <c r="B162" s="779"/>
      <c r="C162" s="789"/>
      <c r="D162" s="790"/>
      <c r="E162" s="791"/>
      <c r="F162" s="781"/>
      <c r="G162" s="792"/>
      <c r="H162" s="793"/>
      <c r="I162" s="790"/>
      <c r="J162" s="85" t="str">
        <f>IF(D162="","",ROUNDUP(D162/IF(AND(C162="600 ml",ISNUMBER(SEARCH("NORCAU",B162))),95,IF(AND(C162="600 ml",ISNUMBER(SEARCH("APURATOS",B162))),190,IF(C162="600 ml",95,IF(C162="400 ml",125,IF(C162="200 ml",330,IF(C162="180 ml",240,1)))))),0))</f>
        <v/>
      </c>
      <c r="L162" s="84" t="str">
        <f>IF(H162="","",H162)</f>
        <v/>
      </c>
      <c r="N162" s="83" t="str">
        <f t="shared" si="34"/>
        <v/>
      </c>
    </row>
    <row r="163" spans="1:21" ht="15" customHeight="1" x14ac:dyDescent="0.3">
      <c r="A163" s="390">
        <v>46051</v>
      </c>
      <c r="B163" s="393" t="s">
        <v>49</v>
      </c>
      <c r="C163" s="391" t="s">
        <v>176</v>
      </c>
      <c r="D163" s="402" t="s">
        <v>177</v>
      </c>
      <c r="E163" s="392" t="s">
        <v>178</v>
      </c>
      <c r="F163" s="858" t="s">
        <v>179</v>
      </c>
      <c r="G163" s="404" t="s">
        <v>180</v>
      </c>
      <c r="H163" s="402" t="s">
        <v>181</v>
      </c>
      <c r="I163" s="402" t="s">
        <v>182</v>
      </c>
      <c r="J163" s="82"/>
      <c r="L163" s="81"/>
      <c r="N163" s="80"/>
    </row>
    <row r="164" spans="1:21" ht="21" customHeight="1" x14ac:dyDescent="0.3">
      <c r="A164" s="390"/>
      <c r="B164" s="394"/>
      <c r="C164" s="395"/>
      <c r="D164" s="396"/>
      <c r="E164" s="397" t="s">
        <v>184</v>
      </c>
      <c r="F164" s="864"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398" t="str">
        <f>IFERROR(ROUNDUP(D164/F164,0),"")</f>
        <v/>
      </c>
      <c r="H164" s="399"/>
      <c r="I164" s="396"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c r="J164" s="79" t="str">
        <f>IF(D164="","",ROUNDUP(D164/IF(AND(C164="600 ml",ISNUMBER(SEARCH("NORCAU",B164))),95,IF(AND(C164="600 ml",ISNUMBER(SEARCH("APURATOS",B164))),190,IF(C164="600 ml",95,IF(C164="400 ml",125,IF(C164="200 ml",330,IF(C164="180 ml",240,1)))))),0))</f>
        <v/>
      </c>
      <c r="K164" s="67"/>
      <c r="L164" s="78" t="str">
        <f>IF(H164="","",H164)</f>
        <v/>
      </c>
      <c r="M164" s="67"/>
      <c r="N164" s="77" t="str">
        <f t="shared" ref="N164:N170" si="35">IF(I164="","",I164)</f>
        <v/>
      </c>
    </row>
    <row r="165" spans="1:21" ht="21" customHeight="1" x14ac:dyDescent="0.3">
      <c r="A165" s="401"/>
      <c r="B165" s="394" t="s">
        <v>198</v>
      </c>
      <c r="C165" s="395">
        <v>400</v>
      </c>
      <c r="D165" s="396">
        <v>100</v>
      </c>
      <c r="E165" s="397" t="s">
        <v>184</v>
      </c>
      <c r="F165" s="864">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125</v>
      </c>
      <c r="G165" s="398">
        <f>IFERROR(ROUNDUP(D165/F165,0),"")</f>
        <v>1</v>
      </c>
      <c r="H165" s="399">
        <v>101</v>
      </c>
      <c r="I165" s="396">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1212</v>
      </c>
      <c r="J165" s="1">
        <f>IF(D165="","",ROUNDUP(D165/IF(AND(C165="600 ml",ISNUMBER(SEARCH("NORCAU",B165))),95,IF(AND(C165="600 ml",ISNUMBER(SEARCH("APURATOS",B165))),190,IF(C165="600 ml",95,IF(C165="400 ml",125,IF(C165="200 ml",330,IF(C165="180 ml",240,1)))))),0))</f>
        <v>100</v>
      </c>
      <c r="L165" s="1">
        <f>IF(H165="","",H165)</f>
        <v>101</v>
      </c>
      <c r="N165" s="1">
        <f t="shared" si="35"/>
        <v>1212</v>
      </c>
      <c r="T165" s="76"/>
      <c r="U165" s="76"/>
    </row>
    <row r="166" spans="1:21" ht="21" customHeight="1" x14ac:dyDescent="0.3">
      <c r="A166" s="390"/>
      <c r="B166" s="394" t="s">
        <v>31</v>
      </c>
      <c r="C166" s="395">
        <v>600</v>
      </c>
      <c r="D166" s="396">
        <v>665</v>
      </c>
      <c r="E166" s="397" t="s">
        <v>184</v>
      </c>
      <c r="F166" s="864">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95</v>
      </c>
      <c r="G166" s="398">
        <f>IFERROR(ROUNDUP(D166/F166,0),"")</f>
        <v>7</v>
      </c>
      <c r="H166" s="399">
        <v>665</v>
      </c>
      <c r="I166" s="396">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7980</v>
      </c>
      <c r="J166" s="74">
        <f>IF(D166="","",ROUNDUP(D166/IF(AND(C166="600 ml",ISNUMBER(SEARCH("NORCAU",B166))),95,IF(AND(C166="600 ml",ISNUMBER(SEARCH("APURATOS",B166))),190,IF(C166="600 ml",95,IF(C166="400 ml",125,IF(C166="200 ml",330,IF(C166="180 ml",240,1)))))),0))</f>
        <v>665</v>
      </c>
      <c r="K166" s="72"/>
      <c r="L166" s="73">
        <f>IF(H166="","",H166)</f>
        <v>665</v>
      </c>
      <c r="M166" s="72"/>
      <c r="N166" s="71">
        <f t="shared" si="35"/>
        <v>7980</v>
      </c>
      <c r="T166" s="76"/>
      <c r="U166" s="76"/>
    </row>
    <row r="167" spans="1:21" ht="21" customHeight="1" x14ac:dyDescent="0.3">
      <c r="A167" s="390"/>
      <c r="B167" s="394" t="s">
        <v>31</v>
      </c>
      <c r="C167" s="395">
        <v>600</v>
      </c>
      <c r="D167" s="396">
        <v>665</v>
      </c>
      <c r="E167" s="397" t="s">
        <v>184</v>
      </c>
      <c r="F167" s="864">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95</v>
      </c>
      <c r="G167" s="398">
        <f>IFERROR(ROUNDUP(D167/F167,0),"")</f>
        <v>7</v>
      </c>
      <c r="H167" s="399">
        <v>256</v>
      </c>
      <c r="I167" s="396">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3072</v>
      </c>
      <c r="J167" s="1">
        <f>IF(D167="","",ROUNDUP(D167/IF(AND(C167="600 ml",ISNUMBER(SEARCH("NORCAU",B167))),95,IF(AND(C167="600 ml",ISNUMBER(SEARCH("APURATOS",B167))),190,IF(C167="600 ml",95,IF(C167="400 ml",125,IF(C167="200 ml",330,IF(C167="180 ml",240,1)))))),0))</f>
        <v>665</v>
      </c>
      <c r="L167" s="70">
        <f>IF(H167="","",H167)</f>
        <v>256</v>
      </c>
      <c r="N167" s="69">
        <f t="shared" si="35"/>
        <v>3072</v>
      </c>
      <c r="T167" s="76"/>
      <c r="U167" s="76"/>
    </row>
    <row r="168" spans="1:21" ht="21" customHeight="1" x14ac:dyDescent="0.3">
      <c r="A168" s="771"/>
      <c r="B168" s="772"/>
      <c r="C168" s="773"/>
      <c r="D168" s="774"/>
      <c r="E168" s="775" t="s">
        <v>184</v>
      </c>
      <c r="F168" s="865"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776" t="str">
        <f>IFERROR(ROUNDUP(D168/F168,0),"")</f>
        <v/>
      </c>
      <c r="H168" s="777"/>
      <c r="I168" s="77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c r="J168" s="1" t="str">
        <f>IF(D168="","",ROUNDUP(D168/IF(AND(C168="600 ml",ISNUMBER(SEARCH("NORCAU",B168))),95,IF(AND(C168="600 ml",ISNUMBER(SEARCH("APURATOS",B168))),190,IF(C168="600 ml",95,IF(C168="400 ml",125,IF(C168="200 ml",330,IF(C168="180 ml",240,1)))))),0))</f>
        <v/>
      </c>
      <c r="L168" s="70" t="str">
        <f>IF(H168="","",H168)</f>
        <v/>
      </c>
      <c r="M168" s="70"/>
      <c r="N168" s="69" t="str">
        <f t="shared" si="35"/>
        <v/>
      </c>
      <c r="T168" s="76"/>
      <c r="U168" s="76"/>
    </row>
    <row r="169" spans="1:21" ht="15" customHeight="1" x14ac:dyDescent="0.3">
      <c r="A169" s="853"/>
      <c r="B169" s="837" t="s">
        <v>186</v>
      </c>
      <c r="C169" s="838"/>
      <c r="D169" s="839">
        <f>SUM(D162:D168)</f>
        <v>1430</v>
      </c>
      <c r="E169" s="837"/>
      <c r="F169" s="854" t="s">
        <v>1400</v>
      </c>
      <c r="G169" s="840">
        <f>SUM(G162:G168)</f>
        <v>15</v>
      </c>
      <c r="H169" s="839">
        <f>SUM(H162:H168)</f>
        <v>1022</v>
      </c>
      <c r="I169" s="839">
        <f>SUM(I162:I168)</f>
        <v>12264</v>
      </c>
      <c r="J169" s="1">
        <f>SUM(D164:D168)</f>
        <v>1430</v>
      </c>
      <c r="K169" s="1">
        <f>SUM(G164:G168)</f>
        <v>15</v>
      </c>
      <c r="L169" s="70">
        <f>SUM(H164:H168)</f>
        <v>1022</v>
      </c>
      <c r="M169" s="70">
        <f>SUM(I164:I168)</f>
        <v>12264</v>
      </c>
      <c r="N169" s="69">
        <f t="shared" si="35"/>
        <v>12264</v>
      </c>
      <c r="O169" s="63">
        <f>SUM(N165:N168)</f>
        <v>12264</v>
      </c>
      <c r="Q169" s="587" cm="1">
        <f t="array" ref="Q169">IF(H169=0,"",SUMPRODUCT(IFERROR(INT(H164:H168/F164:F168),0)))</f>
        <v>9</v>
      </c>
      <c r="R169" s="770">
        <f>IF(Q169="","",MAX(0,G169-Q169))</f>
        <v>6</v>
      </c>
    </row>
    <row r="170" spans="1:21" ht="15" customHeight="1" x14ac:dyDescent="0.3">
      <c r="A170" s="782"/>
      <c r="B170" s="779"/>
      <c r="C170" s="780"/>
      <c r="D170" s="781"/>
      <c r="E170" s="781"/>
      <c r="F170" s="781"/>
      <c r="G170" s="781"/>
      <c r="H170" s="803"/>
      <c r="I170" s="781"/>
      <c r="J170" s="1" t="str">
        <f>IF(D170="","",ROUNDUP(D170/IF(AND(C170="600 ml",ISNUMBER(SEARCH("NORCAU",B170))),95,IF(AND(C170="600 ml",ISNUMBER(SEARCH("APURATOS",B170))),190,IF(C170="600 ml",95,IF(C170="400 ml",125,IF(C170="200 ml",330,IF(C170="180 ml",240,1)))))),0))</f>
        <v/>
      </c>
      <c r="L170" s="70" t="str">
        <f>IF(H170="","",H170)</f>
        <v/>
      </c>
      <c r="N170" s="69" t="str">
        <f t="shared" si="35"/>
        <v/>
      </c>
    </row>
    <row r="171" spans="1:21" ht="15" customHeight="1" x14ac:dyDescent="0.3">
      <c r="A171" s="390">
        <v>46052</v>
      </c>
      <c r="B171" s="393" t="s">
        <v>49</v>
      </c>
      <c r="C171" s="391" t="s">
        <v>176</v>
      </c>
      <c r="D171" s="392" t="s">
        <v>177</v>
      </c>
      <c r="E171" s="392" t="s">
        <v>178</v>
      </c>
      <c r="F171" s="858" t="s">
        <v>179</v>
      </c>
      <c r="G171" s="392" t="s">
        <v>180</v>
      </c>
      <c r="H171" s="392" t="s">
        <v>181</v>
      </c>
      <c r="I171" s="392" t="s">
        <v>182</v>
      </c>
      <c r="L171" s="70"/>
      <c r="N171" s="69"/>
    </row>
    <row r="172" spans="1:21" ht="21" customHeight="1" x14ac:dyDescent="0.3">
      <c r="A172" s="390"/>
      <c r="B172" s="394"/>
      <c r="C172" s="395"/>
      <c r="D172" s="396"/>
      <c r="E172" s="397"/>
      <c r="F172" s="864"/>
      <c r="G172" s="398"/>
      <c r="H172" s="399"/>
      <c r="I172" s="396"/>
      <c r="J172" s="67" t="str">
        <f t="shared" ref="J172:J197" si="36">IF(D172="","",ROUNDUP(D172/IF(AND(C172="600 ml",ISNUMBER(SEARCH("NORCAU",B172))),95,IF(AND(C172="600 ml",ISNUMBER(SEARCH("APURATOS",B172))),190,IF(C172="600 ml",95,IF(C172="400 ml",125,IF(C172="200 ml",330,IF(C172="180 ml",240,1)))))),0))</f>
        <v/>
      </c>
      <c r="K172" s="67"/>
      <c r="L172" s="68" t="str">
        <f t="shared" ref="L172:L197" si="37">IF(H172="","",H172)</f>
        <v/>
      </c>
      <c r="M172" s="67"/>
      <c r="N172" s="66" t="str">
        <f t="shared" ref="N172:N199" si="38">IF(I172="","",I172)</f>
        <v/>
      </c>
    </row>
    <row r="173" spans="1:21" ht="21" customHeight="1" x14ac:dyDescent="0.3">
      <c r="A173" s="401"/>
      <c r="B173" s="394" t="s">
        <v>31</v>
      </c>
      <c r="C173" s="395">
        <v>600</v>
      </c>
      <c r="D173" s="396">
        <f>D167-L167</f>
        <v>409</v>
      </c>
      <c r="E173" s="397" t="s">
        <v>184</v>
      </c>
      <c r="F173" s="864">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95</v>
      </c>
      <c r="G173" s="398">
        <f>IFERROR(ROUNDUP(D173/F173,0),"")</f>
        <v>5</v>
      </c>
      <c r="H173" s="399">
        <v>424</v>
      </c>
      <c r="I173" s="396">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5088</v>
      </c>
      <c r="J173" s="1">
        <f t="shared" si="36"/>
        <v>409</v>
      </c>
      <c r="L173" s="1">
        <f t="shared" si="37"/>
        <v>424</v>
      </c>
      <c r="N173" s="1">
        <f t="shared" si="38"/>
        <v>5088</v>
      </c>
    </row>
    <row r="174" spans="1:21" ht="21" customHeight="1" x14ac:dyDescent="0.3">
      <c r="A174" s="390"/>
      <c r="B174" s="394" t="s">
        <v>37</v>
      </c>
      <c r="C174" s="395">
        <v>600</v>
      </c>
      <c r="D174" s="396">
        <v>768</v>
      </c>
      <c r="E174" s="397" t="s">
        <v>184</v>
      </c>
      <c r="F174" s="864">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95</v>
      </c>
      <c r="G174" s="398">
        <f>IFERROR(ROUNDUP(D174/F174,0),"")</f>
        <v>9</v>
      </c>
      <c r="H174" s="399">
        <v>330</v>
      </c>
      <c r="I174" s="396">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3960</v>
      </c>
      <c r="J174" s="74">
        <f t="shared" si="36"/>
        <v>768</v>
      </c>
      <c r="K174" s="72"/>
      <c r="L174" s="73">
        <f t="shared" si="37"/>
        <v>330</v>
      </c>
      <c r="M174" s="72"/>
      <c r="N174" s="71">
        <f t="shared" si="38"/>
        <v>3960</v>
      </c>
    </row>
    <row r="175" spans="1:21" ht="21" customHeight="1" x14ac:dyDescent="0.3">
      <c r="A175" s="390"/>
      <c r="B175" s="394"/>
      <c r="C175" s="395"/>
      <c r="D175" s="396"/>
      <c r="E175" s="397" t="s">
        <v>184</v>
      </c>
      <c r="F175" s="864"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398" t="str">
        <f>IFERROR(ROUNDUP(D175/F175,0),"")</f>
        <v/>
      </c>
      <c r="H175" s="399"/>
      <c r="I175" s="396"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c r="J175" s="1" t="str">
        <f t="shared" si="36"/>
        <v/>
      </c>
      <c r="L175" s="70" t="str">
        <f t="shared" si="37"/>
        <v/>
      </c>
      <c r="N175" s="69" t="str">
        <f t="shared" si="38"/>
        <v/>
      </c>
    </row>
    <row r="176" spans="1:21" ht="21" customHeight="1" x14ac:dyDescent="0.3">
      <c r="A176" s="390"/>
      <c r="B176" s="394"/>
      <c r="C176" s="395"/>
      <c r="D176" s="396"/>
      <c r="E176" s="397" t="s">
        <v>184</v>
      </c>
      <c r="F176" s="864"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398" t="str">
        <f>IFERROR(ROUNDUP(D176/F176,0),"")</f>
        <v/>
      </c>
      <c r="H176" s="399"/>
      <c r="I176" s="396"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c r="J176" s="1" t="str">
        <f t="shared" si="36"/>
        <v/>
      </c>
      <c r="L176" s="70" t="str">
        <f t="shared" si="37"/>
        <v/>
      </c>
      <c r="M176" s="70"/>
      <c r="N176" s="69" t="str">
        <f t="shared" si="38"/>
        <v/>
      </c>
    </row>
    <row r="177" spans="1:15" ht="21" customHeight="1" x14ac:dyDescent="0.3">
      <c r="A177" s="390"/>
      <c r="B177" s="394"/>
      <c r="C177" s="395"/>
      <c r="D177" s="396"/>
      <c r="E177" s="397"/>
      <c r="F177" s="864"/>
      <c r="G177" s="398"/>
      <c r="H177" s="399"/>
      <c r="I177" s="396"/>
      <c r="J177" s="1" t="str">
        <f t="shared" si="36"/>
        <v/>
      </c>
      <c r="L177" s="70" t="str">
        <f t="shared" si="37"/>
        <v/>
      </c>
      <c r="M177" s="70"/>
      <c r="N177" s="69" t="str">
        <f t="shared" si="38"/>
        <v/>
      </c>
    </row>
    <row r="178" spans="1:15" ht="21" customHeight="1" x14ac:dyDescent="0.3">
      <c r="A178" s="390"/>
      <c r="B178" s="394"/>
      <c r="C178" s="395"/>
      <c r="D178" s="396"/>
      <c r="E178" s="397"/>
      <c r="F178" s="864"/>
      <c r="G178" s="398"/>
      <c r="H178" s="399"/>
      <c r="I178" s="396"/>
      <c r="J178" s="1" t="str">
        <f t="shared" si="36"/>
        <v/>
      </c>
      <c r="L178" s="70" t="str">
        <f t="shared" si="37"/>
        <v/>
      </c>
      <c r="N178" s="69" t="str">
        <f t="shared" si="38"/>
        <v/>
      </c>
      <c r="O178" s="63">
        <f>SUM(N173:N177)</f>
        <v>9048</v>
      </c>
    </row>
    <row r="179" spans="1:15" ht="21" customHeight="1" x14ac:dyDescent="0.3">
      <c r="A179" s="407"/>
      <c r="B179" s="408"/>
      <c r="C179" s="409"/>
      <c r="D179" s="410"/>
      <c r="E179" s="410"/>
      <c r="F179" s="869"/>
      <c r="G179" s="410"/>
      <c r="H179" s="406"/>
      <c r="I179" s="410"/>
      <c r="J179" s="1" t="str">
        <f t="shared" si="36"/>
        <v/>
      </c>
      <c r="L179" s="70" t="str">
        <f t="shared" si="37"/>
        <v/>
      </c>
      <c r="N179" s="69" t="str">
        <f t="shared" si="38"/>
        <v/>
      </c>
    </row>
    <row r="180" spans="1:15" ht="21" customHeight="1" x14ac:dyDescent="0.3">
      <c r="A180" s="407"/>
      <c r="B180" s="408"/>
      <c r="C180" s="409"/>
      <c r="D180" s="410"/>
      <c r="E180" s="410"/>
      <c r="F180" s="869"/>
      <c r="G180" s="410"/>
      <c r="H180" s="406"/>
      <c r="I180" s="410"/>
      <c r="J180" s="67" t="str">
        <f t="shared" si="36"/>
        <v/>
      </c>
      <c r="K180" s="67"/>
      <c r="L180" s="68" t="str">
        <f t="shared" si="37"/>
        <v/>
      </c>
      <c r="M180" s="67"/>
      <c r="N180" s="66" t="str">
        <f t="shared" si="38"/>
        <v/>
      </c>
    </row>
    <row r="181" spans="1:15" ht="21" customHeight="1" x14ac:dyDescent="0.3">
      <c r="A181" s="411"/>
      <c r="B181" s="408"/>
      <c r="C181" s="409"/>
      <c r="D181" s="410"/>
      <c r="E181" s="410"/>
      <c r="F181" s="869"/>
      <c r="G181" s="410"/>
      <c r="H181" s="406"/>
      <c r="I181" s="410"/>
      <c r="J181" s="1" t="str">
        <f t="shared" si="36"/>
        <v/>
      </c>
      <c r="L181" s="1" t="str">
        <f t="shared" si="37"/>
        <v/>
      </c>
      <c r="N181" s="1" t="str">
        <f t="shared" si="38"/>
        <v/>
      </c>
      <c r="O181" s="63">
        <f>SUM(O1:O179)</f>
        <v>166293</v>
      </c>
    </row>
    <row r="182" spans="1:15" ht="21" customHeight="1" x14ac:dyDescent="0.3">
      <c r="A182" s="411"/>
      <c r="B182" s="408"/>
      <c r="C182" s="409"/>
      <c r="D182" s="410"/>
      <c r="E182" s="410"/>
      <c r="F182" s="869"/>
      <c r="G182" s="410"/>
      <c r="H182" s="406"/>
      <c r="I182" s="410"/>
      <c r="J182" s="1" t="str">
        <f t="shared" si="36"/>
        <v/>
      </c>
      <c r="L182" s="1" t="str">
        <f t="shared" si="37"/>
        <v/>
      </c>
      <c r="N182" s="1" t="str">
        <f t="shared" si="38"/>
        <v/>
      </c>
    </row>
    <row r="183" spans="1:15" ht="21" customHeight="1" x14ac:dyDescent="0.3">
      <c r="A183" s="411"/>
      <c r="B183" s="408"/>
      <c r="C183" s="409"/>
      <c r="D183" s="410"/>
      <c r="E183" s="410"/>
      <c r="F183" s="869"/>
      <c r="G183" s="410"/>
      <c r="H183" s="406"/>
      <c r="I183" s="410"/>
      <c r="J183" s="1" t="str">
        <f t="shared" si="36"/>
        <v/>
      </c>
      <c r="L183" s="1" t="str">
        <f t="shared" si="37"/>
        <v/>
      </c>
      <c r="N183" s="1" t="str">
        <f t="shared" si="38"/>
        <v/>
      </c>
    </row>
    <row r="184" spans="1:15" ht="21" customHeight="1" x14ac:dyDescent="0.3">
      <c r="A184" s="411"/>
      <c r="B184" s="408"/>
      <c r="C184" s="409"/>
      <c r="D184" s="410"/>
      <c r="E184" s="410"/>
      <c r="F184" s="869"/>
      <c r="G184" s="410"/>
      <c r="H184" s="406"/>
      <c r="I184" s="410"/>
      <c r="J184" s="1" t="str">
        <f t="shared" si="36"/>
        <v/>
      </c>
      <c r="L184" s="1" t="str">
        <f t="shared" si="37"/>
        <v/>
      </c>
      <c r="N184" s="1" t="str">
        <f t="shared" si="38"/>
        <v/>
      </c>
    </row>
    <row r="185" spans="1:15" ht="21" customHeight="1" x14ac:dyDescent="0.3">
      <c r="A185" s="411"/>
      <c r="B185" s="408"/>
      <c r="C185" s="409"/>
      <c r="D185" s="410"/>
      <c r="E185" s="410"/>
      <c r="F185" s="869"/>
      <c r="G185" s="410"/>
      <c r="H185" s="406"/>
      <c r="I185" s="410"/>
      <c r="J185" s="1" t="str">
        <f t="shared" si="36"/>
        <v/>
      </c>
      <c r="L185" s="1" t="str">
        <f t="shared" si="37"/>
        <v/>
      </c>
      <c r="N185" s="1" t="str">
        <f t="shared" si="38"/>
        <v/>
      </c>
    </row>
    <row r="186" spans="1:15" ht="21" customHeight="1" x14ac:dyDescent="0.3">
      <c r="A186" s="411"/>
      <c r="B186" s="408"/>
      <c r="C186" s="409"/>
      <c r="D186" s="410"/>
      <c r="E186" s="410"/>
      <c r="F186" s="869"/>
      <c r="G186" s="410"/>
      <c r="H186" s="406"/>
      <c r="I186" s="410"/>
      <c r="J186" s="1" t="str">
        <f t="shared" si="36"/>
        <v/>
      </c>
      <c r="L186" s="1" t="str">
        <f t="shared" si="37"/>
        <v/>
      </c>
      <c r="N186" s="1" t="str">
        <f t="shared" si="38"/>
        <v/>
      </c>
    </row>
    <row r="187" spans="1:15" ht="21" customHeight="1" x14ac:dyDescent="0.3">
      <c r="A187" s="411"/>
      <c r="B187" s="408"/>
      <c r="C187" s="409"/>
      <c r="D187" s="410"/>
      <c r="E187" s="410"/>
      <c r="F187" s="869"/>
      <c r="G187" s="410"/>
      <c r="H187" s="406"/>
      <c r="I187" s="410"/>
      <c r="J187" s="1" t="str">
        <f t="shared" si="36"/>
        <v/>
      </c>
      <c r="L187" s="1" t="str">
        <f t="shared" si="37"/>
        <v/>
      </c>
      <c r="N187" s="1" t="str">
        <f t="shared" si="38"/>
        <v/>
      </c>
    </row>
    <row r="188" spans="1:15" ht="21" customHeight="1" x14ac:dyDescent="0.3">
      <c r="A188" s="411"/>
      <c r="B188" s="408"/>
      <c r="C188" s="409"/>
      <c r="D188" s="410"/>
      <c r="E188" s="410"/>
      <c r="F188" s="869"/>
      <c r="G188" s="410"/>
      <c r="H188" s="406"/>
      <c r="I188" s="410"/>
      <c r="J188" s="1" t="str">
        <f t="shared" si="36"/>
        <v/>
      </c>
      <c r="L188" s="1" t="str">
        <f t="shared" si="37"/>
        <v/>
      </c>
      <c r="N188" s="1" t="str">
        <f t="shared" si="38"/>
        <v/>
      </c>
    </row>
    <row r="189" spans="1:15" ht="21" customHeight="1" x14ac:dyDescent="0.3">
      <c r="A189" s="411"/>
      <c r="B189" s="408"/>
      <c r="C189" s="409"/>
      <c r="D189" s="410"/>
      <c r="E189" s="410"/>
      <c r="F189" s="869"/>
      <c r="G189" s="410"/>
      <c r="H189" s="406"/>
      <c r="I189" s="410"/>
      <c r="J189" s="1" t="str">
        <f t="shared" si="36"/>
        <v/>
      </c>
      <c r="L189" s="1" t="str">
        <f t="shared" si="37"/>
        <v/>
      </c>
      <c r="N189" s="1" t="str">
        <f t="shared" si="38"/>
        <v/>
      </c>
    </row>
    <row r="190" spans="1:15" ht="21" customHeight="1" x14ac:dyDescent="0.3">
      <c r="A190" s="411"/>
      <c r="B190" s="408"/>
      <c r="C190" s="409"/>
      <c r="D190" s="410"/>
      <c r="E190" s="410"/>
      <c r="F190" s="869"/>
      <c r="G190" s="410"/>
      <c r="H190" s="406"/>
      <c r="I190" s="410"/>
      <c r="J190" s="1" t="str">
        <f t="shared" si="36"/>
        <v/>
      </c>
      <c r="L190" s="1" t="str">
        <f t="shared" si="37"/>
        <v/>
      </c>
      <c r="N190" s="1" t="str">
        <f t="shared" si="38"/>
        <v/>
      </c>
    </row>
    <row r="191" spans="1:15" ht="21" customHeight="1" x14ac:dyDescent="0.3">
      <c r="A191" s="411"/>
      <c r="B191" s="408"/>
      <c r="C191" s="409"/>
      <c r="D191" s="410"/>
      <c r="E191" s="410"/>
      <c r="F191" s="869"/>
      <c r="G191" s="410"/>
      <c r="H191" s="406"/>
      <c r="I191" s="410"/>
      <c r="J191" s="1" t="str">
        <f t="shared" si="36"/>
        <v/>
      </c>
      <c r="L191" s="1" t="str">
        <f t="shared" si="37"/>
        <v/>
      </c>
      <c r="N191" s="1" t="str">
        <f t="shared" si="38"/>
        <v/>
      </c>
    </row>
    <row r="192" spans="1:15" ht="21" customHeight="1" x14ac:dyDescent="0.3">
      <c r="A192" s="411"/>
      <c r="B192" s="408"/>
      <c r="C192" s="409"/>
      <c r="D192" s="410"/>
      <c r="E192" s="410"/>
      <c r="F192" s="869"/>
      <c r="G192" s="410"/>
      <c r="H192" s="406"/>
      <c r="I192" s="410"/>
      <c r="J192" s="1" t="str">
        <f t="shared" si="36"/>
        <v/>
      </c>
      <c r="L192" s="1" t="str">
        <f t="shared" si="37"/>
        <v/>
      </c>
      <c r="N192" s="1" t="str">
        <f t="shared" si="38"/>
        <v/>
      </c>
    </row>
    <row r="193" spans="1:18" ht="21" customHeight="1" x14ac:dyDescent="0.3">
      <c r="A193" s="411"/>
      <c r="B193" s="408"/>
      <c r="C193" s="409"/>
      <c r="D193" s="410"/>
      <c r="E193" s="410"/>
      <c r="F193" s="869"/>
      <c r="G193" s="410"/>
      <c r="H193" s="406"/>
      <c r="I193" s="410"/>
      <c r="J193" s="1" t="str">
        <f t="shared" si="36"/>
        <v/>
      </c>
      <c r="L193" s="1" t="str">
        <f t="shared" si="37"/>
        <v/>
      </c>
      <c r="N193" s="1" t="str">
        <f t="shared" si="38"/>
        <v/>
      </c>
    </row>
    <row r="194" spans="1:18" ht="21" customHeight="1" x14ac:dyDescent="0.3">
      <c r="A194" s="411"/>
      <c r="B194" s="408"/>
      <c r="C194" s="409"/>
      <c r="D194" s="410"/>
      <c r="E194" s="410"/>
      <c r="F194" s="869"/>
      <c r="G194" s="410"/>
      <c r="H194" s="406"/>
      <c r="I194" s="410"/>
      <c r="J194" s="1" t="str">
        <f t="shared" si="36"/>
        <v/>
      </c>
      <c r="L194" s="1" t="str">
        <f t="shared" si="37"/>
        <v/>
      </c>
      <c r="N194" s="1" t="str">
        <f t="shared" si="38"/>
        <v/>
      </c>
    </row>
    <row r="195" spans="1:18" ht="21" customHeight="1" x14ac:dyDescent="0.3">
      <c r="A195" s="411"/>
      <c r="B195" s="408"/>
      <c r="C195" s="409"/>
      <c r="D195" s="410"/>
      <c r="E195" s="410"/>
      <c r="F195" s="869"/>
      <c r="G195" s="410"/>
      <c r="H195" s="406"/>
      <c r="I195" s="410"/>
      <c r="J195" s="1" t="str">
        <f t="shared" si="36"/>
        <v/>
      </c>
      <c r="L195" s="1" t="str">
        <f t="shared" si="37"/>
        <v/>
      </c>
      <c r="N195" s="1" t="str">
        <f t="shared" si="38"/>
        <v/>
      </c>
    </row>
    <row r="196" spans="1:18" ht="21" customHeight="1" x14ac:dyDescent="0.3">
      <c r="A196" s="411"/>
      <c r="B196" s="408"/>
      <c r="C196" s="409"/>
      <c r="D196" s="410"/>
      <c r="E196" s="410"/>
      <c r="F196" s="869"/>
      <c r="G196" s="410"/>
      <c r="H196" s="406"/>
      <c r="I196" s="410"/>
      <c r="J196" s="1" t="str">
        <f t="shared" si="36"/>
        <v/>
      </c>
      <c r="L196" s="1" t="str">
        <f t="shared" si="37"/>
        <v/>
      </c>
      <c r="N196" s="1" t="str">
        <f t="shared" si="38"/>
        <v/>
      </c>
    </row>
    <row r="197" spans="1:18" ht="21" customHeight="1" x14ac:dyDescent="0.3">
      <c r="A197" s="804"/>
      <c r="B197" s="805"/>
      <c r="C197" s="806"/>
      <c r="D197" s="807"/>
      <c r="E197" s="807"/>
      <c r="F197" s="870"/>
      <c r="G197" s="807"/>
      <c r="H197" s="808"/>
      <c r="I197" s="807"/>
      <c r="J197" s="1" t="str">
        <f t="shared" si="36"/>
        <v/>
      </c>
      <c r="L197" s="1" t="str">
        <f t="shared" si="37"/>
        <v/>
      </c>
      <c r="N197" s="1" t="str">
        <f t="shared" si="38"/>
        <v/>
      </c>
    </row>
    <row r="198" spans="1:18" ht="15" customHeight="1" x14ac:dyDescent="0.3">
      <c r="A198" s="853"/>
      <c r="B198" s="837" t="s">
        <v>186</v>
      </c>
      <c r="C198" s="838"/>
      <c r="D198" s="839">
        <f>SUM(D191:D197)</f>
        <v>0</v>
      </c>
      <c r="E198" s="837"/>
      <c r="F198" s="854" t="s">
        <v>1400</v>
      </c>
      <c r="G198" s="840">
        <f>SUM(G191:G197)</f>
        <v>0</v>
      </c>
      <c r="H198" s="839">
        <f>SUM(H191:H197)</f>
        <v>0</v>
      </c>
      <c r="I198" s="839">
        <f>SUM(I191:I197)</f>
        <v>0</v>
      </c>
      <c r="J198" s="1">
        <f>SUM(D172:D197)</f>
        <v>1177</v>
      </c>
      <c r="K198" s="1">
        <f>SUM(G172:G197)</f>
        <v>14</v>
      </c>
      <c r="L198" s="63">
        <f>SUM(H172:H197)</f>
        <v>754</v>
      </c>
      <c r="M198" s="1">
        <f>SUM(I172:I197)</f>
        <v>9048</v>
      </c>
      <c r="N198" s="63">
        <f t="shared" si="38"/>
        <v>0</v>
      </c>
      <c r="Q198" s="587" t="str" cm="1">
        <f t="array" ref="Q198">IF(H198=0,"",SUMPRODUCT(IFERROR(INT(H172:H197/F172:F197),0)))</f>
        <v/>
      </c>
      <c r="R198" s="770" t="str">
        <f>IF(Q198="","",MAX(0,G198-Q198))</f>
        <v/>
      </c>
    </row>
    <row r="199" spans="1:18" ht="15" customHeight="1" x14ac:dyDescent="0.3">
      <c r="A199" s="379"/>
      <c r="B199" s="378"/>
      <c r="C199" s="380"/>
      <c r="D199" s="378"/>
      <c r="E199" s="378"/>
      <c r="F199" s="378"/>
      <c r="G199" s="378"/>
      <c r="H199" s="378"/>
      <c r="I199" s="378"/>
      <c r="J199" s="1" t="str">
        <f>IF(D199="","",ROUNDUP(D199/IF(AND(C199="600 ml",ISNUMBER(SEARCH("NORCAU",B199))),95,IF(AND(C199="600 ml",ISNUMBER(SEARCH("APURATOS",B199))),190,IF(C199="600 ml",95,IF(C199="400 ml",125,IF(C199="200 ml",330,IF(C199="180 ml",240,1)))))),0))</f>
        <v/>
      </c>
      <c r="L199" s="1" t="str">
        <f>IF(H199="","",H199)</f>
        <v/>
      </c>
      <c r="N199" s="1" t="str">
        <f t="shared" si="38"/>
        <v/>
      </c>
    </row>
  </sheetData>
  <mergeCells count="6">
    <mergeCell ref="Q145:U148"/>
    <mergeCell ref="Q154:U157"/>
    <mergeCell ref="A1:I1"/>
    <mergeCell ref="A2:F2"/>
    <mergeCell ref="G2:I2"/>
    <mergeCell ref="B153:I160"/>
  </mergeCells>
  <dataValidations count="74">
    <dataValidation type="list" allowBlank="1" errorTitle="Embalagem inválida" error="Escolha uma embalagem compatível com o produto." promptTitle="Selecione a embalagem" prompt="As opções mudam conforme o produto escolhido." sqref="C1:C4 C161:C163 C8:C12 C15:C19 C23:C27 C31:C35 C40:C44 C48:C52 C56:C60 C64:C68 C73:C77 C81:C85 C91:C95 C101:C105 C109:C113 C119:C123 C131:C135 C141:C145 C149:C152 C169:C172 C177:C1198" xr:uid="{00000000-0002-0000-04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5" xr:uid="{1C6D356E-F44C-4A64-80A1-E5839F56E07A}">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E9A7E83F-D378-4AD9-92A5-ECF205F709C1}">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D6C032F9-56DF-4795-AA0E-E8826894CB92}">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13" xr:uid="{CCBAEC7F-5046-471E-A0D0-D0BE56420248}">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45337B84-42C7-4048-A0FD-6C3A6A9087D3}">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20" xr:uid="{53297B94-C382-4F07-AE96-FB24292100BF}">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2481DB75-2AEB-4CFE-A564-A4D980A4D2CB}">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6ACAD986-A1EA-4848-955C-E0BAC528DE6A}">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8" xr:uid="{A979A015-0583-48E9-AEB9-A8161026C72C}">
      <formula1>INDIRECT(IF(OR(ISNUMBER(SEARCH("ICEBERG ICE",UPPER(TRIM($B28)))),ISNUMBER(SEARCH("ICE ICEBERG",UPPER(TRIM($B28)))),ISNUMBER(SEARCH("GELINHO ICEBERG",UPPER(TRIM($B28))))),"$AJ$2:$AJ$2",IF(ISNUMBER(SEARCH("ESPUMA",$B28)),"$AI$2:$AI$2",IF(ISNUMBER(SEARCH("CORANTE",$B28)),"$AN$2:$AN$2",IFERROR(INDEX($AB$2:$AB$139,MATCH(UPPER(TRIM($B28)),$AA$2:$AA$139,0)),"$AO$2:$AO$9")))))</formula1>
    </dataValidation>
    <dataValidation type="list" allowBlank="1" errorTitle="Embalagem inválida" error="Escolha uma embalagem compatível com o produto." promptTitle="Selecione a embalagem" prompt="As opções mudam conforme o produto digitado." sqref="C29" xr:uid="{F0E1962B-846B-4E64-8635-3B2F2F212D76}">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A8020917-D8B3-4E7F-A9CA-84B0831B8AF4}">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6" xr:uid="{20423905-A142-4903-AE17-560137DFF8D6}">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37" xr:uid="{E0401020-DF00-48AF-97B5-9E207B12304A}">
      <formula1>INDIRECT(IF(OR(ISNUMBER(SEARCH("ICEBERG ICE",UPPER(TRIM($B37)))),ISNUMBER(SEARCH("ICE ICEBERG",UPPER(TRIM($B37)))),ISNUMBER(SEARCH("GELINHO ICEBERG",UPPER(TRIM($B37))))),"$AJ$2:$AJ$2",IF(ISNUMBER(SEARCH("ESPUMA",$B37)),"$AI$2:$AI$2",IF(ISNUMBER(SEARCH("CORANTE",$B37)),"$AN$2:$AN$2",IFERROR(INDEX($AB$2:$AB$139,MATCH(UPPER(TRIM($B37)),$AA$2:$AA$139,0)),"$AO$2:$AO$9")))))</formula1>
    </dataValidation>
    <dataValidation type="list" allowBlank="1" errorTitle="Embalagem inválida" error="Escolha uma embalagem compatível com o produto." promptTitle="Selecione a embalagem" prompt="As opções mudam conforme o produto digitado." sqref="C38" xr:uid="{617F4F25-E7FD-47D8-AF20-9E2D1BBCA9BF}">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C8A7413A-17DF-43BD-9891-CF071C8557CA}">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5" xr:uid="{C94813ED-85E0-4224-93EB-3D2044820E90}">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57188C5D-4E77-4EFB-916C-8916AA60C425}">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47" xr:uid="{CBC9518A-3F6C-4F27-8BAB-1403BD7797D0}">
      <formula1>INDIRECT(IF(OR(ISNUMBER(SEARCH("ICEBERG ICE",UPPER(TRIM($B47)))),ISNUMBER(SEARCH("ICE ICEBERG",UPPER(TRIM($B47)))),ISNUMBER(SEARCH("GELINHO ICEBERG",UPPER(TRIM($B47))))),"$AJ$2:$AJ$2",IF(ISNUMBER(SEARCH("ESPUMA",$B47)),"$AI$2:$AI$2",IF(ISNUMBER(SEARCH("CORANTE",$B47)),"$AN$2:$AN$2",IFERROR(INDEX($AB$2:$AB$139,MATCH(UPPER(TRIM($B47)),$AA$2:$AA$139,0)),"$AO$2:$AO$9")))))</formula1>
    </dataValidation>
    <dataValidation type="list" allowBlank="1" errorTitle="Embalagem inválida" error="Escolha uma embalagem compatível com o produto." promptTitle="Selecione a embalagem" prompt="As opções mudam conforme o produto digitado." sqref="C53" xr:uid="{D1A760C9-97F0-4512-8864-157DA5B26DD5}">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4349648E-1584-4B98-99ED-B17FD3886532}">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63A9499B-510E-4261-AC1F-6EE0C74C37B1}">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61" xr:uid="{4CEF8ACC-B978-418D-BB75-A1A998A9B4AF}">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38DD72EF-C534-4366-95FF-9DB8B160EBE2}">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E09A15E5-AF28-4ECB-86B7-8FA7C22EC3E5}">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9" xr:uid="{F56F1891-9BDE-4353-B01C-2C4CC7D0D21D}">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D897B36A-6EA0-4FA0-ADEC-6302893752B8}">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CC182FEE-70E6-4C49-8923-AB184744B544}">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07FF32EC-E797-40C5-B2F2-27C811E58409}">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8" xr:uid="{6F5107B1-AEC0-4AED-B207-E2FA3E866242}">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4A3CBC75-345C-4EF2-A3AD-D181150EE0E2}">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DE7FE53D-2DF6-496C-B69C-A20B70C01589}">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6" xr:uid="{EE11452A-A6E8-4326-888C-9D07AAB1CA79}">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37856F7E-9F46-438E-8D39-5061DFAF766B}">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E7AAB725-97EA-4FA9-91DB-70518EDD08E9}">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89" xr:uid="{8B9E2E50-6F80-4859-833D-E98905017798}">
      <formula1>INDIRECT(IF(OR(ISNUMBER(SEARCH("ICEBERG ICE",UPPER(TRIM($B89)))),ISNUMBER(SEARCH("ICE ICEBERG",UPPER(TRIM($B89)))),ISNUMBER(SEARCH("GELINHO ICEBERG",UPPER(TRIM($B89))))),"$AJ$2:$AJ$2",IF(ISNUMBER(SEARCH("ESPUMA",$B89)),"$AI$2:$AI$2",IF(ISNUMBER(SEARCH("CORANTE",$B89)),"$AN$2:$AN$2",IFERROR(INDEX($AB$2:$AB$139,MATCH(UPPER(TRIM($B89)),$AA$2:$AA$139,0)),"$AO$2:$AO$9")))))</formula1>
    </dataValidation>
    <dataValidation type="list" allowBlank="1" errorTitle="Embalagem inválida" error="Escolha uma embalagem compatível com o produto." promptTitle="Selecione a embalagem" prompt="As opções mudam conforme o produto digitado." sqref="C90" xr:uid="{446BE958-3DC2-440D-8D58-DB55DE42729B}">
      <formula1>INDIRECT(IF(OR(ISNUMBER(SEARCH("ICEBERG ICE",UPPER(TRIM($B90)))),ISNUMBER(SEARCH("ICE ICEBERG",UPPER(TRIM($B90)))),ISNUMBER(SEARCH("GELINHO ICEBERG",UPPER(TRIM($B90))))),"$AJ$2:$AJ$2",IF(ISNUMBER(SEARCH("ESPUMA",$B90)),"$AI$2:$AI$2",IF(ISNUMBER(SEARCH("CORANTE",$B90)),"$AN$2:$AN$2",IFERROR(INDEX($AB$2:$AB$139,MATCH(UPPER(TRIM($B90)),$AA$2:$AA$139,0)),"$AO$2:$AO$9")))))</formula1>
    </dataValidation>
    <dataValidation type="list" allowBlank="1" errorTitle="Embalagem inválida" error="Escolha uma embalagem compatível com o produto." promptTitle="Selecione a embalagem" prompt="As opções mudam conforme o produto digitado." sqref="C96" xr:uid="{3F7B2478-4CD6-4B08-AD8F-F3F094E4A5D2}">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2C417965-9A68-40B9-8356-F1837DB87807}">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98" xr:uid="{A8E56895-F8B5-487B-B138-5548C12358B0}">
      <formula1>INDIRECT(IF(OR(ISNUMBER(SEARCH("ICEBERG ICE",UPPER(TRIM($B98)))),ISNUMBER(SEARCH("ICE ICEBERG",UPPER(TRIM($B98)))),ISNUMBER(SEARCH("GELINHO ICEBERG",UPPER(TRIM($B98))))),"$AJ$2:$AJ$2",IF(ISNUMBER(SEARCH("ESPUMA",$B98)),"$AI$2:$AI$2",IF(ISNUMBER(SEARCH("CORANTE",$B98)),"$AN$2:$AN$2",IFERROR(INDEX($AB$2:$AB$139,MATCH(UPPER(TRIM($B98)),$AA$2:$AA$139,0)),"$AO$2:$AO$9")))))</formula1>
    </dataValidation>
    <dataValidation type="list" allowBlank="1" errorTitle="Embalagem inválida" error="Escolha uma embalagem compatível com o produto." promptTitle="Selecione a embalagem" prompt="As opções mudam conforme o produto digitado." sqref="C99" xr:uid="{89582E7A-5055-4EE7-951C-4F8F45613A23}">
      <formula1>INDIRECT(IF(OR(ISNUMBER(SEARCH("ICEBERG ICE",UPPER(TRIM($B99)))),ISNUMBER(SEARCH("ICE ICEBERG",UPPER(TRIM($B99)))),ISNUMBER(SEARCH("GELINHO ICEBERG",UPPER(TRIM($B99))))),"$AJ$2:$AJ$2",IF(ISNUMBER(SEARCH("ESPUMA",$B99)),"$AI$2:$AI$2",IF(ISNUMBER(SEARCH("CORANTE",$B99)),"$AN$2:$AN$2",IFERROR(INDEX($AB$2:$AB$139,MATCH(UPPER(TRIM($B99)),$AA$2:$AA$139,0)),"$AO$2:$AO$9")))))</formula1>
    </dataValidation>
    <dataValidation type="list" allowBlank="1" errorTitle="Embalagem inválida" error="Escolha uma embalagem compatível com o produto." promptTitle="Selecione a embalagem" prompt="As opções mudam conforme o produto digitado." sqref="C100" xr:uid="{7045AC28-0C2B-4FE2-92DE-7C042DAD10C4}">
      <formula1>INDIRECT(IF(OR(ISNUMBER(SEARCH("ICEBERG ICE",UPPER(TRIM($B100)))),ISNUMBER(SEARCH("ICE ICEBERG",UPPER(TRIM($B100)))),ISNUMBER(SEARCH("GELINHO ICEBERG",UPPER(TRIM($B100))))),"$AJ$2:$AJ$2",IF(ISNUMBER(SEARCH("ESPUMA",$B100)),"$AI$2:$AI$2",IF(ISNUMBER(SEARCH("CORANTE",$B100)),"$AN$2:$AN$2",IFERROR(INDEX($AB$2:$AB$139,MATCH(UPPER(TRIM($B100)),$AA$2:$AA$139,0)),"$AO$2:$AO$9")))))</formula1>
    </dataValidation>
    <dataValidation type="list" allowBlank="1" errorTitle="Embalagem inválida" error="Escolha uma embalagem compatível com o produto." promptTitle="Selecione a embalagem" prompt="As opções mudam conforme o produto digitado." sqref="C106" xr:uid="{E9A9AF92-90B8-4C95-803B-C2E96DF8B5B0}">
      <formula1>INDIRECT(IF(OR(ISNUMBER(SEARCH("ICEBERG ICE",UPPER(TRIM($B106)))),ISNUMBER(SEARCH("ICE ICEBERG",UPPER(TRIM($B106)))),ISNUMBER(SEARCH("GELINHO ICEBERG",UPPER(TRIM($B106))))),"$AJ$2:$AJ$2",IF(ISNUMBER(SEARCH("ESPUMA",$B106)),"$AI$2:$AI$2",IF(ISNUMBER(SEARCH("CORANTE",$B106)),"$AN$2:$AN$2",IFERROR(INDEX($AB$2:$AB$139,MATCH(UPPER(TRIM($B106)),$AA$2:$AA$139,0)),"$AO$2:$AO$9")))))</formula1>
    </dataValidation>
    <dataValidation type="list" allowBlank="1" errorTitle="Embalagem inválida" error="Escolha uma embalagem compatível com o produto." promptTitle="Selecione a embalagem" prompt="As opções mudam conforme o produto digitado." sqref="C107" xr:uid="{2F470E5C-5F02-4B42-A7B2-AE00EB6845E7}">
      <formula1>INDIRECT(IF(OR(ISNUMBER(SEARCH("ICEBERG ICE",UPPER(TRIM($B107)))),ISNUMBER(SEARCH("ICE ICEBERG",UPPER(TRIM($B107)))),ISNUMBER(SEARCH("GELINHO ICEBERG",UPPER(TRIM($B107))))),"$AJ$2:$AJ$2",IF(ISNUMBER(SEARCH("ESPUMA",$B107)),"$AI$2:$AI$2",IF(ISNUMBER(SEARCH("CORANTE",$B107)),"$AN$2:$AN$2",IFERROR(INDEX($AB$2:$AB$139,MATCH(UPPER(TRIM($B107)),$AA$2:$AA$139,0)),"$AO$2:$AO$9")))))</formula1>
    </dataValidation>
    <dataValidation type="list" allowBlank="1" errorTitle="Embalagem inválida" error="Escolha uma embalagem compatível com o produto." promptTitle="Selecione a embalagem" prompt="As opções mudam conforme o produto digitado." sqref="C108" xr:uid="{32F8D8C1-B193-42A1-AE3E-E7A1CFE30D0F}">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14" xr:uid="{FD731E04-79F0-4E02-B6DF-52BA91353D4B}">
      <formula1>INDIRECT(IF(OR(ISNUMBER(SEARCH("ICEBERG ICE",UPPER(TRIM($B114)))),ISNUMBER(SEARCH("ICE ICEBERG",UPPER(TRIM($B114)))),ISNUMBER(SEARCH("GELINHO ICEBERG",UPPER(TRIM($B114))))),"$AJ$2:$AJ$2",IF(ISNUMBER(SEARCH("ESPUMA",$B114)),"$AI$2:$AI$2",IF(ISNUMBER(SEARCH("CORANTE",$B114)),"$AN$2:$AN$2",IFERROR(INDEX($AB$2:$AB$139,MATCH(UPPER(TRIM($B114)),$AA$2:$AA$139,0)),"$AO$2:$AO$9")))))</formula1>
    </dataValidation>
    <dataValidation type="list" allowBlank="1" errorTitle="Embalagem inválida" error="Escolha uma embalagem compatível com o produto." promptTitle="Selecione a embalagem" prompt="As opções mudam conforme o produto digitado." sqref="C115" xr:uid="{E77F072C-684F-4E87-A1F8-66C3F1A9B071}">
      <formula1>INDIRECT(IF(OR(ISNUMBER(SEARCH("ICEBERG ICE",UPPER(TRIM($B115)))),ISNUMBER(SEARCH("ICE ICEBERG",UPPER(TRIM($B115)))),ISNUMBER(SEARCH("GELINHO ICEBERG",UPPER(TRIM($B115))))),"$AJ$2:$AJ$2",IF(ISNUMBER(SEARCH("ESPUMA",$B115)),"$AI$2:$AI$2",IF(ISNUMBER(SEARCH("CORANTE",$B115)),"$AN$2:$AN$2",IFERROR(INDEX($AB$2:$AB$139,MATCH(UPPER(TRIM($B115)),$AA$2:$AA$139,0)),"$AO$2:$AO$9")))))</formula1>
    </dataValidation>
    <dataValidation type="list" allowBlank="1" errorTitle="Embalagem inválida" error="Escolha uma embalagem compatível com o produto." promptTitle="Selecione a embalagem" prompt="As opções mudam conforme o produto digitado." sqref="C116" xr:uid="{4AFEF4B5-EC1A-46C2-BCC6-1661CB66BD57}">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17" xr:uid="{56B6EFE2-385E-4E11-B831-A2E8EA81FB59}">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18" xr:uid="{F0C0B8C8-659F-41C1-9ED2-CF2E93197264}">
      <formula1>INDIRECT(IF(OR(ISNUMBER(SEARCH("ICEBERG ICE",UPPER(TRIM($B118)))),ISNUMBER(SEARCH("ICE ICEBERG",UPPER(TRIM($B118)))),ISNUMBER(SEARCH("GELINHO ICEBERG",UPPER(TRIM($B118))))),"$AJ$2:$AJ$2",IF(ISNUMBER(SEARCH("ESPUMA",$B118)),"$AI$2:$AI$2",IF(ISNUMBER(SEARCH("CORANTE",$B118)),"$AN$2:$AN$2",IFERROR(INDEX($AB$2:$AB$139,MATCH(UPPER(TRIM($B118)),$AA$2:$AA$139,0)),"$AO$2:$AO$9")))))</formula1>
    </dataValidation>
    <dataValidation type="list" allowBlank="1" errorTitle="Embalagem inválida" error="Escolha uma embalagem compatível com o produto." promptTitle="Selecione a embalagem" prompt="As opções mudam conforme o produto digitado." sqref="C124" xr:uid="{15024CF2-B502-455B-8299-45C9A9813623}">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25" xr:uid="{355100FE-27A4-4E08-B7AD-AD12D305825E}">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2AAE7B11-5421-43EC-B4FF-E50152C03CEE}">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27" xr:uid="{1916BCEB-E9DF-44BD-AD6B-D13444FAA120}">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AF9D31E2-09CB-4671-B64D-DD3D0407F7EC}">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29" xr:uid="{17AEDC4D-830D-4A53-95A9-AA494D047449}">
      <formula1>INDIRECT(IF(OR(ISNUMBER(SEARCH("ICEBERG ICE",UPPER(TRIM($B129)))),ISNUMBER(SEARCH("ICE ICEBERG",UPPER(TRIM($B129)))),ISNUMBER(SEARCH("GELINHO ICEBERG",UPPER(TRIM($B129))))),"$AJ$2:$AJ$2",IF(ISNUMBER(SEARCH("ESPUMA",$B129)),"$AI$2:$AI$2",IF(ISNUMBER(SEARCH("CORANTE",$B129)),"$AN$2:$AN$2",IFERROR(INDEX($AB$2:$AB$139,MATCH(UPPER(TRIM($B129)),$AA$2:$AA$139,0)),"$AO$2:$AO$9")))))</formula1>
    </dataValidation>
    <dataValidation type="list" allowBlank="1" errorTitle="Embalagem inválida" error="Escolha uma embalagem compatível com o produto." promptTitle="Selecione a embalagem" prompt="As opções mudam conforme o produto digitado." sqref="C130" xr:uid="{B8074E35-8DE8-47E8-8084-AC5C435A4618}">
      <formula1>INDIRECT(IF(OR(ISNUMBER(SEARCH("ICEBERG ICE",UPPER(TRIM($B130)))),ISNUMBER(SEARCH("ICE ICEBERG",UPPER(TRIM($B130)))),ISNUMBER(SEARCH("GELINHO ICEBERG",UPPER(TRIM($B130))))),"$AJ$2:$AJ$2",IF(ISNUMBER(SEARCH("ESPUMA",$B130)),"$AI$2:$AI$2",IF(ISNUMBER(SEARCH("CORANTE",$B130)),"$AN$2:$AN$2",IFERROR(INDEX($AB$2:$AB$139,MATCH(UPPER(TRIM($B130)),$AA$2:$AA$139,0)),"$AO$2:$AO$9")))))</formula1>
    </dataValidation>
    <dataValidation type="list" allowBlank="1" errorTitle="Embalagem inválida" error="Escolha uma embalagem compatível com o produto." promptTitle="Selecione a embalagem" prompt="As opções mudam conforme o produto digitado." sqref="C136" xr:uid="{77C6AD84-D6E6-47EA-8E0D-6332101855C5}">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37" xr:uid="{38D7E8F4-2DC3-4801-ADE2-BDAB719A5B43}">
      <formula1>INDIRECT(IF(OR(ISNUMBER(SEARCH("ICEBERG ICE",UPPER(TRIM($B137)))),ISNUMBER(SEARCH("ICE ICEBERG",UPPER(TRIM($B137)))),ISNUMBER(SEARCH("GELINHO ICEBERG",UPPER(TRIM($B137))))),"$AJ$2:$AJ$2",IF(ISNUMBER(SEARCH("ESPUMA",$B137)),"$AI$2:$AI$2",IF(ISNUMBER(SEARCH("CORANTE",$B137)),"$AN$2:$AN$2",IFERROR(INDEX($AB$2:$AB$139,MATCH(UPPER(TRIM($B137)),$AA$2:$AA$139,0)),"$AO$2:$AO$9")))))</formula1>
    </dataValidation>
    <dataValidation type="list" allowBlank="1" errorTitle="Embalagem inválida" error="Escolha uma embalagem compatível com o produto." promptTitle="Selecione a embalagem" prompt="As opções mudam conforme o produto digitado." sqref="C138" xr:uid="{D6743F8B-9622-4E70-B7BF-2772D65D6CF0}">
      <formula1>INDIRECT(IF(OR(ISNUMBER(SEARCH("ICEBERG ICE",UPPER(TRIM($B138)))),ISNUMBER(SEARCH("ICE ICEBERG",UPPER(TRIM($B138)))),ISNUMBER(SEARCH("GELINHO ICEBERG",UPPER(TRIM($B138))))),"$AJ$2:$AJ$2",IF(ISNUMBER(SEARCH("ESPUMA",$B138)),"$AI$2:$AI$2",IF(ISNUMBER(SEARCH("CORANTE",$B138)),"$AN$2:$AN$2",IFERROR(INDEX($AB$2:$AB$139,MATCH(UPPER(TRIM($B138)),$AA$2:$AA$139,0)),"$AO$2:$AO$9")))))</formula1>
    </dataValidation>
    <dataValidation type="list" allowBlank="1" errorTitle="Embalagem inválida" error="Escolha uma embalagem compatível com o produto." promptTitle="Selecione a embalagem" prompt="As opções mudam conforme o produto digitado." sqref="C139" xr:uid="{676F1B7C-439D-43B7-8BDD-59D43E411D61}">
      <formula1>INDIRECT(IF(OR(ISNUMBER(SEARCH("ICEBERG ICE",UPPER(TRIM($B139)))),ISNUMBER(SEARCH("ICE ICEBERG",UPPER(TRIM($B139)))),ISNUMBER(SEARCH("GELINHO ICEBERG",UPPER(TRIM($B139))))),"$AJ$2:$AJ$2",IF(ISNUMBER(SEARCH("ESPUMA",$B139)),"$AI$2:$AI$2",IF(ISNUMBER(SEARCH("CORANTE",$B139)),"$AN$2:$AN$2",IFERROR(INDEX($AB$2:$AB$139,MATCH(UPPER(TRIM($B139)),$AA$2:$AA$139,0)),"$AO$2:$AO$9")))))</formula1>
    </dataValidation>
    <dataValidation type="list" allowBlank="1" errorTitle="Embalagem inválida" error="Escolha uma embalagem compatível com o produto." promptTitle="Selecione a embalagem" prompt="As opções mudam conforme o produto digitado." sqref="C140" xr:uid="{CA486C57-0093-4C36-8BCB-AB0346F42C08}">
      <formula1>INDIRECT(IF(OR(ISNUMBER(SEARCH("ICEBERG ICE",UPPER(TRIM($B140)))),ISNUMBER(SEARCH("ICE ICEBERG",UPPER(TRIM($B140)))),ISNUMBER(SEARCH("GELINHO ICEBERG",UPPER(TRIM($B140))))),"$AJ$2:$AJ$2",IF(ISNUMBER(SEARCH("ESPUMA",$B140)),"$AI$2:$AI$2",IF(ISNUMBER(SEARCH("CORANTE",$B140)),"$AN$2:$AN$2",IFERROR(INDEX($AB$2:$AB$139,MATCH(UPPER(TRIM($B140)),$AA$2:$AA$139,0)),"$AO$2:$AO$9")))))</formula1>
    </dataValidation>
    <dataValidation type="list" allowBlank="1" errorTitle="Embalagem inválida" error="Escolha uma embalagem compatível com o produto." promptTitle="Selecione a embalagem" prompt="As opções mudam conforme o produto digitado." sqref="C146" xr:uid="{883B6713-5012-4090-81A2-5FCF2E121079}">
      <formula1>INDIRECT(IF(OR(ISNUMBER(SEARCH("ICEBERG ICE",UPPER(TRIM($B146)))),ISNUMBER(SEARCH("ICE ICEBERG",UPPER(TRIM($B146)))),ISNUMBER(SEARCH("GELINHO ICEBERG",UPPER(TRIM($B146))))),"$AJ$2:$AJ$2",IF(ISNUMBER(SEARCH("ESPUMA",$B146)),"$AI$2:$AI$2",IF(ISNUMBER(SEARCH("CORANTE",$B146)),"$AN$2:$AN$2",IFERROR(INDEX($AB$2:$AB$139,MATCH(UPPER(TRIM($B146)),$AA$2:$AA$139,0)),"$AO$2:$AO$9")))))</formula1>
    </dataValidation>
    <dataValidation type="list" allowBlank="1" errorTitle="Embalagem inválida" error="Escolha uma embalagem compatível com o produto." promptTitle="Selecione a embalagem" prompt="As opções mudam conforme o produto digitado." sqref="C147" xr:uid="{27BC1D78-6527-485E-9C89-951A674D2F54}">
      <formula1>INDIRECT(IF(OR(ISNUMBER(SEARCH("ICEBERG ICE",UPPER(TRIM($B147)))),ISNUMBER(SEARCH("ICE ICEBERG",UPPER(TRIM($B147)))),ISNUMBER(SEARCH("GELINHO ICEBERG",UPPER(TRIM($B147))))),"$AJ$2:$AJ$2",IF(ISNUMBER(SEARCH("ESPUMA",$B147)),"$AI$2:$AI$2",IF(ISNUMBER(SEARCH("CORANTE",$B147)),"$AN$2:$AN$2",IFERROR(INDEX($AB$2:$AB$139,MATCH(UPPER(TRIM($B147)),$AA$2:$AA$139,0)),"$AO$2:$AO$9")))))</formula1>
    </dataValidation>
    <dataValidation type="list" allowBlank="1" errorTitle="Embalagem inválida" error="Escolha uma embalagem compatível com o produto." promptTitle="Selecione a embalagem" prompt="As opções mudam conforme o produto digitado." sqref="C148" xr:uid="{36A7D900-3734-45F7-9E7F-2AD3E9E7AFEE}">
      <formula1>INDIRECT(IF(OR(ISNUMBER(SEARCH("ICEBERG ICE",UPPER(TRIM($B148)))),ISNUMBER(SEARCH("ICE ICEBERG",UPPER(TRIM($B148)))),ISNUMBER(SEARCH("GELINHO ICEBERG",UPPER(TRIM($B148))))),"$AJ$2:$AJ$2",IF(ISNUMBER(SEARCH("ESPUMA",$B148)),"$AI$2:$AI$2",IF(ISNUMBER(SEARCH("CORANTE",$B148)),"$AN$2:$AN$2",IFERROR(INDEX($AB$2:$AB$139,MATCH(UPPER(TRIM($B148)),$AA$2:$AA$139,0)),"$AO$2:$AO$9")))))</formula1>
    </dataValidation>
    <dataValidation type="list" allowBlank="1" errorTitle="Embalagem inválida" error="Escolha uma embalagem compatível com o produto." promptTitle="Selecione a embalagem" prompt="As opções mudam conforme o produto digitado." sqref="C164" xr:uid="{92AB4451-F209-4FD4-8EDB-1A4B2A3896F9}">
      <formula1>INDIRECT(IF(OR(ISNUMBER(SEARCH("ICEBERG ICE",UPPER(TRIM($B164)))),ISNUMBER(SEARCH("ICE ICEBERG",UPPER(TRIM($B164)))),ISNUMBER(SEARCH("GELINHO ICEBERG",UPPER(TRIM($B164))))),"$AJ$2:$AJ$2",IF(ISNUMBER(SEARCH("ESPUMA",$B164)),"$AI$2:$AI$2",IF(ISNUMBER(SEARCH("CORANTE",$B164)),"$AN$2:$AN$2",IFERROR(INDEX($AB$2:$AB$139,MATCH(UPPER(TRIM($B164)),$AA$2:$AA$139,0)),"$AO$2:$AO$9")))))</formula1>
    </dataValidation>
    <dataValidation type="list" allowBlank="1" errorTitle="Embalagem inválida" error="Escolha uma embalagem compatível com o produto." promptTitle="Selecione a embalagem" prompt="As opções mudam conforme o produto digitado." sqref="C165" xr:uid="{ABBAF6FC-B51D-4429-8A0B-9670C028B8B3}">
      <formula1>INDIRECT(IF(OR(ISNUMBER(SEARCH("ICEBERG ICE",UPPER(TRIM($B165)))),ISNUMBER(SEARCH("ICE ICEBERG",UPPER(TRIM($B165)))),ISNUMBER(SEARCH("GELINHO ICEBERG",UPPER(TRIM($B165))))),"$AJ$2:$AJ$2",IF(ISNUMBER(SEARCH("ESPUMA",$B165)),"$AI$2:$AI$2",IF(ISNUMBER(SEARCH("CORANTE",$B165)),"$AN$2:$AN$2",IFERROR(INDEX($AB$2:$AB$139,MATCH(UPPER(TRIM($B165)),$AA$2:$AA$139,0)),"$AO$2:$AO$9")))))</formula1>
    </dataValidation>
    <dataValidation type="list" allowBlank="1" errorTitle="Embalagem inválida" error="Escolha uma embalagem compatível com o produto." promptTitle="Selecione a embalagem" prompt="As opções mudam conforme o produto digitado." sqref="C166" xr:uid="{5DD4E3AB-AEEB-44AB-ACD5-966A14090403}">
      <formula1>INDIRECT(IF(OR(ISNUMBER(SEARCH("ICEBERG ICE",UPPER(TRIM($B166)))),ISNUMBER(SEARCH("ICE ICEBERG",UPPER(TRIM($B166)))),ISNUMBER(SEARCH("GELINHO ICEBERG",UPPER(TRIM($B166))))),"$AJ$2:$AJ$2",IF(ISNUMBER(SEARCH("ESPUMA",$B166)),"$AI$2:$AI$2",IF(ISNUMBER(SEARCH("CORANTE",$B166)),"$AN$2:$AN$2",IFERROR(INDEX($AB$2:$AB$139,MATCH(UPPER(TRIM($B166)),$AA$2:$AA$139,0)),"$AO$2:$AO$9")))))</formula1>
    </dataValidation>
    <dataValidation type="list" allowBlank="1" errorTitle="Embalagem inválida" error="Escolha uma embalagem compatível com o produto." promptTitle="Selecione a embalagem" prompt="As opções mudam conforme o produto digitado." sqref="C167" xr:uid="{A66E471A-6B84-41AF-A184-43FABD9846FD}">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15391B1D-1D92-4987-8216-1514BBE7DBCE}">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73" xr:uid="{8C1367C4-62D7-49A8-B7FD-0D6E09C70122}">
      <formula1>INDIRECT(IF(OR(ISNUMBER(SEARCH("ICEBERG ICE",UPPER(TRIM($B173)))),ISNUMBER(SEARCH("ICE ICEBERG",UPPER(TRIM($B173)))),ISNUMBER(SEARCH("GELINHO ICEBERG",UPPER(TRIM($B173))))),"$AJ$2:$AJ$2",IF(ISNUMBER(SEARCH("ESPUMA",$B173)),"$AI$2:$AI$2",IF(ISNUMBER(SEARCH("CORANTE",$B173)),"$AN$2:$AN$2",IFERROR(INDEX($AB$2:$AB$139,MATCH(UPPER(TRIM($B173)),$AA$2:$AA$139,0)),"$AO$2:$AO$9")))))</formula1>
    </dataValidation>
    <dataValidation type="list" allowBlank="1" errorTitle="Embalagem inválida" error="Escolha uma embalagem compatível com o produto." promptTitle="Selecione a embalagem" prompt="As opções mudam conforme o produto digitado." sqref="C174" xr:uid="{12DC1D64-A242-4FD8-B28F-032388FEC1B3}">
      <formula1>INDIRECT(IF(OR(ISNUMBER(SEARCH("ICEBERG ICE",UPPER(TRIM($B174)))),ISNUMBER(SEARCH("ICE ICEBERG",UPPER(TRIM($B174)))),ISNUMBER(SEARCH("GELINHO ICEBERG",UPPER(TRIM($B174))))),"$AJ$2:$AJ$2",IF(ISNUMBER(SEARCH("ESPUMA",$B174)),"$AI$2:$AI$2",IF(ISNUMBER(SEARCH("CORANTE",$B174)),"$AN$2:$AN$2",IFERROR(INDEX($AB$2:$AB$139,MATCH(UPPER(TRIM($B174)),$AA$2:$AA$139,0)),"$AO$2:$AO$9")))))</formula1>
    </dataValidation>
    <dataValidation type="list" allowBlank="1" errorTitle="Embalagem inválida" error="Escolha uma embalagem compatível com o produto." promptTitle="Selecione a embalagem" prompt="As opções mudam conforme o produto digitado." sqref="C175" xr:uid="{E3F08E7B-D471-4C08-A02B-69EBB4AD942D}">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19816004-8F1B-47B9-9394-D144E99E298E}">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F5AD-F5C3-467C-B19A-1242AF3EDB86}">
  <sheetPr>
    <tabColor rgb="FF0F766E"/>
  </sheetPr>
  <dimension ref="A1:Y30"/>
  <sheetViews>
    <sheetView showGridLines="0" zoomScale="90" zoomScaleNormal="90" workbookViewId="0">
      <selection activeCell="F13" sqref="F13"/>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199</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SUM(C9:C30)</f>
        <v>166293</v>
      </c>
      <c r="C4" s="424"/>
      <c r="D4" s="435">
        <f>SUM(D9:D30)</f>
        <v>209000</v>
      </c>
      <c r="E4" s="424"/>
      <c r="F4" s="435">
        <f>IFERROR(SUM(C9:C30)/COUNTIF(C9:C30,"&gt;0"),0)</f>
        <v>8752.2631578947367</v>
      </c>
      <c r="G4" s="424"/>
      <c r="H4" s="435">
        <f>IFERROR(MAX(C9:C30),0)</f>
        <v>14931</v>
      </c>
      <c r="I4" s="424"/>
      <c r="J4" s="436">
        <f>IFERROR(B4/D4,0)</f>
        <v>0.79566028708133973</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65" t="s">
        <v>213</v>
      </c>
      <c r="B8" s="466" t="s">
        <v>214</v>
      </c>
      <c r="C8" s="466" t="s">
        <v>215</v>
      </c>
      <c r="D8" s="466" t="s">
        <v>216</v>
      </c>
      <c r="E8" s="466" t="s">
        <v>217</v>
      </c>
      <c r="F8" s="439" t="s">
        <v>218</v>
      </c>
      <c r="G8" s="424"/>
      <c r="H8" s="424"/>
      <c r="I8" s="424"/>
      <c r="J8" s="424"/>
      <c r="K8" s="424"/>
      <c r="L8" s="424"/>
      <c r="M8" s="424"/>
      <c r="N8" s="424"/>
      <c r="O8" s="424"/>
      <c r="P8" s="1" t="s">
        <v>1273</v>
      </c>
      <c r="Q8" s="1" t="s">
        <v>210</v>
      </c>
      <c r="R8" s="1" t="s">
        <v>212</v>
      </c>
      <c r="S8" s="1" t="s">
        <v>208</v>
      </c>
      <c r="X8" s="1" t="s">
        <v>219</v>
      </c>
      <c r="Y8" s="1" t="s">
        <v>220</v>
      </c>
    </row>
    <row r="9" spans="1:25" x14ac:dyDescent="0.3">
      <c r="A9" s="476">
        <v>46023</v>
      </c>
      <c r="B9" s="473" t="str">
        <f>IF(D9&gt;0,COUNTIF($D$9:D9,"&gt;0"),"")</f>
        <v/>
      </c>
      <c r="C9" s="879">
        <f>0</f>
        <v>0</v>
      </c>
      <c r="D9" s="880">
        <f>IF(C9&gt;0,CONFIG!$B$3,0)</f>
        <v>0</v>
      </c>
      <c r="E9" s="881">
        <f t="shared" ref="E9:E30" si="0">IF(C9&gt;0,C9-D9,0)</f>
        <v>0</v>
      </c>
      <c r="F9" s="472" t="s">
        <v>221</v>
      </c>
      <c r="G9" s="424"/>
      <c r="H9" s="424"/>
      <c r="I9" s="424"/>
      <c r="J9" s="424"/>
      <c r="K9" s="424"/>
      <c r="L9" s="424"/>
      <c r="M9" s="424"/>
      <c r="N9" s="424"/>
      <c r="O9" s="424"/>
      <c r="P9" s="93" t="str">
        <f t="shared" ref="P9:P30" si="1">B9</f>
        <v/>
      </c>
      <c r="Q9" s="1" t="e">
        <f t="shared" ref="Q9:Q30" si="2">IF(AND($C9&gt;0,$C9&lt;$D9),$C9,NA())</f>
        <v>#N/A</v>
      </c>
      <c r="R9" s="1" t="e">
        <f t="shared" ref="R9:R30" si="3">IF(AND($C9&gt;0,$C9=$D9),$C9,NA())</f>
        <v>#N/A</v>
      </c>
      <c r="S9" s="1" t="e">
        <f t="shared" ref="S9:S30" si="4">IF(AND($C9&gt;0,$C9&gt;$D9),$C9,NA())</f>
        <v>#N/A</v>
      </c>
      <c r="X9" s="1" t="e">
        <f t="shared" ref="X9:X30" si="5">IF(COUNTIF($F9,"*Feriado*")&gt;0,NA(),$C9)</f>
        <v>#N/A</v>
      </c>
      <c r="Y9" s="1" t="e">
        <f t="shared" ref="Y9:Y30" si="6">IF(COUNTIF($F9,"*Feriado*")&gt;0,NA(),$D9)</f>
        <v>#N/A</v>
      </c>
    </row>
    <row r="10" spans="1:25" x14ac:dyDescent="0.3">
      <c r="A10" s="477">
        <v>46024</v>
      </c>
      <c r="B10" s="474" t="str">
        <f>IF(D10&gt;0,COUNTIF($D$9:D10,"&gt;0"),"")</f>
        <v/>
      </c>
      <c r="C10" s="882">
        <f>0</f>
        <v>0</v>
      </c>
      <c r="D10" s="883">
        <f>IF(C10&gt;0,CONFIG!$B$3,0)</f>
        <v>0</v>
      </c>
      <c r="E10" s="884">
        <f t="shared" si="0"/>
        <v>0</v>
      </c>
      <c r="F10" s="441"/>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ht="27.6" x14ac:dyDescent="0.3">
      <c r="A11" s="477">
        <v>46027</v>
      </c>
      <c r="B11" s="474">
        <f>IF(D11&gt;0,COUNTIF($D$9:D11,"&gt;0"),"")</f>
        <v>1</v>
      </c>
      <c r="C11" s="882">
        <f>'SEMANA JANEIRO'!$I$5+'SEMANA JANEIRO'!$I$6</f>
        <v>8352</v>
      </c>
      <c r="D11" s="883">
        <f>IF(C11&gt;0,CONFIG!$B$3,0)</f>
        <v>11000</v>
      </c>
      <c r="E11" s="884">
        <f t="shared" si="0"/>
        <v>-2648</v>
      </c>
      <c r="F11" s="491" t="s">
        <v>1369</v>
      </c>
      <c r="G11" s="424"/>
      <c r="H11" s="424"/>
      <c r="I11" s="424"/>
      <c r="J11" s="424"/>
      <c r="K11" s="424"/>
      <c r="L11" s="424"/>
      <c r="M11" s="424"/>
      <c r="N11" s="424"/>
      <c r="O11" s="424"/>
      <c r="P11" s="93">
        <f t="shared" si="1"/>
        <v>1</v>
      </c>
      <c r="Q11" s="1">
        <f t="shared" si="2"/>
        <v>8352</v>
      </c>
      <c r="R11" s="1" t="e">
        <f t="shared" si="3"/>
        <v>#N/A</v>
      </c>
      <c r="S11" s="1" t="e">
        <f t="shared" si="4"/>
        <v>#N/A</v>
      </c>
      <c r="X11" s="63">
        <f t="shared" si="5"/>
        <v>8352</v>
      </c>
      <c r="Y11" s="63">
        <f t="shared" si="6"/>
        <v>11000</v>
      </c>
    </row>
    <row r="12" spans="1:25" x14ac:dyDescent="0.3">
      <c r="A12" s="477">
        <v>46028</v>
      </c>
      <c r="B12" s="474">
        <f>IF(D12&gt;0,COUNTIF($D$9:D12,"&gt;0"),"")</f>
        <v>2</v>
      </c>
      <c r="C12" s="882">
        <f>'SEMANA JANEIRO'!$I$13</f>
        <v>1872</v>
      </c>
      <c r="D12" s="883">
        <f>IF(C12&gt;0,CONFIG!$B$3,0)</f>
        <v>11000</v>
      </c>
      <c r="E12" s="884">
        <f t="shared" si="0"/>
        <v>-9128</v>
      </c>
      <c r="F12" s="491" t="s">
        <v>1370</v>
      </c>
      <c r="G12" s="424"/>
      <c r="H12" s="424"/>
      <c r="I12" s="424"/>
      <c r="J12" s="424"/>
      <c r="K12" s="424"/>
      <c r="L12" s="424"/>
      <c r="M12" s="424"/>
      <c r="N12" s="424"/>
      <c r="O12" s="424"/>
      <c r="P12" s="93">
        <f t="shared" si="1"/>
        <v>2</v>
      </c>
      <c r="Q12" s="1">
        <f t="shared" si="2"/>
        <v>1872</v>
      </c>
      <c r="R12" s="1" t="e">
        <f t="shared" si="3"/>
        <v>#N/A</v>
      </c>
      <c r="S12" s="1" t="e">
        <f t="shared" si="4"/>
        <v>#N/A</v>
      </c>
      <c r="X12" s="63">
        <f t="shared" si="5"/>
        <v>1872</v>
      </c>
      <c r="Y12" s="63">
        <f t="shared" si="6"/>
        <v>11000</v>
      </c>
    </row>
    <row r="13" spans="1:25" x14ac:dyDescent="0.3">
      <c r="A13" s="477">
        <v>46029</v>
      </c>
      <c r="B13" s="474">
        <f>IF(D13&gt;0,COUNTIF($D$9:D13,"&gt;0"),"")</f>
        <v>3</v>
      </c>
      <c r="C13" s="882">
        <f>'SEMANA JANEIRO'!$I$20+'SEMANA JANEIRO'!$I$21</f>
        <v>12036</v>
      </c>
      <c r="D13" s="883">
        <f>IF(C13&gt;0,CONFIG!$B$3,0)</f>
        <v>11000</v>
      </c>
      <c r="E13" s="884">
        <f t="shared" si="0"/>
        <v>1036</v>
      </c>
      <c r="F13" s="441"/>
      <c r="G13" s="424"/>
      <c r="H13" s="424"/>
      <c r="I13" s="424"/>
      <c r="J13" s="424"/>
      <c r="K13" s="424"/>
      <c r="L13" s="424"/>
      <c r="M13" s="424"/>
      <c r="N13" s="424"/>
      <c r="O13" s="424"/>
      <c r="P13" s="93">
        <f t="shared" si="1"/>
        <v>3</v>
      </c>
      <c r="Q13" s="1" t="e">
        <f t="shared" si="2"/>
        <v>#N/A</v>
      </c>
      <c r="R13" s="1" t="e">
        <f t="shared" si="3"/>
        <v>#N/A</v>
      </c>
      <c r="S13" s="1">
        <f t="shared" si="4"/>
        <v>12036</v>
      </c>
      <c r="X13" s="63">
        <f t="shared" si="5"/>
        <v>12036</v>
      </c>
      <c r="Y13" s="63">
        <f t="shared" si="6"/>
        <v>11000</v>
      </c>
    </row>
    <row r="14" spans="1:25" x14ac:dyDescent="0.3">
      <c r="A14" s="477">
        <v>46030</v>
      </c>
      <c r="B14" s="474">
        <f>IF(D14&gt;0,COUNTIF($D$9:D14,"&gt;0"),"")</f>
        <v>4</v>
      </c>
      <c r="C14" s="882">
        <f>'SEMANA JANEIRO'!$I$28</f>
        <v>9852</v>
      </c>
      <c r="D14" s="883">
        <f>IF(C14&gt;0,CONFIG!$B$3,0)</f>
        <v>11000</v>
      </c>
      <c r="E14" s="884">
        <f t="shared" si="0"/>
        <v>-1148</v>
      </c>
      <c r="F14" s="491" t="s">
        <v>1371</v>
      </c>
      <c r="G14" s="424"/>
      <c r="H14" s="424"/>
      <c r="I14" s="424"/>
      <c r="J14" s="424"/>
      <c r="K14" s="424"/>
      <c r="L14" s="424"/>
      <c r="M14" s="424"/>
      <c r="N14" s="424"/>
      <c r="O14" s="424"/>
      <c r="P14" s="93">
        <f t="shared" si="1"/>
        <v>4</v>
      </c>
      <c r="Q14" s="1">
        <f t="shared" si="2"/>
        <v>9852</v>
      </c>
      <c r="R14" s="1" t="e">
        <f t="shared" si="3"/>
        <v>#N/A</v>
      </c>
      <c r="S14" s="1" t="e">
        <f t="shared" si="4"/>
        <v>#N/A</v>
      </c>
      <c r="X14" s="63">
        <f t="shared" si="5"/>
        <v>9852</v>
      </c>
      <c r="Y14" s="63">
        <f t="shared" si="6"/>
        <v>11000</v>
      </c>
    </row>
    <row r="15" spans="1:25" x14ac:dyDescent="0.3">
      <c r="A15" s="477">
        <v>46031</v>
      </c>
      <c r="B15" s="474">
        <f>IF(D15&gt;0,COUNTIF($D$9:D15,"&gt;0"),"")</f>
        <v>5</v>
      </c>
      <c r="C15" s="882">
        <f>'SEMANA JANEIRO'!$I$36+'SEMANA JANEIRO'!$I$37</f>
        <v>6498</v>
      </c>
      <c r="D15" s="883">
        <f>IF(C15&gt;0,CONFIG!$B$3,0)</f>
        <v>11000</v>
      </c>
      <c r="E15" s="884">
        <f t="shared" si="0"/>
        <v>-4502</v>
      </c>
      <c r="F15" s="491" t="s">
        <v>1372</v>
      </c>
      <c r="G15" s="424"/>
      <c r="H15" s="424"/>
      <c r="I15" s="424"/>
      <c r="J15" s="424"/>
      <c r="K15" s="424"/>
      <c r="L15" s="424"/>
      <c r="M15" s="424"/>
      <c r="N15" s="424"/>
      <c r="O15" s="424"/>
      <c r="P15" s="93">
        <f t="shared" si="1"/>
        <v>5</v>
      </c>
      <c r="Q15" s="1">
        <f t="shared" si="2"/>
        <v>6498</v>
      </c>
      <c r="R15" s="1" t="e">
        <f t="shared" si="3"/>
        <v>#N/A</v>
      </c>
      <c r="S15" s="1" t="e">
        <f t="shared" si="4"/>
        <v>#N/A</v>
      </c>
      <c r="X15" s="63">
        <f t="shared" si="5"/>
        <v>6498</v>
      </c>
      <c r="Y15" s="63">
        <f t="shared" si="6"/>
        <v>11000</v>
      </c>
    </row>
    <row r="16" spans="1:25" x14ac:dyDescent="0.3">
      <c r="A16" s="477">
        <v>46034</v>
      </c>
      <c r="B16" s="474">
        <f>IF(D16&gt;0,COUNTIF($D$9:D16,"&gt;0"),"")</f>
        <v>6</v>
      </c>
      <c r="C16" s="882">
        <f>'SEMANA JANEIRO'!$I$45</f>
        <v>6432</v>
      </c>
      <c r="D16" s="883">
        <f>IF(C16&gt;0,CONFIG!$B$3,0)</f>
        <v>11000</v>
      </c>
      <c r="E16" s="884">
        <f t="shared" si="0"/>
        <v>-4568</v>
      </c>
      <c r="F16" s="491" t="s">
        <v>1373</v>
      </c>
      <c r="G16" s="424"/>
      <c r="H16" s="424"/>
      <c r="I16" s="424"/>
      <c r="J16" s="424"/>
      <c r="K16" s="424"/>
      <c r="L16" s="424"/>
      <c r="M16" s="424"/>
      <c r="N16" s="424"/>
      <c r="O16" s="424"/>
      <c r="P16" s="93">
        <f t="shared" si="1"/>
        <v>6</v>
      </c>
      <c r="Q16" s="1">
        <f t="shared" si="2"/>
        <v>6432</v>
      </c>
      <c r="R16" s="1" t="e">
        <f t="shared" si="3"/>
        <v>#N/A</v>
      </c>
      <c r="S16" s="1" t="e">
        <f t="shared" si="4"/>
        <v>#N/A</v>
      </c>
      <c r="X16" s="63">
        <f t="shared" si="5"/>
        <v>6432</v>
      </c>
      <c r="Y16" s="63">
        <f t="shared" si="6"/>
        <v>11000</v>
      </c>
    </row>
    <row r="17" spans="1:25" x14ac:dyDescent="0.3">
      <c r="A17" s="477">
        <v>46035</v>
      </c>
      <c r="B17" s="474">
        <f>IF(D17&gt;0,COUNTIF($D$9:D17,"&gt;0"),"")</f>
        <v>7</v>
      </c>
      <c r="C17" s="882">
        <f>'SEMANA JANEIRO'!$I$53+'SEMANA JANEIRO'!$I$55</f>
        <v>5772</v>
      </c>
      <c r="D17" s="883">
        <f>IF(C17&gt;0,CONFIG!$B$3,0)</f>
        <v>11000</v>
      </c>
      <c r="E17" s="884">
        <f t="shared" si="0"/>
        <v>-5228</v>
      </c>
      <c r="F17" s="441"/>
      <c r="G17" s="424"/>
      <c r="H17" s="424"/>
      <c r="I17" s="424"/>
      <c r="J17" s="424"/>
      <c r="K17" s="424"/>
      <c r="L17" s="424"/>
      <c r="M17" s="424"/>
      <c r="N17" s="424"/>
      <c r="O17" s="424"/>
      <c r="P17" s="93">
        <f t="shared" si="1"/>
        <v>7</v>
      </c>
      <c r="Q17" s="1">
        <f t="shared" si="2"/>
        <v>5772</v>
      </c>
      <c r="R17" s="1" t="e">
        <f t="shared" si="3"/>
        <v>#N/A</v>
      </c>
      <c r="S17" s="1" t="e">
        <f t="shared" si="4"/>
        <v>#N/A</v>
      </c>
      <c r="X17" s="63">
        <f t="shared" si="5"/>
        <v>5772</v>
      </c>
      <c r="Y17" s="63">
        <f t="shared" si="6"/>
        <v>11000</v>
      </c>
    </row>
    <row r="18" spans="1:25" x14ac:dyDescent="0.3">
      <c r="A18" s="477">
        <v>46036</v>
      </c>
      <c r="B18" s="474">
        <f>IF(D18&gt;0,COUNTIF($D$9:D18,"&gt;0"),"")</f>
        <v>8</v>
      </c>
      <c r="C18" s="882">
        <f>'SEMANA JANEIRO'!$I$61</f>
        <v>9000</v>
      </c>
      <c r="D18" s="883">
        <f>IF(C18&gt;0,CONFIG!$B$3,0)</f>
        <v>11000</v>
      </c>
      <c r="E18" s="884">
        <f t="shared" si="0"/>
        <v>-2000</v>
      </c>
      <c r="F18" s="441"/>
      <c r="G18" s="424"/>
      <c r="H18" s="424"/>
      <c r="I18" s="424"/>
      <c r="J18" s="424"/>
      <c r="K18" s="424"/>
      <c r="L18" s="424"/>
      <c r="M18" s="424"/>
      <c r="N18" s="424"/>
      <c r="O18" s="424"/>
      <c r="P18" s="93">
        <f t="shared" si="1"/>
        <v>8</v>
      </c>
      <c r="Q18" s="1">
        <f t="shared" si="2"/>
        <v>9000</v>
      </c>
      <c r="R18" s="1" t="e">
        <f t="shared" si="3"/>
        <v>#N/A</v>
      </c>
      <c r="S18" s="1" t="e">
        <f t="shared" si="4"/>
        <v>#N/A</v>
      </c>
      <c r="X18" s="63">
        <f t="shared" si="5"/>
        <v>9000</v>
      </c>
      <c r="Y18" s="63">
        <f t="shared" si="6"/>
        <v>11000</v>
      </c>
    </row>
    <row r="19" spans="1:25" x14ac:dyDescent="0.3">
      <c r="A19" s="477">
        <v>46037</v>
      </c>
      <c r="B19" s="474">
        <f>IF(D19&gt;0,COUNTIF($D$9:D19,"&gt;0"),"")</f>
        <v>9</v>
      </c>
      <c r="C19" s="882">
        <f>'SEMANA JANEIRO'!$I$69+'SEMANA JANEIRO'!$I$70</f>
        <v>4872</v>
      </c>
      <c r="D19" s="883">
        <f>IF(C19&gt;0,CONFIG!$B$3,0)</f>
        <v>11000</v>
      </c>
      <c r="E19" s="884">
        <f t="shared" si="0"/>
        <v>-6128</v>
      </c>
      <c r="F19" s="441"/>
      <c r="G19" s="424"/>
      <c r="H19" s="424"/>
      <c r="I19" s="424"/>
      <c r="J19" s="424"/>
      <c r="K19" s="424"/>
      <c r="L19" s="424"/>
      <c r="M19" s="424"/>
      <c r="N19" s="424"/>
      <c r="O19" s="424"/>
      <c r="P19" s="93">
        <f t="shared" si="1"/>
        <v>9</v>
      </c>
      <c r="Q19" s="1">
        <f t="shared" si="2"/>
        <v>4872</v>
      </c>
      <c r="R19" s="1" t="e">
        <f t="shared" si="3"/>
        <v>#N/A</v>
      </c>
      <c r="S19" s="1" t="e">
        <f t="shared" si="4"/>
        <v>#N/A</v>
      </c>
      <c r="X19" s="63">
        <f t="shared" si="5"/>
        <v>4872</v>
      </c>
      <c r="Y19" s="63">
        <f t="shared" si="6"/>
        <v>11000</v>
      </c>
    </row>
    <row r="20" spans="1:25" x14ac:dyDescent="0.3">
      <c r="A20" s="477">
        <v>46038</v>
      </c>
      <c r="B20" s="474">
        <f>IF(D20&gt;0,COUNTIF($D$9:D20,"&gt;0"),"")</f>
        <v>10</v>
      </c>
      <c r="C20" s="882">
        <f>'SEMANA JANEIRO'!$I$78+'SEMANA JANEIRO'!$I$79</f>
        <v>9978</v>
      </c>
      <c r="D20" s="883">
        <f>IF(C20&gt;0,CONFIG!$B$3,0)</f>
        <v>11000</v>
      </c>
      <c r="E20" s="884">
        <f t="shared" si="0"/>
        <v>-1022</v>
      </c>
      <c r="F20" s="441"/>
      <c r="G20" s="424"/>
      <c r="H20" s="424"/>
      <c r="I20" s="424"/>
      <c r="J20" s="424"/>
      <c r="K20" s="424"/>
      <c r="L20" s="424"/>
      <c r="M20" s="424"/>
      <c r="N20" s="424"/>
      <c r="O20" s="424"/>
      <c r="P20" s="93">
        <f t="shared" si="1"/>
        <v>10</v>
      </c>
      <c r="Q20" s="1">
        <f t="shared" si="2"/>
        <v>9978</v>
      </c>
      <c r="R20" s="1" t="e">
        <f t="shared" si="3"/>
        <v>#N/A</v>
      </c>
      <c r="S20" s="1" t="e">
        <f t="shared" si="4"/>
        <v>#N/A</v>
      </c>
      <c r="X20" s="63">
        <f t="shared" si="5"/>
        <v>9978</v>
      </c>
      <c r="Y20" s="63">
        <f t="shared" si="6"/>
        <v>11000</v>
      </c>
    </row>
    <row r="21" spans="1:25" x14ac:dyDescent="0.3">
      <c r="A21" s="477">
        <v>46041</v>
      </c>
      <c r="B21" s="474">
        <f>IF(D21&gt;0,COUNTIF($D$9:D21,"&gt;0"),"")</f>
        <v>11</v>
      </c>
      <c r="C21" s="882">
        <f>'SEMANA JANEIRO'!$I$86+'SEMANA JANEIRO'!$I$87+'SEMANA JANEIRO'!$I$88</f>
        <v>10644</v>
      </c>
      <c r="D21" s="883">
        <f>IF(C21&gt;0,CONFIG!$B$3,0)</f>
        <v>11000</v>
      </c>
      <c r="E21" s="884">
        <f t="shared" si="0"/>
        <v>-356</v>
      </c>
      <c r="F21" s="441"/>
      <c r="G21" s="424"/>
      <c r="H21" s="424"/>
      <c r="I21" s="424"/>
      <c r="J21" s="424"/>
      <c r="K21" s="424"/>
      <c r="L21" s="424"/>
      <c r="M21" s="424"/>
      <c r="N21" s="424"/>
      <c r="O21" s="424"/>
      <c r="P21" s="93">
        <f t="shared" si="1"/>
        <v>11</v>
      </c>
      <c r="Q21" s="1">
        <f t="shared" si="2"/>
        <v>10644</v>
      </c>
      <c r="R21" s="1" t="e">
        <f t="shared" si="3"/>
        <v>#N/A</v>
      </c>
      <c r="S21" s="1" t="e">
        <f t="shared" si="4"/>
        <v>#N/A</v>
      </c>
      <c r="X21" s="63">
        <f t="shared" si="5"/>
        <v>10644</v>
      </c>
      <c r="Y21" s="63">
        <f t="shared" si="6"/>
        <v>11000</v>
      </c>
    </row>
    <row r="22" spans="1:25" x14ac:dyDescent="0.3">
      <c r="A22" s="477">
        <v>46042</v>
      </c>
      <c r="B22" s="474">
        <f>IF(D22&gt;0,COUNTIF($D$9:D22,"&gt;0"),"")</f>
        <v>12</v>
      </c>
      <c r="C22" s="882">
        <f>'SEMANA JANEIRO'!$I$96+'SEMANA JANEIRO'!$I$97+'SEMANA JANEIRO'!$I$98</f>
        <v>6396</v>
      </c>
      <c r="D22" s="883">
        <f>IF(C22&gt;0,CONFIG!$B$3,0)</f>
        <v>11000</v>
      </c>
      <c r="E22" s="884">
        <f t="shared" si="0"/>
        <v>-4604</v>
      </c>
      <c r="F22" s="441"/>
      <c r="G22" s="424"/>
      <c r="H22" s="424"/>
      <c r="I22" s="424"/>
      <c r="J22" s="424"/>
      <c r="K22" s="424"/>
      <c r="L22" s="424"/>
      <c r="M22" s="424"/>
      <c r="N22" s="424"/>
      <c r="O22" s="424"/>
      <c r="P22" s="93">
        <f t="shared" si="1"/>
        <v>12</v>
      </c>
      <c r="Q22" s="1">
        <f t="shared" si="2"/>
        <v>6396</v>
      </c>
      <c r="R22" s="1" t="e">
        <f t="shared" si="3"/>
        <v>#N/A</v>
      </c>
      <c r="S22" s="1" t="e">
        <f t="shared" si="4"/>
        <v>#N/A</v>
      </c>
      <c r="X22" s="63">
        <f t="shared" si="5"/>
        <v>6396</v>
      </c>
      <c r="Y22" s="63">
        <f t="shared" si="6"/>
        <v>11000</v>
      </c>
    </row>
    <row r="23" spans="1:25" x14ac:dyDescent="0.3">
      <c r="A23" s="477">
        <v>46043</v>
      </c>
      <c r="B23" s="474">
        <f>IF(D23&gt;0,COUNTIF($D$9:D23,"&gt;0"),"")</f>
        <v>13</v>
      </c>
      <c r="C23" s="882">
        <f>'SEMANA JANEIRO'!$I$106+'SEMANA JANEIRO'!$I$107</f>
        <v>10080</v>
      </c>
      <c r="D23" s="883">
        <f>IF(C23&gt;0,CONFIG!$B$3,0)</f>
        <v>11000</v>
      </c>
      <c r="E23" s="884">
        <f t="shared" si="0"/>
        <v>-920</v>
      </c>
      <c r="F23" s="441"/>
      <c r="G23" s="424"/>
      <c r="H23" s="424"/>
      <c r="I23" s="424"/>
      <c r="J23" s="424"/>
      <c r="K23" s="424"/>
      <c r="L23" s="424"/>
      <c r="M23" s="424"/>
      <c r="N23" s="424"/>
      <c r="O23" s="424"/>
      <c r="P23" s="93">
        <f t="shared" si="1"/>
        <v>13</v>
      </c>
      <c r="Q23" s="1">
        <f t="shared" si="2"/>
        <v>10080</v>
      </c>
      <c r="R23" s="1" t="e">
        <f t="shared" si="3"/>
        <v>#N/A</v>
      </c>
      <c r="S23" s="1" t="e">
        <f t="shared" si="4"/>
        <v>#N/A</v>
      </c>
      <c r="X23" s="63">
        <f t="shared" si="5"/>
        <v>10080</v>
      </c>
      <c r="Y23" s="63">
        <f t="shared" si="6"/>
        <v>11000</v>
      </c>
    </row>
    <row r="24" spans="1:25" x14ac:dyDescent="0.3">
      <c r="A24" s="477">
        <v>46044</v>
      </c>
      <c r="B24" s="474">
        <f>IF(D24&gt;0,COUNTIF($D$9:D24,"&gt;0"),"")</f>
        <v>14</v>
      </c>
      <c r="C24" s="882">
        <f>'SEMANA JANEIRO'!$I$114+'SEMANA JANEIRO'!$I$115+'SEMANA JANEIRO'!$I$116</f>
        <v>12288</v>
      </c>
      <c r="D24" s="883">
        <f>IF(C24&gt;0,CONFIG!$B$3,0)</f>
        <v>11000</v>
      </c>
      <c r="E24" s="884">
        <f t="shared" si="0"/>
        <v>1288</v>
      </c>
      <c r="F24" s="441"/>
      <c r="G24" s="424"/>
      <c r="H24" s="424"/>
      <c r="I24" s="424"/>
      <c r="J24" s="424"/>
      <c r="K24" s="424"/>
      <c r="L24" s="424"/>
      <c r="M24" s="424"/>
      <c r="N24" s="424"/>
      <c r="O24" s="424"/>
      <c r="P24" s="93">
        <f t="shared" si="1"/>
        <v>14</v>
      </c>
      <c r="Q24" s="1" t="e">
        <f t="shared" si="2"/>
        <v>#N/A</v>
      </c>
      <c r="R24" s="1" t="e">
        <f t="shared" si="3"/>
        <v>#N/A</v>
      </c>
      <c r="S24" s="1">
        <f t="shared" si="4"/>
        <v>12288</v>
      </c>
      <c r="X24" s="63">
        <f t="shared" si="5"/>
        <v>12288</v>
      </c>
      <c r="Y24" s="63">
        <f t="shared" si="6"/>
        <v>11000</v>
      </c>
    </row>
    <row r="25" spans="1:25" x14ac:dyDescent="0.3">
      <c r="A25" s="477">
        <v>46045</v>
      </c>
      <c r="B25" s="474">
        <f>IF(D25&gt;0,COUNTIF($D$9:D25,"&gt;0"),"")</f>
        <v>15</v>
      </c>
      <c r="C25" s="882">
        <f>'SEMANA JANEIRO'!$I$124+'SEMANA JANEIRO'!$I$125+'SEMANA JANEIRO'!$I$126+'SEMANA JANEIRO'!$I$127+'SEMANA JANEIRO'!$I$128+'SEMANA JANEIRO'!$I$129</f>
        <v>8130</v>
      </c>
      <c r="D25" s="883">
        <f>IF(C25&gt;0,CONFIG!$B$3,0)</f>
        <v>11000</v>
      </c>
      <c r="E25" s="884">
        <f t="shared" si="0"/>
        <v>-2870</v>
      </c>
      <c r="F25" s="441"/>
      <c r="G25" s="424"/>
      <c r="H25" s="424"/>
      <c r="I25" s="424"/>
      <c r="J25" s="424"/>
      <c r="K25" s="424"/>
      <c r="L25" s="424"/>
      <c r="M25" s="424"/>
      <c r="N25" s="424"/>
      <c r="O25" s="424"/>
      <c r="P25" s="93">
        <f t="shared" si="1"/>
        <v>15</v>
      </c>
      <c r="Q25" s="1">
        <f t="shared" si="2"/>
        <v>8130</v>
      </c>
      <c r="R25" s="1" t="e">
        <f t="shared" si="3"/>
        <v>#N/A</v>
      </c>
      <c r="S25" s="1" t="e">
        <f t="shared" si="4"/>
        <v>#N/A</v>
      </c>
      <c r="X25" s="63">
        <f t="shared" si="5"/>
        <v>8130</v>
      </c>
      <c r="Y25" s="63">
        <f t="shared" si="6"/>
        <v>11000</v>
      </c>
    </row>
    <row r="26" spans="1:25" x14ac:dyDescent="0.3">
      <c r="A26" s="477">
        <v>46048</v>
      </c>
      <c r="B26" s="474">
        <f>IF(D26&gt;0,COUNTIF($D$9:D26,"&gt;0"),"")</f>
        <v>16</v>
      </c>
      <c r="C26" s="882">
        <f>'SEMANA JANEIRO'!$I$137+'SEMANA JANEIRO'!$I$138+'SEMANA JANEIRO'!$I$139</f>
        <v>14931</v>
      </c>
      <c r="D26" s="883">
        <f>IF(C26&gt;0,CONFIG!$B$3,0)</f>
        <v>11000</v>
      </c>
      <c r="E26" s="884">
        <f t="shared" si="0"/>
        <v>3931</v>
      </c>
      <c r="F26" s="441"/>
      <c r="G26" s="424"/>
      <c r="H26" s="424"/>
      <c r="I26" s="424"/>
      <c r="J26" s="424"/>
      <c r="K26" s="424"/>
      <c r="L26" s="424"/>
      <c r="M26" s="424"/>
      <c r="N26" s="424"/>
      <c r="O26" s="424"/>
      <c r="P26" s="93">
        <f t="shared" si="1"/>
        <v>16</v>
      </c>
      <c r="Q26" s="1" t="e">
        <f t="shared" si="2"/>
        <v>#N/A</v>
      </c>
      <c r="R26" s="1" t="e">
        <f t="shared" si="3"/>
        <v>#N/A</v>
      </c>
      <c r="S26" s="1">
        <f t="shared" si="4"/>
        <v>14931</v>
      </c>
      <c r="X26" s="63">
        <f t="shared" si="5"/>
        <v>14931</v>
      </c>
      <c r="Y26" s="63">
        <f t="shared" si="6"/>
        <v>11000</v>
      </c>
    </row>
    <row r="27" spans="1:25" x14ac:dyDescent="0.3">
      <c r="A27" s="477">
        <v>46049</v>
      </c>
      <c r="B27" s="474">
        <f>IF(D27&gt;0,COUNTIF($D$9:D27,"&gt;0"),"")</f>
        <v>17</v>
      </c>
      <c r="C27" s="882">
        <f>'SEMANA JANEIRO'!$I$146</f>
        <v>7848</v>
      </c>
      <c r="D27" s="883">
        <f>IF(C27&gt;0,CONFIG!$B$3,0)</f>
        <v>11000</v>
      </c>
      <c r="E27" s="884">
        <f t="shared" si="0"/>
        <v>-3152</v>
      </c>
      <c r="F27" s="441"/>
      <c r="G27" s="424"/>
      <c r="H27" s="424"/>
      <c r="I27" s="424"/>
      <c r="J27" s="424"/>
      <c r="K27" s="424"/>
      <c r="L27" s="424"/>
      <c r="M27" s="424"/>
      <c r="N27" s="424"/>
      <c r="O27" s="424"/>
      <c r="P27" s="93">
        <f t="shared" si="1"/>
        <v>17</v>
      </c>
      <c r="Q27" s="1">
        <f t="shared" si="2"/>
        <v>7848</v>
      </c>
      <c r="R27" s="1" t="e">
        <f t="shared" si="3"/>
        <v>#N/A</v>
      </c>
      <c r="S27" s="1" t="e">
        <f t="shared" si="4"/>
        <v>#N/A</v>
      </c>
      <c r="X27" s="63">
        <f t="shared" si="5"/>
        <v>7848</v>
      </c>
      <c r="Y27" s="63">
        <f t="shared" si="6"/>
        <v>11000</v>
      </c>
    </row>
    <row r="28" spans="1:25" x14ac:dyDescent="0.3">
      <c r="A28" s="477">
        <v>46050</v>
      </c>
      <c r="B28" s="474" t="str">
        <f>IF(D28&gt;0,COUNTIF($D$9:D28,"&gt;0"),"")</f>
        <v/>
      </c>
      <c r="C28" s="882">
        <f>0</f>
        <v>0</v>
      </c>
      <c r="D28" s="883">
        <f>IF(C28&gt;0,CONFIG!$B$3,0)</f>
        <v>0</v>
      </c>
      <c r="E28" s="884">
        <f t="shared" si="0"/>
        <v>0</v>
      </c>
      <c r="F28" s="471" t="s">
        <v>197</v>
      </c>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77">
        <v>46051</v>
      </c>
      <c r="B29" s="474">
        <f>IF(D29&gt;0,COUNTIF($D$9:D29,"&gt;0"),"")</f>
        <v>18</v>
      </c>
      <c r="C29" s="882">
        <f>'SEMANA JANEIRO'!$I$165+'SEMANA JANEIRO'!$I$166+'SEMANA JANEIRO'!$I$167</f>
        <v>12264</v>
      </c>
      <c r="D29" s="883">
        <f>IF(C29&gt;0,CONFIG!$B$3,0)</f>
        <v>11000</v>
      </c>
      <c r="E29" s="884">
        <f t="shared" si="0"/>
        <v>1264</v>
      </c>
      <c r="F29" s="441"/>
      <c r="G29" s="424"/>
      <c r="H29" s="424"/>
      <c r="I29" s="424"/>
      <c r="J29" s="424"/>
      <c r="K29" s="424"/>
      <c r="L29" s="424"/>
      <c r="M29" s="424"/>
      <c r="N29" s="424"/>
      <c r="O29" s="424"/>
      <c r="P29" s="93">
        <f t="shared" si="1"/>
        <v>18</v>
      </c>
      <c r="Q29" s="1" t="e">
        <f t="shared" si="2"/>
        <v>#N/A</v>
      </c>
      <c r="R29" s="1" t="e">
        <f t="shared" si="3"/>
        <v>#N/A</v>
      </c>
      <c r="S29" s="1">
        <f t="shared" si="4"/>
        <v>12264</v>
      </c>
      <c r="X29" s="63">
        <f t="shared" si="5"/>
        <v>12264</v>
      </c>
      <c r="Y29" s="63">
        <f t="shared" si="6"/>
        <v>11000</v>
      </c>
    </row>
    <row r="30" spans="1:25" x14ac:dyDescent="0.3">
      <c r="A30" s="478">
        <v>46052</v>
      </c>
      <c r="B30" s="475">
        <f>IF(D30&gt;0,COUNTIF($D$9:D30,"&gt;0"),"")</f>
        <v>19</v>
      </c>
      <c r="C30" s="885">
        <f>'SEMANA JANEIRO'!$I$173+'SEMANA JANEIRO'!$I$174</f>
        <v>9048</v>
      </c>
      <c r="D30" s="886">
        <f>IF(C30&gt;0,CONFIG!$B$3,0)</f>
        <v>11000</v>
      </c>
      <c r="E30" s="887">
        <f t="shared" si="0"/>
        <v>-1952</v>
      </c>
      <c r="F30" s="441"/>
      <c r="G30" s="424"/>
      <c r="H30" s="424"/>
      <c r="I30" s="424"/>
      <c r="J30" s="424"/>
      <c r="K30" s="424"/>
      <c r="L30" s="424"/>
      <c r="M30" s="424"/>
      <c r="N30" s="424"/>
      <c r="O30" s="424"/>
      <c r="P30" s="93">
        <f t="shared" si="1"/>
        <v>19</v>
      </c>
      <c r="Q30" s="1">
        <f t="shared" si="2"/>
        <v>9048</v>
      </c>
      <c r="R30" s="1" t="e">
        <f t="shared" si="3"/>
        <v>#N/A</v>
      </c>
      <c r="S30" s="1" t="e">
        <f t="shared" si="4"/>
        <v>#N/A</v>
      </c>
      <c r="X30" s="63">
        <f t="shared" si="5"/>
        <v>9048</v>
      </c>
      <c r="Y30" s="63">
        <f t="shared" si="6"/>
        <v>11000</v>
      </c>
    </row>
  </sheetData>
  <mergeCells count="1">
    <mergeCell ref="A1:F1"/>
  </mergeCells>
  <conditionalFormatting sqref="E9:E30">
    <cfRule type="cellIs" dxfId="443" priority="1" operator="greaterThan">
      <formula>0</formula>
    </cfRule>
    <cfRule type="cellIs" dxfId="442" priority="2" operator="lessThan">
      <formula>0</formula>
    </cfRule>
    <cfRule type="cellIs" dxfId="441"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0DB2-0BAF-4D3C-894D-4C620EF63B49}">
  <sheetPr>
    <tabColor rgb="FFC96B0A"/>
  </sheetPr>
  <dimension ref="B1:O260"/>
  <sheetViews>
    <sheetView showGridLines="0" topLeftCell="A75" zoomScale="90" zoomScaleNormal="90" workbookViewId="0">
      <selection activeCell="K13" sqref="K13:L31"/>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222</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t="s">
        <v>223</v>
      </c>
      <c r="C4" s="638">
        <v>26010146</v>
      </c>
      <c r="D4" s="638"/>
      <c r="E4" s="638" t="s">
        <v>224</v>
      </c>
      <c r="F4" s="638"/>
      <c r="G4" s="638" t="s">
        <v>225</v>
      </c>
      <c r="H4" s="638"/>
      <c r="I4" s="638"/>
      <c r="J4" s="638"/>
      <c r="K4" s="638" t="s">
        <v>226</v>
      </c>
      <c r="L4" s="638"/>
      <c r="M4" s="497" t="s">
        <v>227</v>
      </c>
      <c r="N4" s="528">
        <v>46055</v>
      </c>
      <c r="O4" s="493"/>
    </row>
    <row r="5" spans="2:15" ht="17.25" customHeight="1" x14ac:dyDescent="0.3">
      <c r="B5" s="499" t="s">
        <v>228</v>
      </c>
      <c r="C5" s="637">
        <v>26010147</v>
      </c>
      <c r="D5" s="637"/>
      <c r="E5" s="637"/>
      <c r="F5" s="637"/>
      <c r="G5" s="637" t="s">
        <v>145</v>
      </c>
      <c r="H5" s="637"/>
      <c r="I5" s="637"/>
      <c r="J5" s="637"/>
      <c r="K5" s="637" t="s">
        <v>62</v>
      </c>
      <c r="L5" s="637"/>
      <c r="M5" s="499" t="s">
        <v>229</v>
      </c>
      <c r="N5" s="498">
        <v>46062</v>
      </c>
      <c r="O5" s="493"/>
    </row>
    <row r="6" spans="2:15" ht="17.25" customHeight="1" x14ac:dyDescent="0.3">
      <c r="B6" s="496" t="s">
        <v>230</v>
      </c>
      <c r="C6" s="638">
        <v>26010148</v>
      </c>
      <c r="D6" s="638"/>
      <c r="E6" s="638"/>
      <c r="F6" s="638"/>
      <c r="G6" s="638" t="s">
        <v>138</v>
      </c>
      <c r="H6" s="638"/>
      <c r="I6" s="638"/>
      <c r="J6" s="638"/>
      <c r="K6" s="638" t="s">
        <v>139</v>
      </c>
      <c r="L6" s="638"/>
      <c r="M6" s="497" t="s">
        <v>140</v>
      </c>
      <c r="N6" s="498">
        <v>46066</v>
      </c>
      <c r="O6" s="493"/>
    </row>
    <row r="7" spans="2:15" ht="17.25" customHeight="1" x14ac:dyDescent="0.3">
      <c r="B7" s="499" t="s">
        <v>231</v>
      </c>
      <c r="C7" s="637">
        <v>26010149</v>
      </c>
      <c r="D7" s="637"/>
      <c r="E7" s="637"/>
      <c r="F7" s="637"/>
      <c r="G7" s="637" t="s">
        <v>232</v>
      </c>
      <c r="H7" s="637"/>
      <c r="I7" s="637"/>
      <c r="J7" s="637"/>
      <c r="K7" s="637" t="s">
        <v>103</v>
      </c>
      <c r="L7" s="637"/>
      <c r="M7" s="500" t="s">
        <v>136</v>
      </c>
      <c r="N7" s="498">
        <v>46066</v>
      </c>
      <c r="O7" s="493"/>
    </row>
    <row r="8" spans="2:15" ht="17.25" customHeight="1" x14ac:dyDescent="0.3">
      <c r="B8" s="496" t="s">
        <v>233</v>
      </c>
      <c r="C8" s="638">
        <v>26010150</v>
      </c>
      <c r="D8" s="638"/>
      <c r="E8" s="638"/>
      <c r="F8" s="638"/>
      <c r="G8" s="638" t="s">
        <v>134</v>
      </c>
      <c r="H8" s="638"/>
      <c r="I8" s="638"/>
      <c r="J8" s="638"/>
      <c r="K8" s="638" t="s">
        <v>135</v>
      </c>
      <c r="L8" s="638"/>
      <c r="M8" s="497" t="s">
        <v>136</v>
      </c>
      <c r="N8" s="498">
        <v>46066</v>
      </c>
      <c r="O8" s="493"/>
    </row>
    <row r="9" spans="2:15" ht="17.25" customHeight="1" x14ac:dyDescent="0.3">
      <c r="B9" s="499" t="s">
        <v>234</v>
      </c>
      <c r="C9" s="637">
        <v>26010151</v>
      </c>
      <c r="D9" s="637"/>
      <c r="E9" s="637"/>
      <c r="F9" s="637"/>
      <c r="G9" s="637" t="s">
        <v>235</v>
      </c>
      <c r="H9" s="637"/>
      <c r="I9" s="637"/>
      <c r="J9" s="637"/>
      <c r="K9" s="637" t="s">
        <v>236</v>
      </c>
      <c r="L9" s="637"/>
      <c r="M9" s="499" t="s">
        <v>237</v>
      </c>
      <c r="N9" s="498">
        <v>46071</v>
      </c>
      <c r="O9" s="493"/>
    </row>
    <row r="10" spans="2:15" ht="17.25" customHeight="1" x14ac:dyDescent="0.3">
      <c r="B10" s="496" t="s">
        <v>238</v>
      </c>
      <c r="C10" s="638">
        <v>26010152</v>
      </c>
      <c r="D10" s="638"/>
      <c r="E10" s="638"/>
      <c r="F10" s="638"/>
      <c r="G10" s="638" t="s">
        <v>235</v>
      </c>
      <c r="H10" s="638"/>
      <c r="I10" s="638"/>
      <c r="J10" s="638"/>
      <c r="K10" s="638" t="s">
        <v>72</v>
      </c>
      <c r="L10" s="638"/>
      <c r="M10" s="496" t="s">
        <v>237</v>
      </c>
      <c r="N10" s="498">
        <v>46071</v>
      </c>
      <c r="O10" s="493"/>
    </row>
    <row r="11" spans="2:15" ht="17.25" customHeight="1" x14ac:dyDescent="0.3">
      <c r="B11" s="499" t="s">
        <v>239</v>
      </c>
      <c r="C11" s="637">
        <v>26010153</v>
      </c>
      <c r="D11" s="637"/>
      <c r="E11" s="637"/>
      <c r="F11" s="637"/>
      <c r="G11" s="637" t="s">
        <v>235</v>
      </c>
      <c r="H11" s="637"/>
      <c r="I11" s="637"/>
      <c r="J11" s="637"/>
      <c r="K11" s="637" t="s">
        <v>240</v>
      </c>
      <c r="L11" s="637"/>
      <c r="M11" s="499" t="s">
        <v>241</v>
      </c>
      <c r="N11" s="498">
        <v>46072</v>
      </c>
      <c r="O11" s="493"/>
    </row>
    <row r="12" spans="2:15" ht="17.25" customHeight="1" x14ac:dyDescent="0.3">
      <c r="B12" s="496" t="s">
        <v>242</v>
      </c>
      <c r="C12" s="638"/>
      <c r="D12" s="638"/>
      <c r="E12" s="638">
        <v>2631392</v>
      </c>
      <c r="F12" s="638"/>
      <c r="G12" s="638" t="s">
        <v>243</v>
      </c>
      <c r="H12" s="638"/>
      <c r="I12" s="638"/>
      <c r="J12" s="638"/>
      <c r="K12" s="638" t="s">
        <v>149</v>
      </c>
      <c r="L12" s="638"/>
      <c r="M12" s="496" t="s">
        <v>244</v>
      </c>
      <c r="N12" s="498">
        <v>46064</v>
      </c>
      <c r="O12" s="493"/>
    </row>
    <row r="13" spans="2:15" ht="17.25" customHeight="1" x14ac:dyDescent="0.3">
      <c r="B13" s="637" t="s">
        <v>245</v>
      </c>
      <c r="C13" s="637">
        <v>26010154</v>
      </c>
      <c r="D13" s="637"/>
      <c r="E13" s="637"/>
      <c r="F13" s="637"/>
      <c r="G13" s="637" t="s">
        <v>75</v>
      </c>
      <c r="H13" s="637"/>
      <c r="I13" s="637"/>
      <c r="J13" s="637"/>
      <c r="K13" s="637" t="s">
        <v>76</v>
      </c>
      <c r="L13" s="637"/>
      <c r="M13" s="500" t="s">
        <v>77</v>
      </c>
      <c r="N13" s="498">
        <v>46058</v>
      </c>
      <c r="O13" s="493"/>
    </row>
    <row r="14" spans="2:15" ht="17.25" customHeight="1" x14ac:dyDescent="0.3">
      <c r="B14" s="637"/>
      <c r="C14" s="638">
        <v>26010155</v>
      </c>
      <c r="D14" s="638"/>
      <c r="E14" s="638"/>
      <c r="F14" s="638"/>
      <c r="G14" s="638" t="s">
        <v>75</v>
      </c>
      <c r="H14" s="638"/>
      <c r="I14" s="638"/>
      <c r="J14" s="638"/>
      <c r="K14" s="637"/>
      <c r="L14" s="637"/>
      <c r="M14" s="497" t="s">
        <v>77</v>
      </c>
      <c r="N14" s="498">
        <v>46058</v>
      </c>
      <c r="O14" s="493"/>
    </row>
    <row r="15" spans="2:15" ht="17.25" customHeight="1" x14ac:dyDescent="0.3">
      <c r="B15" s="637"/>
      <c r="C15" s="637">
        <v>26010156</v>
      </c>
      <c r="D15" s="637"/>
      <c r="E15" s="645"/>
      <c r="F15" s="645"/>
      <c r="G15" s="637" t="s">
        <v>75</v>
      </c>
      <c r="H15" s="637"/>
      <c r="I15" s="637"/>
      <c r="J15" s="637"/>
      <c r="K15" s="637"/>
      <c r="L15" s="637"/>
      <c r="M15" s="500" t="s">
        <v>77</v>
      </c>
      <c r="N15" s="498">
        <v>46062</v>
      </c>
      <c r="O15" s="493"/>
    </row>
    <row r="16" spans="2:15" ht="17.25" customHeight="1" x14ac:dyDescent="0.3">
      <c r="B16" s="637"/>
      <c r="C16" s="638">
        <v>26010157</v>
      </c>
      <c r="D16" s="638"/>
      <c r="E16" s="638"/>
      <c r="F16" s="638"/>
      <c r="G16" s="638" t="s">
        <v>118</v>
      </c>
      <c r="H16" s="638"/>
      <c r="I16" s="638"/>
      <c r="J16" s="638"/>
      <c r="K16" s="637"/>
      <c r="L16" s="637"/>
      <c r="M16" s="497" t="s">
        <v>77</v>
      </c>
      <c r="N16" s="498">
        <v>46058</v>
      </c>
      <c r="O16" s="493"/>
    </row>
    <row r="17" spans="2:15" ht="17.25" customHeight="1" x14ac:dyDescent="0.3">
      <c r="B17" s="637"/>
      <c r="C17" s="637">
        <v>26010158</v>
      </c>
      <c r="D17" s="637"/>
      <c r="E17" s="637"/>
      <c r="F17" s="637"/>
      <c r="G17" s="637" t="s">
        <v>118</v>
      </c>
      <c r="H17" s="637"/>
      <c r="I17" s="637"/>
      <c r="J17" s="637"/>
      <c r="K17" s="637"/>
      <c r="L17" s="637"/>
      <c r="M17" s="500" t="s">
        <v>77</v>
      </c>
      <c r="N17" s="498">
        <v>46058</v>
      </c>
      <c r="O17" s="493"/>
    </row>
    <row r="18" spans="2:15" ht="17.25" customHeight="1" x14ac:dyDescent="0.3">
      <c r="B18" s="637"/>
      <c r="C18" s="638">
        <v>26010159</v>
      </c>
      <c r="D18" s="638"/>
      <c r="E18" s="638"/>
      <c r="F18" s="638"/>
      <c r="G18" s="638" t="s">
        <v>118</v>
      </c>
      <c r="H18" s="638"/>
      <c r="I18" s="638"/>
      <c r="J18" s="638"/>
      <c r="K18" s="637"/>
      <c r="L18" s="637"/>
      <c r="M18" s="497" t="s">
        <v>77</v>
      </c>
      <c r="N18" s="498">
        <v>46058</v>
      </c>
      <c r="O18" s="493"/>
    </row>
    <row r="19" spans="2:15" ht="17.25" customHeight="1" x14ac:dyDescent="0.3">
      <c r="B19" s="637"/>
      <c r="C19" s="637">
        <v>26010160</v>
      </c>
      <c r="D19" s="637"/>
      <c r="E19" s="645"/>
      <c r="F19" s="645"/>
      <c r="G19" s="637" t="s">
        <v>118</v>
      </c>
      <c r="H19" s="637"/>
      <c r="I19" s="637"/>
      <c r="J19" s="637"/>
      <c r="K19" s="637"/>
      <c r="L19" s="637"/>
      <c r="M19" s="500" t="s">
        <v>77</v>
      </c>
      <c r="N19" s="498">
        <v>46058</v>
      </c>
      <c r="O19" s="493"/>
    </row>
    <row r="20" spans="2:15" ht="17.25" customHeight="1" x14ac:dyDescent="0.3">
      <c r="B20" s="637"/>
      <c r="C20" s="638">
        <v>26010161</v>
      </c>
      <c r="D20" s="638"/>
      <c r="E20" s="638"/>
      <c r="F20" s="638"/>
      <c r="G20" s="638" t="s">
        <v>75</v>
      </c>
      <c r="H20" s="638"/>
      <c r="I20" s="638"/>
      <c r="J20" s="638"/>
      <c r="K20" s="637"/>
      <c r="L20" s="637"/>
      <c r="M20" s="497" t="s">
        <v>77</v>
      </c>
      <c r="N20" s="498">
        <v>46062</v>
      </c>
      <c r="O20" s="493"/>
    </row>
    <row r="21" spans="2:15" ht="17.25" customHeight="1" x14ac:dyDescent="0.3">
      <c r="B21" s="637"/>
      <c r="C21" s="637">
        <v>26010162</v>
      </c>
      <c r="D21" s="637"/>
      <c r="E21" s="637"/>
      <c r="F21" s="637"/>
      <c r="G21" s="637" t="s">
        <v>75</v>
      </c>
      <c r="H21" s="637"/>
      <c r="I21" s="637"/>
      <c r="J21" s="637"/>
      <c r="K21" s="637"/>
      <c r="L21" s="637"/>
      <c r="M21" s="500" t="s">
        <v>77</v>
      </c>
      <c r="N21" s="498">
        <v>46062</v>
      </c>
      <c r="O21" s="493"/>
    </row>
    <row r="22" spans="2:15" ht="17.25" customHeight="1" x14ac:dyDescent="0.3">
      <c r="B22" s="637"/>
      <c r="C22" s="638">
        <v>26010163</v>
      </c>
      <c r="D22" s="638"/>
      <c r="E22" s="638"/>
      <c r="F22" s="638"/>
      <c r="G22" s="638" t="s">
        <v>75</v>
      </c>
      <c r="H22" s="638"/>
      <c r="I22" s="638"/>
      <c r="J22" s="638"/>
      <c r="K22" s="637"/>
      <c r="L22" s="637"/>
      <c r="M22" s="497" t="s">
        <v>77</v>
      </c>
      <c r="N22" s="498">
        <v>46062</v>
      </c>
      <c r="O22" s="493"/>
    </row>
    <row r="23" spans="2:15" ht="17.25" customHeight="1" x14ac:dyDescent="0.3">
      <c r="B23" s="637"/>
      <c r="C23" s="637">
        <v>26010164</v>
      </c>
      <c r="D23" s="637"/>
      <c r="E23" s="637"/>
      <c r="F23" s="637"/>
      <c r="G23" s="637" t="s">
        <v>75</v>
      </c>
      <c r="H23" s="637"/>
      <c r="I23" s="637"/>
      <c r="J23" s="637"/>
      <c r="K23" s="637"/>
      <c r="L23" s="637"/>
      <c r="M23" s="500" t="s">
        <v>77</v>
      </c>
      <c r="N23" s="498">
        <v>46062</v>
      </c>
      <c r="O23" s="493"/>
    </row>
    <row r="24" spans="2:15" ht="17.25" customHeight="1" x14ac:dyDescent="0.3">
      <c r="B24" s="637"/>
      <c r="C24" s="638">
        <v>26010165</v>
      </c>
      <c r="D24" s="638"/>
      <c r="E24" s="638"/>
      <c r="F24" s="638"/>
      <c r="G24" s="638" t="s">
        <v>75</v>
      </c>
      <c r="H24" s="638"/>
      <c r="I24" s="638"/>
      <c r="J24" s="638"/>
      <c r="K24" s="637"/>
      <c r="L24" s="637"/>
      <c r="M24" s="497" t="s">
        <v>77</v>
      </c>
      <c r="N24" s="498">
        <v>46063</v>
      </c>
      <c r="O24" s="493"/>
    </row>
    <row r="25" spans="2:15" ht="17.25" customHeight="1" x14ac:dyDescent="0.3">
      <c r="B25" s="637"/>
      <c r="C25" s="637">
        <v>26010166</v>
      </c>
      <c r="D25" s="637"/>
      <c r="E25" s="645"/>
      <c r="F25" s="645"/>
      <c r="G25" s="637" t="s">
        <v>75</v>
      </c>
      <c r="H25" s="637"/>
      <c r="I25" s="637"/>
      <c r="J25" s="637"/>
      <c r="K25" s="637"/>
      <c r="L25" s="637"/>
      <c r="M25" s="500" t="s">
        <v>77</v>
      </c>
      <c r="N25" s="498">
        <v>46063</v>
      </c>
      <c r="O25" s="493"/>
    </row>
    <row r="26" spans="2:15" ht="17.25" customHeight="1" x14ac:dyDescent="0.3">
      <c r="B26" s="637"/>
      <c r="C26" s="638">
        <v>26010167</v>
      </c>
      <c r="D26" s="638"/>
      <c r="E26" s="642"/>
      <c r="F26" s="642"/>
      <c r="G26" s="638" t="s">
        <v>75</v>
      </c>
      <c r="H26" s="638"/>
      <c r="I26" s="638"/>
      <c r="J26" s="638"/>
      <c r="K26" s="637"/>
      <c r="L26" s="637"/>
      <c r="M26" s="497" t="s">
        <v>77</v>
      </c>
      <c r="N26" s="498">
        <v>46063</v>
      </c>
      <c r="O26" s="493"/>
    </row>
    <row r="27" spans="2:15" ht="17.25" customHeight="1" x14ac:dyDescent="0.3">
      <c r="B27" s="637"/>
      <c r="C27" s="637">
        <v>26010168</v>
      </c>
      <c r="D27" s="637"/>
      <c r="E27" s="637"/>
      <c r="F27" s="637"/>
      <c r="G27" s="637" t="s">
        <v>75</v>
      </c>
      <c r="H27" s="637"/>
      <c r="I27" s="637"/>
      <c r="J27" s="637"/>
      <c r="K27" s="637"/>
      <c r="L27" s="637"/>
      <c r="M27" s="500" t="s">
        <v>77</v>
      </c>
      <c r="N27" s="498">
        <v>46063</v>
      </c>
      <c r="O27" s="493"/>
    </row>
    <row r="28" spans="2:15" ht="17.25" customHeight="1" x14ac:dyDescent="0.3">
      <c r="B28" s="637"/>
      <c r="C28" s="638">
        <v>26010169</v>
      </c>
      <c r="D28" s="638"/>
      <c r="E28" s="638"/>
      <c r="F28" s="638"/>
      <c r="G28" s="638" t="s">
        <v>75</v>
      </c>
      <c r="H28" s="638"/>
      <c r="I28" s="638"/>
      <c r="J28" s="638"/>
      <c r="K28" s="637"/>
      <c r="L28" s="637"/>
      <c r="M28" s="497" t="s">
        <v>77</v>
      </c>
      <c r="N28" s="498">
        <v>46063</v>
      </c>
      <c r="O28" s="493"/>
    </row>
    <row r="29" spans="2:15" ht="17.25" customHeight="1" x14ac:dyDescent="0.3">
      <c r="B29" s="637"/>
      <c r="C29" s="637">
        <v>26010170</v>
      </c>
      <c r="D29" s="637"/>
      <c r="E29" s="637"/>
      <c r="F29" s="637"/>
      <c r="G29" s="637" t="s">
        <v>75</v>
      </c>
      <c r="H29" s="637"/>
      <c r="I29" s="637"/>
      <c r="J29" s="637"/>
      <c r="K29" s="637"/>
      <c r="L29" s="637"/>
      <c r="M29" s="500" t="s">
        <v>77</v>
      </c>
      <c r="N29" s="498">
        <v>46063</v>
      </c>
      <c r="O29" s="493"/>
    </row>
    <row r="30" spans="2:15" ht="17.25" customHeight="1" x14ac:dyDescent="0.3">
      <c r="B30" s="637"/>
      <c r="C30" s="638">
        <v>26010171</v>
      </c>
      <c r="D30" s="638"/>
      <c r="E30" s="642"/>
      <c r="F30" s="642"/>
      <c r="G30" s="638" t="s">
        <v>75</v>
      </c>
      <c r="H30" s="638"/>
      <c r="I30" s="638"/>
      <c r="J30" s="638"/>
      <c r="K30" s="637"/>
      <c r="L30" s="637"/>
      <c r="M30" s="497" t="s">
        <v>77</v>
      </c>
      <c r="N30" s="498">
        <v>46063</v>
      </c>
      <c r="O30" s="493"/>
    </row>
    <row r="31" spans="2:15" ht="17.25" customHeight="1" x14ac:dyDescent="0.3">
      <c r="B31" s="637"/>
      <c r="C31" s="637">
        <v>26010172</v>
      </c>
      <c r="D31" s="637"/>
      <c r="E31" s="645"/>
      <c r="F31" s="645"/>
      <c r="G31" s="637" t="s">
        <v>75</v>
      </c>
      <c r="H31" s="637"/>
      <c r="I31" s="637"/>
      <c r="J31" s="637"/>
      <c r="K31" s="637"/>
      <c r="L31" s="637"/>
      <c r="M31" s="500" t="s">
        <v>77</v>
      </c>
      <c r="N31" s="498">
        <v>46064</v>
      </c>
      <c r="O31" s="493"/>
    </row>
    <row r="32" spans="2:15" ht="17.25" customHeight="1" x14ac:dyDescent="0.3">
      <c r="B32" s="496" t="s">
        <v>246</v>
      </c>
      <c r="C32" s="638" t="s">
        <v>247</v>
      </c>
      <c r="D32" s="638"/>
      <c r="E32" s="638"/>
      <c r="F32" s="638"/>
      <c r="G32" s="638" t="s">
        <v>54</v>
      </c>
      <c r="H32" s="638"/>
      <c r="I32" s="638"/>
      <c r="J32" s="638"/>
      <c r="K32" s="638" t="s">
        <v>31</v>
      </c>
      <c r="L32" s="638"/>
      <c r="M32" s="496" t="s">
        <v>55</v>
      </c>
      <c r="N32" s="498">
        <v>46084</v>
      </c>
      <c r="O32" s="493"/>
    </row>
    <row r="33" spans="2:15" ht="17.25" customHeight="1" x14ac:dyDescent="0.3">
      <c r="B33" s="637" t="s">
        <v>248</v>
      </c>
      <c r="C33" s="637">
        <v>26010174</v>
      </c>
      <c r="D33" s="637"/>
      <c r="E33" s="645"/>
      <c r="F33" s="645"/>
      <c r="G33" s="637" t="s">
        <v>75</v>
      </c>
      <c r="H33" s="637"/>
      <c r="I33" s="637"/>
      <c r="J33" s="637"/>
      <c r="K33" s="637" t="s">
        <v>76</v>
      </c>
      <c r="L33" s="637"/>
      <c r="M33" s="499" t="s">
        <v>77</v>
      </c>
      <c r="N33" s="498">
        <v>46064</v>
      </c>
      <c r="O33" s="493"/>
    </row>
    <row r="34" spans="2:15" ht="17.25" customHeight="1" x14ac:dyDescent="0.3">
      <c r="B34" s="637"/>
      <c r="C34" s="638">
        <v>26010175</v>
      </c>
      <c r="D34" s="638"/>
      <c r="E34" s="638"/>
      <c r="F34" s="638"/>
      <c r="G34" s="638" t="s">
        <v>75</v>
      </c>
      <c r="H34" s="638"/>
      <c r="I34" s="638"/>
      <c r="J34" s="638"/>
      <c r="K34" s="637"/>
      <c r="L34" s="637"/>
      <c r="M34" s="496" t="s">
        <v>77</v>
      </c>
      <c r="N34" s="498">
        <v>46064</v>
      </c>
      <c r="O34" s="493"/>
    </row>
    <row r="35" spans="2:15" ht="17.25" customHeight="1" x14ac:dyDescent="0.3">
      <c r="B35" s="637"/>
      <c r="C35" s="637">
        <v>26010176</v>
      </c>
      <c r="D35" s="637"/>
      <c r="E35" s="637"/>
      <c r="F35" s="637"/>
      <c r="G35" s="637" t="s">
        <v>75</v>
      </c>
      <c r="H35" s="637"/>
      <c r="I35" s="637"/>
      <c r="J35" s="637"/>
      <c r="K35" s="637"/>
      <c r="L35" s="637"/>
      <c r="M35" s="499" t="s">
        <v>77</v>
      </c>
      <c r="N35" s="498">
        <v>46064</v>
      </c>
      <c r="O35" s="493"/>
    </row>
    <row r="36" spans="2:15" ht="17.25" customHeight="1" x14ac:dyDescent="0.3">
      <c r="B36" s="637"/>
      <c r="C36" s="638">
        <v>26010177</v>
      </c>
      <c r="D36" s="638"/>
      <c r="E36" s="638"/>
      <c r="F36" s="638"/>
      <c r="G36" s="638" t="s">
        <v>75</v>
      </c>
      <c r="H36" s="638"/>
      <c r="I36" s="638"/>
      <c r="J36" s="638"/>
      <c r="K36" s="637"/>
      <c r="L36" s="637"/>
      <c r="M36" s="496" t="s">
        <v>77</v>
      </c>
      <c r="N36" s="498">
        <v>46064</v>
      </c>
      <c r="O36" s="493"/>
    </row>
    <row r="37" spans="2:15" ht="17.25" customHeight="1" x14ac:dyDescent="0.3">
      <c r="B37" s="637"/>
      <c r="C37" s="637">
        <v>26010178</v>
      </c>
      <c r="D37" s="637"/>
      <c r="E37" s="637"/>
      <c r="F37" s="637"/>
      <c r="G37" s="637" t="s">
        <v>75</v>
      </c>
      <c r="H37" s="637"/>
      <c r="I37" s="637"/>
      <c r="J37" s="637"/>
      <c r="K37" s="637"/>
      <c r="L37" s="637"/>
      <c r="M37" s="499" t="s">
        <v>77</v>
      </c>
      <c r="N37" s="498">
        <v>46065</v>
      </c>
      <c r="O37" s="493"/>
    </row>
    <row r="38" spans="2:15" ht="17.25" customHeight="1" x14ac:dyDescent="0.3">
      <c r="B38" s="637"/>
      <c r="C38" s="638">
        <v>26010179</v>
      </c>
      <c r="D38" s="638"/>
      <c r="E38" s="642"/>
      <c r="F38" s="642"/>
      <c r="G38" s="638" t="s">
        <v>75</v>
      </c>
      <c r="H38" s="638"/>
      <c r="I38" s="638"/>
      <c r="J38" s="638"/>
      <c r="K38" s="637"/>
      <c r="L38" s="637"/>
      <c r="M38" s="496" t="s">
        <v>77</v>
      </c>
      <c r="N38" s="498">
        <v>46065</v>
      </c>
      <c r="O38" s="493"/>
    </row>
    <row r="39" spans="2:15" ht="17.25" customHeight="1" x14ac:dyDescent="0.3">
      <c r="B39" s="637"/>
      <c r="C39" s="637">
        <v>26010180</v>
      </c>
      <c r="D39" s="637"/>
      <c r="E39" s="645"/>
      <c r="F39" s="645"/>
      <c r="G39" s="637" t="s">
        <v>75</v>
      </c>
      <c r="H39" s="637"/>
      <c r="I39" s="637"/>
      <c r="J39" s="637"/>
      <c r="K39" s="637"/>
      <c r="L39" s="637"/>
      <c r="M39" s="499" t="s">
        <v>77</v>
      </c>
      <c r="N39" s="498">
        <v>46065</v>
      </c>
      <c r="O39" s="493"/>
    </row>
    <row r="40" spans="2:15" ht="17.25" customHeight="1" x14ac:dyDescent="0.3">
      <c r="B40" s="637"/>
      <c r="C40" s="638">
        <v>26010181</v>
      </c>
      <c r="D40" s="638"/>
      <c r="E40" s="638"/>
      <c r="F40" s="638"/>
      <c r="G40" s="638" t="s">
        <v>75</v>
      </c>
      <c r="H40" s="638"/>
      <c r="I40" s="638"/>
      <c r="J40" s="638"/>
      <c r="K40" s="637"/>
      <c r="L40" s="637"/>
      <c r="M40" s="496" t="s">
        <v>77</v>
      </c>
      <c r="N40" s="498">
        <v>46065</v>
      </c>
      <c r="O40" s="493"/>
    </row>
    <row r="41" spans="2:15" ht="17.25" customHeight="1" x14ac:dyDescent="0.3">
      <c r="B41" s="637"/>
      <c r="C41" s="637">
        <v>26010182</v>
      </c>
      <c r="D41" s="637"/>
      <c r="E41" s="637"/>
      <c r="F41" s="637"/>
      <c r="G41" s="637" t="s">
        <v>75</v>
      </c>
      <c r="H41" s="637"/>
      <c r="I41" s="637"/>
      <c r="J41" s="637"/>
      <c r="K41" s="637"/>
      <c r="L41" s="637"/>
      <c r="M41" s="499" t="s">
        <v>77</v>
      </c>
      <c r="N41" s="498">
        <v>46065</v>
      </c>
      <c r="O41" s="493"/>
    </row>
    <row r="42" spans="2:15" ht="17.25" customHeight="1" x14ac:dyDescent="0.3">
      <c r="B42" s="637"/>
      <c r="C42" s="638">
        <v>26010183</v>
      </c>
      <c r="D42" s="638"/>
      <c r="E42" s="638"/>
      <c r="F42" s="638"/>
      <c r="G42" s="638" t="s">
        <v>75</v>
      </c>
      <c r="H42" s="638"/>
      <c r="I42" s="638"/>
      <c r="J42" s="638"/>
      <c r="K42" s="637"/>
      <c r="L42" s="637"/>
      <c r="M42" s="496" t="s">
        <v>77</v>
      </c>
      <c r="N42" s="498">
        <v>46066</v>
      </c>
      <c r="O42" s="493"/>
    </row>
    <row r="43" spans="2:15" ht="17.25" customHeight="1" x14ac:dyDescent="0.3">
      <c r="B43" s="637"/>
      <c r="C43" s="637">
        <v>26010184</v>
      </c>
      <c r="D43" s="637"/>
      <c r="E43" s="637"/>
      <c r="F43" s="637"/>
      <c r="G43" s="637" t="s">
        <v>75</v>
      </c>
      <c r="H43" s="637"/>
      <c r="I43" s="637"/>
      <c r="J43" s="637"/>
      <c r="K43" s="637"/>
      <c r="L43" s="637"/>
      <c r="M43" s="499" t="s">
        <v>77</v>
      </c>
      <c r="N43" s="498">
        <v>46066</v>
      </c>
      <c r="O43" s="493"/>
    </row>
    <row r="44" spans="2:15" ht="17.25" customHeight="1" x14ac:dyDescent="0.3">
      <c r="B44" s="637"/>
      <c r="C44" s="638">
        <v>26010185</v>
      </c>
      <c r="D44" s="638"/>
      <c r="E44" s="638"/>
      <c r="F44" s="638"/>
      <c r="G44" s="638" t="s">
        <v>75</v>
      </c>
      <c r="H44" s="638"/>
      <c r="I44" s="638"/>
      <c r="J44" s="638"/>
      <c r="K44" s="637"/>
      <c r="L44" s="637"/>
      <c r="M44" s="496" t="s">
        <v>77</v>
      </c>
      <c r="N44" s="498">
        <v>46066</v>
      </c>
      <c r="O44" s="493"/>
    </row>
    <row r="45" spans="2:15" ht="17.25" customHeight="1" x14ac:dyDescent="0.3">
      <c r="B45" s="637"/>
      <c r="C45" s="637">
        <v>26010186</v>
      </c>
      <c r="D45" s="637"/>
      <c r="E45" s="645"/>
      <c r="F45" s="645"/>
      <c r="G45" s="637" t="s">
        <v>75</v>
      </c>
      <c r="H45" s="637"/>
      <c r="I45" s="637"/>
      <c r="J45" s="637"/>
      <c r="K45" s="637"/>
      <c r="L45" s="637"/>
      <c r="M45" s="499" t="s">
        <v>77</v>
      </c>
      <c r="N45" s="498">
        <v>46066</v>
      </c>
      <c r="O45" s="493"/>
    </row>
    <row r="46" spans="2:15" ht="17.25" customHeight="1" x14ac:dyDescent="0.3">
      <c r="B46" s="637"/>
      <c r="C46" s="638">
        <v>26010187</v>
      </c>
      <c r="D46" s="638"/>
      <c r="E46" s="638"/>
      <c r="F46" s="638"/>
      <c r="G46" s="638" t="s">
        <v>167</v>
      </c>
      <c r="H46" s="638"/>
      <c r="I46" s="638"/>
      <c r="J46" s="638"/>
      <c r="K46" s="637"/>
      <c r="L46" s="637"/>
      <c r="M46" s="496" t="s">
        <v>77</v>
      </c>
      <c r="N46" s="498">
        <v>46065</v>
      </c>
      <c r="O46" s="493"/>
    </row>
    <row r="47" spans="2:15" ht="17.25" customHeight="1" x14ac:dyDescent="0.3">
      <c r="B47" s="637"/>
      <c r="C47" s="637">
        <v>26010188</v>
      </c>
      <c r="D47" s="637"/>
      <c r="E47" s="637"/>
      <c r="F47" s="637"/>
      <c r="G47" s="637" t="s">
        <v>167</v>
      </c>
      <c r="H47" s="637"/>
      <c r="I47" s="637"/>
      <c r="J47" s="637"/>
      <c r="K47" s="637"/>
      <c r="L47" s="637"/>
      <c r="M47" s="499" t="s">
        <v>77</v>
      </c>
      <c r="N47" s="498">
        <v>46065</v>
      </c>
      <c r="O47" s="493"/>
    </row>
    <row r="48" spans="2:15" ht="17.25" customHeight="1" x14ac:dyDescent="0.3">
      <c r="B48" s="637"/>
      <c r="C48" s="638">
        <v>26010189</v>
      </c>
      <c r="D48" s="638"/>
      <c r="E48" s="638"/>
      <c r="F48" s="638"/>
      <c r="G48" s="638" t="s">
        <v>167</v>
      </c>
      <c r="H48" s="638"/>
      <c r="I48" s="638"/>
      <c r="J48" s="638"/>
      <c r="K48" s="637"/>
      <c r="L48" s="637"/>
      <c r="M48" s="496" t="s">
        <v>77</v>
      </c>
      <c r="N48" s="498">
        <v>46065</v>
      </c>
      <c r="O48" s="493"/>
    </row>
    <row r="49" spans="2:15" ht="17.25" customHeight="1" x14ac:dyDescent="0.3">
      <c r="B49" s="637"/>
      <c r="C49" s="637">
        <v>26010190</v>
      </c>
      <c r="D49" s="637"/>
      <c r="E49" s="637"/>
      <c r="F49" s="637"/>
      <c r="G49" s="637" t="s">
        <v>167</v>
      </c>
      <c r="H49" s="637"/>
      <c r="I49" s="637"/>
      <c r="J49" s="637"/>
      <c r="K49" s="637"/>
      <c r="L49" s="637"/>
      <c r="M49" s="499" t="s">
        <v>77</v>
      </c>
      <c r="N49" s="498">
        <v>46065</v>
      </c>
      <c r="O49" s="493"/>
    </row>
    <row r="50" spans="2:15" ht="17.25" customHeight="1" x14ac:dyDescent="0.3">
      <c r="B50" s="637"/>
      <c r="C50" s="638">
        <v>26010191</v>
      </c>
      <c r="D50" s="638"/>
      <c r="E50" s="638"/>
      <c r="F50" s="638"/>
      <c r="G50" s="638" t="s">
        <v>167</v>
      </c>
      <c r="H50" s="638"/>
      <c r="I50" s="638"/>
      <c r="J50" s="638"/>
      <c r="K50" s="637"/>
      <c r="L50" s="637"/>
      <c r="M50" s="496" t="s">
        <v>77</v>
      </c>
      <c r="N50" s="498">
        <v>46066</v>
      </c>
      <c r="O50" s="493"/>
    </row>
    <row r="51" spans="2:15" ht="17.25" customHeight="1" x14ac:dyDescent="0.3">
      <c r="B51" s="637"/>
      <c r="C51" s="637">
        <v>26010192</v>
      </c>
      <c r="D51" s="637"/>
      <c r="E51" s="637"/>
      <c r="F51" s="637"/>
      <c r="G51" s="637" t="s">
        <v>167</v>
      </c>
      <c r="H51" s="637"/>
      <c r="I51" s="637"/>
      <c r="J51" s="637"/>
      <c r="K51" s="637"/>
      <c r="L51" s="637"/>
      <c r="M51" s="499" t="s">
        <v>77</v>
      </c>
      <c r="N51" s="498">
        <v>46066</v>
      </c>
      <c r="O51" s="493"/>
    </row>
    <row r="52" spans="2:15" ht="17.25" customHeight="1" x14ac:dyDescent="0.3">
      <c r="B52" s="637"/>
      <c r="C52" s="638">
        <v>26010193</v>
      </c>
      <c r="D52" s="638"/>
      <c r="E52" s="638"/>
      <c r="F52" s="638"/>
      <c r="G52" s="638" t="s">
        <v>167</v>
      </c>
      <c r="H52" s="638"/>
      <c r="I52" s="638"/>
      <c r="J52" s="638"/>
      <c r="K52" s="637"/>
      <c r="L52" s="637"/>
      <c r="M52" s="496" t="s">
        <v>77</v>
      </c>
      <c r="N52" s="498">
        <v>46066</v>
      </c>
      <c r="O52" s="493"/>
    </row>
    <row r="53" spans="2:15" ht="17.25" customHeight="1" x14ac:dyDescent="0.3">
      <c r="B53" s="637"/>
      <c r="C53" s="637">
        <v>26010194</v>
      </c>
      <c r="D53" s="637"/>
      <c r="E53" s="637"/>
      <c r="F53" s="637"/>
      <c r="G53" s="637" t="s">
        <v>167</v>
      </c>
      <c r="H53" s="637"/>
      <c r="I53" s="637"/>
      <c r="J53" s="637"/>
      <c r="K53" s="637"/>
      <c r="L53" s="637"/>
      <c r="M53" s="499" t="s">
        <v>77</v>
      </c>
      <c r="N53" s="498">
        <v>46066</v>
      </c>
      <c r="O53" s="493"/>
    </row>
    <row r="54" spans="2:15" ht="17.25" customHeight="1" x14ac:dyDescent="0.3">
      <c r="B54" s="637"/>
      <c r="C54" s="638">
        <v>26010195</v>
      </c>
      <c r="D54" s="638"/>
      <c r="E54" s="638"/>
      <c r="F54" s="638"/>
      <c r="G54" s="638" t="s">
        <v>167</v>
      </c>
      <c r="H54" s="638"/>
      <c r="I54" s="638"/>
      <c r="J54" s="638"/>
      <c r="K54" s="637"/>
      <c r="L54" s="637"/>
      <c r="M54" s="496" t="s">
        <v>77</v>
      </c>
      <c r="N54" s="498">
        <v>46071</v>
      </c>
      <c r="O54" s="493"/>
    </row>
    <row r="55" spans="2:15" ht="17.25" customHeight="1" x14ac:dyDescent="0.3">
      <c r="B55" s="637"/>
      <c r="C55" s="637">
        <v>26010196</v>
      </c>
      <c r="D55" s="637"/>
      <c r="E55" s="645"/>
      <c r="F55" s="645"/>
      <c r="G55" s="637" t="s">
        <v>167</v>
      </c>
      <c r="H55" s="637"/>
      <c r="I55" s="637"/>
      <c r="J55" s="637"/>
      <c r="K55" s="637"/>
      <c r="L55" s="637"/>
      <c r="M55" s="499" t="s">
        <v>77</v>
      </c>
      <c r="N55" s="498">
        <v>46071</v>
      </c>
      <c r="O55" s="493"/>
    </row>
    <row r="56" spans="2:15" ht="17.25" customHeight="1" x14ac:dyDescent="0.3">
      <c r="B56" s="637"/>
      <c r="C56" s="638">
        <v>26010197</v>
      </c>
      <c r="D56" s="638"/>
      <c r="E56" s="638"/>
      <c r="F56" s="638"/>
      <c r="G56" s="638" t="s">
        <v>75</v>
      </c>
      <c r="H56" s="638"/>
      <c r="I56" s="638"/>
      <c r="J56" s="638"/>
      <c r="K56" s="637"/>
      <c r="L56" s="637"/>
      <c r="M56" s="496" t="s">
        <v>77</v>
      </c>
      <c r="N56" s="498">
        <v>46071</v>
      </c>
      <c r="O56" s="493"/>
    </row>
    <row r="57" spans="2:15" ht="17.25" customHeight="1" x14ac:dyDescent="0.3">
      <c r="B57" s="637"/>
      <c r="C57" s="637">
        <v>26010198</v>
      </c>
      <c r="D57" s="637"/>
      <c r="E57" s="645"/>
      <c r="F57" s="645"/>
      <c r="G57" s="637" t="s">
        <v>75</v>
      </c>
      <c r="H57" s="637"/>
      <c r="I57" s="637"/>
      <c r="J57" s="637"/>
      <c r="K57" s="637"/>
      <c r="L57" s="637"/>
      <c r="M57" s="499" t="s">
        <v>77</v>
      </c>
      <c r="N57" s="498">
        <v>46071</v>
      </c>
      <c r="O57" s="493"/>
    </row>
    <row r="58" spans="2:15" ht="17.25" customHeight="1" x14ac:dyDescent="0.3">
      <c r="B58" s="496" t="s">
        <v>249</v>
      </c>
      <c r="C58" s="638">
        <v>26010199</v>
      </c>
      <c r="D58" s="638"/>
      <c r="E58" s="638"/>
      <c r="F58" s="638"/>
      <c r="G58" s="638" t="s">
        <v>225</v>
      </c>
      <c r="H58" s="638"/>
      <c r="I58" s="638"/>
      <c r="J58" s="638"/>
      <c r="K58" s="638" t="s">
        <v>240</v>
      </c>
      <c r="L58" s="638"/>
      <c r="M58" s="496" t="s">
        <v>250</v>
      </c>
      <c r="N58" s="498">
        <v>46065</v>
      </c>
      <c r="O58" s="493"/>
    </row>
    <row r="59" spans="2:15" ht="17.25" customHeight="1" x14ac:dyDescent="0.3">
      <c r="B59" s="637" t="s">
        <v>251</v>
      </c>
      <c r="C59" s="637">
        <v>26010200</v>
      </c>
      <c r="D59" s="637"/>
      <c r="E59" s="637"/>
      <c r="F59" s="637"/>
      <c r="G59" s="637" t="s">
        <v>75</v>
      </c>
      <c r="H59" s="637"/>
      <c r="I59" s="637"/>
      <c r="J59" s="637"/>
      <c r="K59" s="637" t="s">
        <v>76</v>
      </c>
      <c r="L59" s="637"/>
      <c r="M59" s="499" t="s">
        <v>77</v>
      </c>
      <c r="N59" s="498">
        <v>46071</v>
      </c>
      <c r="O59" s="493"/>
    </row>
    <row r="60" spans="2:15" ht="17.25" customHeight="1" x14ac:dyDescent="0.3">
      <c r="B60" s="637"/>
      <c r="C60" s="638">
        <v>26010201</v>
      </c>
      <c r="D60" s="638"/>
      <c r="E60" s="638"/>
      <c r="F60" s="638"/>
      <c r="G60" s="638" t="s">
        <v>75</v>
      </c>
      <c r="H60" s="638"/>
      <c r="I60" s="638"/>
      <c r="J60" s="638"/>
      <c r="K60" s="637"/>
      <c r="L60" s="637"/>
      <c r="M60" s="496" t="s">
        <v>77</v>
      </c>
      <c r="N60" s="498">
        <v>46071</v>
      </c>
      <c r="O60" s="493"/>
    </row>
    <row r="61" spans="2:15" ht="17.25" customHeight="1" x14ac:dyDescent="0.3">
      <c r="B61" s="637"/>
      <c r="C61" s="637">
        <v>26010202</v>
      </c>
      <c r="D61" s="637"/>
      <c r="E61" s="637"/>
      <c r="F61" s="637"/>
      <c r="G61" s="637" t="s">
        <v>75</v>
      </c>
      <c r="H61" s="637"/>
      <c r="I61" s="637"/>
      <c r="J61" s="637"/>
      <c r="K61" s="637"/>
      <c r="L61" s="637"/>
      <c r="M61" s="499" t="s">
        <v>77</v>
      </c>
      <c r="N61" s="498">
        <v>46072</v>
      </c>
      <c r="O61" s="493"/>
    </row>
    <row r="62" spans="2:15" ht="17.25" customHeight="1" x14ac:dyDescent="0.3">
      <c r="B62" s="637"/>
      <c r="C62" s="638">
        <v>26010203</v>
      </c>
      <c r="D62" s="638"/>
      <c r="E62" s="638"/>
      <c r="F62" s="638"/>
      <c r="G62" s="638" t="s">
        <v>75</v>
      </c>
      <c r="H62" s="638"/>
      <c r="I62" s="638"/>
      <c r="J62" s="638"/>
      <c r="K62" s="637"/>
      <c r="L62" s="637"/>
      <c r="M62" s="496" t="s">
        <v>77</v>
      </c>
      <c r="N62" s="498">
        <v>46072</v>
      </c>
      <c r="O62" s="493"/>
    </row>
    <row r="63" spans="2:15" ht="17.25" customHeight="1" x14ac:dyDescent="0.3">
      <c r="B63" s="637"/>
      <c r="C63" s="637">
        <v>26010204</v>
      </c>
      <c r="D63" s="637"/>
      <c r="E63" s="645"/>
      <c r="F63" s="645"/>
      <c r="G63" s="637" t="s">
        <v>75</v>
      </c>
      <c r="H63" s="637"/>
      <c r="I63" s="637"/>
      <c r="J63" s="637"/>
      <c r="K63" s="637"/>
      <c r="L63" s="637"/>
      <c r="M63" s="499" t="s">
        <v>77</v>
      </c>
      <c r="N63" s="498">
        <v>46072</v>
      </c>
      <c r="O63" s="493"/>
    </row>
    <row r="64" spans="2:15" ht="17.25" customHeight="1" x14ac:dyDescent="0.3">
      <c r="B64" s="637"/>
      <c r="C64" s="638">
        <v>26010205</v>
      </c>
      <c r="D64" s="638"/>
      <c r="E64" s="638"/>
      <c r="F64" s="638"/>
      <c r="G64" s="638" t="s">
        <v>75</v>
      </c>
      <c r="H64" s="638"/>
      <c r="I64" s="638"/>
      <c r="J64" s="638"/>
      <c r="K64" s="637"/>
      <c r="L64" s="637"/>
      <c r="M64" s="496" t="s">
        <v>77</v>
      </c>
      <c r="N64" s="498">
        <v>46072</v>
      </c>
      <c r="O64" s="493"/>
    </row>
    <row r="65" spans="2:15" ht="17.25" customHeight="1" x14ac:dyDescent="0.3">
      <c r="B65" s="637"/>
      <c r="C65" s="637">
        <v>26010206</v>
      </c>
      <c r="D65" s="637"/>
      <c r="E65" s="637"/>
      <c r="F65" s="637"/>
      <c r="G65" s="637" t="s">
        <v>75</v>
      </c>
      <c r="H65" s="637"/>
      <c r="I65" s="637"/>
      <c r="J65" s="637"/>
      <c r="K65" s="637"/>
      <c r="L65" s="637"/>
      <c r="M65" s="499" t="s">
        <v>77</v>
      </c>
      <c r="N65" s="498">
        <v>46072</v>
      </c>
      <c r="O65" s="493"/>
    </row>
    <row r="66" spans="2:15" ht="17.25" customHeight="1" x14ac:dyDescent="0.3">
      <c r="B66" s="637"/>
      <c r="C66" s="638">
        <v>26010207</v>
      </c>
      <c r="D66" s="638"/>
      <c r="E66" s="642"/>
      <c r="F66" s="642"/>
      <c r="G66" s="638" t="s">
        <v>75</v>
      </c>
      <c r="H66" s="638"/>
      <c r="I66" s="638"/>
      <c r="J66" s="638"/>
      <c r="K66" s="637"/>
      <c r="L66" s="637"/>
      <c r="M66" s="496" t="s">
        <v>77</v>
      </c>
      <c r="N66" s="498">
        <v>46072</v>
      </c>
      <c r="O66" s="493"/>
    </row>
    <row r="67" spans="2:15" ht="17.25" customHeight="1" x14ac:dyDescent="0.3">
      <c r="B67" s="637"/>
      <c r="C67" s="637">
        <v>26010208</v>
      </c>
      <c r="D67" s="637"/>
      <c r="E67" s="637"/>
      <c r="F67" s="637"/>
      <c r="G67" s="637" t="s">
        <v>75</v>
      </c>
      <c r="H67" s="637"/>
      <c r="I67" s="637"/>
      <c r="J67" s="637"/>
      <c r="K67" s="637"/>
      <c r="L67" s="637"/>
      <c r="M67" s="499" t="s">
        <v>77</v>
      </c>
      <c r="N67" s="498">
        <v>46080</v>
      </c>
      <c r="O67" s="493"/>
    </row>
    <row r="68" spans="2:15" ht="17.25" customHeight="1" x14ac:dyDescent="0.3">
      <c r="B68" s="637"/>
      <c r="C68" s="638">
        <v>26010209</v>
      </c>
      <c r="D68" s="638"/>
      <c r="E68" s="638"/>
      <c r="F68" s="638"/>
      <c r="G68" s="638" t="s">
        <v>75</v>
      </c>
      <c r="H68" s="638"/>
      <c r="I68" s="638"/>
      <c r="J68" s="638"/>
      <c r="K68" s="637"/>
      <c r="L68" s="637"/>
      <c r="M68" s="496" t="s">
        <v>77</v>
      </c>
      <c r="N68" s="498">
        <v>46080</v>
      </c>
      <c r="O68" s="493"/>
    </row>
    <row r="69" spans="2:15" ht="17.25" customHeight="1" x14ac:dyDescent="0.3">
      <c r="B69" s="637"/>
      <c r="C69" s="637">
        <v>26010210</v>
      </c>
      <c r="D69" s="637"/>
      <c r="E69" s="637"/>
      <c r="F69" s="637"/>
      <c r="G69" s="637" t="s">
        <v>75</v>
      </c>
      <c r="H69" s="637"/>
      <c r="I69" s="637"/>
      <c r="J69" s="637"/>
      <c r="K69" s="637"/>
      <c r="L69" s="637"/>
      <c r="M69" s="499" t="s">
        <v>77</v>
      </c>
      <c r="N69" s="498">
        <v>46080</v>
      </c>
      <c r="O69" s="493"/>
    </row>
    <row r="70" spans="2:15" ht="17.25" customHeight="1" x14ac:dyDescent="0.3">
      <c r="B70" s="637"/>
      <c r="C70" s="638">
        <v>26010211</v>
      </c>
      <c r="D70" s="638"/>
      <c r="E70" s="638"/>
      <c r="F70" s="638"/>
      <c r="G70" s="638" t="s">
        <v>75</v>
      </c>
      <c r="H70" s="638"/>
      <c r="I70" s="638"/>
      <c r="J70" s="638"/>
      <c r="K70" s="637"/>
      <c r="L70" s="637"/>
      <c r="M70" s="496" t="s">
        <v>77</v>
      </c>
      <c r="N70" s="498">
        <v>46080</v>
      </c>
      <c r="O70" s="493"/>
    </row>
    <row r="71" spans="2:15" ht="17.25" customHeight="1" x14ac:dyDescent="0.3">
      <c r="B71" s="637"/>
      <c r="C71" s="637">
        <v>26010212</v>
      </c>
      <c r="D71" s="637"/>
      <c r="E71" s="637"/>
      <c r="F71" s="637"/>
      <c r="G71" s="637" t="s">
        <v>75</v>
      </c>
      <c r="H71" s="637"/>
      <c r="I71" s="637"/>
      <c r="J71" s="637"/>
      <c r="K71" s="637"/>
      <c r="L71" s="637"/>
      <c r="M71" s="499" t="s">
        <v>77</v>
      </c>
      <c r="N71" s="498">
        <v>46080</v>
      </c>
      <c r="O71" s="493"/>
    </row>
    <row r="72" spans="2:15" ht="17.25" customHeight="1" x14ac:dyDescent="0.3">
      <c r="B72" s="637"/>
      <c r="C72" s="638">
        <v>26010213</v>
      </c>
      <c r="D72" s="638"/>
      <c r="E72" s="642"/>
      <c r="F72" s="642"/>
      <c r="G72" s="638" t="s">
        <v>75</v>
      </c>
      <c r="H72" s="638"/>
      <c r="I72" s="638"/>
      <c r="J72" s="638"/>
      <c r="K72" s="637"/>
      <c r="L72" s="637"/>
      <c r="M72" s="496" t="s">
        <v>77</v>
      </c>
      <c r="N72" s="498">
        <v>46080</v>
      </c>
      <c r="O72" s="493"/>
    </row>
    <row r="73" spans="2:15" ht="17.25" customHeight="1" x14ac:dyDescent="0.3">
      <c r="B73" s="637"/>
      <c r="C73" s="637">
        <v>26010214</v>
      </c>
      <c r="D73" s="637"/>
      <c r="E73" s="637"/>
      <c r="F73" s="637"/>
      <c r="G73" s="637" t="s">
        <v>75</v>
      </c>
      <c r="H73" s="637"/>
      <c r="I73" s="637"/>
      <c r="J73" s="637"/>
      <c r="K73" s="637"/>
      <c r="L73" s="637"/>
      <c r="M73" s="499" t="s">
        <v>77</v>
      </c>
      <c r="N73" s="498">
        <v>46083</v>
      </c>
      <c r="O73" s="493"/>
    </row>
    <row r="74" spans="2:15" ht="17.25" customHeight="1" x14ac:dyDescent="0.3">
      <c r="B74" s="637"/>
      <c r="C74" s="638">
        <v>26010215</v>
      </c>
      <c r="D74" s="638"/>
      <c r="E74" s="638"/>
      <c r="F74" s="638"/>
      <c r="G74" s="638" t="s">
        <v>75</v>
      </c>
      <c r="H74" s="638"/>
      <c r="I74" s="638"/>
      <c r="J74" s="638"/>
      <c r="K74" s="637"/>
      <c r="L74" s="637"/>
      <c r="M74" s="496" t="s">
        <v>77</v>
      </c>
      <c r="N74" s="498">
        <v>46083</v>
      </c>
      <c r="O74" s="493"/>
    </row>
    <row r="75" spans="2:15" ht="17.25" customHeight="1" x14ac:dyDescent="0.3">
      <c r="B75" s="637"/>
      <c r="C75" s="637">
        <v>26010216</v>
      </c>
      <c r="D75" s="637"/>
      <c r="E75" s="637"/>
      <c r="F75" s="637"/>
      <c r="G75" s="637" t="s">
        <v>75</v>
      </c>
      <c r="H75" s="637"/>
      <c r="I75" s="637"/>
      <c r="J75" s="637"/>
      <c r="K75" s="637"/>
      <c r="L75" s="637"/>
      <c r="M75" s="499" t="s">
        <v>77</v>
      </c>
      <c r="N75" s="498">
        <v>46083</v>
      </c>
      <c r="O75" s="493"/>
    </row>
    <row r="76" spans="2:15" ht="17.25" customHeight="1" x14ac:dyDescent="0.3">
      <c r="B76" s="637"/>
      <c r="C76" s="638">
        <v>26010217</v>
      </c>
      <c r="D76" s="638"/>
      <c r="E76" s="638"/>
      <c r="F76" s="638"/>
      <c r="G76" s="638" t="s">
        <v>75</v>
      </c>
      <c r="H76" s="638"/>
      <c r="I76" s="638"/>
      <c r="J76" s="638"/>
      <c r="K76" s="637"/>
      <c r="L76" s="637"/>
      <c r="M76" s="496" t="s">
        <v>77</v>
      </c>
      <c r="N76" s="498">
        <v>46083</v>
      </c>
      <c r="O76" s="493"/>
    </row>
    <row r="77" spans="2:15" ht="17.25" customHeight="1" x14ac:dyDescent="0.3">
      <c r="B77" s="637"/>
      <c r="C77" s="637">
        <v>26010218</v>
      </c>
      <c r="D77" s="637"/>
      <c r="E77" s="637"/>
      <c r="F77" s="637"/>
      <c r="G77" s="637" t="s">
        <v>75</v>
      </c>
      <c r="H77" s="637"/>
      <c r="I77" s="637"/>
      <c r="J77" s="637"/>
      <c r="K77" s="637"/>
      <c r="L77" s="637"/>
      <c r="M77" s="499" t="s">
        <v>77</v>
      </c>
      <c r="N77" s="498">
        <v>46083</v>
      </c>
      <c r="O77" s="493"/>
    </row>
    <row r="78" spans="2:15" ht="17.25" customHeight="1" x14ac:dyDescent="0.3">
      <c r="B78" s="637"/>
      <c r="C78" s="638">
        <v>26010219</v>
      </c>
      <c r="D78" s="638"/>
      <c r="E78" s="638"/>
      <c r="F78" s="638"/>
      <c r="G78" s="638" t="s">
        <v>75</v>
      </c>
      <c r="H78" s="638"/>
      <c r="I78" s="638"/>
      <c r="J78" s="638"/>
      <c r="K78" s="637"/>
      <c r="L78" s="637"/>
      <c r="M78" s="496" t="s">
        <v>77</v>
      </c>
      <c r="N78" s="498">
        <v>46083</v>
      </c>
      <c r="O78" s="493"/>
    </row>
    <row r="79" spans="2:15" ht="17.25" customHeight="1" x14ac:dyDescent="0.3">
      <c r="B79" s="637"/>
      <c r="C79" s="637">
        <v>26010220</v>
      </c>
      <c r="D79" s="637"/>
      <c r="E79" s="637"/>
      <c r="F79" s="637"/>
      <c r="G79" s="637" t="s">
        <v>75</v>
      </c>
      <c r="H79" s="637"/>
      <c r="I79" s="637"/>
      <c r="J79" s="637"/>
      <c r="K79" s="637"/>
      <c r="L79" s="637"/>
      <c r="M79" s="499" t="s">
        <v>77</v>
      </c>
      <c r="N79" s="498">
        <v>46083</v>
      </c>
      <c r="O79" s="493"/>
    </row>
    <row r="80" spans="2:15" ht="17.25" customHeight="1" x14ac:dyDescent="0.3">
      <c r="B80" s="637"/>
      <c r="C80" s="638">
        <v>26010221</v>
      </c>
      <c r="D80" s="638"/>
      <c r="E80" s="642"/>
      <c r="F80" s="642"/>
      <c r="G80" s="638" t="s">
        <v>75</v>
      </c>
      <c r="H80" s="638"/>
      <c r="I80" s="638"/>
      <c r="J80" s="638"/>
      <c r="K80" s="637"/>
      <c r="L80" s="637"/>
      <c r="M80" s="496" t="s">
        <v>77</v>
      </c>
      <c r="N80" s="498">
        <v>46084</v>
      </c>
      <c r="O80" s="493"/>
    </row>
    <row r="81" spans="2:15" ht="17.25" customHeight="1" x14ac:dyDescent="0.3">
      <c r="B81" s="637"/>
      <c r="C81" s="637">
        <v>26010222</v>
      </c>
      <c r="D81" s="637"/>
      <c r="E81" s="637"/>
      <c r="F81" s="637"/>
      <c r="G81" s="637" t="s">
        <v>75</v>
      </c>
      <c r="H81" s="637"/>
      <c r="I81" s="637"/>
      <c r="J81" s="637"/>
      <c r="K81" s="637"/>
      <c r="L81" s="637"/>
      <c r="M81" s="499" t="s">
        <v>77</v>
      </c>
      <c r="N81" s="498">
        <v>46084</v>
      </c>
      <c r="O81" s="493"/>
    </row>
    <row r="82" spans="2:15" ht="17.25" customHeight="1" x14ac:dyDescent="0.3">
      <c r="B82" s="637"/>
      <c r="C82" s="638">
        <v>26010223</v>
      </c>
      <c r="D82" s="638"/>
      <c r="E82" s="638"/>
      <c r="F82" s="638"/>
      <c r="G82" s="638" t="s">
        <v>75</v>
      </c>
      <c r="H82" s="638"/>
      <c r="I82" s="638"/>
      <c r="J82" s="638"/>
      <c r="K82" s="637"/>
      <c r="L82" s="637"/>
      <c r="M82" s="496" t="s">
        <v>77</v>
      </c>
      <c r="N82" s="498">
        <v>46084</v>
      </c>
      <c r="O82" s="493"/>
    </row>
    <row r="83" spans="2:15" ht="17.25" customHeight="1" x14ac:dyDescent="0.3">
      <c r="B83" s="637"/>
      <c r="C83" s="637">
        <v>26010224</v>
      </c>
      <c r="D83" s="637"/>
      <c r="E83" s="645"/>
      <c r="F83" s="645"/>
      <c r="G83" s="637" t="s">
        <v>75</v>
      </c>
      <c r="H83" s="637"/>
      <c r="I83" s="637"/>
      <c r="J83" s="637"/>
      <c r="K83" s="637"/>
      <c r="L83" s="637"/>
      <c r="M83" s="499" t="s">
        <v>77</v>
      </c>
      <c r="N83" s="498">
        <v>46084</v>
      </c>
      <c r="O83" s="493"/>
    </row>
    <row r="84" spans="2:15" ht="17.25" customHeight="1" x14ac:dyDescent="0.3">
      <c r="B84" s="496" t="s">
        <v>252</v>
      </c>
      <c r="C84" s="638">
        <v>26010225</v>
      </c>
      <c r="D84" s="638"/>
      <c r="E84" s="638"/>
      <c r="F84" s="638"/>
      <c r="G84" s="638" t="s">
        <v>253</v>
      </c>
      <c r="H84" s="638"/>
      <c r="I84" s="638"/>
      <c r="J84" s="638"/>
      <c r="K84" s="638" t="s">
        <v>254</v>
      </c>
      <c r="L84" s="638"/>
      <c r="M84" s="496" t="s">
        <v>106</v>
      </c>
      <c r="N84" s="498">
        <v>46072</v>
      </c>
      <c r="O84" s="493"/>
    </row>
    <row r="85" spans="2:15" ht="17.25" customHeight="1" x14ac:dyDescent="0.3">
      <c r="B85" s="499" t="s">
        <v>255</v>
      </c>
      <c r="C85" s="637">
        <v>26010226</v>
      </c>
      <c r="D85" s="637"/>
      <c r="E85" s="637"/>
      <c r="F85" s="637"/>
      <c r="G85" s="637" t="s">
        <v>143</v>
      </c>
      <c r="H85" s="637"/>
      <c r="I85" s="637"/>
      <c r="J85" s="637"/>
      <c r="K85" s="637" t="s">
        <v>62</v>
      </c>
      <c r="L85" s="637"/>
      <c r="M85" s="499" t="s">
        <v>256</v>
      </c>
      <c r="N85" s="498">
        <v>46072</v>
      </c>
      <c r="O85" s="493"/>
    </row>
    <row r="86" spans="2:15" ht="17.25" customHeight="1" x14ac:dyDescent="0.3">
      <c r="B86" s="638" t="s">
        <v>257</v>
      </c>
      <c r="C86" s="638">
        <v>26040227</v>
      </c>
      <c r="D86" s="638"/>
      <c r="E86" s="638"/>
      <c r="F86" s="638"/>
      <c r="G86" s="638" t="s">
        <v>258</v>
      </c>
      <c r="H86" s="638"/>
      <c r="I86" s="638"/>
      <c r="J86" s="638"/>
      <c r="K86" s="638" t="s">
        <v>259</v>
      </c>
      <c r="L86" s="638"/>
      <c r="M86" s="496" t="s">
        <v>144</v>
      </c>
      <c r="N86" s="498">
        <v>46072</v>
      </c>
      <c r="O86" s="493"/>
    </row>
    <row r="87" spans="2:15" ht="17.25" customHeight="1" x14ac:dyDescent="0.3">
      <c r="B87" s="638"/>
      <c r="C87" s="637">
        <v>26040228</v>
      </c>
      <c r="D87" s="637"/>
      <c r="E87" s="637"/>
      <c r="F87" s="637"/>
      <c r="G87" s="637" t="s">
        <v>260</v>
      </c>
      <c r="H87" s="637"/>
      <c r="I87" s="637"/>
      <c r="J87" s="637"/>
      <c r="K87" s="638"/>
      <c r="L87" s="638"/>
      <c r="M87" s="499" t="s">
        <v>144</v>
      </c>
      <c r="N87" s="498">
        <v>46076</v>
      </c>
      <c r="O87" s="493"/>
    </row>
    <row r="88" spans="2:15" ht="17.25" customHeight="1" x14ac:dyDescent="0.3">
      <c r="B88" s="638" t="s">
        <v>261</v>
      </c>
      <c r="C88" s="638">
        <v>26040229</v>
      </c>
      <c r="D88" s="638"/>
      <c r="E88" s="638"/>
      <c r="F88" s="638"/>
      <c r="G88" s="638" t="s">
        <v>260</v>
      </c>
      <c r="H88" s="638"/>
      <c r="I88" s="638"/>
      <c r="J88" s="638"/>
      <c r="K88" s="638" t="s">
        <v>262</v>
      </c>
      <c r="L88" s="638"/>
      <c r="M88" s="496" t="s">
        <v>144</v>
      </c>
      <c r="N88" s="498">
        <v>46077</v>
      </c>
      <c r="O88" s="493"/>
    </row>
    <row r="89" spans="2:15" ht="17.25" customHeight="1" x14ac:dyDescent="0.3">
      <c r="B89" s="638"/>
      <c r="C89" s="637">
        <v>26040230</v>
      </c>
      <c r="D89" s="637"/>
      <c r="E89" s="637"/>
      <c r="F89" s="637"/>
      <c r="G89" s="637" t="s">
        <v>263</v>
      </c>
      <c r="H89" s="637"/>
      <c r="I89" s="637"/>
      <c r="J89" s="637"/>
      <c r="K89" s="638"/>
      <c r="L89" s="638"/>
      <c r="M89" s="499" t="s">
        <v>144</v>
      </c>
      <c r="N89" s="498">
        <v>46077</v>
      </c>
      <c r="O89" s="493"/>
    </row>
    <row r="90" spans="2:15" ht="17.25" customHeight="1" x14ac:dyDescent="0.3">
      <c r="B90" s="638" t="s">
        <v>264</v>
      </c>
      <c r="C90" s="638">
        <v>26040231</v>
      </c>
      <c r="D90" s="638"/>
      <c r="E90" s="638"/>
      <c r="F90" s="638"/>
      <c r="G90" s="638" t="s">
        <v>260</v>
      </c>
      <c r="H90" s="638"/>
      <c r="I90" s="638"/>
      <c r="J90" s="638"/>
      <c r="K90" s="638" t="s">
        <v>265</v>
      </c>
      <c r="L90" s="638"/>
      <c r="M90" s="496" t="s">
        <v>266</v>
      </c>
      <c r="N90" s="498">
        <v>46076</v>
      </c>
      <c r="O90" s="493"/>
    </row>
    <row r="91" spans="2:15" ht="17.25" customHeight="1" x14ac:dyDescent="0.3">
      <c r="B91" s="638"/>
      <c r="C91" s="637">
        <v>26040232</v>
      </c>
      <c r="D91" s="637"/>
      <c r="E91" s="637"/>
      <c r="F91" s="637"/>
      <c r="G91" s="637" t="s">
        <v>263</v>
      </c>
      <c r="H91" s="637"/>
      <c r="I91" s="637"/>
      <c r="J91" s="637"/>
      <c r="K91" s="638"/>
      <c r="L91" s="638"/>
      <c r="M91" s="499" t="s">
        <v>267</v>
      </c>
      <c r="N91" s="498">
        <v>46076</v>
      </c>
      <c r="O91" s="493"/>
    </row>
    <row r="92" spans="2:15" ht="17.25" customHeight="1" x14ac:dyDescent="0.3">
      <c r="B92" s="496" t="s">
        <v>268</v>
      </c>
      <c r="C92" s="638">
        <v>26030233</v>
      </c>
      <c r="D92" s="638"/>
      <c r="E92" s="638"/>
      <c r="F92" s="638"/>
      <c r="G92" s="638" t="s">
        <v>269</v>
      </c>
      <c r="H92" s="638"/>
      <c r="I92" s="638"/>
      <c r="J92" s="638"/>
      <c r="K92" s="638" t="s">
        <v>76</v>
      </c>
      <c r="L92" s="638"/>
      <c r="M92" s="497" t="s">
        <v>100</v>
      </c>
      <c r="N92" s="498">
        <v>46072</v>
      </c>
      <c r="O92" s="493"/>
    </row>
    <row r="93" spans="2:15" ht="17.25" customHeight="1" x14ac:dyDescent="0.3">
      <c r="B93" s="637" t="s">
        <v>270</v>
      </c>
      <c r="C93" s="637"/>
      <c r="D93" s="637"/>
      <c r="E93" s="637">
        <v>25030938</v>
      </c>
      <c r="F93" s="637"/>
      <c r="G93" s="637" t="s">
        <v>271</v>
      </c>
      <c r="H93" s="637"/>
      <c r="I93" s="637"/>
      <c r="J93" s="637"/>
      <c r="K93" s="637" t="s">
        <v>103</v>
      </c>
      <c r="L93" s="637"/>
      <c r="M93" s="499" t="s">
        <v>104</v>
      </c>
      <c r="N93" s="498">
        <v>46078</v>
      </c>
      <c r="O93" s="493"/>
    </row>
    <row r="94" spans="2:15" ht="17.25" customHeight="1" x14ac:dyDescent="0.3">
      <c r="B94" s="637"/>
      <c r="C94" s="638"/>
      <c r="D94" s="638"/>
      <c r="E94" s="638">
        <v>26030233</v>
      </c>
      <c r="F94" s="638"/>
      <c r="G94" s="638" t="s">
        <v>269</v>
      </c>
      <c r="H94" s="638"/>
      <c r="I94" s="638"/>
      <c r="J94" s="638"/>
      <c r="K94" s="637"/>
      <c r="L94" s="637"/>
      <c r="M94" s="496" t="s">
        <v>104</v>
      </c>
      <c r="N94" s="498">
        <v>46078</v>
      </c>
      <c r="O94" s="493"/>
    </row>
    <row r="95" spans="2:15" ht="17.25" customHeight="1" x14ac:dyDescent="0.3">
      <c r="B95" s="637"/>
      <c r="C95" s="637"/>
      <c r="D95" s="637"/>
      <c r="E95" s="637">
        <v>26030054</v>
      </c>
      <c r="F95" s="637"/>
      <c r="G95" s="637" t="s">
        <v>101</v>
      </c>
      <c r="H95" s="637"/>
      <c r="I95" s="637"/>
      <c r="J95" s="637"/>
      <c r="K95" s="637"/>
      <c r="L95" s="637"/>
      <c r="M95" s="499" t="s">
        <v>104</v>
      </c>
      <c r="N95" s="498">
        <v>46078</v>
      </c>
      <c r="O95" s="493"/>
    </row>
    <row r="96" spans="2:15" ht="17.25" customHeight="1" x14ac:dyDescent="0.3">
      <c r="B96" s="637"/>
      <c r="C96" s="638"/>
      <c r="D96" s="638"/>
      <c r="E96" s="638">
        <v>26030053</v>
      </c>
      <c r="F96" s="638"/>
      <c r="G96" s="638" t="s">
        <v>99</v>
      </c>
      <c r="H96" s="638"/>
      <c r="I96" s="638"/>
      <c r="J96" s="638"/>
      <c r="K96" s="637"/>
      <c r="L96" s="637"/>
      <c r="M96" s="496" t="s">
        <v>104</v>
      </c>
      <c r="N96" s="498">
        <v>46078</v>
      </c>
      <c r="O96" s="493"/>
    </row>
    <row r="97" spans="2:15" ht="17.25" customHeight="1" x14ac:dyDescent="0.3">
      <c r="B97" s="499" t="s">
        <v>272</v>
      </c>
      <c r="C97" s="637">
        <v>26020234</v>
      </c>
      <c r="D97" s="637"/>
      <c r="E97" s="637"/>
      <c r="F97" s="637"/>
      <c r="G97" s="637" t="s">
        <v>273</v>
      </c>
      <c r="H97" s="637"/>
      <c r="I97" s="637"/>
      <c r="J97" s="637"/>
      <c r="K97" s="637" t="s">
        <v>76</v>
      </c>
      <c r="L97" s="637"/>
      <c r="M97" s="499" t="s">
        <v>274</v>
      </c>
      <c r="N97" s="498">
        <v>46079</v>
      </c>
      <c r="O97" s="493"/>
    </row>
    <row r="98" spans="2:15" ht="17.25" customHeight="1" x14ac:dyDescent="0.3">
      <c r="B98" s="496" t="s">
        <v>275</v>
      </c>
      <c r="C98" s="638"/>
      <c r="D98" s="638"/>
      <c r="E98" s="638">
        <v>26020234</v>
      </c>
      <c r="F98" s="638"/>
      <c r="G98" s="638" t="s">
        <v>273</v>
      </c>
      <c r="H98" s="638"/>
      <c r="I98" s="638"/>
      <c r="J98" s="638"/>
      <c r="K98" s="638" t="s">
        <v>120</v>
      </c>
      <c r="L98" s="638"/>
      <c r="M98" s="497" t="s">
        <v>127</v>
      </c>
      <c r="N98" s="498">
        <v>46079</v>
      </c>
      <c r="O98" s="493"/>
    </row>
    <row r="99" spans="2:15" ht="17.25" customHeight="1" x14ac:dyDescent="0.3">
      <c r="B99" s="499" t="s">
        <v>276</v>
      </c>
      <c r="C99" s="637">
        <v>26010235</v>
      </c>
      <c r="D99" s="637"/>
      <c r="E99" s="637"/>
      <c r="F99" s="637"/>
      <c r="G99" s="637" t="s">
        <v>162</v>
      </c>
      <c r="H99" s="637"/>
      <c r="I99" s="637"/>
      <c r="J99" s="637"/>
      <c r="K99" s="637" t="s">
        <v>163</v>
      </c>
      <c r="L99" s="637"/>
      <c r="M99" s="499" t="s">
        <v>277</v>
      </c>
      <c r="N99" s="498">
        <v>46080</v>
      </c>
      <c r="O99" s="493"/>
    </row>
    <row r="100" spans="2:15" ht="17.25" customHeight="1" x14ac:dyDescent="0.3">
      <c r="B100" s="496" t="s">
        <v>278</v>
      </c>
      <c r="C100" s="638">
        <v>26010236</v>
      </c>
      <c r="D100" s="638"/>
      <c r="E100" s="638"/>
      <c r="F100" s="638"/>
      <c r="G100" s="638" t="s">
        <v>61</v>
      </c>
      <c r="H100" s="638"/>
      <c r="I100" s="638"/>
      <c r="J100" s="638"/>
      <c r="K100" s="638" t="s">
        <v>62</v>
      </c>
      <c r="L100" s="638"/>
      <c r="M100" s="497" t="s">
        <v>63</v>
      </c>
      <c r="N100" s="498">
        <v>46080</v>
      </c>
      <c r="O100" s="493"/>
    </row>
    <row r="101" spans="2:15" ht="17.25" customHeight="1" x14ac:dyDescent="0.3">
      <c r="B101" s="499" t="s">
        <v>279</v>
      </c>
      <c r="C101" s="637"/>
      <c r="D101" s="637"/>
      <c r="E101" s="637">
        <v>26010118</v>
      </c>
      <c r="F101" s="637"/>
      <c r="G101" s="637" t="s">
        <v>68</v>
      </c>
      <c r="H101" s="637"/>
      <c r="I101" s="637"/>
      <c r="J101" s="637"/>
      <c r="K101" s="637" t="s">
        <v>27</v>
      </c>
      <c r="L101" s="637"/>
      <c r="M101" s="499" t="s">
        <v>55</v>
      </c>
      <c r="N101" s="498">
        <v>46083</v>
      </c>
      <c r="O101" s="493"/>
    </row>
    <row r="102" spans="2:15" ht="18" customHeight="1" x14ac:dyDescent="0.3">
      <c r="N102" s="62"/>
    </row>
    <row r="103" spans="2:15" ht="18" customHeight="1" x14ac:dyDescent="0.3">
      <c r="N103" s="62"/>
    </row>
    <row r="104" spans="2:15" ht="18" customHeight="1" x14ac:dyDescent="0.3">
      <c r="N104" s="62"/>
    </row>
    <row r="105" spans="2:15" ht="18" customHeight="1" x14ac:dyDescent="0.3">
      <c r="N105" s="62"/>
    </row>
    <row r="106" spans="2:15" ht="18" customHeight="1" x14ac:dyDescent="0.3">
      <c r="N106" s="62"/>
    </row>
    <row r="107" spans="2:15" ht="18" customHeight="1" x14ac:dyDescent="0.3">
      <c r="N107" s="62"/>
    </row>
    <row r="108" spans="2:15" ht="18" customHeight="1" x14ac:dyDescent="0.3">
      <c r="N108" s="62"/>
    </row>
    <row r="109" spans="2:15" ht="18" customHeight="1" x14ac:dyDescent="0.3">
      <c r="N109" s="62"/>
    </row>
    <row r="110" spans="2:15" ht="18" customHeight="1" x14ac:dyDescent="0.3">
      <c r="N110" s="62"/>
    </row>
    <row r="111" spans="2:15" ht="18" customHeight="1" x14ac:dyDescent="0.3">
      <c r="N111" s="62"/>
    </row>
    <row r="112" spans="2:15"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sheetData>
  <mergeCells count="332">
    <mergeCell ref="C101:D101"/>
    <mergeCell ref="E101:F101"/>
    <mergeCell ref="G101:J101"/>
    <mergeCell ref="K101:L101"/>
    <mergeCell ref="C99:D99"/>
    <mergeCell ref="E99:F99"/>
    <mergeCell ref="G99:J99"/>
    <mergeCell ref="K99:L99"/>
    <mergeCell ref="C100:D100"/>
    <mergeCell ref="E100:F100"/>
    <mergeCell ref="G100:J100"/>
    <mergeCell ref="K100:L100"/>
    <mergeCell ref="C97:D97"/>
    <mergeCell ref="E97:F97"/>
    <mergeCell ref="G97:J97"/>
    <mergeCell ref="K97:L97"/>
    <mergeCell ref="C98:D98"/>
    <mergeCell ref="E98:F98"/>
    <mergeCell ref="G98:J98"/>
    <mergeCell ref="K98:L98"/>
    <mergeCell ref="E94:F94"/>
    <mergeCell ref="G94:J94"/>
    <mergeCell ref="C95:D95"/>
    <mergeCell ref="E95:F95"/>
    <mergeCell ref="G95:J95"/>
    <mergeCell ref="C96:D96"/>
    <mergeCell ref="E96:F96"/>
    <mergeCell ref="G96:J96"/>
    <mergeCell ref="C92:D92"/>
    <mergeCell ref="E92:F92"/>
    <mergeCell ref="G92:J92"/>
    <mergeCell ref="K92:L92"/>
    <mergeCell ref="B93:B96"/>
    <mergeCell ref="C93:D93"/>
    <mergeCell ref="E93:F93"/>
    <mergeCell ref="G93:J93"/>
    <mergeCell ref="K93:L96"/>
    <mergeCell ref="C94:D94"/>
    <mergeCell ref="B90:B91"/>
    <mergeCell ref="C90:D90"/>
    <mergeCell ref="E90:F90"/>
    <mergeCell ref="G90:J90"/>
    <mergeCell ref="K90:L91"/>
    <mergeCell ref="C91:D91"/>
    <mergeCell ref="E91:F91"/>
    <mergeCell ref="G91:J91"/>
    <mergeCell ref="B88:B89"/>
    <mergeCell ref="C88:D88"/>
    <mergeCell ref="E88:F88"/>
    <mergeCell ref="G88:J88"/>
    <mergeCell ref="K88:L89"/>
    <mergeCell ref="C89:D89"/>
    <mergeCell ref="E89:F89"/>
    <mergeCell ref="G89:J89"/>
    <mergeCell ref="B86:B87"/>
    <mergeCell ref="C86:D86"/>
    <mergeCell ref="E86:F86"/>
    <mergeCell ref="G86:J86"/>
    <mergeCell ref="K86:L87"/>
    <mergeCell ref="C87:D87"/>
    <mergeCell ref="E87:F87"/>
    <mergeCell ref="G87:J87"/>
    <mergeCell ref="C84:D84"/>
    <mergeCell ref="E84:F84"/>
    <mergeCell ref="G84:J84"/>
    <mergeCell ref="K84:L84"/>
    <mergeCell ref="C85:D85"/>
    <mergeCell ref="E85:F85"/>
    <mergeCell ref="G85:J85"/>
    <mergeCell ref="K85:L85"/>
    <mergeCell ref="C82:D82"/>
    <mergeCell ref="E82:F82"/>
    <mergeCell ref="G82:J82"/>
    <mergeCell ref="C83:D83"/>
    <mergeCell ref="E83:F83"/>
    <mergeCell ref="G83:J83"/>
    <mergeCell ref="C80:D80"/>
    <mergeCell ref="E80:F80"/>
    <mergeCell ref="G80:J80"/>
    <mergeCell ref="C81:D81"/>
    <mergeCell ref="E81:F81"/>
    <mergeCell ref="G81:J81"/>
    <mergeCell ref="C78:D78"/>
    <mergeCell ref="E78:F78"/>
    <mergeCell ref="G78:J78"/>
    <mergeCell ref="C79:D79"/>
    <mergeCell ref="E79:F79"/>
    <mergeCell ref="G79:J79"/>
    <mergeCell ref="C76:D76"/>
    <mergeCell ref="E76:F76"/>
    <mergeCell ref="G76:J76"/>
    <mergeCell ref="C77:D77"/>
    <mergeCell ref="E77:F77"/>
    <mergeCell ref="G77:J77"/>
    <mergeCell ref="E68:F68"/>
    <mergeCell ref="G68:J68"/>
    <mergeCell ref="C69:D69"/>
    <mergeCell ref="E69:F69"/>
    <mergeCell ref="G69:J69"/>
    <mergeCell ref="C74:D74"/>
    <mergeCell ref="E74:F74"/>
    <mergeCell ref="G74:J74"/>
    <mergeCell ref="C75:D75"/>
    <mergeCell ref="E75:F75"/>
    <mergeCell ref="G75:J75"/>
    <mergeCell ref="C72:D72"/>
    <mergeCell ref="E72:F72"/>
    <mergeCell ref="G72:J72"/>
    <mergeCell ref="C73:D73"/>
    <mergeCell ref="E73:F73"/>
    <mergeCell ref="G73:J73"/>
    <mergeCell ref="K58:L58"/>
    <mergeCell ref="C66:D66"/>
    <mergeCell ref="E66:F66"/>
    <mergeCell ref="G66:J66"/>
    <mergeCell ref="C67:D67"/>
    <mergeCell ref="E67:F67"/>
    <mergeCell ref="G67:J67"/>
    <mergeCell ref="C64:D64"/>
    <mergeCell ref="E64:F64"/>
    <mergeCell ref="G64:J64"/>
    <mergeCell ref="C65:D65"/>
    <mergeCell ref="E65:F65"/>
    <mergeCell ref="G65:J65"/>
    <mergeCell ref="B59:B83"/>
    <mergeCell ref="C59:D59"/>
    <mergeCell ref="E59:F59"/>
    <mergeCell ref="G59:J59"/>
    <mergeCell ref="K59:L83"/>
    <mergeCell ref="C60:D60"/>
    <mergeCell ref="E60:F60"/>
    <mergeCell ref="G60:J60"/>
    <mergeCell ref="C61:D61"/>
    <mergeCell ref="E61:F61"/>
    <mergeCell ref="G61:J61"/>
    <mergeCell ref="C62:D62"/>
    <mergeCell ref="E62:F62"/>
    <mergeCell ref="G62:J62"/>
    <mergeCell ref="C63:D63"/>
    <mergeCell ref="E63:F63"/>
    <mergeCell ref="G63:J63"/>
    <mergeCell ref="C70:D70"/>
    <mergeCell ref="E70:F70"/>
    <mergeCell ref="G70:J70"/>
    <mergeCell ref="C71:D71"/>
    <mergeCell ref="E71:F71"/>
    <mergeCell ref="G71:J71"/>
    <mergeCell ref="C68:D68"/>
    <mergeCell ref="C57:D57"/>
    <mergeCell ref="E57:F57"/>
    <mergeCell ref="G57:J57"/>
    <mergeCell ref="C58:D58"/>
    <mergeCell ref="E58:F58"/>
    <mergeCell ref="G58:J58"/>
    <mergeCell ref="C55:D55"/>
    <mergeCell ref="E55:F55"/>
    <mergeCell ref="G55:J55"/>
    <mergeCell ref="C56:D56"/>
    <mergeCell ref="E56:F56"/>
    <mergeCell ref="G56:J56"/>
    <mergeCell ref="C53:D53"/>
    <mergeCell ref="E53:F53"/>
    <mergeCell ref="G53:J53"/>
    <mergeCell ref="C54:D54"/>
    <mergeCell ref="E54:F54"/>
    <mergeCell ref="G54:J54"/>
    <mergeCell ref="C51:D51"/>
    <mergeCell ref="E51:F51"/>
    <mergeCell ref="G51:J51"/>
    <mergeCell ref="C52:D52"/>
    <mergeCell ref="E52:F52"/>
    <mergeCell ref="G52:J52"/>
    <mergeCell ref="C49:D49"/>
    <mergeCell ref="E49:F49"/>
    <mergeCell ref="G49:J49"/>
    <mergeCell ref="C50:D50"/>
    <mergeCell ref="E50:F50"/>
    <mergeCell ref="G50:J50"/>
    <mergeCell ref="C47:D47"/>
    <mergeCell ref="E47:F47"/>
    <mergeCell ref="G47:J47"/>
    <mergeCell ref="C48:D48"/>
    <mergeCell ref="E48:F48"/>
    <mergeCell ref="G48:J48"/>
    <mergeCell ref="C45:D45"/>
    <mergeCell ref="E45:F45"/>
    <mergeCell ref="G45:J45"/>
    <mergeCell ref="C46:D46"/>
    <mergeCell ref="E46:F46"/>
    <mergeCell ref="G46:J46"/>
    <mergeCell ref="C43:D43"/>
    <mergeCell ref="E43:F43"/>
    <mergeCell ref="G43:J43"/>
    <mergeCell ref="C44:D44"/>
    <mergeCell ref="E44:F44"/>
    <mergeCell ref="G44:J44"/>
    <mergeCell ref="C41:D41"/>
    <mergeCell ref="E41:F41"/>
    <mergeCell ref="G41:J41"/>
    <mergeCell ref="C42:D42"/>
    <mergeCell ref="E42:F42"/>
    <mergeCell ref="G42:J42"/>
    <mergeCell ref="C39:D39"/>
    <mergeCell ref="E39:F39"/>
    <mergeCell ref="G39:J39"/>
    <mergeCell ref="C40:D40"/>
    <mergeCell ref="E40:F40"/>
    <mergeCell ref="G40:J40"/>
    <mergeCell ref="C32:D32"/>
    <mergeCell ref="E32:F32"/>
    <mergeCell ref="G32:J32"/>
    <mergeCell ref="K32:L32"/>
    <mergeCell ref="B33:B57"/>
    <mergeCell ref="C33:D33"/>
    <mergeCell ref="E33:F33"/>
    <mergeCell ref="G33:J33"/>
    <mergeCell ref="K33:L57"/>
    <mergeCell ref="C34:D34"/>
    <mergeCell ref="C37:D37"/>
    <mergeCell ref="E37:F37"/>
    <mergeCell ref="G37:J37"/>
    <mergeCell ref="C38:D38"/>
    <mergeCell ref="E38:F38"/>
    <mergeCell ref="G38:J38"/>
    <mergeCell ref="E34:F34"/>
    <mergeCell ref="G34:J34"/>
    <mergeCell ref="C35:D35"/>
    <mergeCell ref="E35:F35"/>
    <mergeCell ref="G35:J35"/>
    <mergeCell ref="C36:D36"/>
    <mergeCell ref="E36:F36"/>
    <mergeCell ref="G36:J36"/>
    <mergeCell ref="C30:D30"/>
    <mergeCell ref="E30:F30"/>
    <mergeCell ref="G30:J30"/>
    <mergeCell ref="C31:D31"/>
    <mergeCell ref="E31:F31"/>
    <mergeCell ref="G31:J31"/>
    <mergeCell ref="C28:D28"/>
    <mergeCell ref="E28:F28"/>
    <mergeCell ref="G28:J28"/>
    <mergeCell ref="C29:D29"/>
    <mergeCell ref="E29:F29"/>
    <mergeCell ref="G29:J29"/>
    <mergeCell ref="C26:D26"/>
    <mergeCell ref="E26:F26"/>
    <mergeCell ref="G26:J26"/>
    <mergeCell ref="C27:D27"/>
    <mergeCell ref="E27:F27"/>
    <mergeCell ref="G27:J27"/>
    <mergeCell ref="C24:D24"/>
    <mergeCell ref="E24:F24"/>
    <mergeCell ref="G24:J24"/>
    <mergeCell ref="C25:D25"/>
    <mergeCell ref="E25:F25"/>
    <mergeCell ref="G25:J25"/>
    <mergeCell ref="E22:F22"/>
    <mergeCell ref="G22:J22"/>
    <mergeCell ref="C23:D23"/>
    <mergeCell ref="E23:F23"/>
    <mergeCell ref="G23:J23"/>
    <mergeCell ref="C20:D20"/>
    <mergeCell ref="E20:F20"/>
    <mergeCell ref="G20:J20"/>
    <mergeCell ref="C21:D21"/>
    <mergeCell ref="E21:F21"/>
    <mergeCell ref="G21:J21"/>
    <mergeCell ref="B13:B31"/>
    <mergeCell ref="C13:D13"/>
    <mergeCell ref="E13:F13"/>
    <mergeCell ref="G13:J13"/>
    <mergeCell ref="K13:L31"/>
    <mergeCell ref="C14:D14"/>
    <mergeCell ref="E14:F14"/>
    <mergeCell ref="G14:J14"/>
    <mergeCell ref="C15:D15"/>
    <mergeCell ref="E15:F15"/>
    <mergeCell ref="C18:D18"/>
    <mergeCell ref="E18:F18"/>
    <mergeCell ref="G18:J18"/>
    <mergeCell ref="C19:D19"/>
    <mergeCell ref="E19:F19"/>
    <mergeCell ref="G19:J19"/>
    <mergeCell ref="G15:J15"/>
    <mergeCell ref="C16:D16"/>
    <mergeCell ref="E16:F16"/>
    <mergeCell ref="G16:J16"/>
    <mergeCell ref="C17:D17"/>
    <mergeCell ref="E17:F17"/>
    <mergeCell ref="G17:J17"/>
    <mergeCell ref="C22:D22"/>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B4">
    <cfRule type="expression" dxfId="440" priority="3">
      <formula>AND(COUNTA($C$4:$C$4)+COUNTA($E$4:$E$4)&gt;0,COUNTIFS($N$4:$N$4,"",$C$4:$C$4,"&lt;&gt;")+COUNTIFS($N$4:$N$4,"",$E$4:$E$4,"&lt;&gt;")=0)</formula>
    </cfRule>
  </conditionalFormatting>
  <conditionalFormatting sqref="B5">
    <cfRule type="expression" dxfId="439" priority="4">
      <formula>AND(COUNTA($C$5:$C$5)+COUNTA($E$5:$E$5)&gt;0,COUNTIFS($N$5:$N$5,"",$C$5:$C$5,"&lt;&gt;")+COUNTIFS($N$5:$N$5,"",$E$5:$E$5,"&lt;&gt;")=0)</formula>
    </cfRule>
  </conditionalFormatting>
  <conditionalFormatting sqref="B6">
    <cfRule type="expression" dxfId="438" priority="5">
      <formula>AND(COUNTA($C$6:$C$6)+COUNTA($E$6:$E$6)&gt;0,COUNTIFS($N$6:$N$6,"",$C$6:$C$6,"&lt;&gt;")+COUNTIFS($N$6:$N$6,"",$E$6:$E$6,"&lt;&gt;")=0)</formula>
    </cfRule>
  </conditionalFormatting>
  <conditionalFormatting sqref="B7">
    <cfRule type="expression" dxfId="437" priority="6">
      <formula>AND(COUNTA($C$7:$C$7)+COUNTA($E$7:$E$7)&gt;0,COUNTIFS($N$7:$N$7,"",$C$7:$C$7,"&lt;&gt;")+COUNTIFS($N$7:$N$7,"",$E$7:$E$7,"&lt;&gt;")=0)</formula>
    </cfRule>
  </conditionalFormatting>
  <conditionalFormatting sqref="B8">
    <cfRule type="expression" dxfId="436" priority="7">
      <formula>AND(COUNTA($C$8:$C$8)+COUNTA($E$8:$E$8)&gt;0,COUNTIFS($N$8:$N$8,"",$C$8:$C$8,"&lt;&gt;")+COUNTIFS($N$8:$N$8,"",$E$8:$E$8,"&lt;&gt;")=0)</formula>
    </cfRule>
  </conditionalFormatting>
  <conditionalFormatting sqref="B9">
    <cfRule type="expression" dxfId="435" priority="8">
      <formula>AND(COUNTA($C$9:$C$9)+COUNTA($E$9:$E$9)&gt;0,COUNTIFS($N$9:$N$9,"",$C$9:$C$9,"&lt;&gt;")+COUNTIFS($N$9:$N$9,"",$E$9:$E$9,"&lt;&gt;")=0)</formula>
    </cfRule>
  </conditionalFormatting>
  <conditionalFormatting sqref="B10">
    <cfRule type="expression" dxfId="434" priority="9">
      <formula>AND(COUNTA($C$10:$C$10)+COUNTA($E$10:$E$10)&gt;0,COUNTIFS($N$10:$N$10,"",$C$10:$C$10,"&lt;&gt;")+COUNTIFS($N$10:$N$10,"",$E$10:$E$10,"&lt;&gt;")=0)</formula>
    </cfRule>
  </conditionalFormatting>
  <conditionalFormatting sqref="B11">
    <cfRule type="expression" dxfId="433" priority="10">
      <formula>AND(COUNTA($C$11:$C$11)+COUNTA($E$11:$E$11)&gt;0,COUNTIFS($N$11:$N$11,"",$C$11:$C$11,"&lt;&gt;")+COUNTIFS($N$11:$N$11,"",$E$11:$E$11,"&lt;&gt;")=0)</formula>
    </cfRule>
  </conditionalFormatting>
  <conditionalFormatting sqref="B12">
    <cfRule type="expression" dxfId="432" priority="11">
      <formula>AND(COUNTA($C$12:$C$12)+COUNTA($E$12:$E$12)&gt;0,COUNTIFS($N$12:$N$12,"",$C$12:$C$12,"&lt;&gt;")+COUNTIFS($N$12:$N$12,"",$E$12:$E$12,"&lt;&gt;")=0)</formula>
    </cfRule>
  </conditionalFormatting>
  <conditionalFormatting sqref="B13">
    <cfRule type="expression" dxfId="431" priority="12">
      <formula>AND(COUNTA($C$13:$C$31)+COUNTA($E$13:$E$31)&gt;0,COUNTIFS($N$13:$N$31,"",$C$13:$C$31,"&lt;&gt;")+COUNTIFS($N$13:$N$31,"",$E$13:$E$31,"&lt;&gt;")=0)</formula>
    </cfRule>
  </conditionalFormatting>
  <conditionalFormatting sqref="B32">
    <cfRule type="expression" dxfId="430" priority="13">
      <formula>AND(COUNTA($C$32:$C$32)+COUNTA($E$32:$E$32)&gt;0,COUNTIFS($N$32:$N$32,"",$C$32:$C$32,"&lt;&gt;")+COUNTIFS($N$32:$N$32,"",$E$32:$E$32,"&lt;&gt;")=0)</formula>
    </cfRule>
  </conditionalFormatting>
  <conditionalFormatting sqref="B33">
    <cfRule type="expression" dxfId="429" priority="14">
      <formula>AND(COUNTA($C$33:$C$57)+COUNTA($E$33:$E$57)&gt;0,COUNTIFS($N$33:$N$57,"",$C$33:$C$57,"&lt;&gt;")+COUNTIFS($N$33:$N$57,"",$E$33:$E$57,"&lt;&gt;")=0)</formula>
    </cfRule>
  </conditionalFormatting>
  <conditionalFormatting sqref="B58">
    <cfRule type="expression" dxfId="428" priority="15">
      <formula>AND(COUNTA($C$58:$C$58)+COUNTA($E$58:$E$58)&gt;0,COUNTIFS($N$58:$N$58,"",$C$58:$C$58,"&lt;&gt;")+COUNTIFS($N$58:$N$58,"",$E$58:$E$58,"&lt;&gt;")=0)</formula>
    </cfRule>
  </conditionalFormatting>
  <conditionalFormatting sqref="B59">
    <cfRule type="expression" dxfId="427" priority="16">
      <formula>AND(COUNTA($C$59:$C$83)+COUNTA($E$59:$E$83)&gt;0,COUNTIFS($N$59:$N$83,"",$C$59:$C$83,"&lt;&gt;")+COUNTIFS($N$59:$N$83,"",$E$59:$E$83,"&lt;&gt;")=0)</formula>
    </cfRule>
  </conditionalFormatting>
  <conditionalFormatting sqref="B84">
    <cfRule type="expression" dxfId="426" priority="17">
      <formula>AND(COUNTA($C$84:$C$84)+COUNTA($E$84:$E$84)&gt;0,COUNTIFS($N$84:$N$84,"",$C$84:$C$84,"&lt;&gt;")+COUNTIFS($N$84:$N$84,"",$E$84:$E$84,"&lt;&gt;")=0)</formula>
    </cfRule>
  </conditionalFormatting>
  <conditionalFormatting sqref="B85">
    <cfRule type="expression" dxfId="425" priority="18">
      <formula>AND(COUNTA($C$85:$C$85)+COUNTA($E$85:$E$85)&gt;0,COUNTIFS($N$85:$N$85,"",$C$85:$C$85,"&lt;&gt;")+COUNTIFS($N$85:$N$85,"",$E$85:$E$85,"&lt;&gt;")=0)</formula>
    </cfRule>
  </conditionalFormatting>
  <conditionalFormatting sqref="B86">
    <cfRule type="expression" dxfId="424" priority="19">
      <formula>AND(COUNTA($C$86:$C$87)+COUNTA($E$86:$E$87)&gt;0,COUNTIFS($N$86:$N$87,"",$C$86:$C$87,"&lt;&gt;")+COUNTIFS($N$86:$N$87,"",$E$86:$E$87,"&lt;&gt;")=0)</formula>
    </cfRule>
  </conditionalFormatting>
  <conditionalFormatting sqref="B88">
    <cfRule type="expression" dxfId="423" priority="20">
      <formula>AND(COUNTA($C$88:$C$89)+COUNTA($E$88:$E$89)&gt;0,COUNTIFS($N$88:$N$89,"",$C$88:$C$89,"&lt;&gt;")+COUNTIFS($N$88:$N$89,"",$E$88:$E$89,"&lt;&gt;")=0)</formula>
    </cfRule>
  </conditionalFormatting>
  <conditionalFormatting sqref="B90">
    <cfRule type="expression" dxfId="422" priority="21">
      <formula>AND(COUNTA($C$90:$C$91)+COUNTA($E$90:$E$91)&gt;0,COUNTIFS($N$90:$N$91,"",$C$90:$C$91,"&lt;&gt;")+COUNTIFS($N$90:$N$91,"",$E$90:$E$91,"&lt;&gt;")=0)</formula>
    </cfRule>
  </conditionalFormatting>
  <conditionalFormatting sqref="B92">
    <cfRule type="expression" dxfId="421" priority="22">
      <formula>AND(COUNTA($C$92:$C$92)+COUNTA($E$92:$E$92)&gt;0,COUNTIFS($N$92:$N$92,"",$C$92:$C$92,"&lt;&gt;")+COUNTIFS($N$92:$N$92,"",$E$92:$E$92,"&lt;&gt;")=0)</formula>
    </cfRule>
  </conditionalFormatting>
  <conditionalFormatting sqref="B93">
    <cfRule type="expression" dxfId="420" priority="23">
      <formula>AND(COUNTA($C$93:$C$96)+COUNTA($E$93:$E$96)&gt;0,COUNTIFS($N$93:$N$96,"",$C$93:$C$96,"&lt;&gt;")+COUNTIFS($N$93:$N$96,"",$E$93:$E$96,"&lt;&gt;")=0)</formula>
    </cfRule>
  </conditionalFormatting>
  <conditionalFormatting sqref="B97">
    <cfRule type="expression" dxfId="419" priority="24">
      <formula>AND(COUNTA($C$97:$C$97)+COUNTA($E$97:$E$97)&gt;0,COUNTIFS($N$97:$N$97,"",$C$97:$C$97,"&lt;&gt;")+COUNTIFS($N$97:$N$97,"",$E$97:$E$97,"&lt;&gt;")=0)</formula>
    </cfRule>
  </conditionalFormatting>
  <conditionalFormatting sqref="B98">
    <cfRule type="expression" dxfId="418" priority="25">
      <formula>AND(COUNTA($C$98:$C$98)+COUNTA($E$98:$E$98)&gt;0,COUNTIFS($N$98:$N$98,"",$C$98:$C$98,"&lt;&gt;")+COUNTIFS($N$98:$N$98,"",$E$98:$E$98,"&lt;&gt;")=0)</formula>
    </cfRule>
  </conditionalFormatting>
  <conditionalFormatting sqref="B99">
    <cfRule type="expression" dxfId="417" priority="26">
      <formula>AND(COUNTA($C$99:$C$99)+COUNTA($E$99:$E$99)&gt;0,COUNTIFS($N$99:$N$99,"",$C$99:$C$99,"&lt;&gt;")+COUNTIFS($N$99:$N$99,"",$E$99:$E$99,"&lt;&gt;")=0)</formula>
    </cfRule>
  </conditionalFormatting>
  <conditionalFormatting sqref="B100">
    <cfRule type="expression" dxfId="416" priority="27">
      <formula>AND(COUNTA($C$100:$C$100)+COUNTA($E$100:$E$100)&gt;0,COUNTIFS($N$100:$N$100,"",$C$100:$C$100,"&lt;&gt;")+COUNTIFS($N$100:$N$100,"",$E$100:$E$100,"&lt;&gt;")=0)</formula>
    </cfRule>
  </conditionalFormatting>
  <conditionalFormatting sqref="B101">
    <cfRule type="expression" dxfId="415" priority="28">
      <formula>AND(COUNTA($C$101:$C$101)+COUNTA($E$101:$E$101)&gt;0,COUNTIFS($N$101:$N$101,"",$C$101:$C$101,"&lt;&gt;")+COUNTIFS($N$101:$N$101,"",$E$101:$E$101,"&lt;&gt;")=0)</formula>
    </cfRule>
  </conditionalFormatting>
  <conditionalFormatting sqref="C4:J460 M4:N460">
    <cfRule type="expression" dxfId="414" priority="1">
      <formula>$N4&lt;&gt;""</formula>
    </cfRule>
  </conditionalFormatting>
  <conditionalFormatting sqref="K4">
    <cfRule type="expression" dxfId="413" priority="29">
      <formula>AND(COUNTA($C$4:$C$4)+COUNTA($E$4:$E$4)&gt;0,COUNTIFS($N$4:$N$4,"",$C$4:$C$4,"&lt;&gt;")+COUNTIFS($N$4:$N$4,"",$E$4:$E$4,"&lt;&gt;")=0)</formula>
    </cfRule>
  </conditionalFormatting>
  <conditionalFormatting sqref="K5">
    <cfRule type="expression" dxfId="412" priority="30">
      <formula>AND(COUNTA($C$5:$C$5)+COUNTA($E$5:$E$5)&gt;0,COUNTIFS($N$5:$N$5,"",$C$5:$C$5,"&lt;&gt;")+COUNTIFS($N$5:$N$5,"",$E$5:$E$5,"&lt;&gt;")=0)</formula>
    </cfRule>
  </conditionalFormatting>
  <conditionalFormatting sqref="K6">
    <cfRule type="expression" dxfId="411" priority="31">
      <formula>AND(COUNTA($C$6:$C$6)+COUNTA($E$6:$E$6)&gt;0,COUNTIFS($N$6:$N$6,"",$C$6:$C$6,"&lt;&gt;")+COUNTIFS($N$6:$N$6,"",$E$6:$E$6,"&lt;&gt;")=0)</formula>
    </cfRule>
  </conditionalFormatting>
  <conditionalFormatting sqref="K7">
    <cfRule type="expression" dxfId="410" priority="32">
      <formula>AND(COUNTA($C$7:$C$7)+COUNTA($E$7:$E$7)&gt;0,COUNTIFS($N$7:$N$7,"",$C$7:$C$7,"&lt;&gt;")+COUNTIFS($N$7:$N$7,"",$E$7:$E$7,"&lt;&gt;")=0)</formula>
    </cfRule>
  </conditionalFormatting>
  <conditionalFormatting sqref="K8">
    <cfRule type="expression" dxfId="409" priority="33">
      <formula>AND(COUNTA($C$8:$C$8)+COUNTA($E$8:$E$8)&gt;0,COUNTIFS($N$8:$N$8,"",$C$8:$C$8,"&lt;&gt;")+COUNTIFS($N$8:$N$8,"",$E$8:$E$8,"&lt;&gt;")=0)</formula>
    </cfRule>
  </conditionalFormatting>
  <conditionalFormatting sqref="K9">
    <cfRule type="expression" dxfId="408" priority="34">
      <formula>AND(COUNTA($C$9:$C$9)+COUNTA($E$9:$E$9)&gt;0,COUNTIFS($N$9:$N$9,"",$C$9:$C$9,"&lt;&gt;")+COUNTIFS($N$9:$N$9,"",$E$9:$E$9,"&lt;&gt;")=0)</formula>
    </cfRule>
  </conditionalFormatting>
  <conditionalFormatting sqref="K10">
    <cfRule type="expression" dxfId="407" priority="35">
      <formula>AND(COUNTA($C$10:$C$10)+COUNTA($E$10:$E$10)&gt;0,COUNTIFS($N$10:$N$10,"",$C$10:$C$10,"&lt;&gt;")+COUNTIFS($N$10:$N$10,"",$E$10:$E$10,"&lt;&gt;")=0)</formula>
    </cfRule>
  </conditionalFormatting>
  <conditionalFormatting sqref="K11">
    <cfRule type="expression" dxfId="406" priority="36">
      <formula>AND(COUNTA($C$11:$C$11)+COUNTA($E$11:$E$11)&gt;0,COUNTIFS($N$11:$N$11,"",$C$11:$C$11,"&lt;&gt;")+COUNTIFS($N$11:$N$11,"",$E$11:$E$11,"&lt;&gt;")=0)</formula>
    </cfRule>
  </conditionalFormatting>
  <conditionalFormatting sqref="K12">
    <cfRule type="expression" dxfId="405" priority="37">
      <formula>AND(COUNTA($C$12:$C$12)+COUNTA($E$12:$E$12)&gt;0,COUNTIFS($N$12:$N$12,"",$C$12:$C$12,"&lt;&gt;")+COUNTIFS($N$12:$N$12,"",$E$12:$E$12,"&lt;&gt;")=0)</formula>
    </cfRule>
  </conditionalFormatting>
  <conditionalFormatting sqref="K13">
    <cfRule type="expression" dxfId="404" priority="38">
      <formula>AND(COUNTA($C$13:$C$31)+COUNTA($E$13:$E$31)&gt;0,COUNTIFS($N$13:$N$31,"",$C$13:$C$31,"&lt;&gt;")+COUNTIFS($N$13:$N$31,"",$E$13:$E$31,"&lt;&gt;")=0)</formula>
    </cfRule>
  </conditionalFormatting>
  <conditionalFormatting sqref="K32">
    <cfRule type="expression" dxfId="403" priority="39">
      <formula>AND(COUNTA($C$32:$C$32)+COUNTA($E$32:$E$32)&gt;0,COUNTIFS($N$32:$N$32,"",$C$32:$C$32,"&lt;&gt;")+COUNTIFS($N$32:$N$32,"",$E$32:$E$32,"&lt;&gt;")=0)</formula>
    </cfRule>
  </conditionalFormatting>
  <conditionalFormatting sqref="K33">
    <cfRule type="expression" dxfId="402" priority="40">
      <formula>AND(COUNTA($C$33:$C$57)+COUNTA($E$33:$E$57)&gt;0,COUNTIFS($N$33:$N$57,"",$C$33:$C$57,"&lt;&gt;")+COUNTIFS($N$33:$N$57,"",$E$33:$E$57,"&lt;&gt;")=0)</formula>
    </cfRule>
  </conditionalFormatting>
  <conditionalFormatting sqref="K58">
    <cfRule type="expression" dxfId="401" priority="41">
      <formula>AND(COUNTA($C$58:$C$58)+COUNTA($E$58:$E$58)&gt;0,COUNTIFS($N$58:$N$58,"",$C$58:$C$58,"&lt;&gt;")+COUNTIFS($N$58:$N$58,"",$E$58:$E$58,"&lt;&gt;")=0)</formula>
    </cfRule>
  </conditionalFormatting>
  <conditionalFormatting sqref="K59">
    <cfRule type="expression" dxfId="400" priority="42">
      <formula>AND(COUNTA($C$59:$C$83)+COUNTA($E$59:$E$83)&gt;0,COUNTIFS($N$59:$N$83,"",$C$59:$C$83,"&lt;&gt;")+COUNTIFS($N$59:$N$83,"",$E$59:$E$83,"&lt;&gt;")=0)</formula>
    </cfRule>
  </conditionalFormatting>
  <conditionalFormatting sqref="K84">
    <cfRule type="expression" dxfId="399" priority="43">
      <formula>AND(COUNTA($C$84:$C$84)+COUNTA($E$84:$E$84)&gt;0,COUNTIFS($N$84:$N$84,"",$C$84:$C$84,"&lt;&gt;")+COUNTIFS($N$84:$N$84,"",$E$84:$E$84,"&lt;&gt;")=0)</formula>
    </cfRule>
  </conditionalFormatting>
  <conditionalFormatting sqref="K85">
    <cfRule type="expression" dxfId="398" priority="44">
      <formula>AND(COUNTA($C$85:$C$85)+COUNTA($E$85:$E$85)&gt;0,COUNTIFS($N$85:$N$85,"",$C$85:$C$85,"&lt;&gt;")+COUNTIFS($N$85:$N$85,"",$E$85:$E$85,"&lt;&gt;")=0)</formula>
    </cfRule>
  </conditionalFormatting>
  <conditionalFormatting sqref="K86">
    <cfRule type="expression" dxfId="397" priority="45">
      <formula>AND(COUNTA($C$86:$C$87)+COUNTA($E$86:$E$87)&gt;0,COUNTIFS($N$86:$N$87,"",$C$86:$C$87,"&lt;&gt;")+COUNTIFS($N$86:$N$87,"",$E$86:$E$87,"&lt;&gt;")=0)</formula>
    </cfRule>
  </conditionalFormatting>
  <conditionalFormatting sqref="K88">
    <cfRule type="expression" dxfId="396" priority="46">
      <formula>AND(COUNTA($C$88:$C$89)+COUNTA($E$88:$E$89)&gt;0,COUNTIFS($N$88:$N$89,"",$C$88:$C$89,"&lt;&gt;")+COUNTIFS($N$88:$N$89,"",$E$88:$E$89,"&lt;&gt;")=0)</formula>
    </cfRule>
  </conditionalFormatting>
  <conditionalFormatting sqref="K90">
    <cfRule type="expression" dxfId="395" priority="47">
      <formula>AND(COUNTA($C$90:$C$91)+COUNTA($E$90:$E$91)&gt;0,COUNTIFS($N$90:$N$91,"",$C$90:$C$91,"&lt;&gt;")+COUNTIFS($N$90:$N$91,"",$E$90:$E$91,"&lt;&gt;")=0)</formula>
    </cfRule>
  </conditionalFormatting>
  <conditionalFormatting sqref="K92">
    <cfRule type="expression" dxfId="394" priority="48">
      <formula>AND(COUNTA($C$92:$C$92)+COUNTA($E$92:$E$92)&gt;0,COUNTIFS($N$92:$N$92,"",$C$92:$C$92,"&lt;&gt;")+COUNTIFS($N$92:$N$92,"",$E$92:$E$92,"&lt;&gt;")=0)</formula>
    </cfRule>
  </conditionalFormatting>
  <conditionalFormatting sqref="K93">
    <cfRule type="expression" dxfId="393" priority="49">
      <formula>AND(COUNTA($C$93:$C$96)+COUNTA($E$93:$E$96)&gt;0,COUNTIFS($N$93:$N$96,"",$C$93:$C$96,"&lt;&gt;")+COUNTIFS($N$93:$N$96,"",$E$93:$E$96,"&lt;&gt;")=0)</formula>
    </cfRule>
  </conditionalFormatting>
  <conditionalFormatting sqref="K97">
    <cfRule type="expression" dxfId="392" priority="50">
      <formula>AND(COUNTA($C$97:$C$97)+COUNTA($E$97:$E$97)&gt;0,COUNTIFS($N$97:$N$97,"",$C$97:$C$97,"&lt;&gt;")+COUNTIFS($N$97:$N$97,"",$E$97:$E$97,"&lt;&gt;")=0)</formula>
    </cfRule>
  </conditionalFormatting>
  <conditionalFormatting sqref="K98">
    <cfRule type="expression" dxfId="391" priority="51">
      <formula>AND(COUNTA($C$98:$C$98)+COUNTA($E$98:$E$98)&gt;0,COUNTIFS($N$98:$N$98,"",$C$98:$C$98,"&lt;&gt;")+COUNTIFS($N$98:$N$98,"",$E$98:$E$98,"&lt;&gt;")=0)</formula>
    </cfRule>
  </conditionalFormatting>
  <conditionalFormatting sqref="K99">
    <cfRule type="expression" dxfId="390" priority="52">
      <formula>AND(COUNTA($C$99:$C$99)+COUNTA($E$99:$E$99)&gt;0,COUNTIFS($N$99:$N$99,"",$C$99:$C$99,"&lt;&gt;")+COUNTIFS($N$99:$N$99,"",$E$99:$E$99,"&lt;&gt;")=0)</formula>
    </cfRule>
  </conditionalFormatting>
  <conditionalFormatting sqref="K100">
    <cfRule type="expression" dxfId="389" priority="53">
      <formula>AND(COUNTA($C$100:$C$100)+COUNTA($E$100:$E$100)&gt;0,COUNTIFS($N$100:$N$100,"",$C$100:$C$100,"&lt;&gt;")+COUNTIFS($N$100:$N$100,"",$E$100:$E$100,"&lt;&gt;")=0)</formula>
    </cfRule>
  </conditionalFormatting>
  <conditionalFormatting sqref="K101">
    <cfRule type="expression" dxfId="388" priority="54">
      <formula>AND(COUNTA($C$101:$C$101)+COUNTA($E$101:$E$101)&gt;0,COUNTIFS($N$101:$N$101,"",$C$101:$C$101,"&lt;&gt;")+COUNTIFS($N$101:$N$101,"",$E$101:$E$101,"&lt;&gt;")=0)</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8A40-FCB1-46A0-A9F5-5716E8A10A22}">
  <sheetPr>
    <tabColor rgb="FF2F3A4A"/>
  </sheetPr>
  <dimension ref="A1:AP199"/>
  <sheetViews>
    <sheetView showGridLines="0" topLeftCell="A118" zoomScale="90" zoomScaleNormal="90" workbookViewId="0">
      <selection activeCell="P7" sqref="P7"/>
    </sheetView>
  </sheetViews>
  <sheetFormatPr defaultColWidth="8.5546875" defaultRowHeight="14.4" x14ac:dyDescent="0.3"/>
  <cols>
    <col min="1" max="1" width="32.5546875" style="64" customWidth="1"/>
    <col min="2" max="2" width="28" style="1" customWidth="1"/>
    <col min="3" max="3" width="14" style="1" customWidth="1"/>
    <col min="4" max="4" width="13" style="1" customWidth="1"/>
    <col min="5" max="5" width="10" style="1" customWidth="1"/>
    <col min="6" max="6" width="13" style="1" customWidth="1"/>
    <col min="7" max="7" width="14.6640625" style="1" customWidth="1"/>
    <col min="8" max="8" width="13" style="1" customWidth="1"/>
    <col min="9" max="9" width="16.5546875" style="1" customWidth="1"/>
    <col min="10" max="13" width="12" style="1" hidden="1" customWidth="1"/>
    <col min="14" max="14" width="14" style="1" hidden="1" customWidth="1"/>
    <col min="15" max="15" width="13" style="1" hidden="1" customWidth="1"/>
    <col min="16" max="16" width="45" style="1" hidden="1" customWidth="1"/>
    <col min="17" max="17" width="10.21875" style="588" customWidth="1"/>
    <col min="18" max="18" width="17.77734375" style="590" customWidth="1"/>
    <col min="19" max="21" width="13" style="1" customWidth="1"/>
    <col min="22" max="26" width="8.5546875" style="1"/>
    <col min="27" max="41" width="0" hidden="1" customWidth="1"/>
    <col min="42" max="42" width="0" style="1" hidden="1" customWidth="1"/>
    <col min="43" max="16384" width="8.5546875" style="1"/>
  </cols>
  <sheetData>
    <row r="1" spans="1:42" ht="21.75" customHeight="1" x14ac:dyDescent="0.3">
      <c r="A1" s="647" t="s">
        <v>168</v>
      </c>
      <c r="B1" s="647"/>
      <c r="C1" s="647"/>
      <c r="D1" s="647"/>
      <c r="E1" s="647"/>
      <c r="F1" s="647"/>
      <c r="G1" s="647"/>
      <c r="H1" s="647"/>
      <c r="I1" s="647"/>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4.25" customHeight="1" x14ac:dyDescent="0.3">
      <c r="A2" s="648" t="s">
        <v>173</v>
      </c>
      <c r="B2" s="648"/>
      <c r="C2" s="648"/>
      <c r="D2" s="648"/>
      <c r="E2" s="648"/>
      <c r="F2" s="648"/>
      <c r="G2" s="648" t="s">
        <v>174</v>
      </c>
      <c r="H2" s="648"/>
      <c r="I2" s="648"/>
      <c r="P2" s="99" t="s">
        <v>175</v>
      </c>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390">
        <v>46055</v>
      </c>
      <c r="B3" s="393" t="s">
        <v>49</v>
      </c>
      <c r="C3" s="391" t="s">
        <v>176</v>
      </c>
      <c r="D3" s="392" t="s">
        <v>177</v>
      </c>
      <c r="E3" s="392" t="s">
        <v>178</v>
      </c>
      <c r="F3" s="858" t="s">
        <v>179</v>
      </c>
      <c r="G3" s="392" t="s">
        <v>180</v>
      </c>
      <c r="H3" s="392" t="s">
        <v>181</v>
      </c>
      <c r="I3" s="392" t="s">
        <v>182</v>
      </c>
      <c r="J3" s="72"/>
      <c r="K3" s="72"/>
      <c r="L3" s="87"/>
      <c r="M3" s="72"/>
      <c r="N3" s="87"/>
      <c r="P3"/>
      <c r="Q3" s="589"/>
      <c r="R3" s="591"/>
      <c r="S3"/>
      <c r="AA3" t="s">
        <v>31</v>
      </c>
      <c r="AB3" t="s">
        <v>1423</v>
      </c>
      <c r="AD3" s="900">
        <v>180</v>
      </c>
      <c r="AH3" s="900">
        <v>400</v>
      </c>
      <c r="AL3" s="900">
        <v>600</v>
      </c>
      <c r="AO3" s="900">
        <v>100</v>
      </c>
      <c r="AP3" s="65">
        <v>600</v>
      </c>
    </row>
    <row r="4" spans="1:42" ht="21" customHeight="1" x14ac:dyDescent="0.3">
      <c r="A4" s="390"/>
      <c r="B4" s="394"/>
      <c r="C4" s="395"/>
      <c r="D4" s="396"/>
      <c r="E4" s="397"/>
      <c r="F4" s="864"/>
      <c r="G4" s="398"/>
      <c r="H4" s="399"/>
      <c r="I4" s="396"/>
      <c r="J4" s="85"/>
      <c r="L4" s="84" t="str">
        <f>IF(H4="","",H4)</f>
        <v/>
      </c>
      <c r="N4" s="83" t="str">
        <f t="shared" ref="N4:N10" si="0">IF(I4="","",I4)</f>
        <v/>
      </c>
      <c r="P4"/>
      <c r="Q4" s="589"/>
      <c r="R4" s="591"/>
      <c r="S4"/>
      <c r="AA4" t="s">
        <v>185</v>
      </c>
      <c r="AB4" t="s">
        <v>1423</v>
      </c>
      <c r="AH4" s="900">
        <v>600</v>
      </c>
      <c r="AO4" s="900">
        <v>125</v>
      </c>
    </row>
    <row r="5" spans="1:42" ht="21" customHeight="1" x14ac:dyDescent="0.3">
      <c r="A5" s="657">
        <v>600</v>
      </c>
      <c r="B5" s="394" t="s">
        <v>37</v>
      </c>
      <c r="C5" s="395">
        <v>600</v>
      </c>
      <c r="D5" s="396">
        <f>'SEMANA JANEIRO'!D174-'SEMANA JANEIRO'!L174</f>
        <v>438</v>
      </c>
      <c r="E5" s="397" t="s">
        <v>184</v>
      </c>
      <c r="F5" s="864">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95</v>
      </c>
      <c r="G5" s="398">
        <f>IFERROR(ROUNDUP(D5/F5,0),"")</f>
        <v>5</v>
      </c>
      <c r="H5" s="399">
        <v>438</v>
      </c>
      <c r="I5" s="396">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5256</v>
      </c>
      <c r="J5" s="82">
        <f>IF(D5="","",ROUNDUP(D5/IF(AND(C5="600 ml",ISNUMBER(SEARCH("NORCAU",B5))),95,IF(AND(C5="600 ml",ISNUMBER(SEARCH("APURATOS",B5))),190,IF(C5="600 ml",95,IF(C5="400 ml",125,IF(C5="200 ml",330,IF(C5="180 ml",240,1)))))),0))</f>
        <v>438</v>
      </c>
      <c r="L5" s="81">
        <f>IF(H5="","",H5)</f>
        <v>438</v>
      </c>
      <c r="M5" s="70"/>
      <c r="N5" s="80">
        <f t="shared" si="0"/>
        <v>5256</v>
      </c>
      <c r="P5"/>
      <c r="Q5" s="589"/>
      <c r="R5" s="591"/>
      <c r="S5"/>
      <c r="AA5" t="s">
        <v>183</v>
      </c>
      <c r="AB5" t="s">
        <v>1423</v>
      </c>
      <c r="AO5" s="900">
        <v>180</v>
      </c>
    </row>
    <row r="6" spans="1:42" ht="21" customHeight="1" x14ac:dyDescent="0.3">
      <c r="A6" s="657"/>
      <c r="B6" s="394" t="s">
        <v>25</v>
      </c>
      <c r="C6" s="395">
        <v>600</v>
      </c>
      <c r="D6" s="396">
        <v>1330</v>
      </c>
      <c r="E6" s="397" t="s">
        <v>184</v>
      </c>
      <c r="F6" s="864">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95</v>
      </c>
      <c r="G6" s="398">
        <f>IFERROR(ROUNDUP(D6/F6,0),"")</f>
        <v>14</v>
      </c>
      <c r="H6" s="399">
        <v>506</v>
      </c>
      <c r="I6" s="396">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6072</v>
      </c>
      <c r="J6" s="85">
        <f>IF(D6="","",ROUNDUP(D6/IF(AND(C6="600 ml",ISNUMBER(SEARCH("NORCAU",B6))),95,IF(AND(C6="600 ml",ISNUMBER(SEARCH("APURATOS",B6))),190,IF(C6="600 ml",95,IF(C6="400 ml",125,IF(C6="200 ml",330,IF(C6="180 ml",240,1)))))),0))</f>
        <v>1330</v>
      </c>
      <c r="L6" s="84">
        <f>IF(H6="","",H6)</f>
        <v>506</v>
      </c>
      <c r="M6" s="70"/>
      <c r="N6" s="83">
        <f t="shared" si="0"/>
        <v>6072</v>
      </c>
      <c r="P6"/>
      <c r="Q6" s="589"/>
      <c r="R6" s="591"/>
      <c r="S6"/>
      <c r="AA6" t="s">
        <v>499</v>
      </c>
      <c r="AB6" t="s">
        <v>1423</v>
      </c>
      <c r="AO6" s="900">
        <v>200</v>
      </c>
    </row>
    <row r="7" spans="1:42" ht="21" customHeight="1" x14ac:dyDescent="0.3">
      <c r="A7" s="390"/>
      <c r="B7" s="394"/>
      <c r="C7" s="395"/>
      <c r="D7" s="396"/>
      <c r="E7" s="397" t="s">
        <v>184</v>
      </c>
      <c r="F7" s="864"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398" t="str">
        <f>IFERROR(ROUNDUP(D7/F7,0),"")</f>
        <v/>
      </c>
      <c r="H7" s="399"/>
      <c r="I7" s="396"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J7" s="82" t="str">
        <f>IF(D7="","",ROUNDUP(D7/IF(AND(C7="600 ml",ISNUMBER(SEARCH("NORCAU",B7))),95,IF(AND(C7="600 ml",ISNUMBER(SEARCH("APURATOS",B7))),190,IF(C7="600 ml",95,IF(C7="400 ml",125,IF(C7="200 ml",330,IF(C7="180 ml",240,1)))))),0))</f>
        <v/>
      </c>
      <c r="L7" s="81" t="str">
        <f>IF(H7="","",H7)</f>
        <v/>
      </c>
      <c r="N7" s="80" t="str">
        <f t="shared" si="0"/>
        <v/>
      </c>
      <c r="P7"/>
      <c r="Q7" s="589"/>
      <c r="R7" s="591"/>
      <c r="S7"/>
      <c r="AA7" t="s">
        <v>254</v>
      </c>
      <c r="AB7" t="s">
        <v>1424</v>
      </c>
      <c r="AO7" s="900">
        <v>400</v>
      </c>
    </row>
    <row r="8" spans="1:42" ht="21" customHeight="1" x14ac:dyDescent="0.3">
      <c r="A8" s="771"/>
      <c r="B8" s="772"/>
      <c r="C8" s="773"/>
      <c r="D8" s="774"/>
      <c r="E8" s="775"/>
      <c r="F8" s="865"/>
      <c r="G8" s="776"/>
      <c r="H8" s="777"/>
      <c r="I8" s="774"/>
      <c r="J8" s="85" t="str">
        <f>IF(D8="","",ROUNDUP(D8/IF(AND(C8="600 ml",ISNUMBER(SEARCH("NORCAU",B8))),95,IF(AND(C8="600 ml",ISNUMBER(SEARCH("APURATOS",B8))),190,IF(C8="600 ml",95,IF(C8="400 ml",125,IF(C8="200 ml",330,IF(C8="180 ml",240,1)))))),0))</f>
        <v/>
      </c>
      <c r="L8" s="84" t="str">
        <f>IF(H8="","",H8)</f>
        <v/>
      </c>
      <c r="N8" s="83" t="str">
        <f t="shared" si="0"/>
        <v/>
      </c>
      <c r="P8"/>
      <c r="Q8" s="589"/>
      <c r="R8" s="591"/>
      <c r="S8"/>
      <c r="AA8" t="s">
        <v>1104</v>
      </c>
      <c r="AB8" t="s">
        <v>1424</v>
      </c>
      <c r="AO8" s="900">
        <v>500</v>
      </c>
    </row>
    <row r="9" spans="1:42" ht="15" customHeight="1" x14ac:dyDescent="0.3">
      <c r="A9" s="853"/>
      <c r="B9" s="837" t="s">
        <v>186</v>
      </c>
      <c r="C9" s="838"/>
      <c r="D9" s="839">
        <f>SUM(D2:D8)</f>
        <v>1768</v>
      </c>
      <c r="E9" s="837"/>
      <c r="F9" s="854" t="s">
        <v>1400</v>
      </c>
      <c r="G9" s="840">
        <f>SUM(G2:G8)</f>
        <v>19</v>
      </c>
      <c r="H9" s="839">
        <f>SUM(H2:H8)</f>
        <v>944</v>
      </c>
      <c r="I9" s="839">
        <f>SUM(I2:I8)</f>
        <v>11328</v>
      </c>
      <c r="J9" s="98">
        <f>SUM(D4:D8)</f>
        <v>1768</v>
      </c>
      <c r="K9" s="67">
        <f>SUM(G4:G8)</f>
        <v>19</v>
      </c>
      <c r="L9" s="97">
        <f>SUM(H4:H8)</f>
        <v>944</v>
      </c>
      <c r="M9" s="67">
        <f>SUM(I4:I8)</f>
        <v>11328</v>
      </c>
      <c r="N9" s="96">
        <f t="shared" si="0"/>
        <v>11328</v>
      </c>
      <c r="O9" s="1">
        <f>SUM(N5:N8)</f>
        <v>11328</v>
      </c>
      <c r="P9"/>
      <c r="Q9" s="586" cm="1">
        <f t="array" ref="Q9">IF(H9=0,"",SUMPRODUCT(IFERROR(INT(H4:H8/F4:F8),0)))</f>
        <v>9</v>
      </c>
      <c r="R9" s="769">
        <f>IF(Q9="","",MAX(0,G9-Q9))</f>
        <v>10</v>
      </c>
      <c r="S9"/>
      <c r="AA9" t="s">
        <v>58</v>
      </c>
      <c r="AB9" t="s">
        <v>1423</v>
      </c>
      <c r="AO9" s="900">
        <v>600</v>
      </c>
    </row>
    <row r="10" spans="1:42" ht="15" customHeight="1" x14ac:dyDescent="0.3">
      <c r="A10" s="778"/>
      <c r="B10" s="779"/>
      <c r="C10" s="780"/>
      <c r="D10" s="781"/>
      <c r="E10" s="781"/>
      <c r="F10" s="781"/>
      <c r="G10" s="781"/>
      <c r="H10" s="781"/>
      <c r="I10" s="781"/>
      <c r="J10" s="1" t="str">
        <f>IF(D10="","",ROUNDUP(D10/IF(AND(C10="600 ml",ISNUMBER(SEARCH("NORCAU",B10))),95,IF(AND(C10="600 ml",ISNUMBER(SEARCH("APURATOS",B10))),190,IF(C10="600 ml",95,IF(C10="400 ml",125,IF(C10="200 ml",330,IF(C10="180 ml",240,1)))))),0))</f>
        <v/>
      </c>
      <c r="L10" s="1" t="str">
        <f>IF(H10="","",H10)</f>
        <v/>
      </c>
      <c r="N10" s="1" t="str">
        <f t="shared" si="0"/>
        <v/>
      </c>
      <c r="P10"/>
      <c r="Q10" s="589"/>
      <c r="R10" s="591"/>
      <c r="S10"/>
      <c r="AA10" t="s">
        <v>496</v>
      </c>
      <c r="AB10" t="s">
        <v>1423</v>
      </c>
    </row>
    <row r="11" spans="1:42" ht="15" customHeight="1" x14ac:dyDescent="0.3">
      <c r="A11" s="390">
        <v>46056</v>
      </c>
      <c r="B11" s="393" t="s">
        <v>49</v>
      </c>
      <c r="C11" s="391" t="s">
        <v>176</v>
      </c>
      <c r="D11" s="392" t="s">
        <v>177</v>
      </c>
      <c r="E11" s="392" t="s">
        <v>178</v>
      </c>
      <c r="F11" s="858" t="s">
        <v>179</v>
      </c>
      <c r="G11" s="392" t="s">
        <v>180</v>
      </c>
      <c r="H11" s="392" t="s">
        <v>181</v>
      </c>
      <c r="I11" s="392" t="s">
        <v>182</v>
      </c>
      <c r="J11" s="72"/>
      <c r="K11" s="72"/>
      <c r="L11" s="87"/>
      <c r="M11" s="72"/>
      <c r="N11" s="87"/>
      <c r="P11"/>
      <c r="Q11" s="589"/>
      <c r="R11" s="591"/>
      <c r="S11"/>
      <c r="AA11" t="s">
        <v>37</v>
      </c>
      <c r="AB11" t="s">
        <v>1423</v>
      </c>
    </row>
    <row r="12" spans="1:42" ht="21" customHeight="1" x14ac:dyDescent="0.3">
      <c r="A12" s="390"/>
      <c r="B12" s="394"/>
      <c r="C12" s="395"/>
      <c r="D12" s="396"/>
      <c r="E12" s="397"/>
      <c r="F12" s="864"/>
      <c r="G12" s="398"/>
      <c r="H12" s="399"/>
      <c r="I12" s="396"/>
      <c r="J12" s="85" t="str">
        <f>IF(D12="","",ROUNDUP(D12/IF(AND(C12="600 ml",ISNUMBER(SEARCH("NORCAU",B12))),95,IF(AND(C12="600 ml",ISNUMBER(SEARCH("APURATOS",B12))),190,IF(C12="600 ml",95,IF(C12="400 ml",125,IF(C12="200 ml",330,IF(C12="180 ml",240,1)))))),0))</f>
        <v/>
      </c>
      <c r="L12" s="84" t="str">
        <f>IF(H12="","",H12)</f>
        <v/>
      </c>
      <c r="N12" s="83" t="str">
        <f t="shared" ref="N12:N18" si="1">IF(I12="","",I12)</f>
        <v/>
      </c>
      <c r="P12"/>
      <c r="Q12" s="589"/>
      <c r="R12" s="591"/>
      <c r="S12"/>
      <c r="AA12" t="s">
        <v>1080</v>
      </c>
      <c r="AB12" t="s">
        <v>1423</v>
      </c>
    </row>
    <row r="13" spans="1:42" ht="21" customHeight="1" x14ac:dyDescent="0.3">
      <c r="A13" s="657">
        <v>600</v>
      </c>
      <c r="B13" s="394" t="s">
        <v>25</v>
      </c>
      <c r="C13" s="395">
        <v>600</v>
      </c>
      <c r="D13" s="396">
        <f>D6-L6</f>
        <v>824</v>
      </c>
      <c r="E13" s="397" t="s">
        <v>184</v>
      </c>
      <c r="F13" s="864">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95</v>
      </c>
      <c r="G13" s="398">
        <f>IFERROR(ROUNDUP(D13/F13,0),"")</f>
        <v>9</v>
      </c>
      <c r="H13" s="399">
        <v>702</v>
      </c>
      <c r="I13" s="396">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8424</v>
      </c>
      <c r="J13" s="82">
        <f>IF(D13="","",ROUNDUP(D13/IF(AND(C13="600 ml",ISNUMBER(SEARCH("NORCAU",B13))),95,IF(AND(C13="600 ml",ISNUMBER(SEARCH("APURATOS",B13))),190,IF(C13="600 ml",95,IF(C13="400 ml",125,IF(C13="200 ml",330,IF(C13="180 ml",240,1)))))),0))</f>
        <v>824</v>
      </c>
      <c r="L13" s="81">
        <f>IF(H13="","",H13)</f>
        <v>702</v>
      </c>
      <c r="M13" s="70"/>
      <c r="N13" s="80">
        <f t="shared" si="1"/>
        <v>8424</v>
      </c>
      <c r="P13"/>
      <c r="Q13" s="589"/>
      <c r="R13" s="591"/>
      <c r="S13"/>
      <c r="AA13" t="s">
        <v>489</v>
      </c>
      <c r="AB13" t="s">
        <v>1423</v>
      </c>
    </row>
    <row r="14" spans="1:42" ht="21" customHeight="1" x14ac:dyDescent="0.3">
      <c r="A14" s="657"/>
      <c r="B14" s="394"/>
      <c r="C14" s="395"/>
      <c r="D14" s="396"/>
      <c r="E14" s="397" t="s">
        <v>184</v>
      </c>
      <c r="F14" s="864"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398" t="str">
        <f>IFERROR(ROUNDUP(D14/F14,0),"")</f>
        <v/>
      </c>
      <c r="H14" s="399"/>
      <c r="I14" s="396"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J14" s="85" t="str">
        <f>IF(D14="","",ROUNDUP(D14/IF(AND(C14="600 ml",ISNUMBER(SEARCH("NORCAU",B14))),95,IF(AND(C14="600 ml",ISNUMBER(SEARCH("APURATOS",B14))),190,IF(C14="600 ml",95,IF(C14="400 ml",125,IF(C14="200 ml",330,IF(C14="180 ml",240,1)))))),0))</f>
        <v/>
      </c>
      <c r="L14" s="84" t="str">
        <f>IF(H14="","",H14)</f>
        <v/>
      </c>
      <c r="M14" s="70"/>
      <c r="N14" s="83" t="str">
        <f t="shared" si="1"/>
        <v/>
      </c>
      <c r="P14"/>
      <c r="Q14" s="589"/>
      <c r="R14" s="591"/>
      <c r="S14"/>
      <c r="AA14" t="s">
        <v>43</v>
      </c>
      <c r="AB14" t="s">
        <v>1425</v>
      </c>
    </row>
    <row r="15" spans="1:42" ht="21" customHeight="1" x14ac:dyDescent="0.3">
      <c r="A15" s="390"/>
      <c r="B15" s="394"/>
      <c r="C15" s="395"/>
      <c r="D15" s="396"/>
      <c r="E15" s="397" t="s">
        <v>184</v>
      </c>
      <c r="F15" s="864"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398" t="str">
        <f>IFERROR(ROUNDUP(D15/F15,0),"")</f>
        <v/>
      </c>
      <c r="H15" s="399"/>
      <c r="I15" s="396"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J15" s="82" t="str">
        <f>IF(D15="","",ROUNDUP(D15/IF(AND(C15="600 ml",ISNUMBER(SEARCH("NORCAU",B15))),95,IF(AND(C15="600 ml",ISNUMBER(SEARCH("APURATOS",B15))),190,IF(C15="600 ml",95,IF(C15="400 ml",125,IF(C15="200 ml",330,IF(C15="180 ml",240,1)))))),0))</f>
        <v/>
      </c>
      <c r="L15" s="81" t="str">
        <f>IF(H15="","",H15)</f>
        <v/>
      </c>
      <c r="N15" s="80" t="str">
        <f t="shared" si="1"/>
        <v/>
      </c>
      <c r="P15"/>
      <c r="Q15" s="589"/>
      <c r="R15" s="591"/>
      <c r="S15"/>
      <c r="AA15" t="s">
        <v>1224</v>
      </c>
      <c r="AB15" t="s">
        <v>1426</v>
      </c>
    </row>
    <row r="16" spans="1:42" ht="21" customHeight="1" x14ac:dyDescent="0.3">
      <c r="A16" s="771"/>
      <c r="B16" s="772"/>
      <c r="C16" s="773"/>
      <c r="D16" s="774"/>
      <c r="E16" s="775"/>
      <c r="F16" s="865"/>
      <c r="G16" s="776"/>
      <c r="H16" s="777"/>
      <c r="I16" s="774"/>
      <c r="J16" s="85" t="str">
        <f>IF(D16="","",ROUNDUP(D16/IF(AND(C16="600 ml",ISNUMBER(SEARCH("NORCAU",B16))),95,IF(AND(C16="600 ml",ISNUMBER(SEARCH("APURATOS",B16))),190,IF(C16="600 ml",95,IF(C16="400 ml",125,IF(C16="200 ml",330,IF(C16="180 ml",240,1)))))),0))</f>
        <v/>
      </c>
      <c r="L16" s="84" t="str">
        <f>IF(H16="","",H16)</f>
        <v/>
      </c>
      <c r="N16" s="83" t="str">
        <f t="shared" si="1"/>
        <v/>
      </c>
      <c r="P16"/>
      <c r="Q16" s="589"/>
      <c r="R16" s="591"/>
      <c r="S16"/>
      <c r="AA16" t="s">
        <v>1014</v>
      </c>
      <c r="AB16" t="s">
        <v>1425</v>
      </c>
    </row>
    <row r="17" spans="1:28" ht="15" customHeight="1" x14ac:dyDescent="0.3">
      <c r="A17" s="853"/>
      <c r="B17" s="837" t="s">
        <v>186</v>
      </c>
      <c r="C17" s="838"/>
      <c r="D17" s="839">
        <f>SUM(D10:D16)</f>
        <v>824</v>
      </c>
      <c r="E17" s="837"/>
      <c r="F17" s="854" t="s">
        <v>1400</v>
      </c>
      <c r="G17" s="840">
        <f>SUM(G10:G16)</f>
        <v>9</v>
      </c>
      <c r="H17" s="839">
        <f>SUM(H10:H16)</f>
        <v>702</v>
      </c>
      <c r="I17" s="839">
        <f>SUM(I10:I16)</f>
        <v>8424</v>
      </c>
      <c r="J17" s="98">
        <f>SUM(D12:D16)</f>
        <v>824</v>
      </c>
      <c r="K17" s="67">
        <f>SUM(G12:G16)</f>
        <v>9</v>
      </c>
      <c r="L17" s="97">
        <f>SUM(H12:H16)</f>
        <v>702</v>
      </c>
      <c r="M17" s="67">
        <f>SUM(I12:I16)</f>
        <v>8424</v>
      </c>
      <c r="N17" s="96">
        <f t="shared" si="1"/>
        <v>8424</v>
      </c>
      <c r="O17" s="1">
        <f>SUM(N13:N16)</f>
        <v>8424</v>
      </c>
      <c r="P17"/>
      <c r="Q17" s="586" cm="1">
        <f t="array" ref="Q17">IF(H17=0,"",SUMPRODUCT(IFERROR(INT(H12:H16/F12:F16),0)))</f>
        <v>7</v>
      </c>
      <c r="R17" s="769">
        <f>IF(Q17="","",MAX(0,G17-Q17))</f>
        <v>2</v>
      </c>
      <c r="S17"/>
      <c r="AA17" t="s">
        <v>236</v>
      </c>
      <c r="AB17" t="s">
        <v>1425</v>
      </c>
    </row>
    <row r="18" spans="1:28" ht="15" customHeight="1" x14ac:dyDescent="0.3">
      <c r="A18" s="778"/>
      <c r="B18" s="779"/>
      <c r="C18" s="780"/>
      <c r="D18" s="781"/>
      <c r="E18" s="781"/>
      <c r="F18" s="781"/>
      <c r="G18" s="781"/>
      <c r="H18" s="781"/>
      <c r="I18" s="781"/>
      <c r="J18" s="1" t="str">
        <f>IF(D18="","",ROUNDUP(D18/IF(AND(C18="600 ml",ISNUMBER(SEARCH("NORCAU",B18))),95,IF(AND(C18="600 ml",ISNUMBER(SEARCH("APURATOS",B18))),190,IF(C18="600 ml",95,IF(C18="400 ml",125,IF(C18="200 ml",330,IF(C18="180 ml",240,1)))))),0))</f>
        <v/>
      </c>
      <c r="L18" s="1" t="str">
        <f>IF(H18="","",H18)</f>
        <v/>
      </c>
      <c r="N18" s="1" t="str">
        <f t="shared" si="1"/>
        <v/>
      </c>
      <c r="P18"/>
      <c r="Q18" s="589"/>
      <c r="R18" s="591"/>
      <c r="S18"/>
      <c r="AA18" t="s">
        <v>593</v>
      </c>
      <c r="AB18" t="s">
        <v>1426</v>
      </c>
    </row>
    <row r="19" spans="1:28" ht="15" customHeight="1" x14ac:dyDescent="0.3">
      <c r="A19" s="390">
        <v>46057</v>
      </c>
      <c r="B19" s="393" t="s">
        <v>49</v>
      </c>
      <c r="C19" s="391" t="s">
        <v>176</v>
      </c>
      <c r="D19" s="392" t="s">
        <v>177</v>
      </c>
      <c r="E19" s="392" t="s">
        <v>178</v>
      </c>
      <c r="F19" s="858" t="s">
        <v>179</v>
      </c>
      <c r="G19" s="392" t="s">
        <v>180</v>
      </c>
      <c r="H19" s="392" t="s">
        <v>181</v>
      </c>
      <c r="I19" s="392" t="s">
        <v>182</v>
      </c>
      <c r="J19" s="72"/>
      <c r="K19" s="72"/>
      <c r="L19" s="87"/>
      <c r="M19" s="72"/>
      <c r="N19" s="87"/>
      <c r="P19"/>
      <c r="Q19" s="589"/>
      <c r="R19" s="591"/>
      <c r="S19"/>
      <c r="AA19" t="s">
        <v>139</v>
      </c>
      <c r="AB19" t="s">
        <v>1425</v>
      </c>
    </row>
    <row r="20" spans="1:28" ht="21" customHeight="1" x14ac:dyDescent="0.3">
      <c r="A20" s="390"/>
      <c r="B20" s="394"/>
      <c r="C20" s="395"/>
      <c r="D20" s="396"/>
      <c r="E20" s="397"/>
      <c r="F20" s="864"/>
      <c r="G20" s="398"/>
      <c r="H20" s="399"/>
      <c r="I20" s="396"/>
      <c r="J20" s="85" t="str">
        <f>IF(D20="","",ROUNDUP(D20/IF(AND(C20="600 ml",ISNUMBER(SEARCH("NORCAU",B20))),95,IF(AND(C20="600 ml",ISNUMBER(SEARCH("APURATOS",B20))),190,IF(C20="600 ml",95,IF(C20="400 ml",125,IF(C20="200 ml",330,IF(C20="180 ml",240,1)))))),0))</f>
        <v/>
      </c>
      <c r="L20" s="84" t="str">
        <f>IF(H20="","",H20)</f>
        <v/>
      </c>
      <c r="N20" s="83" t="str">
        <f t="shared" ref="N20:N26" si="2">IF(I20="","",I20)</f>
        <v/>
      </c>
      <c r="P20"/>
      <c r="Q20" s="589"/>
      <c r="R20" s="591"/>
      <c r="S20"/>
      <c r="AA20" t="s">
        <v>189</v>
      </c>
      <c r="AB20" t="s">
        <v>1425</v>
      </c>
    </row>
    <row r="21" spans="1:28" ht="21" customHeight="1" x14ac:dyDescent="0.3">
      <c r="A21" s="657">
        <v>600</v>
      </c>
      <c r="B21" s="394" t="s">
        <v>25</v>
      </c>
      <c r="C21" s="395">
        <v>600</v>
      </c>
      <c r="D21" s="396">
        <f>D13-L13</f>
        <v>122</v>
      </c>
      <c r="E21" s="397" t="s">
        <v>184</v>
      </c>
      <c r="F21" s="864">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95</v>
      </c>
      <c r="G21" s="398">
        <f>IFERROR(ROUNDUP(D21/F21,0),"")</f>
        <v>2</v>
      </c>
      <c r="H21" s="399">
        <v>139</v>
      </c>
      <c r="I21" s="396">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1668</v>
      </c>
      <c r="J21" s="82">
        <f>IF(D21="","",ROUNDUP(D21/IF(AND(C21="600 ml",ISNUMBER(SEARCH("NORCAU",B21))),95,IF(AND(C21="600 ml",ISNUMBER(SEARCH("APURATOS",B21))),190,IF(C21="600 ml",95,IF(C21="400 ml",125,IF(C21="200 ml",330,IF(C21="180 ml",240,1)))))),0))</f>
        <v>122</v>
      </c>
      <c r="L21" s="81">
        <f>IF(H21="","",H21)</f>
        <v>139</v>
      </c>
      <c r="M21" s="70"/>
      <c r="N21" s="80">
        <f t="shared" si="2"/>
        <v>1668</v>
      </c>
      <c r="P21"/>
      <c r="Q21" s="589"/>
      <c r="R21" s="591"/>
      <c r="S21"/>
      <c r="AA21" t="s">
        <v>403</v>
      </c>
      <c r="AB21" t="s">
        <v>1425</v>
      </c>
    </row>
    <row r="22" spans="1:28" ht="21" customHeight="1" x14ac:dyDescent="0.3">
      <c r="A22" s="657"/>
      <c r="B22" s="394" t="s">
        <v>492</v>
      </c>
      <c r="C22" s="395">
        <v>600</v>
      </c>
      <c r="D22" s="396">
        <v>1330</v>
      </c>
      <c r="E22" s="397" t="s">
        <v>184</v>
      </c>
      <c r="F22" s="864">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190</v>
      </c>
      <c r="G22" s="398">
        <f>IFERROR(ROUNDUP(D22/F22,0),"")</f>
        <v>7</v>
      </c>
      <c r="H22" s="399">
        <v>1055</v>
      </c>
      <c r="I22" s="396">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6330</v>
      </c>
      <c r="J22" s="85">
        <f>IF(D22="","",ROUNDUP(D22/IF(AND(C22="600 ml",ISNUMBER(SEARCH("NORCAU",B22))),95,IF(AND(C22="600 ml",ISNUMBER(SEARCH("APURATOS",B22))),190,IF(C22="600 ml",95,IF(C22="400 ml",125,IF(C22="200 ml",330,IF(C22="180 ml",240,1)))))),0))</f>
        <v>1330</v>
      </c>
      <c r="L22" s="84">
        <f>IF(H22="","",H22)</f>
        <v>1055</v>
      </c>
      <c r="M22" s="70"/>
      <c r="N22" s="83">
        <f t="shared" si="2"/>
        <v>6330</v>
      </c>
      <c r="P22"/>
      <c r="Q22" s="589"/>
      <c r="R22" s="591"/>
      <c r="S22"/>
      <c r="AA22" t="s">
        <v>553</v>
      </c>
      <c r="AB22" t="s">
        <v>1423</v>
      </c>
    </row>
    <row r="23" spans="1:28" ht="21" customHeight="1" x14ac:dyDescent="0.3">
      <c r="A23" s="390"/>
      <c r="B23" s="394"/>
      <c r="C23" s="395"/>
      <c r="D23" s="396"/>
      <c r="E23" s="397" t="s">
        <v>184</v>
      </c>
      <c r="F23" s="864"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398" t="str">
        <f>IFERROR(ROUNDUP(D23/F23,0),"")</f>
        <v/>
      </c>
      <c r="H23" s="399"/>
      <c r="I23" s="396"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J23" s="82" t="str">
        <f>IF(D23="","",ROUNDUP(D23/IF(AND(C23="600 ml",ISNUMBER(SEARCH("NORCAU",B23))),95,IF(AND(C23="600 ml",ISNUMBER(SEARCH("APURATOS",B23))),190,IF(C23="600 ml",95,IF(C23="400 ml",125,IF(C23="200 ml",330,IF(C23="180 ml",240,1)))))),0))</f>
        <v/>
      </c>
      <c r="L23" s="81" t="str">
        <f>IF(H23="","",H23)</f>
        <v/>
      </c>
      <c r="N23" s="80" t="str">
        <f t="shared" si="2"/>
        <v/>
      </c>
      <c r="P23"/>
      <c r="Q23" s="589"/>
      <c r="R23" s="591"/>
      <c r="S23"/>
      <c r="AA23" t="s">
        <v>1205</v>
      </c>
      <c r="AB23" t="s">
        <v>1426</v>
      </c>
    </row>
    <row r="24" spans="1:28" ht="21" customHeight="1" x14ac:dyDescent="0.3">
      <c r="A24" s="771"/>
      <c r="B24" s="772"/>
      <c r="C24" s="773"/>
      <c r="D24" s="774"/>
      <c r="E24" s="775"/>
      <c r="F24" s="865"/>
      <c r="G24" s="776"/>
      <c r="H24" s="777"/>
      <c r="I24" s="774"/>
      <c r="J24" s="85" t="str">
        <f>IF(D24="","",ROUNDUP(D24/IF(AND(C24="600 ml",ISNUMBER(SEARCH("NORCAU",B24))),95,IF(AND(C24="600 ml",ISNUMBER(SEARCH("APURATOS",B24))),190,IF(C24="600 ml",95,IF(C24="400 ml",125,IF(C24="200 ml",330,IF(C24="180 ml",240,1)))))),0))</f>
        <v/>
      </c>
      <c r="L24" s="84" t="str">
        <f>IF(H24="","",H24)</f>
        <v/>
      </c>
      <c r="N24" s="83" t="str">
        <f t="shared" si="2"/>
        <v/>
      </c>
      <c r="P24"/>
      <c r="Q24" s="589"/>
      <c r="R24" s="591"/>
      <c r="S24"/>
      <c r="AA24" t="s">
        <v>1165</v>
      </c>
      <c r="AB24" t="s">
        <v>1426</v>
      </c>
    </row>
    <row r="25" spans="1:28" ht="15" customHeight="1" x14ac:dyDescent="0.3">
      <c r="A25" s="853"/>
      <c r="B25" s="837" t="s">
        <v>186</v>
      </c>
      <c r="C25" s="838"/>
      <c r="D25" s="839">
        <f>SUM(D18:D24)</f>
        <v>1452</v>
      </c>
      <c r="E25" s="837"/>
      <c r="F25" s="854" t="s">
        <v>1400</v>
      </c>
      <c r="G25" s="840">
        <f>SUM(G18:G24)</f>
        <v>9</v>
      </c>
      <c r="H25" s="839">
        <f>SUM(H18:H24)</f>
        <v>1194</v>
      </c>
      <c r="I25" s="839">
        <f>SUM(I18:I24)</f>
        <v>7998</v>
      </c>
      <c r="J25" s="98">
        <f>SUM(D20:D24)</f>
        <v>1452</v>
      </c>
      <c r="K25" s="67">
        <f>SUM(G20:G24)</f>
        <v>9</v>
      </c>
      <c r="L25" s="97">
        <f>SUM(H20:H24)</f>
        <v>1194</v>
      </c>
      <c r="M25" s="67">
        <f>SUM(I20:I24)</f>
        <v>7998</v>
      </c>
      <c r="N25" s="96">
        <f t="shared" si="2"/>
        <v>7998</v>
      </c>
      <c r="O25" s="1">
        <f>SUM(N21:N24)</f>
        <v>7998</v>
      </c>
      <c r="P25"/>
      <c r="Q25" s="586" cm="1">
        <f t="array" ref="Q25">IF(H25=0,"",SUMPRODUCT(IFERROR(INT(H20:H24/F20:F24),0)))</f>
        <v>6</v>
      </c>
      <c r="R25" s="769">
        <f>IF(Q25="","",MAX(0,G25-Q25))</f>
        <v>3</v>
      </c>
      <c r="S25"/>
      <c r="AA25" t="s">
        <v>1159</v>
      </c>
      <c r="AB25" t="s">
        <v>1423</v>
      </c>
    </row>
    <row r="26" spans="1:28" ht="15" customHeight="1" x14ac:dyDescent="0.3">
      <c r="A26" s="778"/>
      <c r="B26" s="779"/>
      <c r="C26" s="780"/>
      <c r="D26" s="781"/>
      <c r="E26" s="781"/>
      <c r="F26" s="781"/>
      <c r="G26" s="781"/>
      <c r="H26" s="781"/>
      <c r="I26" s="781"/>
      <c r="J26" s="1" t="str">
        <f>IF(D26="","",ROUNDUP(D26/IF(AND(C26="600 ml",ISNUMBER(SEARCH("NORCAU",B26))),95,IF(AND(C26="600 ml",ISNUMBER(SEARCH("APURATOS",B26))),190,IF(C26="600 ml",95,IF(C26="400 ml",125,IF(C26="200 ml",330,IF(C26="180 ml",240,1)))))),0))</f>
        <v/>
      </c>
      <c r="L26" s="1" t="str">
        <f>IF(H26="","",H26)</f>
        <v/>
      </c>
      <c r="N26" s="1" t="str">
        <f t="shared" si="2"/>
        <v/>
      </c>
      <c r="P26"/>
      <c r="Q26" s="589"/>
      <c r="R26" s="591"/>
      <c r="S26"/>
      <c r="AA26" t="s">
        <v>287</v>
      </c>
      <c r="AB26" t="s">
        <v>1427</v>
      </c>
    </row>
    <row r="27" spans="1:28" ht="15" customHeight="1" x14ac:dyDescent="0.3">
      <c r="A27" s="390">
        <v>46058</v>
      </c>
      <c r="B27" s="393" t="s">
        <v>49</v>
      </c>
      <c r="C27" s="391" t="s">
        <v>176</v>
      </c>
      <c r="D27" s="392" t="s">
        <v>177</v>
      </c>
      <c r="E27" s="392" t="s">
        <v>178</v>
      </c>
      <c r="F27" s="858" t="s">
        <v>179</v>
      </c>
      <c r="G27" s="392" t="s">
        <v>180</v>
      </c>
      <c r="H27" s="392" t="s">
        <v>181</v>
      </c>
      <c r="I27" s="392" t="s">
        <v>182</v>
      </c>
      <c r="J27" s="72"/>
      <c r="K27" s="72"/>
      <c r="L27" s="87"/>
      <c r="M27" s="72"/>
      <c r="N27" s="87"/>
      <c r="P27"/>
      <c r="Q27" s="589"/>
      <c r="R27" s="591"/>
      <c r="S27"/>
      <c r="AA27" t="s">
        <v>996</v>
      </c>
      <c r="AB27" t="s">
        <v>1426</v>
      </c>
    </row>
    <row r="28" spans="1:28" ht="21" customHeight="1" x14ac:dyDescent="0.3">
      <c r="A28" s="390"/>
      <c r="B28" s="394"/>
      <c r="C28" s="395"/>
      <c r="D28" s="396"/>
      <c r="E28" s="397"/>
      <c r="F28" s="864"/>
      <c r="G28" s="398"/>
      <c r="H28" s="399"/>
      <c r="I28" s="396"/>
      <c r="J28" s="85" t="str">
        <f t="shared" ref="J28:J34" si="3">IF(D28="","",ROUNDUP(D28/IF(AND(C28="600 ml",ISNUMBER(SEARCH("NORCAU",B28))),95,IF(AND(C28="600 ml",ISNUMBER(SEARCH("APURATOS",B28))),190,IF(C28="600 ml",95,IF(C28="400 ml",125,IF(C28="200 ml",330,IF(C28="180 ml",240,1)))))),0))</f>
        <v/>
      </c>
      <c r="L28" s="84" t="str">
        <f t="shared" ref="L28:L34" si="4">IF(H28="","",H28)</f>
        <v/>
      </c>
      <c r="N28" s="83" t="str">
        <f t="shared" ref="N28:N36" si="5">IF(I28="","",I28)</f>
        <v/>
      </c>
      <c r="P28"/>
      <c r="Q28" s="589"/>
      <c r="R28" s="591"/>
      <c r="S28"/>
      <c r="AA28" t="s">
        <v>288</v>
      </c>
      <c r="AB28" t="s">
        <v>1426</v>
      </c>
    </row>
    <row r="29" spans="1:28" ht="21" customHeight="1" x14ac:dyDescent="0.3">
      <c r="A29" s="657">
        <v>600</v>
      </c>
      <c r="B29" s="394" t="s">
        <v>492</v>
      </c>
      <c r="C29" s="395">
        <v>600</v>
      </c>
      <c r="D29" s="396">
        <f>D22-L22</f>
        <v>275</v>
      </c>
      <c r="E29" s="397" t="s">
        <v>184</v>
      </c>
      <c r="F29" s="864">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190</v>
      </c>
      <c r="G29" s="398">
        <f>IFERROR(ROUNDUP(D29/F29,0),"")</f>
        <v>2</v>
      </c>
      <c r="H29" s="399">
        <v>357</v>
      </c>
      <c r="I29" s="396">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2142</v>
      </c>
      <c r="J29" s="82">
        <f t="shared" si="3"/>
        <v>275</v>
      </c>
      <c r="L29" s="81">
        <f t="shared" si="4"/>
        <v>357</v>
      </c>
      <c r="M29" s="70"/>
      <c r="N29" s="80">
        <f t="shared" si="5"/>
        <v>2142</v>
      </c>
      <c r="P29"/>
      <c r="Q29" s="589"/>
      <c r="R29" s="591"/>
      <c r="S29"/>
      <c r="AA29" t="s">
        <v>93</v>
      </c>
      <c r="AB29" t="s">
        <v>1428</v>
      </c>
    </row>
    <row r="30" spans="1:28" ht="21" customHeight="1" x14ac:dyDescent="0.3">
      <c r="A30" s="657"/>
      <c r="B30" s="394" t="s">
        <v>131</v>
      </c>
      <c r="C30" s="395">
        <v>600</v>
      </c>
      <c r="D30" s="396">
        <v>190</v>
      </c>
      <c r="E30" s="397" t="s">
        <v>184</v>
      </c>
      <c r="F30" s="864">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95</v>
      </c>
      <c r="G30" s="398">
        <f>IFERROR(ROUNDUP(D30/F30,0),"")</f>
        <v>2</v>
      </c>
      <c r="H30" s="399">
        <v>117</v>
      </c>
      <c r="I30" s="396">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1404</v>
      </c>
      <c r="J30" s="85">
        <f t="shared" si="3"/>
        <v>190</v>
      </c>
      <c r="L30" s="84">
        <f t="shared" si="4"/>
        <v>117</v>
      </c>
      <c r="M30" s="70"/>
      <c r="N30" s="83">
        <f t="shared" si="5"/>
        <v>1404</v>
      </c>
      <c r="P30"/>
      <c r="Q30" s="589"/>
      <c r="R30" s="591"/>
      <c r="S30"/>
      <c r="AA30" t="s">
        <v>406</v>
      </c>
      <c r="AB30" t="s">
        <v>1428</v>
      </c>
    </row>
    <row r="31" spans="1:28" ht="21" customHeight="1" x14ac:dyDescent="0.3">
      <c r="A31" s="390"/>
      <c r="B31" s="394" t="s">
        <v>163</v>
      </c>
      <c r="C31" s="395">
        <v>600</v>
      </c>
      <c r="D31" s="396">
        <v>100</v>
      </c>
      <c r="E31" s="397" t="s">
        <v>184</v>
      </c>
      <c r="F31" s="864">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95</v>
      </c>
      <c r="G31" s="398">
        <f>IFERROR(ROUNDUP(D31/F31,0),"")</f>
        <v>2</v>
      </c>
      <c r="H31" s="399">
        <v>101</v>
      </c>
      <c r="I31" s="396">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1212</v>
      </c>
      <c r="J31" s="82">
        <f t="shared" si="3"/>
        <v>100</v>
      </c>
      <c r="L31" s="81">
        <f t="shared" si="4"/>
        <v>101</v>
      </c>
      <c r="M31" s="70"/>
      <c r="N31" s="80">
        <f t="shared" si="5"/>
        <v>1212</v>
      </c>
      <c r="O31" s="63"/>
      <c r="P31"/>
      <c r="Q31" s="589"/>
      <c r="R31" s="591"/>
      <c r="S31"/>
      <c r="AA31" t="s">
        <v>407</v>
      </c>
      <c r="AB31" t="s">
        <v>1428</v>
      </c>
    </row>
    <row r="32" spans="1:28" ht="21" customHeight="1" x14ac:dyDescent="0.3">
      <c r="A32" s="390"/>
      <c r="B32" s="394" t="s">
        <v>280</v>
      </c>
      <c r="C32" s="395">
        <v>600</v>
      </c>
      <c r="D32" s="396">
        <v>440</v>
      </c>
      <c r="E32" s="397" t="s">
        <v>184</v>
      </c>
      <c r="F32" s="864">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95</v>
      </c>
      <c r="G32" s="398">
        <f>IFERROR(ROUNDUP(D32/F32,0),"")</f>
        <v>5</v>
      </c>
      <c r="H32" s="399">
        <v>169</v>
      </c>
      <c r="I32" s="396">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2028</v>
      </c>
      <c r="J32" s="85">
        <f t="shared" si="3"/>
        <v>440</v>
      </c>
      <c r="L32" s="84">
        <f t="shared" si="4"/>
        <v>169</v>
      </c>
      <c r="M32" s="70"/>
      <c r="N32" s="83">
        <f t="shared" si="5"/>
        <v>2028</v>
      </c>
      <c r="O32" s="63"/>
      <c r="P32"/>
      <c r="Q32" s="589"/>
      <c r="R32" s="591"/>
      <c r="S32"/>
      <c r="AA32" t="s">
        <v>95</v>
      </c>
      <c r="AB32" t="s">
        <v>1428</v>
      </c>
    </row>
    <row r="33" spans="1:28" ht="21" customHeight="1" x14ac:dyDescent="0.3">
      <c r="A33" s="390"/>
      <c r="B33" s="394"/>
      <c r="C33" s="395"/>
      <c r="D33" s="396"/>
      <c r="E33" s="397" t="s">
        <v>184</v>
      </c>
      <c r="F33" s="864" t="str">
        <f>IF($B33="","",IF(SUMIFS(CONFIG_PALETES!$C:$C,CONFIG_PALETES!$A:$A,TRIM($B33),CONFIG_PALETES!$B:$B,$C33&amp;" ml")&gt;0,SUMIFS(CONFIG_PALETES!$C:$C,CONFIG_PALETES!$A:$A,TRIM($B33),CONFIG_PALETES!$B:$B,$C33&amp;" ml"),IF(SUMIFS(CONFIG_PALETES!$C:$C,CONFIG_PALETES!$A:$A,"GERAL",CONFIG_PALETES!$B:$B,$C33&amp;" ml")&gt;0,SUMIFS(CONFIG_PALETES!$C:$C,CONFIG_PALETES!$A:$A,"GERAL",CONFIG_PALETES!$B:$B,$C33&amp;" ml"),"")))</f>
        <v/>
      </c>
      <c r="G33" s="398" t="str">
        <f>IFERROR(ROUNDUP(D33/F33,0),"")</f>
        <v/>
      </c>
      <c r="H33" s="399"/>
      <c r="I33" s="396" t="str">
        <f>IF(H33="","",H33*IF(SUMIFS(CONFIG_PALETES!$D:$D,CONFIG_PALETES!$A:$A,IF(ISNUMBER(SEARCH("ESPUMA",$B33)),"ESPUMA",IF(OR(ISNUMBER(SEARCH("OLEO DE COCO",$B33)),ISNUMBER(SEARCH("ÓLEO DE COCO",$B33)),ISNUMBER(SEARCH("COPRA",$B33))),"ÓLEO DE COCO",IF(ISNUMBER(SEARCH("CORANTE",$B33)),"CORANTE",TRIM($B33)))),CONFIG_PALETES!$B:$B,$C33&amp;" ml")&gt;0,SUMIFS(CONFIG_PALETES!$D:$D,CONFIG_PALETES!$A:$A,IF(ISNUMBER(SEARCH("ESPUMA",$B33)),"ESPUMA",IF(OR(ISNUMBER(SEARCH("OLEO DE COCO",$B33)),ISNUMBER(SEARCH("ÓLEO DE COCO",$B33)),ISNUMBER(SEARCH("COPRA",$B33))),"ÓLEO DE COCO",IF(ISNUMBER(SEARCH("CORANTE",$B33)),"CORANTE",TRIM($B33)))),CONFIG_PALETES!$B:$B,$C33&amp;" ml"),IF(SUMIFS(CONFIG_PALETES!$D:$D,CONFIG_PALETES!$A:$A,"GERAL",CONFIG_PALETES!$B:$B,$C33&amp;" ml")&gt;0,SUMIFS(CONFIG_PALETES!$D:$D,CONFIG_PALETES!$A:$A,"GERAL",CONFIG_PALETES!$B:$B,$C33&amp;" ml"),12)))</f>
        <v/>
      </c>
      <c r="J33" s="82" t="str">
        <f t="shared" si="3"/>
        <v/>
      </c>
      <c r="L33" s="81" t="str">
        <f t="shared" si="4"/>
        <v/>
      </c>
      <c r="N33" s="80" t="str">
        <f t="shared" si="5"/>
        <v/>
      </c>
      <c r="P33"/>
      <c r="Q33" s="589"/>
      <c r="R33" s="591"/>
      <c r="S33"/>
      <c r="AA33" t="s">
        <v>471</v>
      </c>
      <c r="AB33" t="s">
        <v>1428</v>
      </c>
    </row>
    <row r="34" spans="1:28" ht="21" customHeight="1" x14ac:dyDescent="0.3">
      <c r="A34" s="771"/>
      <c r="B34" s="772"/>
      <c r="C34" s="773"/>
      <c r="D34" s="774"/>
      <c r="E34" s="775"/>
      <c r="F34" s="865"/>
      <c r="G34" s="776"/>
      <c r="H34" s="777"/>
      <c r="I34" s="774"/>
      <c r="J34" s="1" t="str">
        <f t="shared" si="3"/>
        <v/>
      </c>
      <c r="L34" s="70" t="str">
        <f t="shared" si="4"/>
        <v/>
      </c>
      <c r="N34" s="69" t="str">
        <f t="shared" si="5"/>
        <v/>
      </c>
      <c r="P34"/>
      <c r="Q34" s="589"/>
      <c r="R34" s="591"/>
      <c r="S34"/>
      <c r="AA34" t="s">
        <v>292</v>
      </c>
      <c r="AB34" t="s">
        <v>1428</v>
      </c>
    </row>
    <row r="35" spans="1:28" ht="15" customHeight="1" x14ac:dyDescent="0.3">
      <c r="A35" s="853"/>
      <c r="B35" s="837" t="s">
        <v>186</v>
      </c>
      <c r="C35" s="838"/>
      <c r="D35" s="839">
        <f>SUM(D28:D34)</f>
        <v>1005</v>
      </c>
      <c r="E35" s="837"/>
      <c r="F35" s="854" t="s">
        <v>1400</v>
      </c>
      <c r="G35" s="840">
        <f>SUM(G28:G34)</f>
        <v>11</v>
      </c>
      <c r="H35" s="839">
        <f>SUM(H28:H34)</f>
        <v>744</v>
      </c>
      <c r="I35" s="839">
        <f>SUM(I28:I34)</f>
        <v>6786</v>
      </c>
      <c r="J35" s="67">
        <f>SUM(D28:D34)</f>
        <v>1005</v>
      </c>
      <c r="K35" s="67">
        <f>SUM(G28:G34)</f>
        <v>11</v>
      </c>
      <c r="L35" s="89">
        <f>SUM(H28:H34)</f>
        <v>744</v>
      </c>
      <c r="M35" s="67">
        <f>SUM(I28:I34)</f>
        <v>6786</v>
      </c>
      <c r="N35" s="88">
        <f t="shared" si="5"/>
        <v>6786</v>
      </c>
      <c r="O35" s="1">
        <f>SUM(N29:N34)</f>
        <v>6786</v>
      </c>
      <c r="P35"/>
      <c r="Q35" s="586" cm="1">
        <f t="array" ref="Q35">IF(H35=0,"",SUMPRODUCT(IFERROR(INT(H28:H34/F28:F34),0)))</f>
        <v>4</v>
      </c>
      <c r="R35" s="769">
        <f>IF(Q35="","",MAX(0,G35-Q35))</f>
        <v>7</v>
      </c>
      <c r="S35"/>
      <c r="AA35" t="s">
        <v>1193</v>
      </c>
      <c r="AB35" t="s">
        <v>1428</v>
      </c>
    </row>
    <row r="36" spans="1:28" ht="15" customHeight="1" x14ac:dyDescent="0.3">
      <c r="A36" s="778"/>
      <c r="B36" s="779"/>
      <c r="C36" s="780"/>
      <c r="D36" s="781"/>
      <c r="E36" s="781"/>
      <c r="F36" s="781"/>
      <c r="G36" s="781"/>
      <c r="H36" s="781"/>
      <c r="I36" s="781"/>
      <c r="J36" s="1" t="str">
        <f>IF(D36="","",ROUNDUP(D36/IF(AND(C36="600 ml",ISNUMBER(SEARCH("NORCAU",B36))),95,IF(AND(C36="600 ml",ISNUMBER(SEARCH("APURATOS",B36))),190,IF(C36="600 ml",95,IF(C36="400 ml",125,IF(C36="200 ml",330,IF(C36="180 ml",240,1)))))),0))</f>
        <v/>
      </c>
      <c r="L36" s="1" t="str">
        <f>IF(H36="","",H36)</f>
        <v/>
      </c>
      <c r="N36" s="1" t="str">
        <f t="shared" si="5"/>
        <v/>
      </c>
      <c r="P36"/>
      <c r="Q36" s="589"/>
      <c r="R36" s="591"/>
      <c r="S36"/>
      <c r="AA36" t="s">
        <v>294</v>
      </c>
      <c r="AB36" t="s">
        <v>1428</v>
      </c>
    </row>
    <row r="37" spans="1:28" ht="15" customHeight="1" x14ac:dyDescent="0.3">
      <c r="A37" s="390">
        <v>46059</v>
      </c>
      <c r="B37" s="481" t="s">
        <v>49</v>
      </c>
      <c r="C37" s="482" t="s">
        <v>176</v>
      </c>
      <c r="D37" s="484" t="s">
        <v>177</v>
      </c>
      <c r="E37" s="484" t="s">
        <v>178</v>
      </c>
      <c r="F37" s="859" t="s">
        <v>179</v>
      </c>
      <c r="G37" s="484" t="s">
        <v>180</v>
      </c>
      <c r="H37" s="484" t="s">
        <v>181</v>
      </c>
      <c r="I37" s="484" t="s">
        <v>182</v>
      </c>
      <c r="J37" s="72"/>
      <c r="K37" s="72"/>
      <c r="L37" s="87"/>
      <c r="M37" s="72"/>
      <c r="N37" s="87"/>
      <c r="P37"/>
      <c r="Q37" s="589"/>
      <c r="R37" s="591"/>
      <c r="S37"/>
      <c r="AA37" t="s">
        <v>591</v>
      </c>
      <c r="AB37" t="s">
        <v>1428</v>
      </c>
    </row>
    <row r="38" spans="1:28" ht="21" customHeight="1" x14ac:dyDescent="0.3">
      <c r="A38" s="479"/>
      <c r="B38" s="649" t="s">
        <v>495</v>
      </c>
      <c r="C38" s="650"/>
      <c r="D38" s="650"/>
      <c r="E38" s="650"/>
      <c r="F38" s="866"/>
      <c r="G38" s="650"/>
      <c r="H38" s="650"/>
      <c r="I38" s="651"/>
      <c r="J38" s="85" t="str">
        <f t="shared" ref="J38:J43" si="6">IF(D38="","",ROUNDUP(D38/IF(AND(C38="600 ml",ISNUMBER(SEARCH("NORCAU",B38))),95,IF(AND(C38="600 ml",ISNUMBER(SEARCH("APURATOS",B38))),190,IF(C38="600 ml",95,IF(C38="400 ml",125,IF(C38="200 ml",330,IF(C38="180 ml",240,1)))))),0))</f>
        <v/>
      </c>
      <c r="L38" s="84" t="str">
        <f t="shared" ref="L38:L43" si="7">IF(H38="","",H38)</f>
        <v/>
      </c>
      <c r="N38" s="83" t="str">
        <f t="shared" ref="N38:N45" si="8">IF(I38="","",I38)</f>
        <v/>
      </c>
      <c r="P38"/>
      <c r="Q38" s="589"/>
      <c r="R38" s="591"/>
      <c r="S38"/>
      <c r="AA38" t="s">
        <v>590</v>
      </c>
      <c r="AB38" t="s">
        <v>1428</v>
      </c>
    </row>
    <row r="39" spans="1:28" ht="21" customHeight="1" x14ac:dyDescent="0.3">
      <c r="A39" s="658"/>
      <c r="B39" s="652"/>
      <c r="C39" s="653"/>
      <c r="D39" s="653"/>
      <c r="E39" s="653"/>
      <c r="F39" s="867"/>
      <c r="G39" s="653"/>
      <c r="H39" s="653"/>
      <c r="I39" s="654"/>
      <c r="J39" s="82" t="str">
        <f t="shared" si="6"/>
        <v/>
      </c>
      <c r="L39" s="81" t="str">
        <f t="shared" si="7"/>
        <v/>
      </c>
      <c r="M39" s="70"/>
      <c r="N39" s="80" t="str">
        <f t="shared" si="8"/>
        <v/>
      </c>
      <c r="P39"/>
      <c r="Q39" s="589"/>
      <c r="R39" s="591"/>
      <c r="S39"/>
      <c r="AA39" t="s">
        <v>592</v>
      </c>
      <c r="AB39" t="s">
        <v>1428</v>
      </c>
    </row>
    <row r="40" spans="1:28" ht="21" customHeight="1" x14ac:dyDescent="0.3">
      <c r="A40" s="658"/>
      <c r="B40" s="652"/>
      <c r="C40" s="653"/>
      <c r="D40" s="653"/>
      <c r="E40" s="653"/>
      <c r="F40" s="867"/>
      <c r="G40" s="653"/>
      <c r="H40" s="653"/>
      <c r="I40" s="654"/>
      <c r="J40" s="85" t="str">
        <f t="shared" si="6"/>
        <v/>
      </c>
      <c r="L40" s="84" t="str">
        <f t="shared" si="7"/>
        <v/>
      </c>
      <c r="M40" s="70"/>
      <c r="N40" s="83" t="str">
        <f t="shared" si="8"/>
        <v/>
      </c>
      <c r="P40"/>
      <c r="Q40" s="589"/>
      <c r="R40" s="591"/>
      <c r="S40"/>
      <c r="AA40" t="s">
        <v>473</v>
      </c>
      <c r="AB40" t="s">
        <v>1428</v>
      </c>
    </row>
    <row r="41" spans="1:28" ht="21" customHeight="1" x14ac:dyDescent="0.3">
      <c r="A41" s="479"/>
      <c r="B41" s="652"/>
      <c r="C41" s="653"/>
      <c r="D41" s="653"/>
      <c r="E41" s="653"/>
      <c r="F41" s="867"/>
      <c r="G41" s="653"/>
      <c r="H41" s="653"/>
      <c r="I41" s="654"/>
      <c r="J41" s="82" t="str">
        <f t="shared" si="6"/>
        <v/>
      </c>
      <c r="L41" s="81" t="str">
        <f t="shared" si="7"/>
        <v/>
      </c>
      <c r="N41" s="80" t="str">
        <f t="shared" si="8"/>
        <v/>
      </c>
      <c r="P41"/>
      <c r="Q41" s="589"/>
      <c r="R41" s="591"/>
      <c r="S41"/>
      <c r="AA41" t="s">
        <v>296</v>
      </c>
      <c r="AB41" t="s">
        <v>1428</v>
      </c>
    </row>
    <row r="42" spans="1:28" ht="21" customHeight="1" x14ac:dyDescent="0.3">
      <c r="A42" s="479"/>
      <c r="B42" s="652"/>
      <c r="C42" s="653"/>
      <c r="D42" s="653"/>
      <c r="E42" s="653"/>
      <c r="F42" s="867"/>
      <c r="G42" s="653"/>
      <c r="H42" s="653"/>
      <c r="I42" s="654"/>
      <c r="J42" s="85" t="str">
        <f t="shared" si="6"/>
        <v/>
      </c>
      <c r="L42" s="84" t="str">
        <f t="shared" si="7"/>
        <v/>
      </c>
      <c r="N42" s="83" t="str">
        <f t="shared" si="8"/>
        <v/>
      </c>
      <c r="P42"/>
      <c r="Q42" s="589"/>
      <c r="R42" s="591"/>
      <c r="S42"/>
      <c r="AA42" t="s">
        <v>472</v>
      </c>
      <c r="AB42" t="s">
        <v>1428</v>
      </c>
    </row>
    <row r="43" spans="1:28" ht="21" customHeight="1" x14ac:dyDescent="0.3">
      <c r="A43" s="809"/>
      <c r="B43" s="652"/>
      <c r="C43" s="802"/>
      <c r="D43" s="802"/>
      <c r="E43" s="802"/>
      <c r="F43" s="868"/>
      <c r="G43" s="802"/>
      <c r="H43" s="802"/>
      <c r="I43" s="654"/>
      <c r="J43" s="82" t="str">
        <f t="shared" si="6"/>
        <v/>
      </c>
      <c r="L43" s="81" t="str">
        <f t="shared" si="7"/>
        <v/>
      </c>
      <c r="N43" s="80" t="str">
        <f t="shared" si="8"/>
        <v/>
      </c>
      <c r="P43"/>
      <c r="Q43" s="589"/>
      <c r="R43" s="591"/>
      <c r="S43"/>
      <c r="AA43" t="s">
        <v>293</v>
      </c>
      <c r="AB43" t="s">
        <v>1428</v>
      </c>
    </row>
    <row r="44" spans="1:28" ht="15" customHeight="1" x14ac:dyDescent="0.3">
      <c r="A44" s="853"/>
      <c r="B44" s="837" t="s">
        <v>186</v>
      </c>
      <c r="C44" s="838"/>
      <c r="D44" s="839">
        <f>SUM(D37:D43)</f>
        <v>0</v>
      </c>
      <c r="E44" s="837"/>
      <c r="F44" s="854" t="s">
        <v>1400</v>
      </c>
      <c r="G44" s="840">
        <f>SUM(G37:G43)</f>
        <v>0</v>
      </c>
      <c r="H44" s="839">
        <f>SUM(H37:H43)</f>
        <v>0</v>
      </c>
      <c r="I44" s="839">
        <f>SUM(I37:I43)</f>
        <v>0</v>
      </c>
      <c r="J44" s="67">
        <f>SUM(D38:D43)</f>
        <v>0</v>
      </c>
      <c r="K44" s="67">
        <f>SUM(G38:G43)</f>
        <v>0</v>
      </c>
      <c r="L44" s="89">
        <f>SUM(H38:H43)</f>
        <v>0</v>
      </c>
      <c r="M44" s="67">
        <f>SUM(I38:I43)</f>
        <v>0</v>
      </c>
      <c r="N44" s="88">
        <f t="shared" si="8"/>
        <v>0</v>
      </c>
      <c r="O44" s="1">
        <f>SUM(N39:N43)</f>
        <v>0</v>
      </c>
      <c r="P44"/>
      <c r="Q44" s="586" t="str" cm="1">
        <f t="array" ref="Q44">IF(H44=0,"",SUMPRODUCT(IFERROR(INT(H38:H43/F38:F43),0)))</f>
        <v/>
      </c>
      <c r="R44" s="769" t="str">
        <f>IF(Q44="","",MAX(0,G44-Q44))</f>
        <v/>
      </c>
      <c r="S44"/>
      <c r="AA44" t="s">
        <v>101</v>
      </c>
      <c r="AB44" t="s">
        <v>1428</v>
      </c>
    </row>
    <row r="45" spans="1:28" ht="15" customHeight="1" x14ac:dyDescent="0.3">
      <c r="A45" s="778"/>
      <c r="B45" s="779"/>
      <c r="C45" s="780"/>
      <c r="D45" s="781"/>
      <c r="E45" s="781"/>
      <c r="F45" s="781"/>
      <c r="G45" s="781"/>
      <c r="H45" s="781"/>
      <c r="I45" s="781"/>
      <c r="J45" s="1" t="str">
        <f>IF(D45="","",ROUNDUP(D45/IF(AND(C45="600 ml",ISNUMBER(SEARCH("NORCAU",B45))),95,IF(AND(C45="600 ml",ISNUMBER(SEARCH("APURATOS",B45))),190,IF(C45="600 ml",95,IF(C45="400 ml",125,IF(C45="200 ml",330,IF(C45="180 ml",240,1)))))),0))</f>
        <v/>
      </c>
      <c r="L45" s="1" t="str">
        <f>IF(H45="","",H45)</f>
        <v/>
      </c>
      <c r="N45" s="1" t="str">
        <f t="shared" si="8"/>
        <v/>
      </c>
      <c r="P45"/>
      <c r="Q45" s="589"/>
      <c r="R45" s="591"/>
      <c r="S45"/>
      <c r="AA45" t="s">
        <v>474</v>
      </c>
      <c r="AB45" t="s">
        <v>1428</v>
      </c>
    </row>
    <row r="46" spans="1:28" ht="15" customHeight="1" x14ac:dyDescent="0.3">
      <c r="A46" s="390">
        <v>46062</v>
      </c>
      <c r="B46" s="393" t="s">
        <v>49</v>
      </c>
      <c r="C46" s="391" t="s">
        <v>176</v>
      </c>
      <c r="D46" s="392" t="s">
        <v>177</v>
      </c>
      <c r="E46" s="392" t="s">
        <v>178</v>
      </c>
      <c r="F46" s="858" t="s">
        <v>179</v>
      </c>
      <c r="G46" s="392" t="s">
        <v>180</v>
      </c>
      <c r="H46" s="392" t="s">
        <v>181</v>
      </c>
      <c r="I46" s="392" t="s">
        <v>182</v>
      </c>
      <c r="J46" s="72"/>
      <c r="K46" s="72"/>
      <c r="L46" s="87"/>
      <c r="M46" s="72"/>
      <c r="N46" s="87"/>
      <c r="P46"/>
      <c r="Q46" s="589"/>
      <c r="R46" s="591"/>
      <c r="S46"/>
      <c r="AA46" t="s">
        <v>295</v>
      </c>
      <c r="AB46" t="s">
        <v>1428</v>
      </c>
    </row>
    <row r="47" spans="1:28" ht="21" customHeight="1" x14ac:dyDescent="0.3">
      <c r="A47" s="390"/>
      <c r="B47" s="394"/>
      <c r="C47" s="395"/>
      <c r="D47" s="396"/>
      <c r="E47" s="397"/>
      <c r="F47" s="864"/>
      <c r="G47" s="398"/>
      <c r="H47" s="399"/>
      <c r="I47" s="396"/>
      <c r="J47" s="82" t="str">
        <f t="shared" ref="J47:J52" si="9">IF(D47="","",ROUNDUP(D47/IF(AND(C47="600 ml",ISNUMBER(SEARCH("NORCAU",B47))),95,IF(AND(C47="600 ml",ISNUMBER(SEARCH("APURATOS",B47))),190,IF(C47="600 ml",95,IF(C47="400 ml",125,IF(C47="200 ml",330,IF(C47="180 ml",240,1)))))),0))</f>
        <v/>
      </c>
      <c r="L47" s="81" t="str">
        <f t="shared" ref="L47:L52" si="10">IF(H47="","",H47)</f>
        <v/>
      </c>
      <c r="N47" s="80" t="str">
        <f t="shared" ref="N47:N54" si="11">IF(I47="","",I47)</f>
        <v/>
      </c>
      <c r="P47"/>
      <c r="Q47" s="589"/>
      <c r="R47" s="591"/>
      <c r="S47"/>
      <c r="AA47" t="s">
        <v>97</v>
      </c>
      <c r="AB47" t="s">
        <v>1428</v>
      </c>
    </row>
    <row r="48" spans="1:28" ht="21" customHeight="1" x14ac:dyDescent="0.3">
      <c r="A48" s="657" t="s">
        <v>281</v>
      </c>
      <c r="B48" s="394" t="s">
        <v>280</v>
      </c>
      <c r="C48" s="395">
        <v>600</v>
      </c>
      <c r="D48" s="396">
        <v>271</v>
      </c>
      <c r="E48" s="397" t="s">
        <v>184</v>
      </c>
      <c r="F48" s="864">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95</v>
      </c>
      <c r="G48" s="398">
        <f>IFERROR(ROUNDUP(D48/F48,0),"")</f>
        <v>3</v>
      </c>
      <c r="H48" s="399">
        <v>266</v>
      </c>
      <c r="I48" s="396">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3192</v>
      </c>
      <c r="J48" s="85">
        <f t="shared" si="9"/>
        <v>271</v>
      </c>
      <c r="L48" s="84">
        <f t="shared" si="10"/>
        <v>266</v>
      </c>
      <c r="M48" s="70"/>
      <c r="N48" s="83">
        <f t="shared" si="11"/>
        <v>3192</v>
      </c>
      <c r="P48"/>
      <c r="Q48" s="589"/>
      <c r="R48" s="591"/>
      <c r="S48"/>
      <c r="AA48" t="s">
        <v>475</v>
      </c>
      <c r="AB48" t="s">
        <v>1428</v>
      </c>
    </row>
    <row r="49" spans="1:28" ht="21" customHeight="1" x14ac:dyDescent="0.3">
      <c r="A49" s="657"/>
      <c r="B49" s="394" t="s">
        <v>131</v>
      </c>
      <c r="C49" s="395">
        <v>600</v>
      </c>
      <c r="D49" s="396">
        <v>73</v>
      </c>
      <c r="E49" s="397" t="s">
        <v>184</v>
      </c>
      <c r="F49" s="864">
        <f>IF($B49="","",IF(SUMIFS(CONFIG_PALETES!$C:$C,CONFIG_PALETES!$A:$A,TRIM($B49),CONFIG_PALETES!$B:$B,$C49&amp;" ml")&gt;0,SUMIFS(CONFIG_PALETES!$C:$C,CONFIG_PALETES!$A:$A,TRIM($B49),CONFIG_PALETES!$B:$B,$C49&amp;" ml"),IF(SUMIFS(CONFIG_PALETES!$C:$C,CONFIG_PALETES!$A:$A,"GERAL",CONFIG_PALETES!$B:$B,$C49&amp;" ml")&gt;0,SUMIFS(CONFIG_PALETES!$C:$C,CONFIG_PALETES!$A:$A,"GERAL",CONFIG_PALETES!$B:$B,$C49&amp;" ml"),"")))</f>
        <v>95</v>
      </c>
      <c r="G49" s="398">
        <f>IFERROR(ROUNDUP(D49/F49,0),"")</f>
        <v>1</v>
      </c>
      <c r="H49" s="399">
        <v>76</v>
      </c>
      <c r="I49" s="396">
        <f>IF(H49="","",H49*IF(SUMIFS(CONFIG_PALETES!$D:$D,CONFIG_PALETES!$A:$A,IF(ISNUMBER(SEARCH("ESPUMA",$B49)),"ESPUMA",IF(OR(ISNUMBER(SEARCH("OLEO DE COCO",$B49)),ISNUMBER(SEARCH("ÓLEO DE COCO",$B49)),ISNUMBER(SEARCH("COPRA",$B49))),"ÓLEO DE COCO",IF(ISNUMBER(SEARCH("CORANTE",$B49)),"CORANTE",TRIM($B49)))),CONFIG_PALETES!$B:$B,$C49&amp;" ml")&gt;0,SUMIFS(CONFIG_PALETES!$D:$D,CONFIG_PALETES!$A:$A,IF(ISNUMBER(SEARCH("ESPUMA",$B49)),"ESPUMA",IF(OR(ISNUMBER(SEARCH("OLEO DE COCO",$B49)),ISNUMBER(SEARCH("ÓLEO DE COCO",$B49)),ISNUMBER(SEARCH("COPRA",$B49))),"ÓLEO DE COCO",IF(ISNUMBER(SEARCH("CORANTE",$B49)),"CORANTE",TRIM($B49)))),CONFIG_PALETES!$B:$B,$C49&amp;" ml"),IF(SUMIFS(CONFIG_PALETES!$D:$D,CONFIG_PALETES!$A:$A,"GERAL",CONFIG_PALETES!$B:$B,$C49&amp;" ml")&gt;0,SUMIFS(CONFIG_PALETES!$D:$D,CONFIG_PALETES!$A:$A,"GERAL",CONFIG_PALETES!$B:$B,$C49&amp;" ml"),12)))</f>
        <v>912</v>
      </c>
      <c r="J49" s="82">
        <f t="shared" si="9"/>
        <v>73</v>
      </c>
      <c r="L49" s="81">
        <f t="shared" si="10"/>
        <v>76</v>
      </c>
      <c r="M49" s="70"/>
      <c r="N49" s="80">
        <f t="shared" si="11"/>
        <v>912</v>
      </c>
      <c r="P49"/>
      <c r="Q49" s="589"/>
      <c r="R49" s="591"/>
      <c r="S49"/>
      <c r="AA49" t="s">
        <v>491</v>
      </c>
      <c r="AB49" t="s">
        <v>1425</v>
      </c>
    </row>
    <row r="50" spans="1:28" ht="21" customHeight="1" x14ac:dyDescent="0.3">
      <c r="A50" s="390"/>
      <c r="B50" s="394" t="s">
        <v>25</v>
      </c>
      <c r="C50" s="395">
        <v>400</v>
      </c>
      <c r="D50" s="396">
        <v>2500</v>
      </c>
      <c r="E50" s="397" t="s">
        <v>184</v>
      </c>
      <c r="F50" s="864">
        <f>IF($B50="","",IF(SUMIFS(CONFIG_PALETES!$C:$C,CONFIG_PALETES!$A:$A,TRIM($B50),CONFIG_PALETES!$B:$B,$C50&amp;" ml")&gt;0,SUMIFS(CONFIG_PALETES!$C:$C,CONFIG_PALETES!$A:$A,TRIM($B50),CONFIG_PALETES!$B:$B,$C50&amp;" ml"),IF(SUMIFS(CONFIG_PALETES!$C:$C,CONFIG_PALETES!$A:$A,"GERAL",CONFIG_PALETES!$B:$B,$C50&amp;" ml")&gt;0,SUMIFS(CONFIG_PALETES!$C:$C,CONFIG_PALETES!$A:$A,"GERAL",CONFIG_PALETES!$B:$B,$C50&amp;" ml"),"")))</f>
        <v>125</v>
      </c>
      <c r="G50" s="398">
        <f>IFERROR(ROUNDUP(D50/F50,0),"")</f>
        <v>20</v>
      </c>
      <c r="H50" s="399">
        <v>869</v>
      </c>
      <c r="I50" s="396">
        <f>IF(H50="","",H50*IF(SUMIFS(CONFIG_PALETES!$D:$D,CONFIG_PALETES!$A:$A,IF(ISNUMBER(SEARCH("ESPUMA",$B50)),"ESPUMA",IF(OR(ISNUMBER(SEARCH("OLEO DE COCO",$B50)),ISNUMBER(SEARCH("ÓLEO DE COCO",$B50)),ISNUMBER(SEARCH("COPRA",$B50))),"ÓLEO DE COCO",IF(ISNUMBER(SEARCH("CORANTE",$B50)),"CORANTE",TRIM($B50)))),CONFIG_PALETES!$B:$B,$C50&amp;" ml")&gt;0,SUMIFS(CONFIG_PALETES!$D:$D,CONFIG_PALETES!$A:$A,IF(ISNUMBER(SEARCH("ESPUMA",$B50)),"ESPUMA",IF(OR(ISNUMBER(SEARCH("OLEO DE COCO",$B50)),ISNUMBER(SEARCH("ÓLEO DE COCO",$B50)),ISNUMBER(SEARCH("COPRA",$B50))),"ÓLEO DE COCO",IF(ISNUMBER(SEARCH("CORANTE",$B50)),"CORANTE",TRIM($B50)))),CONFIG_PALETES!$B:$B,$C50&amp;" ml"),IF(SUMIFS(CONFIG_PALETES!$D:$D,CONFIG_PALETES!$A:$A,"GERAL",CONFIG_PALETES!$B:$B,$C50&amp;" ml")&gt;0,SUMIFS(CONFIG_PALETES!$D:$D,CONFIG_PALETES!$A:$A,"GERAL",CONFIG_PALETES!$B:$B,$C50&amp;" ml"),12)))</f>
        <v>10428</v>
      </c>
      <c r="J50" s="85">
        <f t="shared" si="9"/>
        <v>2500</v>
      </c>
      <c r="L50" s="84">
        <f t="shared" si="10"/>
        <v>869</v>
      </c>
      <c r="N50" s="83">
        <f t="shared" si="11"/>
        <v>10428</v>
      </c>
      <c r="P50"/>
      <c r="Q50" s="589"/>
      <c r="R50" s="591"/>
      <c r="S50"/>
      <c r="AA50" t="s">
        <v>1162</v>
      </c>
      <c r="AB50" t="s">
        <v>1424</v>
      </c>
    </row>
    <row r="51" spans="1:28" ht="21" customHeight="1" x14ac:dyDescent="0.3">
      <c r="A51" s="390"/>
      <c r="B51" s="394"/>
      <c r="C51" s="395"/>
      <c r="D51" s="396"/>
      <c r="E51" s="397" t="s">
        <v>184</v>
      </c>
      <c r="F51" s="864" t="str">
        <f>IF($B51="","",IF(SUMIFS(CONFIG_PALETES!$C:$C,CONFIG_PALETES!$A:$A,TRIM($B51),CONFIG_PALETES!$B:$B,$C51&amp;" ml")&gt;0,SUMIFS(CONFIG_PALETES!$C:$C,CONFIG_PALETES!$A:$A,TRIM($B51),CONFIG_PALETES!$B:$B,$C51&amp;" ml"),IF(SUMIFS(CONFIG_PALETES!$C:$C,CONFIG_PALETES!$A:$A,"GERAL",CONFIG_PALETES!$B:$B,$C51&amp;" ml")&gt;0,SUMIFS(CONFIG_PALETES!$C:$C,CONFIG_PALETES!$A:$A,"GERAL",CONFIG_PALETES!$B:$B,$C51&amp;" ml"),"")))</f>
        <v/>
      </c>
      <c r="G51" s="398" t="str">
        <f>IFERROR(ROUNDUP(D51/F51,0),"")</f>
        <v/>
      </c>
      <c r="H51" s="399"/>
      <c r="I51" s="396" t="str">
        <f>IF(H51="","",H51*IF(SUMIFS(CONFIG_PALETES!$D:$D,CONFIG_PALETES!$A:$A,IF(ISNUMBER(SEARCH("ESPUMA",$B51)),"ESPUMA",IF(OR(ISNUMBER(SEARCH("OLEO DE COCO",$B51)),ISNUMBER(SEARCH("ÓLEO DE COCO",$B51)),ISNUMBER(SEARCH("COPRA",$B51))),"ÓLEO DE COCO",IF(ISNUMBER(SEARCH("CORANTE",$B51)),"CORANTE",TRIM($B51)))),CONFIG_PALETES!$B:$B,$C51&amp;" ml")&gt;0,SUMIFS(CONFIG_PALETES!$D:$D,CONFIG_PALETES!$A:$A,IF(ISNUMBER(SEARCH("ESPUMA",$B51)),"ESPUMA",IF(OR(ISNUMBER(SEARCH("OLEO DE COCO",$B51)),ISNUMBER(SEARCH("ÓLEO DE COCO",$B51)),ISNUMBER(SEARCH("COPRA",$B51))),"ÓLEO DE COCO",IF(ISNUMBER(SEARCH("CORANTE",$B51)),"CORANTE",TRIM($B51)))),CONFIG_PALETES!$B:$B,$C51&amp;" ml"),IF(SUMIFS(CONFIG_PALETES!$D:$D,CONFIG_PALETES!$A:$A,"GERAL",CONFIG_PALETES!$B:$B,$C51&amp;" ml")&gt;0,SUMIFS(CONFIG_PALETES!$D:$D,CONFIG_PALETES!$A:$A,"GERAL",CONFIG_PALETES!$B:$B,$C51&amp;" ml"),12)))</f>
        <v/>
      </c>
      <c r="J51" s="82" t="str">
        <f t="shared" si="9"/>
        <v/>
      </c>
      <c r="L51" s="81" t="str">
        <f t="shared" si="10"/>
        <v/>
      </c>
      <c r="N51" s="80" t="str">
        <f t="shared" si="11"/>
        <v/>
      </c>
      <c r="P51"/>
      <c r="Q51" s="589"/>
      <c r="R51" s="591"/>
      <c r="S51"/>
      <c r="AA51" t="s">
        <v>39</v>
      </c>
      <c r="AB51" t="s">
        <v>1423</v>
      </c>
    </row>
    <row r="52" spans="1:28" ht="21" customHeight="1" x14ac:dyDescent="0.3">
      <c r="A52" s="771"/>
      <c r="B52" s="772"/>
      <c r="C52" s="773"/>
      <c r="D52" s="774"/>
      <c r="E52" s="775"/>
      <c r="F52" s="865"/>
      <c r="G52" s="776"/>
      <c r="H52" s="777"/>
      <c r="I52" s="774"/>
      <c r="J52" s="85" t="str">
        <f t="shared" si="9"/>
        <v/>
      </c>
      <c r="L52" s="84" t="str">
        <f t="shared" si="10"/>
        <v/>
      </c>
      <c r="N52" s="83" t="str">
        <f t="shared" si="11"/>
        <v/>
      </c>
      <c r="P52"/>
      <c r="Q52" s="589"/>
      <c r="R52" s="591"/>
      <c r="S52"/>
      <c r="AA52" t="s">
        <v>240</v>
      </c>
      <c r="AB52" t="s">
        <v>1425</v>
      </c>
    </row>
    <row r="53" spans="1:28" ht="15" customHeight="1" x14ac:dyDescent="0.3">
      <c r="A53" s="853"/>
      <c r="B53" s="837" t="s">
        <v>186</v>
      </c>
      <c r="C53" s="838"/>
      <c r="D53" s="839">
        <f>SUM(D46:D52)</f>
        <v>2844</v>
      </c>
      <c r="E53" s="837"/>
      <c r="F53" s="854" t="s">
        <v>1400</v>
      </c>
      <c r="G53" s="840">
        <f>SUM(G46:G52)</f>
        <v>24</v>
      </c>
      <c r="H53" s="839">
        <f>SUM(H46:H52)</f>
        <v>1211</v>
      </c>
      <c r="I53" s="839">
        <f>SUM(I46:I52)</f>
        <v>14532</v>
      </c>
      <c r="J53" s="67">
        <f>SUM(D47:D52)</f>
        <v>2844</v>
      </c>
      <c r="K53" s="67">
        <f>SUM(G47:G52)</f>
        <v>24</v>
      </c>
      <c r="L53" s="89">
        <f>SUM(H47:H52)</f>
        <v>1211</v>
      </c>
      <c r="M53" s="67">
        <f>SUM(I47:I52)</f>
        <v>14532</v>
      </c>
      <c r="N53" s="88">
        <f t="shared" si="11"/>
        <v>14532</v>
      </c>
      <c r="O53" s="1">
        <f>SUM(N48:N52)</f>
        <v>14532</v>
      </c>
      <c r="P53"/>
      <c r="Q53" s="586" cm="1">
        <f t="array" ref="Q53">IF(H53=0,"",SUMPRODUCT(IFERROR(INT(H47:H52/F47:F52),0)))</f>
        <v>8</v>
      </c>
      <c r="R53" s="769">
        <f>IF(Q53="","",MAX(0,G53-Q53))</f>
        <v>16</v>
      </c>
      <c r="S53"/>
      <c r="AA53" t="s">
        <v>596</v>
      </c>
      <c r="AB53" t="s">
        <v>1425</v>
      </c>
    </row>
    <row r="54" spans="1:28" ht="15" customHeight="1" x14ac:dyDescent="0.3">
      <c r="A54" s="778"/>
      <c r="B54" s="779"/>
      <c r="C54" s="780"/>
      <c r="D54" s="781"/>
      <c r="E54" s="781"/>
      <c r="F54" s="781"/>
      <c r="G54" s="781"/>
      <c r="H54" s="781"/>
      <c r="I54" s="781"/>
      <c r="J54" s="1" t="str">
        <f>IF(D54="","",ROUNDUP(D54/IF(AND(C54="600 ml",ISNUMBER(SEARCH("NORCAU",B54))),95,IF(AND(C54="600 ml",ISNUMBER(SEARCH("APURATOS",B54))),190,IF(C54="600 ml",95,IF(C54="400 ml",125,IF(C54="200 ml",330,IF(C54="180 ml",240,1)))))),0))</f>
        <v/>
      </c>
      <c r="L54" s="1" t="str">
        <f>IF(H54="","",H54)</f>
        <v/>
      </c>
      <c r="N54" s="1" t="str">
        <f t="shared" si="11"/>
        <v/>
      </c>
      <c r="P54"/>
      <c r="Q54" s="589"/>
      <c r="R54" s="591"/>
      <c r="S54"/>
      <c r="AA54" t="s">
        <v>33</v>
      </c>
      <c r="AB54" t="s">
        <v>1425</v>
      </c>
    </row>
    <row r="55" spans="1:28" ht="15" customHeight="1" x14ac:dyDescent="0.3">
      <c r="A55" s="390">
        <v>46063</v>
      </c>
      <c r="B55" s="393" t="s">
        <v>49</v>
      </c>
      <c r="C55" s="391" t="s">
        <v>176</v>
      </c>
      <c r="D55" s="392" t="s">
        <v>177</v>
      </c>
      <c r="E55" s="392" t="s">
        <v>178</v>
      </c>
      <c r="F55" s="858" t="s">
        <v>179</v>
      </c>
      <c r="G55" s="392" t="s">
        <v>180</v>
      </c>
      <c r="H55" s="392" t="s">
        <v>181</v>
      </c>
      <c r="I55" s="392" t="s">
        <v>182</v>
      </c>
      <c r="J55" s="72"/>
      <c r="K55" s="72"/>
      <c r="L55" s="87"/>
      <c r="M55" s="72"/>
      <c r="N55" s="87"/>
      <c r="P55"/>
      <c r="Q55" s="589"/>
      <c r="R55" s="591"/>
      <c r="S55"/>
      <c r="AA55" t="s">
        <v>571</v>
      </c>
      <c r="AB55" t="s">
        <v>1425</v>
      </c>
    </row>
    <row r="56" spans="1:28" ht="21" customHeight="1" x14ac:dyDescent="0.3">
      <c r="A56" s="390"/>
      <c r="B56" s="394"/>
      <c r="C56" s="395"/>
      <c r="D56" s="396"/>
      <c r="E56" s="397"/>
      <c r="F56" s="864"/>
      <c r="G56" s="398"/>
      <c r="H56" s="399"/>
      <c r="I56" s="396"/>
      <c r="J56" s="85" t="str">
        <f>IF(D56="","",ROUNDUP(D56/IF(AND(C56="600 ml",ISNUMBER(SEARCH("NORCAU",B56))),95,IF(AND(C56="600 ml",ISNUMBER(SEARCH("APURATOS",B56))),190,IF(C56="600 ml",95,IF(C56="400 ml",125,IF(C56="200 ml",330,IF(C56="180 ml",240,1)))))),0))</f>
        <v/>
      </c>
      <c r="L56" s="84" t="str">
        <f>IF(H56="","",H56)</f>
        <v/>
      </c>
      <c r="N56" s="83" t="str">
        <f t="shared" ref="N56:N62" si="12">IF(I56="","",I56)</f>
        <v/>
      </c>
      <c r="P56"/>
      <c r="Q56" s="589"/>
      <c r="R56" s="591"/>
      <c r="S56"/>
      <c r="AA56" t="s">
        <v>280</v>
      </c>
      <c r="AB56" t="s">
        <v>1423</v>
      </c>
    </row>
    <row r="57" spans="1:28" ht="21" customHeight="1" x14ac:dyDescent="0.3">
      <c r="A57" s="657">
        <v>400</v>
      </c>
      <c r="B57" s="394" t="s">
        <v>25</v>
      </c>
      <c r="C57" s="395">
        <v>400</v>
      </c>
      <c r="D57" s="396">
        <f>D50-L50</f>
        <v>1631</v>
      </c>
      <c r="E57" s="397" t="s">
        <v>184</v>
      </c>
      <c r="F57" s="864">
        <f>IF($B57="","",IF(SUMIFS(CONFIG_PALETES!$C:$C,CONFIG_PALETES!$A:$A,TRIM($B57),CONFIG_PALETES!$B:$B,$C57&amp;" ml")&gt;0,SUMIFS(CONFIG_PALETES!$C:$C,CONFIG_PALETES!$A:$A,TRIM($B57),CONFIG_PALETES!$B:$B,$C57&amp;" ml"),IF(SUMIFS(CONFIG_PALETES!$C:$C,CONFIG_PALETES!$A:$A,"GERAL",CONFIG_PALETES!$B:$B,$C57&amp;" ml")&gt;0,SUMIFS(CONFIG_PALETES!$C:$C,CONFIG_PALETES!$A:$A,"GERAL",CONFIG_PALETES!$B:$B,$C57&amp;" ml"),"")))</f>
        <v>125</v>
      </c>
      <c r="G57" s="398">
        <f>IFERROR(ROUNDUP(D57/F57,0),"")</f>
        <v>14</v>
      </c>
      <c r="H57" s="399">
        <v>1027</v>
      </c>
      <c r="I57" s="396">
        <f>IF(H57="","",H57*IF(SUMIFS(CONFIG_PALETES!$D:$D,CONFIG_PALETES!$A:$A,IF(ISNUMBER(SEARCH("ESPUMA",$B57)),"ESPUMA",IF(OR(ISNUMBER(SEARCH("OLEO DE COCO",$B57)),ISNUMBER(SEARCH("ÓLEO DE COCO",$B57)),ISNUMBER(SEARCH("COPRA",$B57))),"ÓLEO DE COCO",IF(ISNUMBER(SEARCH("CORANTE",$B57)),"CORANTE",TRIM($B57)))),CONFIG_PALETES!$B:$B,$C57&amp;" ml")&gt;0,SUMIFS(CONFIG_PALETES!$D:$D,CONFIG_PALETES!$A:$A,IF(ISNUMBER(SEARCH("ESPUMA",$B57)),"ESPUMA",IF(OR(ISNUMBER(SEARCH("OLEO DE COCO",$B57)),ISNUMBER(SEARCH("ÓLEO DE COCO",$B57)),ISNUMBER(SEARCH("COPRA",$B57))),"ÓLEO DE COCO",IF(ISNUMBER(SEARCH("CORANTE",$B57)),"CORANTE",TRIM($B57)))),CONFIG_PALETES!$B:$B,$C57&amp;" ml"),IF(SUMIFS(CONFIG_PALETES!$D:$D,CONFIG_PALETES!$A:$A,"GERAL",CONFIG_PALETES!$B:$B,$C57&amp;" ml")&gt;0,SUMIFS(CONFIG_PALETES!$D:$D,CONFIG_PALETES!$A:$A,"GERAL",CONFIG_PALETES!$B:$B,$C57&amp;" ml"),12)))</f>
        <v>12324</v>
      </c>
      <c r="J57" s="82">
        <f>IF(D57="","",ROUNDUP(D57/IF(AND(C57="600 ml",ISNUMBER(SEARCH("NORCAU",B57))),95,IF(AND(C57="600 ml",ISNUMBER(SEARCH("APURATOS",B57))),190,IF(C57="600 ml",95,IF(C57="400 ml",125,IF(C57="200 ml",330,IF(C57="180 ml",240,1)))))),0))</f>
        <v>1631</v>
      </c>
      <c r="L57" s="81">
        <f>IF(H57="","",H57)</f>
        <v>1027</v>
      </c>
      <c r="M57" s="70"/>
      <c r="N57" s="80">
        <f t="shared" si="12"/>
        <v>12324</v>
      </c>
      <c r="P57"/>
      <c r="Q57" s="589"/>
      <c r="R57" s="591"/>
      <c r="S57"/>
      <c r="AA57" t="s">
        <v>595</v>
      </c>
      <c r="AB57" t="s">
        <v>1425</v>
      </c>
    </row>
    <row r="58" spans="1:28" ht="21" customHeight="1" x14ac:dyDescent="0.3">
      <c r="A58" s="657"/>
      <c r="B58" s="394"/>
      <c r="C58" s="395"/>
      <c r="D58" s="396"/>
      <c r="E58" s="397" t="s">
        <v>184</v>
      </c>
      <c r="F58" s="864" t="str">
        <f>IF($B58="","",IF(SUMIFS(CONFIG_PALETES!$C:$C,CONFIG_PALETES!$A:$A,TRIM($B58),CONFIG_PALETES!$B:$B,$C58&amp;" ml")&gt;0,SUMIFS(CONFIG_PALETES!$C:$C,CONFIG_PALETES!$A:$A,TRIM($B58),CONFIG_PALETES!$B:$B,$C58&amp;" ml"),IF(SUMIFS(CONFIG_PALETES!$C:$C,CONFIG_PALETES!$A:$A,"GERAL",CONFIG_PALETES!$B:$B,$C58&amp;" ml")&gt;0,SUMIFS(CONFIG_PALETES!$C:$C,CONFIG_PALETES!$A:$A,"GERAL",CONFIG_PALETES!$B:$B,$C58&amp;" ml"),"")))</f>
        <v/>
      </c>
      <c r="G58" s="398" t="str">
        <f>IFERROR(ROUNDUP(D58/F58,0),"")</f>
        <v/>
      </c>
      <c r="H58" s="399"/>
      <c r="I58" s="396" t="str">
        <f>IF(H58="","",H58*IF(SUMIFS(CONFIG_PALETES!$D:$D,CONFIG_PALETES!$A:$A,IF(ISNUMBER(SEARCH("ESPUMA",$B58)),"ESPUMA",IF(OR(ISNUMBER(SEARCH("OLEO DE COCO",$B58)),ISNUMBER(SEARCH("ÓLEO DE COCO",$B58)),ISNUMBER(SEARCH("COPRA",$B58))),"ÓLEO DE COCO",IF(ISNUMBER(SEARCH("CORANTE",$B58)),"CORANTE",TRIM($B58)))),CONFIG_PALETES!$B:$B,$C58&amp;" ml")&gt;0,SUMIFS(CONFIG_PALETES!$D:$D,CONFIG_PALETES!$A:$A,IF(ISNUMBER(SEARCH("ESPUMA",$B58)),"ESPUMA",IF(OR(ISNUMBER(SEARCH("OLEO DE COCO",$B58)),ISNUMBER(SEARCH("ÓLEO DE COCO",$B58)),ISNUMBER(SEARCH("COPRA",$B58))),"ÓLEO DE COCO",IF(ISNUMBER(SEARCH("CORANTE",$B58)),"CORANTE",TRIM($B58)))),CONFIG_PALETES!$B:$B,$C58&amp;" ml"),IF(SUMIFS(CONFIG_PALETES!$D:$D,CONFIG_PALETES!$A:$A,"GERAL",CONFIG_PALETES!$B:$B,$C58&amp;" ml")&gt;0,SUMIFS(CONFIG_PALETES!$D:$D,CONFIG_PALETES!$A:$A,"GERAL",CONFIG_PALETES!$B:$B,$C58&amp;" ml"),12)))</f>
        <v/>
      </c>
      <c r="J58" s="85" t="str">
        <f>IF(D58="","",ROUNDUP(D58/IF(AND(C58="600 ml",ISNUMBER(SEARCH("NORCAU",B58))),95,IF(AND(C58="600 ml",ISNUMBER(SEARCH("APURATOS",B58))),190,IF(C58="600 ml",95,IF(C58="400 ml",125,IF(C58="200 ml",330,IF(C58="180 ml",240,1)))))),0))</f>
        <v/>
      </c>
      <c r="L58" s="84" t="str">
        <f>IF(H58="","",H58)</f>
        <v/>
      </c>
      <c r="M58" s="70"/>
      <c r="N58" s="83" t="str">
        <f t="shared" si="12"/>
        <v/>
      </c>
      <c r="P58"/>
      <c r="Q58" s="589"/>
      <c r="R58" s="591"/>
      <c r="S58"/>
      <c r="AA58" t="s">
        <v>483</v>
      </c>
      <c r="AB58" t="s">
        <v>1422</v>
      </c>
    </row>
    <row r="59" spans="1:28" ht="21" customHeight="1" x14ac:dyDescent="0.3">
      <c r="A59" s="390"/>
      <c r="B59" s="394"/>
      <c r="C59" s="395"/>
      <c r="D59" s="396"/>
      <c r="E59" s="397" t="s">
        <v>184</v>
      </c>
      <c r="F59" s="864" t="str">
        <f>IF($B59="","",IF(SUMIFS(CONFIG_PALETES!$C:$C,CONFIG_PALETES!$A:$A,TRIM($B59),CONFIG_PALETES!$B:$B,$C59&amp;" ml")&gt;0,SUMIFS(CONFIG_PALETES!$C:$C,CONFIG_PALETES!$A:$A,TRIM($B59),CONFIG_PALETES!$B:$B,$C59&amp;" ml"),IF(SUMIFS(CONFIG_PALETES!$C:$C,CONFIG_PALETES!$A:$A,"GERAL",CONFIG_PALETES!$B:$B,$C59&amp;" ml")&gt;0,SUMIFS(CONFIG_PALETES!$C:$C,CONFIG_PALETES!$A:$A,"GERAL",CONFIG_PALETES!$B:$B,$C59&amp;" ml"),"")))</f>
        <v/>
      </c>
      <c r="G59" s="398" t="str">
        <f>IFERROR(ROUNDUP(D59/F59,0),"")</f>
        <v/>
      </c>
      <c r="H59" s="399"/>
      <c r="I59" s="396" t="str">
        <f>IF(H59="","",H59*IF(SUMIFS(CONFIG_PALETES!$D:$D,CONFIG_PALETES!$A:$A,IF(ISNUMBER(SEARCH("ESPUMA",$B59)),"ESPUMA",IF(OR(ISNUMBER(SEARCH("OLEO DE COCO",$B59)),ISNUMBER(SEARCH("ÓLEO DE COCO",$B59)),ISNUMBER(SEARCH("COPRA",$B59))),"ÓLEO DE COCO",IF(ISNUMBER(SEARCH("CORANTE",$B59)),"CORANTE",TRIM($B59)))),CONFIG_PALETES!$B:$B,$C59&amp;" ml")&gt;0,SUMIFS(CONFIG_PALETES!$D:$D,CONFIG_PALETES!$A:$A,IF(ISNUMBER(SEARCH("ESPUMA",$B59)),"ESPUMA",IF(OR(ISNUMBER(SEARCH("OLEO DE COCO",$B59)),ISNUMBER(SEARCH("ÓLEO DE COCO",$B59)),ISNUMBER(SEARCH("COPRA",$B59))),"ÓLEO DE COCO",IF(ISNUMBER(SEARCH("CORANTE",$B59)),"CORANTE",TRIM($B59)))),CONFIG_PALETES!$B:$B,$C59&amp;" ml"),IF(SUMIFS(CONFIG_PALETES!$D:$D,CONFIG_PALETES!$A:$A,"GERAL",CONFIG_PALETES!$B:$B,$C59&amp;" ml")&gt;0,SUMIFS(CONFIG_PALETES!$D:$D,CONFIG_PALETES!$A:$A,"GERAL",CONFIG_PALETES!$B:$B,$C59&amp;" ml"),12)))</f>
        <v/>
      </c>
      <c r="J59" s="82" t="str">
        <f>IF(D59="","",ROUNDUP(D59/IF(AND(C59="600 ml",ISNUMBER(SEARCH("NORCAU",B59))),95,IF(AND(C59="600 ml",ISNUMBER(SEARCH("APURATOS",B59))),190,IF(C59="600 ml",95,IF(C59="400 ml",125,IF(C59="200 ml",330,IF(C59="180 ml",240,1)))))),0))</f>
        <v/>
      </c>
      <c r="L59" s="81" t="str">
        <f>IF(H59="","",H59)</f>
        <v/>
      </c>
      <c r="N59" s="80" t="str">
        <f t="shared" si="12"/>
        <v/>
      </c>
      <c r="P59"/>
      <c r="Q59" s="589"/>
      <c r="R59" s="591"/>
      <c r="S59"/>
      <c r="AA59" t="s">
        <v>1202</v>
      </c>
      <c r="AB59" t="s">
        <v>1422</v>
      </c>
    </row>
    <row r="60" spans="1:28" ht="21" customHeight="1" x14ac:dyDescent="0.3">
      <c r="A60" s="771"/>
      <c r="B60" s="772"/>
      <c r="C60" s="773"/>
      <c r="D60" s="774"/>
      <c r="E60" s="775"/>
      <c r="F60" s="865"/>
      <c r="G60" s="776"/>
      <c r="H60" s="777"/>
      <c r="I60" s="774"/>
      <c r="J60" s="85" t="str">
        <f>IF(D60="","",ROUNDUP(D60/IF(AND(C60="600 ml",ISNUMBER(SEARCH("NORCAU",B60))),95,IF(AND(C60="600 ml",ISNUMBER(SEARCH("APURATOS",B60))),190,IF(C60="600 ml",95,IF(C60="400 ml",125,IF(C60="200 ml",330,IF(C60="180 ml",240,1)))))),0))</f>
        <v/>
      </c>
      <c r="L60" s="84" t="str">
        <f>IF(H60="","",H60)</f>
        <v/>
      </c>
      <c r="N60" s="83" t="str">
        <f t="shared" si="12"/>
        <v/>
      </c>
      <c r="P60"/>
      <c r="Q60" s="589"/>
      <c r="R60" s="591"/>
      <c r="S60"/>
      <c r="AA60" t="s">
        <v>577</v>
      </c>
      <c r="AB60" t="s">
        <v>1422</v>
      </c>
    </row>
    <row r="61" spans="1:28" ht="15" customHeight="1" x14ac:dyDescent="0.3">
      <c r="A61" s="853"/>
      <c r="B61" s="837" t="s">
        <v>186</v>
      </c>
      <c r="C61" s="838"/>
      <c r="D61" s="839">
        <f>SUM(D54:D60)</f>
        <v>1631</v>
      </c>
      <c r="E61" s="837"/>
      <c r="F61" s="854" t="s">
        <v>1400</v>
      </c>
      <c r="G61" s="840">
        <f>SUM(G54:G60)</f>
        <v>14</v>
      </c>
      <c r="H61" s="839">
        <f>SUM(H54:H60)</f>
        <v>1027</v>
      </c>
      <c r="I61" s="839">
        <f>SUM(I54:I60)</f>
        <v>12324</v>
      </c>
      <c r="J61" s="98">
        <f>SUM(D56:D60)</f>
        <v>1631</v>
      </c>
      <c r="K61" s="67">
        <f>SUM(G56:G60)</f>
        <v>14</v>
      </c>
      <c r="L61" s="97">
        <f>SUM(H56:H60)</f>
        <v>1027</v>
      </c>
      <c r="M61" s="67">
        <f>SUM(I56:I60)</f>
        <v>12324</v>
      </c>
      <c r="N61" s="96">
        <f t="shared" si="12"/>
        <v>12324</v>
      </c>
      <c r="O61" s="1">
        <f>SUM(N57:N60)</f>
        <v>12324</v>
      </c>
      <c r="P61"/>
      <c r="Q61" s="586" cm="1">
        <f t="array" ref="Q61">IF(H61=0,"",SUMPRODUCT(IFERROR(INT(H56:H60/F56:F60),0)))</f>
        <v>8</v>
      </c>
      <c r="R61" s="769">
        <f>IF(Q61="","",MAX(0,G61-Q61))</f>
        <v>6</v>
      </c>
      <c r="S61"/>
      <c r="AA61" t="s">
        <v>578</v>
      </c>
      <c r="AB61" t="s">
        <v>1422</v>
      </c>
    </row>
    <row r="62" spans="1:28" ht="15" customHeight="1" x14ac:dyDescent="0.3">
      <c r="A62" s="778"/>
      <c r="B62" s="779"/>
      <c r="C62" s="780"/>
      <c r="D62" s="781"/>
      <c r="E62" s="781"/>
      <c r="F62" s="781"/>
      <c r="G62" s="781"/>
      <c r="H62" s="781"/>
      <c r="I62" s="781"/>
      <c r="J62" s="1" t="str">
        <f>IF(D62="","",ROUNDUP(D62/IF(AND(C62="600 ml",ISNUMBER(SEARCH("NORCAU",B62))),95,IF(AND(C62="600 ml",ISNUMBER(SEARCH("APURATOS",B62))),190,IF(C62="600 ml",95,IF(C62="400 ml",125,IF(C62="200 ml",330,IF(C62="180 ml",240,1)))))),0))</f>
        <v/>
      </c>
      <c r="L62" s="1" t="str">
        <f>IF(H62="","",H62)</f>
        <v/>
      </c>
      <c r="N62" s="1" t="str">
        <f t="shared" si="12"/>
        <v/>
      </c>
      <c r="P62"/>
      <c r="Q62" s="589"/>
      <c r="R62" s="591"/>
      <c r="S62"/>
      <c r="AA62" t="s">
        <v>587</v>
      </c>
      <c r="AB62" t="s">
        <v>1422</v>
      </c>
    </row>
    <row r="63" spans="1:28" ht="15" customHeight="1" x14ac:dyDescent="0.3">
      <c r="A63" s="390">
        <v>46064</v>
      </c>
      <c r="B63" s="393" t="s">
        <v>49</v>
      </c>
      <c r="C63" s="391" t="s">
        <v>176</v>
      </c>
      <c r="D63" s="392" t="s">
        <v>177</v>
      </c>
      <c r="E63" s="392" t="s">
        <v>178</v>
      </c>
      <c r="F63" s="858" t="s">
        <v>179</v>
      </c>
      <c r="G63" s="392" t="s">
        <v>180</v>
      </c>
      <c r="H63" s="392" t="s">
        <v>181</v>
      </c>
      <c r="I63" s="392" t="s">
        <v>182</v>
      </c>
      <c r="J63" s="72"/>
      <c r="K63" s="72"/>
      <c r="L63" s="87"/>
      <c r="M63" s="72"/>
      <c r="N63" s="87"/>
      <c r="P63"/>
      <c r="Q63" s="589"/>
      <c r="R63" s="591"/>
      <c r="S63"/>
      <c r="AA63" t="s">
        <v>1413</v>
      </c>
      <c r="AB63" t="s">
        <v>1422</v>
      </c>
    </row>
    <row r="64" spans="1:28" ht="21" customHeight="1" x14ac:dyDescent="0.3">
      <c r="A64" s="390"/>
      <c r="B64" s="394"/>
      <c r="C64" s="395"/>
      <c r="D64" s="396"/>
      <c r="E64" s="397"/>
      <c r="F64" s="864"/>
      <c r="G64" s="398"/>
      <c r="H64" s="399"/>
      <c r="I64" s="396"/>
      <c r="J64" s="85" t="str">
        <f>IF(D64="","",ROUNDUP(D64/IF(AND(C64="600 ml",ISNUMBER(SEARCH("NORCAU",B64))),95,IF(AND(C64="600 ml",ISNUMBER(SEARCH("APURATOS",B64))),190,IF(C64="600 ml",95,IF(C64="400 ml",125,IF(C64="200 ml",330,IF(C64="180 ml",240,1)))))),0))</f>
        <v/>
      </c>
      <c r="L64" s="84" t="str">
        <f>IF(H64="","",H64)</f>
        <v/>
      </c>
      <c r="N64" s="83" t="str">
        <f t="shared" ref="N64:N70" si="13">IF(I64="","",I64)</f>
        <v/>
      </c>
      <c r="P64"/>
      <c r="Q64" s="589"/>
      <c r="R64" s="591"/>
      <c r="S64"/>
      <c r="AA64" t="s">
        <v>1403</v>
      </c>
      <c r="AB64" t="s">
        <v>1422</v>
      </c>
    </row>
    <row r="65" spans="1:28" ht="21" customHeight="1" x14ac:dyDescent="0.3">
      <c r="A65" s="657">
        <v>400</v>
      </c>
      <c r="B65" s="394" t="s">
        <v>25</v>
      </c>
      <c r="C65" s="395">
        <v>400</v>
      </c>
      <c r="D65" s="396">
        <f>D57-L57</f>
        <v>604</v>
      </c>
      <c r="E65" s="397" t="s">
        <v>184</v>
      </c>
      <c r="F65" s="864">
        <f>IF($B65="","",IF(SUMIFS(CONFIG_PALETES!$C:$C,CONFIG_PALETES!$A:$A,TRIM($B65),CONFIG_PALETES!$B:$B,$C65&amp;" ml")&gt;0,SUMIFS(CONFIG_PALETES!$C:$C,CONFIG_PALETES!$A:$A,TRIM($B65),CONFIG_PALETES!$B:$B,$C65&amp;" ml"),IF(SUMIFS(CONFIG_PALETES!$C:$C,CONFIG_PALETES!$A:$A,"GERAL",CONFIG_PALETES!$B:$B,$C65&amp;" ml")&gt;0,SUMIFS(CONFIG_PALETES!$C:$C,CONFIG_PALETES!$A:$A,"GERAL",CONFIG_PALETES!$B:$B,$C65&amp;" ml"),"")))</f>
        <v>125</v>
      </c>
      <c r="G65" s="398">
        <f>IFERROR(ROUNDUP(D65/F65,0),"")</f>
        <v>5</v>
      </c>
      <c r="H65" s="399">
        <v>611</v>
      </c>
      <c r="I65" s="396">
        <f>IF(H65="","",H65*IF(SUMIFS(CONFIG_PALETES!$D:$D,CONFIG_PALETES!$A:$A,IF(ISNUMBER(SEARCH("ESPUMA",$B65)),"ESPUMA",IF(OR(ISNUMBER(SEARCH("OLEO DE COCO",$B65)),ISNUMBER(SEARCH("ÓLEO DE COCO",$B65)),ISNUMBER(SEARCH("COPRA",$B65))),"ÓLEO DE COCO",IF(ISNUMBER(SEARCH("CORANTE",$B65)),"CORANTE",TRIM($B65)))),CONFIG_PALETES!$B:$B,$C65&amp;" ml")&gt;0,SUMIFS(CONFIG_PALETES!$D:$D,CONFIG_PALETES!$A:$A,IF(ISNUMBER(SEARCH("ESPUMA",$B65)),"ESPUMA",IF(OR(ISNUMBER(SEARCH("OLEO DE COCO",$B65)),ISNUMBER(SEARCH("ÓLEO DE COCO",$B65)),ISNUMBER(SEARCH("COPRA",$B65))),"ÓLEO DE COCO",IF(ISNUMBER(SEARCH("CORANTE",$B65)),"CORANTE",TRIM($B65)))),CONFIG_PALETES!$B:$B,$C65&amp;" ml"),IF(SUMIFS(CONFIG_PALETES!$D:$D,CONFIG_PALETES!$A:$A,"GERAL",CONFIG_PALETES!$B:$B,$C65&amp;" ml")&gt;0,SUMIFS(CONFIG_PALETES!$D:$D,CONFIG_PALETES!$A:$A,"GERAL",CONFIG_PALETES!$B:$B,$C65&amp;" ml"),12)))</f>
        <v>7332</v>
      </c>
      <c r="J65" s="82">
        <f>IF(D65="","",ROUNDUP(D65/IF(AND(C65="600 ml",ISNUMBER(SEARCH("NORCAU",B65))),95,IF(AND(C65="600 ml",ISNUMBER(SEARCH("APURATOS",B65))),190,IF(C65="600 ml",95,IF(C65="400 ml",125,IF(C65="200 ml",330,IF(C65="180 ml",240,1)))))),0))</f>
        <v>604</v>
      </c>
      <c r="L65" s="81">
        <f>IF(H65="","",H65)</f>
        <v>611</v>
      </c>
      <c r="M65" s="70"/>
      <c r="N65" s="80">
        <f t="shared" si="13"/>
        <v>7332</v>
      </c>
      <c r="P65"/>
      <c r="Q65" s="589"/>
      <c r="R65" s="591"/>
      <c r="S65"/>
      <c r="AA65" t="s">
        <v>114</v>
      </c>
      <c r="AB65" t="s">
        <v>1422</v>
      </c>
    </row>
    <row r="66" spans="1:28" ht="21" customHeight="1" x14ac:dyDescent="0.3">
      <c r="A66" s="657"/>
      <c r="B66" s="394" t="s">
        <v>29</v>
      </c>
      <c r="C66" s="395">
        <v>400</v>
      </c>
      <c r="D66" s="396">
        <v>2310</v>
      </c>
      <c r="E66" s="397" t="s">
        <v>184</v>
      </c>
      <c r="F66" s="864">
        <f>IF($B66="","",IF(SUMIFS(CONFIG_PALETES!$C:$C,CONFIG_PALETES!$A:$A,TRIM($B66),CONFIG_PALETES!$B:$B,$C66&amp;" ml")&gt;0,SUMIFS(CONFIG_PALETES!$C:$C,CONFIG_PALETES!$A:$A,TRIM($B66),CONFIG_PALETES!$B:$B,$C66&amp;" ml"),IF(SUMIFS(CONFIG_PALETES!$C:$C,CONFIG_PALETES!$A:$A,"GERAL",CONFIG_PALETES!$B:$B,$C66&amp;" ml")&gt;0,SUMIFS(CONFIG_PALETES!$C:$C,CONFIG_PALETES!$A:$A,"GERAL",CONFIG_PALETES!$B:$B,$C66&amp;" ml"),"")))</f>
        <v>110</v>
      </c>
      <c r="G66" s="398">
        <f>IFERROR(ROUNDUP(D66/F66,0),"")</f>
        <v>21</v>
      </c>
      <c r="H66" s="399">
        <v>600</v>
      </c>
      <c r="I66" s="396">
        <f>IF(H66="","",H66*IF(SUMIFS(CONFIG_PALETES!$D:$D,CONFIG_PALETES!$A:$A,IF(ISNUMBER(SEARCH("ESPUMA",$B66)),"ESPUMA",IF(OR(ISNUMBER(SEARCH("OLEO DE COCO",$B66)),ISNUMBER(SEARCH("ÓLEO DE COCO",$B66)),ISNUMBER(SEARCH("COPRA",$B66))),"ÓLEO DE COCO",IF(ISNUMBER(SEARCH("CORANTE",$B66)),"CORANTE",TRIM($B66)))),CONFIG_PALETES!$B:$B,$C66&amp;" ml")&gt;0,SUMIFS(CONFIG_PALETES!$D:$D,CONFIG_PALETES!$A:$A,IF(ISNUMBER(SEARCH("ESPUMA",$B66)),"ESPUMA",IF(OR(ISNUMBER(SEARCH("OLEO DE COCO",$B66)),ISNUMBER(SEARCH("ÓLEO DE COCO",$B66)),ISNUMBER(SEARCH("COPRA",$B66))),"ÓLEO DE COCO",IF(ISNUMBER(SEARCH("CORANTE",$B66)),"CORANTE",TRIM($B66)))),CONFIG_PALETES!$B:$B,$C66&amp;" ml"),IF(SUMIFS(CONFIG_PALETES!$D:$D,CONFIG_PALETES!$A:$A,"GERAL",CONFIG_PALETES!$B:$B,$C66&amp;" ml")&gt;0,SUMIFS(CONFIG_PALETES!$D:$D,CONFIG_PALETES!$A:$A,"GERAL",CONFIG_PALETES!$B:$B,$C66&amp;" ml"),12)))</f>
        <v>7200</v>
      </c>
      <c r="J66" s="85">
        <f>IF(D66="","",ROUNDUP(D66/IF(AND(C66="600 ml",ISNUMBER(SEARCH("NORCAU",B66))),95,IF(AND(C66="600 ml",ISNUMBER(SEARCH("APURATOS",B66))),190,IF(C66="600 ml",95,IF(C66="400 ml",125,IF(C66="200 ml",330,IF(C66="180 ml",240,1)))))),0))</f>
        <v>2310</v>
      </c>
      <c r="L66" s="84">
        <f>IF(H66="","",H66)</f>
        <v>600</v>
      </c>
      <c r="M66" s="70"/>
      <c r="N66" s="83">
        <f t="shared" si="13"/>
        <v>7200</v>
      </c>
      <c r="P66"/>
      <c r="Q66" s="589"/>
      <c r="R66" s="591"/>
      <c r="S66"/>
      <c r="AA66" t="s">
        <v>487</v>
      </c>
      <c r="AB66" t="s">
        <v>1422</v>
      </c>
    </row>
    <row r="67" spans="1:28" ht="21" customHeight="1" x14ac:dyDescent="0.3">
      <c r="A67" s="390"/>
      <c r="B67" s="394"/>
      <c r="C67" s="395"/>
      <c r="D67" s="396"/>
      <c r="E67" s="397" t="s">
        <v>184</v>
      </c>
      <c r="F67" s="864" t="str">
        <f>IF($B67="","",IF(SUMIFS(CONFIG_PALETES!$C:$C,CONFIG_PALETES!$A:$A,TRIM($B67),CONFIG_PALETES!$B:$B,$C67&amp;" ml")&gt;0,SUMIFS(CONFIG_PALETES!$C:$C,CONFIG_PALETES!$A:$A,TRIM($B67),CONFIG_PALETES!$B:$B,$C67&amp;" ml"),IF(SUMIFS(CONFIG_PALETES!$C:$C,CONFIG_PALETES!$A:$A,"GERAL",CONFIG_PALETES!$B:$B,$C67&amp;" ml")&gt;0,SUMIFS(CONFIG_PALETES!$C:$C,CONFIG_PALETES!$A:$A,"GERAL",CONFIG_PALETES!$B:$B,$C67&amp;" ml"),"")))</f>
        <v/>
      </c>
      <c r="G67" s="398" t="str">
        <f>IFERROR(ROUNDUP(D67/F67,0),"")</f>
        <v/>
      </c>
      <c r="H67" s="399"/>
      <c r="I67" s="396" t="str">
        <f>IF(H67="","",H67*IF(SUMIFS(CONFIG_PALETES!$D:$D,CONFIG_PALETES!$A:$A,IF(ISNUMBER(SEARCH("ESPUMA",$B67)),"ESPUMA",IF(OR(ISNUMBER(SEARCH("OLEO DE COCO",$B67)),ISNUMBER(SEARCH("ÓLEO DE COCO",$B67)),ISNUMBER(SEARCH("COPRA",$B67))),"ÓLEO DE COCO",IF(ISNUMBER(SEARCH("CORANTE",$B67)),"CORANTE",TRIM($B67)))),CONFIG_PALETES!$B:$B,$C67&amp;" ml")&gt;0,SUMIFS(CONFIG_PALETES!$D:$D,CONFIG_PALETES!$A:$A,IF(ISNUMBER(SEARCH("ESPUMA",$B67)),"ESPUMA",IF(OR(ISNUMBER(SEARCH("OLEO DE COCO",$B67)),ISNUMBER(SEARCH("ÓLEO DE COCO",$B67)),ISNUMBER(SEARCH("COPRA",$B67))),"ÓLEO DE COCO",IF(ISNUMBER(SEARCH("CORANTE",$B67)),"CORANTE",TRIM($B67)))),CONFIG_PALETES!$B:$B,$C67&amp;" ml"),IF(SUMIFS(CONFIG_PALETES!$D:$D,CONFIG_PALETES!$A:$A,"GERAL",CONFIG_PALETES!$B:$B,$C67&amp;" ml")&gt;0,SUMIFS(CONFIG_PALETES!$D:$D,CONFIG_PALETES!$A:$A,"GERAL",CONFIG_PALETES!$B:$B,$C67&amp;" ml"),12)))</f>
        <v/>
      </c>
      <c r="J67" s="82" t="str">
        <f>IF(D67="","",ROUNDUP(D67/IF(AND(C67="600 ml",ISNUMBER(SEARCH("NORCAU",B67))),95,IF(AND(C67="600 ml",ISNUMBER(SEARCH("APURATOS",B67))),190,IF(C67="600 ml",95,IF(C67="400 ml",125,IF(C67="200 ml",330,IF(C67="180 ml",240,1)))))),0))</f>
        <v/>
      </c>
      <c r="L67" s="81" t="str">
        <f>IF(H67="","",H67)</f>
        <v/>
      </c>
      <c r="N67" s="80" t="str">
        <f t="shared" si="13"/>
        <v/>
      </c>
      <c r="P67"/>
      <c r="Q67" s="589"/>
      <c r="R67" s="591"/>
      <c r="S67"/>
      <c r="AA67" t="s">
        <v>488</v>
      </c>
      <c r="AB67" t="s">
        <v>1422</v>
      </c>
    </row>
    <row r="68" spans="1:28" ht="21" customHeight="1" x14ac:dyDescent="0.3">
      <c r="A68" s="771"/>
      <c r="B68" s="772"/>
      <c r="C68" s="773"/>
      <c r="D68" s="774"/>
      <c r="E68" s="775"/>
      <c r="F68" s="865"/>
      <c r="G68" s="776"/>
      <c r="H68" s="777"/>
      <c r="I68" s="774"/>
      <c r="J68" s="85" t="str">
        <f>IF(D68="","",ROUNDUP(D68/IF(AND(C68="600 ml",ISNUMBER(SEARCH("NORCAU",B68))),95,IF(AND(C68="600 ml",ISNUMBER(SEARCH("APURATOS",B68))),190,IF(C68="600 ml",95,IF(C68="400 ml",125,IF(C68="200 ml",330,IF(C68="180 ml",240,1)))))),0))</f>
        <v/>
      </c>
      <c r="L68" s="84" t="str">
        <f>IF(H68="","",H68)</f>
        <v/>
      </c>
      <c r="N68" s="83" t="str">
        <f t="shared" si="13"/>
        <v/>
      </c>
      <c r="P68"/>
      <c r="Q68" s="589"/>
      <c r="R68" s="591"/>
      <c r="S68"/>
      <c r="AA68" t="s">
        <v>477</v>
      </c>
      <c r="AB68" t="s">
        <v>1422</v>
      </c>
    </row>
    <row r="69" spans="1:28" ht="15" customHeight="1" x14ac:dyDescent="0.3">
      <c r="A69" s="853"/>
      <c r="B69" s="837" t="s">
        <v>186</v>
      </c>
      <c r="C69" s="838"/>
      <c r="D69" s="839">
        <f>SUM(D62:D68)</f>
        <v>2914</v>
      </c>
      <c r="E69" s="837"/>
      <c r="F69" s="854" t="s">
        <v>1400</v>
      </c>
      <c r="G69" s="840">
        <f>SUM(G62:G68)</f>
        <v>26</v>
      </c>
      <c r="H69" s="839">
        <f>SUM(H62:H68)</f>
        <v>1211</v>
      </c>
      <c r="I69" s="839">
        <f>SUM(I62:I68)</f>
        <v>14532</v>
      </c>
      <c r="J69" s="98">
        <f>SUM(D64:D68)</f>
        <v>2914</v>
      </c>
      <c r="K69" s="67">
        <f>SUM(G64:G68)</f>
        <v>26</v>
      </c>
      <c r="L69" s="97">
        <f>SUM(H64:H68)</f>
        <v>1211</v>
      </c>
      <c r="M69" s="67">
        <f>SUM(I64:I68)</f>
        <v>14532</v>
      </c>
      <c r="N69" s="96">
        <f t="shared" si="13"/>
        <v>14532</v>
      </c>
      <c r="O69" s="1">
        <f>SUM(N65:N68)</f>
        <v>14532</v>
      </c>
      <c r="P69"/>
      <c r="Q69" s="586" cm="1">
        <f t="array" ref="Q69">IF(H69=0,"",SUMPRODUCT(IFERROR(INT(H64:H68/F64:F68),0)))</f>
        <v>9</v>
      </c>
      <c r="R69" s="769">
        <f>IF(Q69="","",MAX(0,G69-Q69))</f>
        <v>17</v>
      </c>
      <c r="S69"/>
      <c r="AA69" t="s">
        <v>1189</v>
      </c>
      <c r="AB69" t="s">
        <v>1422</v>
      </c>
    </row>
    <row r="70" spans="1:28" ht="15" customHeight="1" x14ac:dyDescent="0.3">
      <c r="A70" s="778"/>
      <c r="B70" s="779"/>
      <c r="C70" s="780"/>
      <c r="D70" s="781"/>
      <c r="E70" s="781"/>
      <c r="F70" s="781"/>
      <c r="G70" s="781"/>
      <c r="H70" s="781"/>
      <c r="I70" s="781"/>
      <c r="J70" s="1" t="str">
        <f>IF(D70="","",ROUNDUP(D70/IF(AND(C70="600 ml",ISNUMBER(SEARCH("NORCAU",B70))),95,IF(AND(C70="600 ml",ISNUMBER(SEARCH("APURATOS",B70))),190,IF(C70="600 ml",95,IF(C70="400 ml",125,IF(C70="200 ml",330,IF(C70="180 ml",240,1)))))),0))</f>
        <v/>
      </c>
      <c r="L70" s="1" t="str">
        <f>IF(H70="","",H70)</f>
        <v/>
      </c>
      <c r="N70" s="1" t="str">
        <f t="shared" si="13"/>
        <v/>
      </c>
      <c r="P70"/>
      <c r="Q70" s="589"/>
      <c r="R70" s="591"/>
      <c r="S70"/>
      <c r="AA70" t="s">
        <v>479</v>
      </c>
      <c r="AB70" t="s">
        <v>1422</v>
      </c>
    </row>
    <row r="71" spans="1:28" ht="15" customHeight="1" x14ac:dyDescent="0.3">
      <c r="A71" s="390">
        <v>46065</v>
      </c>
      <c r="B71" s="393" t="s">
        <v>49</v>
      </c>
      <c r="C71" s="391" t="s">
        <v>176</v>
      </c>
      <c r="D71" s="392" t="s">
        <v>177</v>
      </c>
      <c r="E71" s="392" t="s">
        <v>178</v>
      </c>
      <c r="F71" s="858" t="s">
        <v>179</v>
      </c>
      <c r="G71" s="392" t="s">
        <v>180</v>
      </c>
      <c r="H71" s="392" t="s">
        <v>181</v>
      </c>
      <c r="I71" s="392" t="s">
        <v>182</v>
      </c>
      <c r="J71" s="72"/>
      <c r="K71" s="72"/>
      <c r="L71" s="87"/>
      <c r="M71" s="72"/>
      <c r="N71" s="87"/>
      <c r="P71"/>
      <c r="Q71" s="589"/>
      <c r="R71" s="591"/>
      <c r="S71"/>
      <c r="AA71" t="s">
        <v>476</v>
      </c>
      <c r="AB71" t="s">
        <v>1422</v>
      </c>
    </row>
    <row r="72" spans="1:28" ht="21" customHeight="1" x14ac:dyDescent="0.3">
      <c r="A72" s="390"/>
      <c r="B72" s="394"/>
      <c r="C72" s="395"/>
      <c r="D72" s="396"/>
      <c r="E72" s="397"/>
      <c r="F72" s="864"/>
      <c r="G72" s="398"/>
      <c r="H72" s="399"/>
      <c r="I72" s="396"/>
      <c r="J72" s="85" t="str">
        <f>IF(D72="","",ROUNDUP(D72/IF(AND(C72="600 ml",ISNUMBER(SEARCH("NORCAU",B72))),95,IF(AND(C72="600 ml",ISNUMBER(SEARCH("APURATOS",B72))),190,IF(C72="600 ml",95,IF(C72="400 ml",125,IF(C72="200 ml",330,IF(C72="180 ml",240,1)))))),0))</f>
        <v/>
      </c>
      <c r="L72" s="84" t="str">
        <f>IF(H72="","",H72)</f>
        <v/>
      </c>
      <c r="N72" s="83" t="str">
        <f t="shared" ref="N72:N78" si="14">IF(I72="","",I72)</f>
        <v/>
      </c>
      <c r="P72"/>
      <c r="Q72" s="589"/>
      <c r="R72" s="591"/>
      <c r="S72"/>
      <c r="AA72" t="s">
        <v>1190</v>
      </c>
      <c r="AB72" t="s">
        <v>1422</v>
      </c>
    </row>
    <row r="73" spans="1:28" ht="21" customHeight="1" x14ac:dyDescent="0.3">
      <c r="A73" s="657">
        <v>400</v>
      </c>
      <c r="B73" s="394" t="s">
        <v>29</v>
      </c>
      <c r="C73" s="395">
        <v>400</v>
      </c>
      <c r="D73" s="396">
        <f>D66-L66</f>
        <v>1710</v>
      </c>
      <c r="E73" s="397" t="s">
        <v>184</v>
      </c>
      <c r="F73" s="864">
        <f>IF($B73="","",IF(SUMIFS(CONFIG_PALETES!$C:$C,CONFIG_PALETES!$A:$A,TRIM($B73),CONFIG_PALETES!$B:$B,$C73&amp;" ml")&gt;0,SUMIFS(CONFIG_PALETES!$C:$C,CONFIG_PALETES!$A:$A,TRIM($B73),CONFIG_PALETES!$B:$B,$C73&amp;" ml"),IF(SUMIFS(CONFIG_PALETES!$C:$C,CONFIG_PALETES!$A:$A,"GERAL",CONFIG_PALETES!$B:$B,$C73&amp;" ml")&gt;0,SUMIFS(CONFIG_PALETES!$C:$C,CONFIG_PALETES!$A:$A,"GERAL",CONFIG_PALETES!$B:$B,$C73&amp;" ml"),"")))</f>
        <v>110</v>
      </c>
      <c r="G73" s="398">
        <f>IFERROR(ROUNDUP(D73/F73,0),"")</f>
        <v>16</v>
      </c>
      <c r="H73" s="399">
        <v>1431</v>
      </c>
      <c r="I73" s="396">
        <f>IF(H73="","",H73*IF(SUMIFS(CONFIG_PALETES!$D:$D,CONFIG_PALETES!$A:$A,IF(ISNUMBER(SEARCH("ESPUMA",$B73)),"ESPUMA",IF(OR(ISNUMBER(SEARCH("OLEO DE COCO",$B73)),ISNUMBER(SEARCH("ÓLEO DE COCO",$B73)),ISNUMBER(SEARCH("COPRA",$B73))),"ÓLEO DE COCO",IF(ISNUMBER(SEARCH("CORANTE",$B73)),"CORANTE",TRIM($B73)))),CONFIG_PALETES!$B:$B,$C73&amp;" ml")&gt;0,SUMIFS(CONFIG_PALETES!$D:$D,CONFIG_PALETES!$A:$A,IF(ISNUMBER(SEARCH("ESPUMA",$B73)),"ESPUMA",IF(OR(ISNUMBER(SEARCH("OLEO DE COCO",$B73)),ISNUMBER(SEARCH("ÓLEO DE COCO",$B73)),ISNUMBER(SEARCH("COPRA",$B73))),"ÓLEO DE COCO",IF(ISNUMBER(SEARCH("CORANTE",$B73)),"CORANTE",TRIM($B73)))),CONFIG_PALETES!$B:$B,$C73&amp;" ml"),IF(SUMIFS(CONFIG_PALETES!$D:$D,CONFIG_PALETES!$A:$A,"GERAL",CONFIG_PALETES!$B:$B,$C73&amp;" ml")&gt;0,SUMIFS(CONFIG_PALETES!$D:$D,CONFIG_PALETES!$A:$A,"GERAL",CONFIG_PALETES!$B:$B,$C73&amp;" ml"),12)))</f>
        <v>17172</v>
      </c>
      <c r="J73" s="82">
        <f>IF(D73="","",ROUNDUP(D73/IF(AND(C73="600 ml",ISNUMBER(SEARCH("NORCAU",B73))),95,IF(AND(C73="600 ml",ISNUMBER(SEARCH("APURATOS",B73))),190,IF(C73="600 ml",95,IF(C73="400 ml",125,IF(C73="200 ml",330,IF(C73="180 ml",240,1)))))),0))</f>
        <v>1710</v>
      </c>
      <c r="L73" s="81">
        <f>IF(H73="","",H73)</f>
        <v>1431</v>
      </c>
      <c r="M73" s="70"/>
      <c r="N73" s="80">
        <f t="shared" si="14"/>
        <v>17172</v>
      </c>
      <c r="P73"/>
      <c r="Q73" s="589"/>
      <c r="R73" s="591"/>
      <c r="S73"/>
      <c r="AA73" t="s">
        <v>1191</v>
      </c>
      <c r="AB73" t="s">
        <v>1422</v>
      </c>
    </row>
    <row r="74" spans="1:28" ht="21" customHeight="1" x14ac:dyDescent="0.3">
      <c r="A74" s="657"/>
      <c r="B74" s="394"/>
      <c r="C74" s="395"/>
      <c r="D74" s="396"/>
      <c r="E74" s="397" t="s">
        <v>184</v>
      </c>
      <c r="F74" s="864" t="str">
        <f>IF($B74="","",IF(SUMIFS(CONFIG_PALETES!$C:$C,CONFIG_PALETES!$A:$A,TRIM($B74),CONFIG_PALETES!$B:$B,$C74&amp;" ml")&gt;0,SUMIFS(CONFIG_PALETES!$C:$C,CONFIG_PALETES!$A:$A,TRIM($B74),CONFIG_PALETES!$B:$B,$C74&amp;" ml"),IF(SUMIFS(CONFIG_PALETES!$C:$C,CONFIG_PALETES!$A:$A,"GERAL",CONFIG_PALETES!$B:$B,$C74&amp;" ml")&gt;0,SUMIFS(CONFIG_PALETES!$C:$C,CONFIG_PALETES!$A:$A,"GERAL",CONFIG_PALETES!$B:$B,$C74&amp;" ml"),"")))</f>
        <v/>
      </c>
      <c r="G74" s="398" t="str">
        <f>IFERROR(ROUNDUP(D74/F74,0),"")</f>
        <v/>
      </c>
      <c r="H74" s="399"/>
      <c r="I74" s="396" t="str">
        <f>IF(H74="","",H74*IF(SUMIFS(CONFIG_PALETES!$D:$D,CONFIG_PALETES!$A:$A,IF(ISNUMBER(SEARCH("ESPUMA",$B74)),"ESPUMA",IF(OR(ISNUMBER(SEARCH("OLEO DE COCO",$B74)),ISNUMBER(SEARCH("ÓLEO DE COCO",$B74)),ISNUMBER(SEARCH("COPRA",$B74))),"ÓLEO DE COCO",IF(ISNUMBER(SEARCH("CORANTE",$B74)),"CORANTE",TRIM($B74)))),CONFIG_PALETES!$B:$B,$C74&amp;" ml")&gt;0,SUMIFS(CONFIG_PALETES!$D:$D,CONFIG_PALETES!$A:$A,IF(ISNUMBER(SEARCH("ESPUMA",$B74)),"ESPUMA",IF(OR(ISNUMBER(SEARCH("OLEO DE COCO",$B74)),ISNUMBER(SEARCH("ÓLEO DE COCO",$B74)),ISNUMBER(SEARCH("COPRA",$B74))),"ÓLEO DE COCO",IF(ISNUMBER(SEARCH("CORANTE",$B74)),"CORANTE",TRIM($B74)))),CONFIG_PALETES!$B:$B,$C74&amp;" ml"),IF(SUMIFS(CONFIG_PALETES!$D:$D,CONFIG_PALETES!$A:$A,"GERAL",CONFIG_PALETES!$B:$B,$C74&amp;" ml")&gt;0,SUMIFS(CONFIG_PALETES!$D:$D,CONFIG_PALETES!$A:$A,"GERAL",CONFIG_PALETES!$B:$B,$C74&amp;" ml"),12)))</f>
        <v/>
      </c>
      <c r="J74" s="85" t="str">
        <f>IF(D74="","",ROUNDUP(D74/IF(AND(C74="600 ml",ISNUMBER(SEARCH("NORCAU",B74))),95,IF(AND(C74="600 ml",ISNUMBER(SEARCH("APURATOS",B74))),190,IF(C74="600 ml",95,IF(C74="400 ml",125,IF(C74="200 ml",330,IF(C74="180 ml",240,1)))))),0))</f>
        <v/>
      </c>
      <c r="L74" s="84" t="str">
        <f>IF(H74="","",H74)</f>
        <v/>
      </c>
      <c r="M74" s="70"/>
      <c r="N74" s="83" t="str">
        <f t="shared" si="14"/>
        <v/>
      </c>
      <c r="P74"/>
      <c r="Q74" s="589"/>
      <c r="R74" s="591"/>
      <c r="S74"/>
      <c r="AA74" t="s">
        <v>481</v>
      </c>
      <c r="AB74" t="s">
        <v>1422</v>
      </c>
    </row>
    <row r="75" spans="1:28" ht="21" customHeight="1" x14ac:dyDescent="0.3">
      <c r="A75" s="390"/>
      <c r="B75" s="394"/>
      <c r="C75" s="395"/>
      <c r="D75" s="396"/>
      <c r="E75" s="397" t="s">
        <v>184</v>
      </c>
      <c r="F75" s="864" t="str">
        <f>IF($B75="","",IF(SUMIFS(CONFIG_PALETES!$C:$C,CONFIG_PALETES!$A:$A,TRIM($B75),CONFIG_PALETES!$B:$B,$C75&amp;" ml")&gt;0,SUMIFS(CONFIG_PALETES!$C:$C,CONFIG_PALETES!$A:$A,TRIM($B75),CONFIG_PALETES!$B:$B,$C75&amp;" ml"),IF(SUMIFS(CONFIG_PALETES!$C:$C,CONFIG_PALETES!$A:$A,"GERAL",CONFIG_PALETES!$B:$B,$C75&amp;" ml")&gt;0,SUMIFS(CONFIG_PALETES!$C:$C,CONFIG_PALETES!$A:$A,"GERAL",CONFIG_PALETES!$B:$B,$C75&amp;" ml"),"")))</f>
        <v/>
      </c>
      <c r="G75" s="398" t="str">
        <f>IFERROR(ROUNDUP(D75/F75,0),"")</f>
        <v/>
      </c>
      <c r="H75" s="399"/>
      <c r="I75" s="396" t="str">
        <f>IF(H75="","",H75*IF(SUMIFS(CONFIG_PALETES!$D:$D,CONFIG_PALETES!$A:$A,IF(ISNUMBER(SEARCH("ESPUMA",$B75)),"ESPUMA",IF(OR(ISNUMBER(SEARCH("OLEO DE COCO",$B75)),ISNUMBER(SEARCH("ÓLEO DE COCO",$B75)),ISNUMBER(SEARCH("COPRA",$B75))),"ÓLEO DE COCO",IF(ISNUMBER(SEARCH("CORANTE",$B75)),"CORANTE",TRIM($B75)))),CONFIG_PALETES!$B:$B,$C75&amp;" ml")&gt;0,SUMIFS(CONFIG_PALETES!$D:$D,CONFIG_PALETES!$A:$A,IF(ISNUMBER(SEARCH("ESPUMA",$B75)),"ESPUMA",IF(OR(ISNUMBER(SEARCH("OLEO DE COCO",$B75)),ISNUMBER(SEARCH("ÓLEO DE COCO",$B75)),ISNUMBER(SEARCH("COPRA",$B75))),"ÓLEO DE COCO",IF(ISNUMBER(SEARCH("CORANTE",$B75)),"CORANTE",TRIM($B75)))),CONFIG_PALETES!$B:$B,$C75&amp;" ml"),IF(SUMIFS(CONFIG_PALETES!$D:$D,CONFIG_PALETES!$A:$A,"GERAL",CONFIG_PALETES!$B:$B,$C75&amp;" ml")&gt;0,SUMIFS(CONFIG_PALETES!$D:$D,CONFIG_PALETES!$A:$A,"GERAL",CONFIG_PALETES!$B:$B,$C75&amp;" ml"),12)))</f>
        <v/>
      </c>
      <c r="J75" s="82" t="str">
        <f>IF(D75="","",ROUNDUP(D75/IF(AND(C75="600 ml",ISNUMBER(SEARCH("NORCAU",B75))),95,IF(AND(C75="600 ml",ISNUMBER(SEARCH("APURATOS",B75))),190,IF(C75="600 ml",95,IF(C75="400 ml",125,IF(C75="200 ml",330,IF(C75="180 ml",240,1)))))),0))</f>
        <v/>
      </c>
      <c r="L75" s="81" t="str">
        <f>IF(H75="","",H75)</f>
        <v/>
      </c>
      <c r="N75" s="80" t="str">
        <f t="shared" si="14"/>
        <v/>
      </c>
      <c r="P75"/>
      <c r="Q75" s="589"/>
      <c r="R75" s="591"/>
      <c r="S75"/>
      <c r="AA75" t="s">
        <v>482</v>
      </c>
      <c r="AB75" t="s">
        <v>1422</v>
      </c>
    </row>
    <row r="76" spans="1:28" ht="21" customHeight="1" x14ac:dyDescent="0.3">
      <c r="A76" s="771"/>
      <c r="B76" s="772"/>
      <c r="C76" s="773"/>
      <c r="D76" s="774"/>
      <c r="E76" s="775"/>
      <c r="F76" s="865"/>
      <c r="G76" s="776"/>
      <c r="H76" s="777"/>
      <c r="I76" s="774"/>
      <c r="J76" s="85" t="str">
        <f>IF(D76="","",ROUNDUP(D76/IF(AND(C76="600 ml",ISNUMBER(SEARCH("NORCAU",B76))),95,IF(AND(C76="600 ml",ISNUMBER(SEARCH("APURATOS",B76))),190,IF(C76="600 ml",95,IF(C76="400 ml",125,IF(C76="200 ml",330,IF(C76="180 ml",240,1)))))),0))</f>
        <v/>
      </c>
      <c r="L76" s="84" t="str">
        <f>IF(H76="","",H76)</f>
        <v/>
      </c>
      <c r="N76" s="83" t="str">
        <f t="shared" si="14"/>
        <v/>
      </c>
      <c r="P76"/>
      <c r="Q76" s="589"/>
      <c r="R76" s="591"/>
      <c r="S76"/>
      <c r="AA76" t="s">
        <v>1192</v>
      </c>
      <c r="AB76" t="s">
        <v>1422</v>
      </c>
    </row>
    <row r="77" spans="1:28" ht="15" customHeight="1" x14ac:dyDescent="0.3">
      <c r="A77" s="853"/>
      <c r="B77" s="837" t="s">
        <v>186</v>
      </c>
      <c r="C77" s="838"/>
      <c r="D77" s="839">
        <f>SUM(D70:D76)</f>
        <v>1710</v>
      </c>
      <c r="E77" s="837"/>
      <c r="F77" s="854" t="s">
        <v>1400</v>
      </c>
      <c r="G77" s="840">
        <f>SUM(G70:G76)</f>
        <v>16</v>
      </c>
      <c r="H77" s="839">
        <f>SUM(H70:H76)</f>
        <v>1431</v>
      </c>
      <c r="I77" s="839">
        <f>SUM(I70:I76)</f>
        <v>17172</v>
      </c>
      <c r="J77" s="98">
        <f>SUM(D72:D76)</f>
        <v>1710</v>
      </c>
      <c r="K77" s="67">
        <f>SUM(G72:G76)</f>
        <v>16</v>
      </c>
      <c r="L77" s="97">
        <f>SUM(H72:H76)</f>
        <v>1431</v>
      </c>
      <c r="M77" s="67">
        <f>SUM(I72:I76)</f>
        <v>17172</v>
      </c>
      <c r="N77" s="96">
        <f t="shared" si="14"/>
        <v>17172</v>
      </c>
      <c r="O77" s="1">
        <f>SUM(N73:N76)</f>
        <v>17172</v>
      </c>
      <c r="P77"/>
      <c r="Q77" s="586" cm="1">
        <f t="array" ref="Q77">IF(H77=0,"",SUMPRODUCT(IFERROR(INT(H72:H76/F72:F76),0)))</f>
        <v>13</v>
      </c>
      <c r="R77" s="769">
        <f>IF(Q77="","",MAX(0,G77-Q77))</f>
        <v>3</v>
      </c>
      <c r="S77"/>
      <c r="AA77" t="s">
        <v>480</v>
      </c>
      <c r="AB77" t="s">
        <v>1422</v>
      </c>
    </row>
    <row r="78" spans="1:28" ht="15" customHeight="1" x14ac:dyDescent="0.3">
      <c r="A78" s="778"/>
      <c r="B78" s="779"/>
      <c r="C78" s="780"/>
      <c r="D78" s="781"/>
      <c r="E78" s="781"/>
      <c r="F78" s="781"/>
      <c r="G78" s="781"/>
      <c r="H78" s="781"/>
      <c r="I78" s="781"/>
      <c r="J78" s="1" t="str">
        <f>IF(D78="","",ROUNDUP(D78/IF(AND(C78="600 ml",ISNUMBER(SEARCH("NORCAU",B78))),95,IF(AND(C78="600 ml",ISNUMBER(SEARCH("APURATOS",B78))),190,IF(C78="600 ml",95,IF(C78="400 ml",125,IF(C78="200 ml",330,IF(C78="180 ml",240,1)))))),0))</f>
        <v/>
      </c>
      <c r="L78" s="1" t="str">
        <f>IF(H78="","",H78)</f>
        <v/>
      </c>
      <c r="N78" s="1" t="str">
        <f t="shared" si="14"/>
        <v/>
      </c>
      <c r="P78"/>
      <c r="Q78" s="589"/>
      <c r="R78" s="591"/>
      <c r="S78"/>
      <c r="AA78" t="s">
        <v>1414</v>
      </c>
      <c r="AB78" t="s">
        <v>1422</v>
      </c>
    </row>
    <row r="79" spans="1:28" ht="15" customHeight="1" x14ac:dyDescent="0.3">
      <c r="A79" s="390">
        <v>46066</v>
      </c>
      <c r="B79" s="393" t="s">
        <v>49</v>
      </c>
      <c r="C79" s="391" t="s">
        <v>176</v>
      </c>
      <c r="D79" s="392" t="s">
        <v>177</v>
      </c>
      <c r="E79" s="392" t="s">
        <v>178</v>
      </c>
      <c r="F79" s="858" t="s">
        <v>179</v>
      </c>
      <c r="G79" s="392" t="s">
        <v>180</v>
      </c>
      <c r="H79" s="392" t="s">
        <v>181</v>
      </c>
      <c r="I79" s="392" t="s">
        <v>182</v>
      </c>
      <c r="J79" s="72"/>
      <c r="K79" s="72"/>
      <c r="L79" s="87"/>
      <c r="M79" s="72"/>
      <c r="N79" s="87"/>
      <c r="P79"/>
      <c r="Q79" s="589"/>
      <c r="R79" s="591"/>
      <c r="S79"/>
      <c r="AA79" t="s">
        <v>582</v>
      </c>
      <c r="AB79" t="s">
        <v>1422</v>
      </c>
    </row>
    <row r="80" spans="1:28" ht="21" customHeight="1" x14ac:dyDescent="0.3">
      <c r="A80" s="390"/>
      <c r="B80" s="394"/>
      <c r="C80" s="395"/>
      <c r="D80" s="396"/>
      <c r="E80" s="397"/>
      <c r="F80" s="864"/>
      <c r="G80" s="398"/>
      <c r="H80" s="399"/>
      <c r="I80" s="396"/>
      <c r="J80" s="85" t="str">
        <f t="shared" ref="J80:J88" si="15">IF(D80="","",ROUNDUP(D80/IF(AND(C80="600 ml",ISNUMBER(SEARCH("NORCAU",B80))),95,IF(AND(C80="600 ml",ISNUMBER(SEARCH("APURATOS",B80))),190,IF(C80="600 ml",95,IF(C80="400 ml",125,IF(C80="200 ml",330,IF(C80="180 ml",240,1)))))),0))</f>
        <v/>
      </c>
      <c r="L80" s="84" t="str">
        <f t="shared" ref="L80:L88" si="16">IF(H80="","",H80)</f>
        <v/>
      </c>
      <c r="N80" s="83" t="str">
        <f t="shared" ref="N80:N90" si="17">IF(I80="","",I80)</f>
        <v/>
      </c>
      <c r="P80"/>
      <c r="Q80" s="589"/>
      <c r="R80" s="591"/>
      <c r="S80"/>
      <c r="AA80" t="s">
        <v>1207</v>
      </c>
      <c r="AB80" t="s">
        <v>1422</v>
      </c>
    </row>
    <row r="81" spans="1:28" ht="21" customHeight="1" x14ac:dyDescent="0.3">
      <c r="A81" s="657">
        <v>400</v>
      </c>
      <c r="B81" s="394" t="s">
        <v>29</v>
      </c>
      <c r="C81" s="395">
        <v>400</v>
      </c>
      <c r="D81" s="396">
        <f>D73-L73</f>
        <v>279</v>
      </c>
      <c r="E81" s="397" t="s">
        <v>184</v>
      </c>
      <c r="F81" s="864">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110</v>
      </c>
      <c r="G81" s="398">
        <f t="shared" ref="G81:G87" si="18">IFERROR(ROUNDUP(D81/F81,0),"")</f>
        <v>3</v>
      </c>
      <c r="H81" s="399">
        <v>287</v>
      </c>
      <c r="I81" s="396">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3444</v>
      </c>
      <c r="J81" s="82">
        <f t="shared" si="15"/>
        <v>279</v>
      </c>
      <c r="L81" s="81">
        <f t="shared" si="16"/>
        <v>287</v>
      </c>
      <c r="M81" s="70"/>
      <c r="N81" s="80">
        <f t="shared" si="17"/>
        <v>3444</v>
      </c>
      <c r="P81"/>
      <c r="Q81" s="589"/>
      <c r="R81" s="591"/>
      <c r="S81"/>
      <c r="AA81" t="s">
        <v>486</v>
      </c>
      <c r="AB81" t="s">
        <v>1422</v>
      </c>
    </row>
    <row r="82" spans="1:28" ht="21" customHeight="1" x14ac:dyDescent="0.3">
      <c r="A82" s="657"/>
      <c r="B82" s="394" t="s">
        <v>189</v>
      </c>
      <c r="C82" s="395">
        <v>400</v>
      </c>
      <c r="D82" s="396">
        <v>200</v>
      </c>
      <c r="E82" s="397" t="s">
        <v>184</v>
      </c>
      <c r="F82" s="864">
        <f>IF($B82="","",IF(SUMIFS(CONFIG_PALETES!$C:$C,CONFIG_PALETES!$A:$A,TRIM($B82),CONFIG_PALETES!$B:$B,$C82&amp;" ml")&gt;0,SUMIFS(CONFIG_PALETES!$C:$C,CONFIG_PALETES!$A:$A,TRIM($B82),CONFIG_PALETES!$B:$B,$C82&amp;" ml"),IF(SUMIFS(CONFIG_PALETES!$C:$C,CONFIG_PALETES!$A:$A,"GERAL",CONFIG_PALETES!$B:$B,$C82&amp;" ml")&gt;0,SUMIFS(CONFIG_PALETES!$C:$C,CONFIG_PALETES!$A:$A,"GERAL",CONFIG_PALETES!$B:$B,$C82&amp;" ml"),"")))</f>
        <v>125</v>
      </c>
      <c r="G82" s="398">
        <f t="shared" si="18"/>
        <v>2</v>
      </c>
      <c r="H82" s="399">
        <v>202</v>
      </c>
      <c r="I82" s="396">
        <f>IF(H82="","",H82*IF(SUMIFS(CONFIG_PALETES!$D:$D,CONFIG_PALETES!$A:$A,IF(ISNUMBER(SEARCH("ESPUMA",$B82)),"ESPUMA",IF(OR(ISNUMBER(SEARCH("OLEO DE COCO",$B82)),ISNUMBER(SEARCH("ÓLEO DE COCO",$B82)),ISNUMBER(SEARCH("COPRA",$B82))),"ÓLEO DE COCO",IF(ISNUMBER(SEARCH("CORANTE",$B82)),"CORANTE",TRIM($B82)))),CONFIG_PALETES!$B:$B,$C82&amp;" ml")&gt;0,SUMIFS(CONFIG_PALETES!$D:$D,CONFIG_PALETES!$A:$A,IF(ISNUMBER(SEARCH("ESPUMA",$B82)),"ESPUMA",IF(OR(ISNUMBER(SEARCH("OLEO DE COCO",$B82)),ISNUMBER(SEARCH("ÓLEO DE COCO",$B82)),ISNUMBER(SEARCH("COPRA",$B82))),"ÓLEO DE COCO",IF(ISNUMBER(SEARCH("CORANTE",$B82)),"CORANTE",TRIM($B82)))),CONFIG_PALETES!$B:$B,$C82&amp;" ml"),IF(SUMIFS(CONFIG_PALETES!$D:$D,CONFIG_PALETES!$A:$A,"GERAL",CONFIG_PALETES!$B:$B,$C82&amp;" ml")&gt;0,SUMIFS(CONFIG_PALETES!$D:$D,CONFIG_PALETES!$A:$A,"GERAL",CONFIG_PALETES!$B:$B,$C82&amp;" ml"),12)))</f>
        <v>2424</v>
      </c>
      <c r="J82" s="85">
        <f t="shared" si="15"/>
        <v>200</v>
      </c>
      <c r="L82" s="84">
        <f t="shared" si="16"/>
        <v>202</v>
      </c>
      <c r="M82" s="70"/>
      <c r="N82" s="83">
        <f t="shared" si="17"/>
        <v>2424</v>
      </c>
      <c r="P82"/>
      <c r="Q82" s="589"/>
      <c r="R82" s="591"/>
      <c r="S82"/>
      <c r="AA82" t="s">
        <v>485</v>
      </c>
      <c r="AB82" t="s">
        <v>1422</v>
      </c>
    </row>
    <row r="83" spans="1:28" ht="21" customHeight="1" x14ac:dyDescent="0.3">
      <c r="A83" s="390"/>
      <c r="B83" s="394" t="s">
        <v>282</v>
      </c>
      <c r="C83" s="395">
        <v>400</v>
      </c>
      <c r="D83" s="396">
        <v>250</v>
      </c>
      <c r="E83" s="397" t="s">
        <v>184</v>
      </c>
      <c r="F83" s="864">
        <f>IF($B83="","",IF(SUMIFS(CONFIG_PALETES!$C:$C,CONFIG_PALETES!$A:$A,TRIM($B83),CONFIG_PALETES!$B:$B,$C83&amp;" ml")&gt;0,SUMIFS(CONFIG_PALETES!$C:$C,CONFIG_PALETES!$A:$A,TRIM($B83),CONFIG_PALETES!$B:$B,$C83&amp;" ml"),IF(SUMIFS(CONFIG_PALETES!$C:$C,CONFIG_PALETES!$A:$A,"GERAL",CONFIG_PALETES!$B:$B,$C83&amp;" ml")&gt;0,SUMIFS(CONFIG_PALETES!$C:$C,CONFIG_PALETES!$A:$A,"GERAL",CONFIG_PALETES!$B:$B,$C83&amp;" ml"),"")))</f>
        <v>125</v>
      </c>
      <c r="G83" s="398">
        <f t="shared" si="18"/>
        <v>2</v>
      </c>
      <c r="H83" s="399">
        <v>252</v>
      </c>
      <c r="I83" s="396">
        <f>IF(H83="","",H83*IF(SUMIFS(CONFIG_PALETES!$D:$D,CONFIG_PALETES!$A:$A,IF(ISNUMBER(SEARCH("ESPUMA",$B83)),"ESPUMA",IF(OR(ISNUMBER(SEARCH("OLEO DE COCO",$B83)),ISNUMBER(SEARCH("ÓLEO DE COCO",$B83)),ISNUMBER(SEARCH("COPRA",$B83))),"ÓLEO DE COCO",IF(ISNUMBER(SEARCH("CORANTE",$B83)),"CORANTE",TRIM($B83)))),CONFIG_PALETES!$B:$B,$C83&amp;" ml")&gt;0,SUMIFS(CONFIG_PALETES!$D:$D,CONFIG_PALETES!$A:$A,IF(ISNUMBER(SEARCH("ESPUMA",$B83)),"ESPUMA",IF(OR(ISNUMBER(SEARCH("OLEO DE COCO",$B83)),ISNUMBER(SEARCH("ÓLEO DE COCO",$B83)),ISNUMBER(SEARCH("COPRA",$B83))),"ÓLEO DE COCO",IF(ISNUMBER(SEARCH("CORANTE",$B83)),"CORANTE",TRIM($B83)))),CONFIG_PALETES!$B:$B,$C83&amp;" ml"),IF(SUMIFS(CONFIG_PALETES!$D:$D,CONFIG_PALETES!$A:$A,"GERAL",CONFIG_PALETES!$B:$B,$C83&amp;" ml")&gt;0,SUMIFS(CONFIG_PALETES!$D:$D,CONFIG_PALETES!$A:$A,"GERAL",CONFIG_PALETES!$B:$B,$C83&amp;" ml"),12)))</f>
        <v>3024</v>
      </c>
      <c r="J83" s="82">
        <f t="shared" si="15"/>
        <v>250</v>
      </c>
      <c r="L83" s="81">
        <f t="shared" si="16"/>
        <v>252</v>
      </c>
      <c r="N83" s="80">
        <f t="shared" si="17"/>
        <v>3024</v>
      </c>
      <c r="P83"/>
      <c r="Q83" s="589"/>
      <c r="R83" s="591"/>
      <c r="S83"/>
      <c r="AA83" t="s">
        <v>583</v>
      </c>
      <c r="AB83" t="s">
        <v>1422</v>
      </c>
    </row>
    <row r="84" spans="1:28" ht="21" customHeight="1" x14ac:dyDescent="0.3">
      <c r="A84" s="390"/>
      <c r="B84" s="394" t="s">
        <v>135</v>
      </c>
      <c r="C84" s="395">
        <v>400</v>
      </c>
      <c r="D84" s="396">
        <v>250</v>
      </c>
      <c r="E84" s="397" t="s">
        <v>184</v>
      </c>
      <c r="F84" s="864">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125</v>
      </c>
      <c r="G84" s="398">
        <f t="shared" si="18"/>
        <v>2</v>
      </c>
      <c r="H84" s="399">
        <v>61</v>
      </c>
      <c r="I84" s="396">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732</v>
      </c>
      <c r="J84" s="85">
        <f t="shared" si="15"/>
        <v>250</v>
      </c>
      <c r="L84" s="84">
        <f t="shared" si="16"/>
        <v>61</v>
      </c>
      <c r="N84" s="83">
        <f t="shared" si="17"/>
        <v>732</v>
      </c>
      <c r="P84"/>
      <c r="Q84" s="589"/>
      <c r="R84" s="591"/>
      <c r="S84"/>
      <c r="AA84" t="s">
        <v>584</v>
      </c>
      <c r="AB84" t="s">
        <v>1422</v>
      </c>
    </row>
    <row r="85" spans="1:28" ht="21" customHeight="1" x14ac:dyDescent="0.3">
      <c r="A85" s="390"/>
      <c r="B85" s="394" t="s">
        <v>236</v>
      </c>
      <c r="C85" s="395">
        <v>400</v>
      </c>
      <c r="D85" s="396">
        <v>125</v>
      </c>
      <c r="E85" s="397" t="s">
        <v>184</v>
      </c>
      <c r="F85" s="864">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125</v>
      </c>
      <c r="G85" s="398">
        <f t="shared" si="18"/>
        <v>1</v>
      </c>
      <c r="H85" s="399"/>
      <c r="I85" s="396"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J85" s="82">
        <f t="shared" si="15"/>
        <v>125</v>
      </c>
      <c r="L85" s="81" t="str">
        <f t="shared" si="16"/>
        <v/>
      </c>
      <c r="N85" s="80" t="str">
        <f t="shared" si="17"/>
        <v/>
      </c>
      <c r="P85"/>
      <c r="Q85" s="589"/>
      <c r="R85" s="591"/>
      <c r="S85"/>
      <c r="AA85" t="s">
        <v>579</v>
      </c>
      <c r="AB85" t="s">
        <v>1422</v>
      </c>
    </row>
    <row r="86" spans="1:28" ht="21" customHeight="1" x14ac:dyDescent="0.3">
      <c r="A86" s="390"/>
      <c r="B86" s="394" t="s">
        <v>72</v>
      </c>
      <c r="C86" s="395">
        <v>400</v>
      </c>
      <c r="D86" s="396">
        <v>125</v>
      </c>
      <c r="E86" s="397" t="s">
        <v>184</v>
      </c>
      <c r="F86" s="864">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125</v>
      </c>
      <c r="G86" s="398">
        <f t="shared" si="18"/>
        <v>1</v>
      </c>
      <c r="H86" s="399"/>
      <c r="I86" s="396"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J86" s="1">
        <f t="shared" si="15"/>
        <v>125</v>
      </c>
      <c r="L86" s="70" t="str">
        <f t="shared" si="16"/>
        <v/>
      </c>
      <c r="N86" s="69" t="str">
        <f t="shared" si="17"/>
        <v/>
      </c>
      <c r="P86"/>
      <c r="Q86" s="589"/>
      <c r="R86" s="591"/>
      <c r="S86"/>
      <c r="AA86" t="s">
        <v>484</v>
      </c>
      <c r="AB86" t="s">
        <v>1422</v>
      </c>
    </row>
    <row r="87" spans="1:28" ht="21" customHeight="1" x14ac:dyDescent="0.3">
      <c r="A87" s="390"/>
      <c r="B87" s="394"/>
      <c r="C87" s="395"/>
      <c r="D87" s="396"/>
      <c r="E87" s="397" t="s">
        <v>184</v>
      </c>
      <c r="F87" s="864"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398" t="str">
        <f t="shared" si="18"/>
        <v/>
      </c>
      <c r="H87" s="399"/>
      <c r="I87" s="396"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J87" s="1" t="str">
        <f t="shared" si="15"/>
        <v/>
      </c>
      <c r="L87" s="70" t="str">
        <f t="shared" si="16"/>
        <v/>
      </c>
      <c r="N87" s="69" t="str">
        <f t="shared" si="17"/>
        <v/>
      </c>
      <c r="P87"/>
      <c r="Q87" s="589"/>
      <c r="R87" s="591"/>
      <c r="S87"/>
      <c r="AA87" t="s">
        <v>580</v>
      </c>
      <c r="AB87" t="s">
        <v>1422</v>
      </c>
    </row>
    <row r="88" spans="1:28" ht="21" customHeight="1" x14ac:dyDescent="0.3">
      <c r="A88" s="771"/>
      <c r="B88" s="772"/>
      <c r="C88" s="773"/>
      <c r="D88" s="774"/>
      <c r="E88" s="775"/>
      <c r="F88" s="865"/>
      <c r="G88" s="776"/>
      <c r="H88" s="777"/>
      <c r="I88" s="774"/>
      <c r="J88" s="1" t="str">
        <f t="shared" si="15"/>
        <v/>
      </c>
      <c r="L88" s="70" t="str">
        <f t="shared" si="16"/>
        <v/>
      </c>
      <c r="N88" s="69" t="str">
        <f t="shared" si="17"/>
        <v/>
      </c>
      <c r="P88"/>
      <c r="Q88" s="589"/>
      <c r="R88" s="591"/>
      <c r="S88"/>
      <c r="AA88" t="s">
        <v>585</v>
      </c>
      <c r="AB88" t="s">
        <v>1422</v>
      </c>
    </row>
    <row r="89" spans="1:28" ht="15" customHeight="1" x14ac:dyDescent="0.3">
      <c r="A89" s="853"/>
      <c r="B89" s="837" t="s">
        <v>186</v>
      </c>
      <c r="C89" s="838"/>
      <c r="D89" s="839">
        <f>SUM(D82:D88)</f>
        <v>950</v>
      </c>
      <c r="E89" s="837"/>
      <c r="F89" s="854" t="s">
        <v>1400</v>
      </c>
      <c r="G89" s="840">
        <f>SUM(G82:G88)</f>
        <v>8</v>
      </c>
      <c r="H89" s="839">
        <f>SUM(H82:H88)</f>
        <v>515</v>
      </c>
      <c r="I89" s="839">
        <f>SUM(I82:I88)</f>
        <v>6180</v>
      </c>
      <c r="J89" s="67">
        <f>SUM(D80:D88)</f>
        <v>1229</v>
      </c>
      <c r="K89" s="67">
        <f>SUM(G80:G88)</f>
        <v>11</v>
      </c>
      <c r="L89" s="89">
        <f>SUM(H80:H88)</f>
        <v>802</v>
      </c>
      <c r="M89" s="67">
        <f>SUM(I80:I88)</f>
        <v>9624</v>
      </c>
      <c r="N89" s="88">
        <f t="shared" si="17"/>
        <v>6180</v>
      </c>
      <c r="O89" s="1">
        <f>SUM(N81:N88)</f>
        <v>9624</v>
      </c>
      <c r="P89"/>
      <c r="Q89" s="586" cm="1">
        <f t="array" ref="Q89">IF(H89=0,"",SUMPRODUCT(IFERROR(INT(H80:H88/F80:F88),0)))</f>
        <v>5</v>
      </c>
      <c r="R89" s="769">
        <f>IF(Q89="","",MAX(0,G89-Q89))</f>
        <v>3</v>
      </c>
      <c r="S89"/>
      <c r="AA89" t="s">
        <v>586</v>
      </c>
      <c r="AB89" t="s">
        <v>1422</v>
      </c>
    </row>
    <row r="90" spans="1:28" ht="15" customHeight="1" x14ac:dyDescent="0.3">
      <c r="A90" s="778"/>
      <c r="B90" s="779"/>
      <c r="C90" s="780"/>
      <c r="D90" s="781"/>
      <c r="E90" s="781"/>
      <c r="F90" s="781"/>
      <c r="G90" s="781"/>
      <c r="H90" s="781"/>
      <c r="I90" s="781"/>
      <c r="J90" s="1" t="str">
        <f>IF(D90="","",ROUNDUP(D90/IF(AND(C90="600 ml",ISNUMBER(SEARCH("NORCAU",B90))),95,IF(AND(C90="600 ml",ISNUMBER(SEARCH("APURATOS",B90))),190,IF(C90="600 ml",95,IF(C90="400 ml",125,IF(C90="200 ml",330,IF(C90="180 ml",240,1)))))),0))</f>
        <v/>
      </c>
      <c r="L90" s="1" t="str">
        <f>IF(H90="","",H90)</f>
        <v/>
      </c>
      <c r="N90" s="1" t="str">
        <f t="shared" si="17"/>
        <v/>
      </c>
      <c r="P90"/>
      <c r="Q90" s="589"/>
      <c r="R90" s="591"/>
      <c r="S90"/>
      <c r="AA90" t="s">
        <v>194</v>
      </c>
      <c r="AB90" t="s">
        <v>1422</v>
      </c>
    </row>
    <row r="91" spans="1:28" ht="15" customHeight="1" x14ac:dyDescent="0.3">
      <c r="A91" s="390">
        <v>46071</v>
      </c>
      <c r="B91" s="393" t="s">
        <v>49</v>
      </c>
      <c r="C91" s="391" t="s">
        <v>176</v>
      </c>
      <c r="D91" s="392" t="s">
        <v>177</v>
      </c>
      <c r="E91" s="392" t="s">
        <v>178</v>
      </c>
      <c r="F91" s="858" t="s">
        <v>179</v>
      </c>
      <c r="G91" s="392" t="s">
        <v>180</v>
      </c>
      <c r="H91" s="392" t="s">
        <v>181</v>
      </c>
      <c r="I91" s="392" t="s">
        <v>182</v>
      </c>
      <c r="J91" s="72"/>
      <c r="K91" s="72"/>
      <c r="L91" s="87"/>
      <c r="M91" s="72"/>
      <c r="N91" s="87"/>
      <c r="P91"/>
      <c r="Q91" s="589"/>
      <c r="R91" s="591"/>
      <c r="S91"/>
      <c r="AA91" t="s">
        <v>35</v>
      </c>
      <c r="AB91" t="s">
        <v>1425</v>
      </c>
    </row>
    <row r="92" spans="1:28" ht="21" customHeight="1" x14ac:dyDescent="0.3">
      <c r="A92" s="390"/>
      <c r="B92" s="394"/>
      <c r="C92" s="395"/>
      <c r="D92" s="396"/>
      <c r="E92" s="397"/>
      <c r="F92" s="864"/>
      <c r="G92" s="398"/>
      <c r="H92" s="399"/>
      <c r="I92" s="396"/>
      <c r="J92" s="85" t="str">
        <f t="shared" ref="J92:J98" si="19">IF(D92="","",ROUNDUP(D92/IF(AND(C92="600 ml",ISNUMBER(SEARCH("NORCAU",B92))),95,IF(AND(C92="600 ml",ISNUMBER(SEARCH("APURATOS",B92))),190,IF(C92="600 ml",95,IF(C92="400 ml",125,IF(C92="200 ml",330,IF(C92="180 ml",240,1)))))),0))</f>
        <v/>
      </c>
      <c r="L92" s="84" t="str">
        <f t="shared" ref="L92:L98" si="20">IF(H92="","",H92)</f>
        <v/>
      </c>
      <c r="N92" s="83" t="str">
        <f t="shared" ref="N92:N100" si="21">IF(I92="","",I92)</f>
        <v/>
      </c>
      <c r="P92"/>
      <c r="Q92" s="589"/>
      <c r="R92" s="591"/>
      <c r="S92"/>
      <c r="AA92" t="s">
        <v>597</v>
      </c>
      <c r="AB92" t="s">
        <v>1425</v>
      </c>
    </row>
    <row r="93" spans="1:28" ht="21" customHeight="1" x14ac:dyDescent="0.3">
      <c r="A93" s="657">
        <v>400</v>
      </c>
      <c r="B93" s="394" t="s">
        <v>135</v>
      </c>
      <c r="C93" s="395">
        <v>400</v>
      </c>
      <c r="D93" s="396">
        <f>D84-L84</f>
        <v>189</v>
      </c>
      <c r="E93" s="397" t="s">
        <v>184</v>
      </c>
      <c r="F93" s="864">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125</v>
      </c>
      <c r="G93" s="398">
        <f>IFERROR(ROUNDUP(D93/F93,0),"")</f>
        <v>2</v>
      </c>
      <c r="H93" s="399">
        <v>192</v>
      </c>
      <c r="I93" s="396">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2304</v>
      </c>
      <c r="J93" s="82">
        <f t="shared" si="19"/>
        <v>189</v>
      </c>
      <c r="L93" s="81">
        <f t="shared" si="20"/>
        <v>192</v>
      </c>
      <c r="N93" s="80">
        <f t="shared" si="21"/>
        <v>2304</v>
      </c>
      <c r="P93"/>
      <c r="Q93" s="589"/>
      <c r="R93" s="591"/>
      <c r="S93"/>
      <c r="AA93" t="s">
        <v>196</v>
      </c>
      <c r="AB93" t="s">
        <v>1429</v>
      </c>
    </row>
    <row r="94" spans="1:28" ht="21" customHeight="1" x14ac:dyDescent="0.3">
      <c r="A94" s="657"/>
      <c r="B94" s="394" t="s">
        <v>236</v>
      </c>
      <c r="C94" s="395">
        <v>400</v>
      </c>
      <c r="D94" s="396">
        <v>125</v>
      </c>
      <c r="E94" s="397" t="s">
        <v>184</v>
      </c>
      <c r="F94" s="864">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125</v>
      </c>
      <c r="G94" s="398">
        <f>IFERROR(ROUNDUP(D94/F94,0),"")</f>
        <v>1</v>
      </c>
      <c r="H94" s="399">
        <v>229</v>
      </c>
      <c r="I94" s="396">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2748</v>
      </c>
      <c r="J94" s="85">
        <f t="shared" si="19"/>
        <v>125</v>
      </c>
      <c r="L94" s="84">
        <f t="shared" si="20"/>
        <v>229</v>
      </c>
      <c r="N94" s="83">
        <f t="shared" si="21"/>
        <v>2748</v>
      </c>
      <c r="P94"/>
      <c r="Q94" s="589"/>
      <c r="R94" s="591"/>
      <c r="S94"/>
      <c r="AA94" t="s">
        <v>298</v>
      </c>
      <c r="AB94" t="s">
        <v>1422</v>
      </c>
    </row>
    <row r="95" spans="1:28" ht="21" customHeight="1" x14ac:dyDescent="0.3">
      <c r="A95" s="657"/>
      <c r="B95" s="394" t="s">
        <v>72</v>
      </c>
      <c r="C95" s="395">
        <v>400</v>
      </c>
      <c r="D95" s="396">
        <v>125</v>
      </c>
      <c r="E95" s="397" t="s">
        <v>184</v>
      </c>
      <c r="F95" s="864">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125</v>
      </c>
      <c r="G95" s="398">
        <f>IFERROR(ROUNDUP(D95/F95,0),"")</f>
        <v>1</v>
      </c>
      <c r="H95" s="399">
        <v>18</v>
      </c>
      <c r="I95" s="396">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216</v>
      </c>
      <c r="J95" s="82">
        <f t="shared" si="19"/>
        <v>125</v>
      </c>
      <c r="L95" s="81">
        <f t="shared" si="20"/>
        <v>18</v>
      </c>
      <c r="N95" s="80">
        <f t="shared" si="21"/>
        <v>216</v>
      </c>
      <c r="P95"/>
      <c r="Q95" s="589"/>
      <c r="R95" s="591"/>
      <c r="S95"/>
      <c r="AA95" t="s">
        <v>191</v>
      </c>
      <c r="AB95" t="s">
        <v>1422</v>
      </c>
    </row>
    <row r="96" spans="1:28" ht="21" customHeight="1" x14ac:dyDescent="0.3">
      <c r="A96" s="657"/>
      <c r="B96" s="394"/>
      <c r="C96" s="395"/>
      <c r="D96" s="396"/>
      <c r="E96" s="397" t="s">
        <v>184</v>
      </c>
      <c r="F96" s="864"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398" t="str">
        <f>IFERROR(ROUNDUP(D96/F96,0),"")</f>
        <v/>
      </c>
      <c r="H96" s="399"/>
      <c r="I96" s="396"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J96" s="85" t="str">
        <f t="shared" si="19"/>
        <v/>
      </c>
      <c r="L96" s="84" t="str">
        <f t="shared" si="20"/>
        <v/>
      </c>
      <c r="M96" s="70"/>
      <c r="N96" s="83" t="str">
        <f t="shared" si="21"/>
        <v/>
      </c>
      <c r="P96"/>
      <c r="Q96" s="589"/>
      <c r="R96" s="591"/>
      <c r="S96"/>
      <c r="AA96" t="s">
        <v>190</v>
      </c>
      <c r="AB96" t="s">
        <v>1422</v>
      </c>
    </row>
    <row r="97" spans="1:28" ht="21" customHeight="1" x14ac:dyDescent="0.3">
      <c r="A97" s="390"/>
      <c r="B97" s="394"/>
      <c r="C97" s="395"/>
      <c r="D97" s="396"/>
      <c r="E97" s="397" t="s">
        <v>184</v>
      </c>
      <c r="F97" s="864" t="str">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
      </c>
      <c r="G97" s="398" t="str">
        <f>IFERROR(ROUNDUP(D97/F97,0),"")</f>
        <v/>
      </c>
      <c r="H97" s="399"/>
      <c r="I97" s="396" t="str">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
      </c>
      <c r="J97" s="82" t="str">
        <f t="shared" si="19"/>
        <v/>
      </c>
      <c r="L97" s="81" t="str">
        <f t="shared" si="20"/>
        <v/>
      </c>
      <c r="N97" s="80" t="str">
        <f t="shared" si="21"/>
        <v/>
      </c>
      <c r="P97"/>
      <c r="Q97" s="589"/>
      <c r="R97" s="591"/>
      <c r="S97"/>
      <c r="AA97" t="s">
        <v>594</v>
      </c>
      <c r="AB97" t="s">
        <v>1424</v>
      </c>
    </row>
    <row r="98" spans="1:28" ht="21" customHeight="1" x14ac:dyDescent="0.3">
      <c r="A98" s="771"/>
      <c r="B98" s="772"/>
      <c r="C98" s="773"/>
      <c r="D98" s="774"/>
      <c r="E98" s="775"/>
      <c r="F98" s="865"/>
      <c r="G98" s="776"/>
      <c r="H98" s="777"/>
      <c r="I98" s="774"/>
      <c r="J98" s="1" t="str">
        <f t="shared" si="19"/>
        <v/>
      </c>
      <c r="L98" s="70" t="str">
        <f t="shared" si="20"/>
        <v/>
      </c>
      <c r="N98" s="69" t="str">
        <f t="shared" si="21"/>
        <v/>
      </c>
      <c r="P98"/>
      <c r="Q98" s="589"/>
      <c r="R98" s="591"/>
      <c r="S98"/>
      <c r="AA98" t="s">
        <v>1061</v>
      </c>
      <c r="AB98" t="s">
        <v>1429</v>
      </c>
    </row>
    <row r="99" spans="1:28" ht="15" customHeight="1" x14ac:dyDescent="0.3">
      <c r="A99" s="853"/>
      <c r="B99" s="837" t="s">
        <v>186</v>
      </c>
      <c r="C99" s="838"/>
      <c r="D99" s="839">
        <f>SUM(D92:D98)</f>
        <v>439</v>
      </c>
      <c r="E99" s="837"/>
      <c r="F99" s="854" t="s">
        <v>1400</v>
      </c>
      <c r="G99" s="840">
        <f>SUM(G92:G98)</f>
        <v>4</v>
      </c>
      <c r="H99" s="839">
        <f>SUM(H92:H98)</f>
        <v>439</v>
      </c>
      <c r="I99" s="839">
        <f>SUM(I92:I98)</f>
        <v>5268</v>
      </c>
      <c r="J99" s="67">
        <f>SUM(D92:D98)</f>
        <v>439</v>
      </c>
      <c r="K99" s="67">
        <f>SUM(G92:G98)</f>
        <v>4</v>
      </c>
      <c r="L99" s="89">
        <f>SUM(H92:H98)</f>
        <v>439</v>
      </c>
      <c r="M99" s="67">
        <f>SUM(I92:I98)</f>
        <v>5268</v>
      </c>
      <c r="N99" s="88">
        <f t="shared" si="21"/>
        <v>5268</v>
      </c>
      <c r="O99" s="1">
        <f>SUM(N93:N98)</f>
        <v>5268</v>
      </c>
      <c r="P99"/>
      <c r="Q99" s="586" cm="1">
        <f t="array" ref="Q99">IF(H99=0,"",SUMPRODUCT(IFERROR(INT(H92:H98/F92:F98),0)))</f>
        <v>2</v>
      </c>
      <c r="R99" s="769">
        <f>IF(Q99="","",MAX(0,G99-Q99))</f>
        <v>2</v>
      </c>
      <c r="S99"/>
      <c r="AA99" t="s">
        <v>149</v>
      </c>
      <c r="AB99" t="s">
        <v>1425</v>
      </c>
    </row>
    <row r="100" spans="1:28" ht="15" customHeight="1" x14ac:dyDescent="0.3">
      <c r="A100" s="778"/>
      <c r="B100" s="779"/>
      <c r="C100" s="780"/>
      <c r="D100" s="781"/>
      <c r="E100" s="781"/>
      <c r="F100" s="781"/>
      <c r="G100" s="781"/>
      <c r="H100" s="781"/>
      <c r="I100" s="781"/>
      <c r="J100" s="1" t="str">
        <f>IF(D100="","",ROUNDUP(D100/IF(AND(C100="600 ml",ISNUMBER(SEARCH("NORCAU",B100))),95,IF(AND(C100="600 ml",ISNUMBER(SEARCH("APURATOS",B100))),190,IF(C100="600 ml",95,IF(C100="400 ml",125,IF(C100="200 ml",330,IF(C100="180 ml",240,1)))))),0))</f>
        <v/>
      </c>
      <c r="L100" s="1" t="str">
        <f>IF(H100="","",H100)</f>
        <v/>
      </c>
      <c r="N100" s="1" t="str">
        <f t="shared" si="21"/>
        <v/>
      </c>
      <c r="P100"/>
      <c r="Q100" s="589"/>
      <c r="R100" s="591"/>
      <c r="S100"/>
      <c r="AA100" t="s">
        <v>29</v>
      </c>
      <c r="AB100" t="s">
        <v>1425</v>
      </c>
    </row>
    <row r="101" spans="1:28" ht="15" customHeight="1" x14ac:dyDescent="0.3">
      <c r="A101" s="390">
        <v>46072</v>
      </c>
      <c r="B101" s="393" t="s">
        <v>49</v>
      </c>
      <c r="C101" s="391" t="s">
        <v>176</v>
      </c>
      <c r="D101" s="392" t="s">
        <v>177</v>
      </c>
      <c r="E101" s="392" t="s">
        <v>178</v>
      </c>
      <c r="F101" s="858" t="s">
        <v>179</v>
      </c>
      <c r="G101" s="392" t="s">
        <v>180</v>
      </c>
      <c r="H101" s="392" t="s">
        <v>181</v>
      </c>
      <c r="I101" s="392" t="s">
        <v>182</v>
      </c>
      <c r="J101" s="72"/>
      <c r="K101" s="72"/>
      <c r="L101" s="87"/>
      <c r="M101" s="72"/>
      <c r="N101" s="87"/>
      <c r="P101"/>
      <c r="Q101" s="589"/>
      <c r="R101" s="591"/>
      <c r="S101"/>
      <c r="AA101" t="s">
        <v>62</v>
      </c>
      <c r="AB101" t="s">
        <v>1423</v>
      </c>
    </row>
    <row r="102" spans="1:28" ht="21" customHeight="1" x14ac:dyDescent="0.3">
      <c r="A102" s="390"/>
      <c r="B102" s="394"/>
      <c r="C102" s="395"/>
      <c r="D102" s="396"/>
      <c r="E102" s="397"/>
      <c r="F102" s="864"/>
      <c r="G102" s="398"/>
      <c r="H102" s="399"/>
      <c r="I102" s="396"/>
      <c r="J102" s="85" t="str">
        <f t="shared" ref="J102:J108" si="22">IF(D102="","",ROUNDUP(D102/IF(AND(C102="600 ml",ISNUMBER(SEARCH("NORCAU",B102))),95,IF(AND(C102="600 ml",ISNUMBER(SEARCH("APURATOS",B102))),190,IF(C102="600 ml",95,IF(C102="400 ml",125,IF(C102="200 ml",330,IF(C102="180 ml",240,1)))))),0))</f>
        <v/>
      </c>
      <c r="L102" s="84" t="str">
        <f t="shared" ref="L102:L108" si="23">IF(H102="","",H102)</f>
        <v/>
      </c>
      <c r="N102" s="83" t="str">
        <f t="shared" ref="N102:N110" si="24">IF(I102="","",I102)</f>
        <v/>
      </c>
      <c r="P102"/>
      <c r="Q102" s="589"/>
      <c r="R102" s="591"/>
      <c r="S102"/>
      <c r="AA102" t="s">
        <v>649</v>
      </c>
      <c r="AB102" t="s">
        <v>1423</v>
      </c>
    </row>
    <row r="103" spans="1:28" ht="21" customHeight="1" x14ac:dyDescent="0.3">
      <c r="A103" s="657" t="s">
        <v>283</v>
      </c>
      <c r="B103" s="394" t="s">
        <v>72</v>
      </c>
      <c r="C103" s="395">
        <v>400</v>
      </c>
      <c r="D103" s="396">
        <f>D95-L95</f>
        <v>107</v>
      </c>
      <c r="E103" s="397" t="s">
        <v>184</v>
      </c>
      <c r="F103" s="864">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125</v>
      </c>
      <c r="G103" s="398">
        <f>IFERROR(ROUNDUP(D103/F103,0),"")</f>
        <v>1</v>
      </c>
      <c r="H103" s="399">
        <v>109</v>
      </c>
      <c r="I103" s="396">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1308</v>
      </c>
      <c r="J103" s="82">
        <f t="shared" si="22"/>
        <v>107</v>
      </c>
      <c r="L103" s="81">
        <f t="shared" si="23"/>
        <v>109</v>
      </c>
      <c r="M103" s="70"/>
      <c r="N103" s="80">
        <f t="shared" si="24"/>
        <v>1308</v>
      </c>
      <c r="P103"/>
      <c r="Q103" s="589"/>
      <c r="R103" s="591"/>
      <c r="S103"/>
      <c r="AA103" t="s">
        <v>188</v>
      </c>
      <c r="AB103" t="s">
        <v>1423</v>
      </c>
    </row>
    <row r="104" spans="1:28" ht="21" customHeight="1" x14ac:dyDescent="0.3">
      <c r="A104" s="657"/>
      <c r="B104" s="394" t="s">
        <v>240</v>
      </c>
      <c r="C104" s="395">
        <v>400</v>
      </c>
      <c r="D104" s="396">
        <v>375</v>
      </c>
      <c r="E104" s="397" t="s">
        <v>184</v>
      </c>
      <c r="F104" s="864">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125</v>
      </c>
      <c r="G104" s="398">
        <f>IFERROR(ROUNDUP(D104/F104,0),"")</f>
        <v>3</v>
      </c>
      <c r="H104" s="399">
        <v>378</v>
      </c>
      <c r="I104" s="396">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4536</v>
      </c>
      <c r="J104" s="85">
        <f t="shared" si="22"/>
        <v>375</v>
      </c>
      <c r="L104" s="84">
        <f t="shared" si="23"/>
        <v>378</v>
      </c>
      <c r="M104" s="70"/>
      <c r="N104" s="83">
        <f t="shared" si="24"/>
        <v>4536</v>
      </c>
      <c r="P104"/>
      <c r="Q104" s="589"/>
      <c r="R104" s="591"/>
      <c r="S104"/>
      <c r="AA104" t="s">
        <v>1164</v>
      </c>
      <c r="AB104" t="s">
        <v>1423</v>
      </c>
    </row>
    <row r="105" spans="1:28" ht="21" customHeight="1" x14ac:dyDescent="0.3">
      <c r="A105" s="657"/>
      <c r="B105" s="394" t="s">
        <v>254</v>
      </c>
      <c r="C105" s="395">
        <v>180</v>
      </c>
      <c r="D105" s="396">
        <v>240</v>
      </c>
      <c r="E105" s="397" t="s">
        <v>184</v>
      </c>
      <c r="F105" s="864">
        <f>IF($B105="","",IF(SUMIFS(CONFIG_PALETES!$C:$C,CONFIG_PALETES!$A:$A,TRIM($B105),CONFIG_PALETES!$B:$B,$C105&amp;" ml")&gt;0,SUMIFS(CONFIG_PALETES!$C:$C,CONFIG_PALETES!$A:$A,TRIM($B105),CONFIG_PALETES!$B:$B,$C105&amp;" ml"),IF(SUMIFS(CONFIG_PALETES!$C:$C,CONFIG_PALETES!$A:$A,"GERAL",CONFIG_PALETES!$B:$B,$C105&amp;" ml")&gt;0,SUMIFS(CONFIG_PALETES!$C:$C,CONFIG_PALETES!$A:$A,"GERAL",CONFIG_PALETES!$B:$B,$C105&amp;" ml"),"")))</f>
        <v>240</v>
      </c>
      <c r="G105" s="398">
        <f>IFERROR(ROUNDUP(D105/F105,0),"")</f>
        <v>1</v>
      </c>
      <c r="H105" s="399">
        <v>240</v>
      </c>
      <c r="I105" s="396">
        <f>IF(H105="","",H105*IF(SUMIFS(CONFIG_PALETES!$D:$D,CONFIG_PALETES!$A:$A,IF(ISNUMBER(SEARCH("ESPUMA",$B105)),"ESPUMA",IF(OR(ISNUMBER(SEARCH("OLEO DE COCO",$B105)),ISNUMBER(SEARCH("ÓLEO DE COCO",$B105)),ISNUMBER(SEARCH("COPRA",$B105))),"ÓLEO DE COCO",IF(ISNUMBER(SEARCH("CORANTE",$B105)),"CORANTE",TRIM($B105)))),CONFIG_PALETES!$B:$B,$C105&amp;" ml")&gt;0,SUMIFS(CONFIG_PALETES!$D:$D,CONFIG_PALETES!$A:$A,IF(ISNUMBER(SEARCH("ESPUMA",$B105)),"ESPUMA",IF(OR(ISNUMBER(SEARCH("OLEO DE COCO",$B105)),ISNUMBER(SEARCH("ÓLEO DE COCO",$B105)),ISNUMBER(SEARCH("COPRA",$B105))),"ÓLEO DE COCO",IF(ISNUMBER(SEARCH("CORANTE",$B105)),"CORANTE",TRIM($B105)))),CONFIG_PALETES!$B:$B,$C105&amp;" ml"),IF(SUMIFS(CONFIG_PALETES!$D:$D,CONFIG_PALETES!$A:$A,"GERAL",CONFIG_PALETES!$B:$B,$C105&amp;" ml")&gt;0,SUMIFS(CONFIG_PALETES!$D:$D,CONFIG_PALETES!$A:$A,"GERAL",CONFIG_PALETES!$B:$B,$C105&amp;" ml"),12)))</f>
        <v>2880</v>
      </c>
      <c r="J105" s="82">
        <f t="shared" si="22"/>
        <v>240</v>
      </c>
      <c r="L105" s="81">
        <f t="shared" si="23"/>
        <v>240</v>
      </c>
      <c r="N105" s="80">
        <f t="shared" si="24"/>
        <v>2880</v>
      </c>
      <c r="P105"/>
      <c r="Q105" s="589"/>
      <c r="R105" s="591"/>
      <c r="S105"/>
      <c r="AA105" t="s">
        <v>131</v>
      </c>
      <c r="AB105" t="s">
        <v>1423</v>
      </c>
    </row>
    <row r="106" spans="1:28" ht="21" customHeight="1" x14ac:dyDescent="0.3">
      <c r="A106" s="657"/>
      <c r="B106" s="394" t="s">
        <v>25</v>
      </c>
      <c r="C106" s="395">
        <v>180</v>
      </c>
      <c r="D106" s="396">
        <v>480</v>
      </c>
      <c r="E106" s="397" t="s">
        <v>184</v>
      </c>
      <c r="F106" s="864">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240</v>
      </c>
      <c r="G106" s="398">
        <f>IFERROR(ROUNDUP(D106/F106,0),"")</f>
        <v>2</v>
      </c>
      <c r="H106" s="399">
        <v>256</v>
      </c>
      <c r="I106" s="396">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f>
        <v>3072</v>
      </c>
      <c r="J106" s="85">
        <f t="shared" si="22"/>
        <v>480</v>
      </c>
      <c r="L106" s="84">
        <f t="shared" si="23"/>
        <v>256</v>
      </c>
      <c r="M106" s="70"/>
      <c r="N106" s="83">
        <f t="shared" si="24"/>
        <v>3072</v>
      </c>
      <c r="P106"/>
      <c r="Q106" s="589"/>
      <c r="R106" s="591"/>
      <c r="S106"/>
      <c r="AA106" t="s">
        <v>1225</v>
      </c>
      <c r="AB106" t="s">
        <v>1426</v>
      </c>
    </row>
    <row r="107" spans="1:28" ht="21" customHeight="1" x14ac:dyDescent="0.3">
      <c r="A107" s="390"/>
      <c r="B107" s="394"/>
      <c r="C107" s="395"/>
      <c r="D107" s="396"/>
      <c r="E107" s="397" t="s">
        <v>184</v>
      </c>
      <c r="F107" s="864" t="str">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
      </c>
      <c r="G107" s="398" t="str">
        <f>IFERROR(ROUNDUP(D107/F107,0),"")</f>
        <v/>
      </c>
      <c r="H107" s="399"/>
      <c r="I107" s="396" t="str">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
      </c>
      <c r="J107" s="82" t="str">
        <f t="shared" si="22"/>
        <v/>
      </c>
      <c r="L107" s="81" t="str">
        <f t="shared" si="23"/>
        <v/>
      </c>
      <c r="N107" s="80" t="str">
        <f t="shared" si="24"/>
        <v/>
      </c>
      <c r="P107"/>
      <c r="Q107" s="589"/>
      <c r="R107" s="591"/>
      <c r="S107"/>
      <c r="AA107" t="s">
        <v>198</v>
      </c>
      <c r="AB107" t="s">
        <v>1425</v>
      </c>
    </row>
    <row r="108" spans="1:28" ht="21" customHeight="1" x14ac:dyDescent="0.3">
      <c r="A108" s="771"/>
      <c r="B108" s="772"/>
      <c r="C108" s="773"/>
      <c r="D108" s="774"/>
      <c r="E108" s="775"/>
      <c r="F108" s="865"/>
      <c r="G108" s="776"/>
      <c r="H108" s="777"/>
      <c r="I108" s="774"/>
      <c r="J108" s="1" t="str">
        <f t="shared" si="22"/>
        <v/>
      </c>
      <c r="L108" s="70" t="str">
        <f t="shared" si="23"/>
        <v/>
      </c>
      <c r="N108" s="69" t="str">
        <f t="shared" si="24"/>
        <v/>
      </c>
      <c r="P108"/>
      <c r="Q108" s="589"/>
      <c r="R108" s="591"/>
      <c r="S108"/>
      <c r="AA108" t="s">
        <v>1226</v>
      </c>
      <c r="AB108" t="s">
        <v>1426</v>
      </c>
    </row>
    <row r="109" spans="1:28" ht="15" customHeight="1" x14ac:dyDescent="0.3">
      <c r="A109" s="853"/>
      <c r="B109" s="837" t="s">
        <v>186</v>
      </c>
      <c r="C109" s="838"/>
      <c r="D109" s="839">
        <f>SUM(D102:D108)</f>
        <v>1202</v>
      </c>
      <c r="E109" s="837"/>
      <c r="F109" s="854" t="s">
        <v>1400</v>
      </c>
      <c r="G109" s="840">
        <f>SUM(G102:G108)</f>
        <v>7</v>
      </c>
      <c r="H109" s="839">
        <f>SUM(H102:H108)</f>
        <v>983</v>
      </c>
      <c r="I109" s="839">
        <f>SUM(I102:I108)</f>
        <v>11796</v>
      </c>
      <c r="J109" s="67">
        <f>SUM(D102:D108)</f>
        <v>1202</v>
      </c>
      <c r="K109" s="67">
        <f>SUM(G102:G108)</f>
        <v>7</v>
      </c>
      <c r="L109" s="89">
        <f>SUM(H102:H108)</f>
        <v>983</v>
      </c>
      <c r="M109" s="67">
        <f>SUM(I102:I108)</f>
        <v>11796</v>
      </c>
      <c r="N109" s="88">
        <f t="shared" si="24"/>
        <v>11796</v>
      </c>
      <c r="O109" s="1">
        <f>SUM(N103:N108)</f>
        <v>11796</v>
      </c>
      <c r="P109"/>
      <c r="Q109" s="586" cm="1">
        <f t="array" ref="Q109">IF(H109=0,"",SUMPRODUCT(IFERROR(INT(H102:H108/F102:F108),0)))</f>
        <v>5</v>
      </c>
      <c r="R109" s="769">
        <f>IF(Q109="","",MAX(0,G109-Q109))</f>
        <v>2</v>
      </c>
      <c r="S109"/>
      <c r="AA109" t="s">
        <v>192</v>
      </c>
      <c r="AB109" t="s">
        <v>1422</v>
      </c>
    </row>
    <row r="110" spans="1:28" ht="15" customHeight="1" x14ac:dyDescent="0.3">
      <c r="A110" s="778"/>
      <c r="B110" s="779"/>
      <c r="C110" s="780"/>
      <c r="D110" s="781"/>
      <c r="E110" s="781"/>
      <c r="F110" s="781"/>
      <c r="G110" s="781"/>
      <c r="H110" s="781"/>
      <c r="I110" s="781"/>
      <c r="J110" s="1" t="str">
        <f>IF(D110="","",ROUNDUP(D110/IF(AND(C110="600 ml",ISNUMBER(SEARCH("NORCAU",B110))),95,IF(AND(C110="600 ml",ISNUMBER(SEARCH("APURATOS",B110))),190,IF(C110="600 ml",95,IF(C110="400 ml",125,IF(C110="200 ml",330,IF(C110="180 ml",240,1)))))),0))</f>
        <v/>
      </c>
      <c r="L110" s="1" t="str">
        <f>IF(H110="","",H110)</f>
        <v/>
      </c>
      <c r="N110" s="1" t="str">
        <f t="shared" si="24"/>
        <v/>
      </c>
      <c r="P110"/>
      <c r="Q110" s="589"/>
      <c r="R110" s="591"/>
      <c r="S110"/>
      <c r="AA110" t="s">
        <v>1163</v>
      </c>
      <c r="AB110" t="s">
        <v>1423</v>
      </c>
    </row>
    <row r="111" spans="1:28" ht="15" customHeight="1" x14ac:dyDescent="0.3">
      <c r="A111" s="390">
        <v>46073</v>
      </c>
      <c r="B111" s="393" t="s">
        <v>49</v>
      </c>
      <c r="C111" s="391" t="s">
        <v>176</v>
      </c>
      <c r="D111" s="392" t="s">
        <v>177</v>
      </c>
      <c r="E111" s="392" t="s">
        <v>178</v>
      </c>
      <c r="F111" s="858" t="s">
        <v>179</v>
      </c>
      <c r="G111" s="392" t="s">
        <v>180</v>
      </c>
      <c r="H111" s="392" t="s">
        <v>181</v>
      </c>
      <c r="I111" s="392" t="s">
        <v>182</v>
      </c>
      <c r="J111" s="72"/>
      <c r="K111" s="72"/>
      <c r="L111" s="87"/>
      <c r="M111" s="72"/>
      <c r="N111" s="87"/>
      <c r="P111"/>
      <c r="Q111" s="589"/>
      <c r="R111" s="591"/>
      <c r="S111"/>
      <c r="AA111" t="s">
        <v>41</v>
      </c>
      <c r="AB111" t="s">
        <v>1423</v>
      </c>
    </row>
    <row r="112" spans="1:28" ht="21" customHeight="1" x14ac:dyDescent="0.3">
      <c r="A112" s="390"/>
      <c r="B112" s="394"/>
      <c r="C112" s="395"/>
      <c r="D112" s="396"/>
      <c r="E112" s="397"/>
      <c r="F112" s="864"/>
      <c r="G112" s="398"/>
      <c r="H112" s="399"/>
      <c r="I112" s="396"/>
      <c r="J112" s="85" t="str">
        <f t="shared" ref="J112:J117" si="25">IF(D112="","",ROUNDUP(D112/IF(AND(C112="600 ml",ISNUMBER(SEARCH("NORCAU",B112))),95,IF(AND(C112="600 ml",ISNUMBER(SEARCH("APURATOS",B112))),190,IF(C112="600 ml",95,IF(C112="400 ml",125,IF(C112="200 ml",330,IF(C112="180 ml",240,1)))))),0))</f>
        <v/>
      </c>
      <c r="L112" s="84" t="str">
        <f t="shared" ref="L112:L117" si="26">IF(H112="","",H112)</f>
        <v/>
      </c>
      <c r="N112" s="83" t="str">
        <f t="shared" ref="N112:N119" si="27">IF(I112="","",I112)</f>
        <v/>
      </c>
      <c r="P112"/>
      <c r="Q112" s="589"/>
      <c r="R112" s="591"/>
      <c r="S112"/>
      <c r="AA112" t="s">
        <v>399</v>
      </c>
      <c r="AB112" t="s">
        <v>1430</v>
      </c>
    </row>
    <row r="113" spans="1:28" ht="21" customHeight="1" x14ac:dyDescent="0.3">
      <c r="A113" s="657" t="s">
        <v>284</v>
      </c>
      <c r="B113" s="394" t="s">
        <v>25</v>
      </c>
      <c r="C113" s="395">
        <v>180</v>
      </c>
      <c r="D113" s="396">
        <f>D106-L106</f>
        <v>224</v>
      </c>
      <c r="E113" s="397" t="s">
        <v>184</v>
      </c>
      <c r="F113" s="864">
        <f>IF($B113="","",IF(SUMIFS(CONFIG_PALETES!$C:$C,CONFIG_PALETES!$A:$A,TRIM($B113),CONFIG_PALETES!$B:$B,$C113&amp;" ml")&gt;0,SUMIFS(CONFIG_PALETES!$C:$C,CONFIG_PALETES!$A:$A,TRIM($B113),CONFIG_PALETES!$B:$B,$C113&amp;" ml"),IF(SUMIFS(CONFIG_PALETES!$C:$C,CONFIG_PALETES!$A:$A,"GERAL",CONFIG_PALETES!$B:$B,$C113&amp;" ml")&gt;0,SUMIFS(CONFIG_PALETES!$C:$C,CONFIG_PALETES!$A:$A,"GERAL",CONFIG_PALETES!$B:$B,$C113&amp;" ml"),"")))</f>
        <v>240</v>
      </c>
      <c r="G113" s="398">
        <f>IFERROR(ROUNDUP(D113/F113,0),"")</f>
        <v>1</v>
      </c>
      <c r="H113" s="399">
        <v>226</v>
      </c>
      <c r="I113" s="396">
        <f>IF(H113="","",H113*IF(SUMIFS(CONFIG_PALETES!$D:$D,CONFIG_PALETES!$A:$A,IF(ISNUMBER(SEARCH("ESPUMA",$B113)),"ESPUMA",IF(OR(ISNUMBER(SEARCH("OLEO DE COCO",$B113)),ISNUMBER(SEARCH("ÓLEO DE COCO",$B113)),ISNUMBER(SEARCH("COPRA",$B113))),"ÓLEO DE COCO",IF(ISNUMBER(SEARCH("CORANTE",$B113)),"CORANTE",TRIM($B113)))),CONFIG_PALETES!$B:$B,$C113&amp;" ml")&gt;0,SUMIFS(CONFIG_PALETES!$D:$D,CONFIG_PALETES!$A:$A,IF(ISNUMBER(SEARCH("ESPUMA",$B113)),"ESPUMA",IF(OR(ISNUMBER(SEARCH("OLEO DE COCO",$B113)),ISNUMBER(SEARCH("ÓLEO DE COCO",$B113)),ISNUMBER(SEARCH("COPRA",$B113))),"ÓLEO DE COCO",IF(ISNUMBER(SEARCH("CORANTE",$B113)),"CORANTE",TRIM($B113)))),CONFIG_PALETES!$B:$B,$C113&amp;" ml"),IF(SUMIFS(CONFIG_PALETES!$D:$D,CONFIG_PALETES!$A:$A,"GERAL",CONFIG_PALETES!$B:$B,$C113&amp;" ml")&gt;0,SUMIFS(CONFIG_PALETES!$D:$D,CONFIG_PALETES!$A:$A,"GERAL",CONFIG_PALETES!$B:$B,$C113&amp;" ml"),12)))</f>
        <v>2712</v>
      </c>
      <c r="J113" s="82">
        <f t="shared" si="25"/>
        <v>224</v>
      </c>
      <c r="L113" s="81">
        <f t="shared" si="26"/>
        <v>226</v>
      </c>
      <c r="M113" s="70"/>
      <c r="N113" s="80">
        <f t="shared" si="27"/>
        <v>2712</v>
      </c>
      <c r="P113"/>
      <c r="Q113" s="589"/>
      <c r="R113" s="591"/>
      <c r="S113"/>
      <c r="AA113" t="s">
        <v>494</v>
      </c>
      <c r="AB113" t="s">
        <v>1426</v>
      </c>
    </row>
    <row r="114" spans="1:28" ht="21" customHeight="1" x14ac:dyDescent="0.3">
      <c r="A114" s="657"/>
      <c r="B114" s="394" t="s">
        <v>285</v>
      </c>
      <c r="C114" s="395">
        <v>100</v>
      </c>
      <c r="D114" s="396">
        <v>720</v>
      </c>
      <c r="E114" s="397" t="s">
        <v>184</v>
      </c>
      <c r="F114" s="864">
        <f>IF($B114="","",IF(SUMIFS(CONFIG_PALETES!$C:$C,CONFIG_PALETES!$A:$A,TRIM($B114),CONFIG_PALETES!$B:$B,$C114&amp;" ml")&gt;0,SUMIFS(CONFIG_PALETES!$C:$C,CONFIG_PALETES!$A:$A,TRIM($B114),CONFIG_PALETES!$B:$B,$C114&amp;" ml"),IF(SUMIFS(CONFIG_PALETES!$C:$C,CONFIG_PALETES!$A:$A,"GERAL",CONFIG_PALETES!$B:$B,$C114&amp;" ml")&gt;0,SUMIFS(CONFIG_PALETES!$C:$C,CONFIG_PALETES!$A:$A,"GERAL",CONFIG_PALETES!$B:$B,$C114&amp;" ml"),"")))</f>
        <v>240</v>
      </c>
      <c r="G114" s="398">
        <f>IFERROR(ROUNDUP(D114/F114,0),"")</f>
        <v>3</v>
      </c>
      <c r="H114" s="399">
        <v>721</v>
      </c>
      <c r="I114" s="396">
        <f>IF(H114="","",H114*IF(SUMIFS(CONFIG_PALETES!$D:$D,CONFIG_PALETES!$A:$A,IF(ISNUMBER(SEARCH("ESPUMA",$B114)),"ESPUMA",IF(OR(ISNUMBER(SEARCH("OLEO DE COCO",$B114)),ISNUMBER(SEARCH("ÓLEO DE COCO",$B114)),ISNUMBER(SEARCH("COPRA",$B114))),"ÓLEO DE COCO",IF(ISNUMBER(SEARCH("CORANTE",$B114)),"CORANTE",TRIM($B114)))),CONFIG_PALETES!$B:$B,$C114&amp;" ml")&gt;0,SUMIFS(CONFIG_PALETES!$D:$D,CONFIG_PALETES!$A:$A,IF(ISNUMBER(SEARCH("ESPUMA",$B114)),"ESPUMA",IF(OR(ISNUMBER(SEARCH("OLEO DE COCO",$B114)),ISNUMBER(SEARCH("ÓLEO DE COCO",$B114)),ISNUMBER(SEARCH("COPRA",$B114))),"ÓLEO DE COCO",IF(ISNUMBER(SEARCH("CORANTE",$B114)),"CORANTE",TRIM($B114)))),CONFIG_PALETES!$B:$B,$C114&amp;" ml"),IF(SUMIFS(CONFIG_PALETES!$D:$D,CONFIG_PALETES!$A:$A,"GERAL",CONFIG_PALETES!$B:$B,$C114&amp;" ml")&gt;0,SUMIFS(CONFIG_PALETES!$D:$D,CONFIG_PALETES!$A:$A,"GERAL",CONFIG_PALETES!$B:$B,$C114&amp;" ml"),12)))</f>
        <v>8652</v>
      </c>
      <c r="J114" s="85">
        <f t="shared" si="25"/>
        <v>720</v>
      </c>
      <c r="L114" s="84">
        <f t="shared" si="26"/>
        <v>721</v>
      </c>
      <c r="M114" s="70"/>
      <c r="N114" s="83">
        <f t="shared" si="27"/>
        <v>8652</v>
      </c>
      <c r="P114"/>
      <c r="Q114" s="589"/>
      <c r="R114" s="591"/>
      <c r="S114"/>
      <c r="AA114" t="s">
        <v>404</v>
      </c>
      <c r="AB114" t="s">
        <v>1422</v>
      </c>
    </row>
    <row r="115" spans="1:28" ht="21" customHeight="1" x14ac:dyDescent="0.3">
      <c r="A115" s="390"/>
      <c r="B115" s="394" t="s">
        <v>286</v>
      </c>
      <c r="C115" s="395">
        <v>100</v>
      </c>
      <c r="D115" s="396">
        <v>720</v>
      </c>
      <c r="E115" s="397" t="s">
        <v>184</v>
      </c>
      <c r="F115" s="864">
        <f>IF($B115="","",IF(SUMIFS(CONFIG_PALETES!$C:$C,CONFIG_PALETES!$A:$A,TRIM($B115),CONFIG_PALETES!$B:$B,$C115&amp;" ml")&gt;0,SUMIFS(CONFIG_PALETES!$C:$C,CONFIG_PALETES!$A:$A,TRIM($B115),CONFIG_PALETES!$B:$B,$C115&amp;" ml"),IF(SUMIFS(CONFIG_PALETES!$C:$C,CONFIG_PALETES!$A:$A,"GERAL",CONFIG_PALETES!$B:$B,$C115&amp;" ml")&gt;0,SUMIFS(CONFIG_PALETES!$C:$C,CONFIG_PALETES!$A:$A,"GERAL",CONFIG_PALETES!$B:$B,$C115&amp;" ml"),"")))</f>
        <v>240</v>
      </c>
      <c r="G115" s="398">
        <f>IFERROR(ROUNDUP(D115/F115,0),"")</f>
        <v>3</v>
      </c>
      <c r="H115" s="399">
        <v>150</v>
      </c>
      <c r="I115" s="396">
        <f>IF(H115="","",H115*IF(SUMIFS(CONFIG_PALETES!$D:$D,CONFIG_PALETES!$A:$A,IF(ISNUMBER(SEARCH("ESPUMA",$B115)),"ESPUMA",IF(OR(ISNUMBER(SEARCH("OLEO DE COCO",$B115)),ISNUMBER(SEARCH("ÓLEO DE COCO",$B115)),ISNUMBER(SEARCH("COPRA",$B115))),"ÓLEO DE COCO",IF(ISNUMBER(SEARCH("CORANTE",$B115)),"CORANTE",TRIM($B115)))),CONFIG_PALETES!$B:$B,$C115&amp;" ml")&gt;0,SUMIFS(CONFIG_PALETES!$D:$D,CONFIG_PALETES!$A:$A,IF(ISNUMBER(SEARCH("ESPUMA",$B115)),"ESPUMA",IF(OR(ISNUMBER(SEARCH("OLEO DE COCO",$B115)),ISNUMBER(SEARCH("ÓLEO DE COCO",$B115)),ISNUMBER(SEARCH("COPRA",$B115))),"ÓLEO DE COCO",IF(ISNUMBER(SEARCH("CORANTE",$B115)),"CORANTE",TRIM($B115)))),CONFIG_PALETES!$B:$B,$C115&amp;" ml"),IF(SUMIFS(CONFIG_PALETES!$D:$D,CONFIG_PALETES!$A:$A,"GERAL",CONFIG_PALETES!$B:$B,$C115&amp;" ml")&gt;0,SUMIFS(CONFIG_PALETES!$D:$D,CONFIG_PALETES!$A:$A,"GERAL",CONFIG_PALETES!$B:$B,$C115&amp;" ml"),12)))</f>
        <v>1800</v>
      </c>
      <c r="J115" s="82">
        <f t="shared" si="25"/>
        <v>720</v>
      </c>
      <c r="L115" s="81">
        <f t="shared" si="26"/>
        <v>150</v>
      </c>
      <c r="N115" s="80">
        <f t="shared" si="27"/>
        <v>1800</v>
      </c>
      <c r="P115"/>
      <c r="Q115" s="589"/>
      <c r="R115" s="591"/>
      <c r="S115"/>
      <c r="AA115" t="s">
        <v>493</v>
      </c>
      <c r="AB115" t="s">
        <v>1431</v>
      </c>
    </row>
    <row r="116" spans="1:28" ht="21" customHeight="1" x14ac:dyDescent="0.3">
      <c r="A116" s="390"/>
      <c r="B116" s="394"/>
      <c r="C116" s="395"/>
      <c r="D116" s="396"/>
      <c r="E116" s="397" t="s">
        <v>184</v>
      </c>
      <c r="F116" s="864"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398" t="str">
        <f>IFERROR(ROUNDUP(D116/F116,0),"")</f>
        <v/>
      </c>
      <c r="H116" s="399"/>
      <c r="I116" s="396"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J116" s="85" t="str">
        <f t="shared" si="25"/>
        <v/>
      </c>
      <c r="L116" s="84" t="str">
        <f t="shared" si="26"/>
        <v/>
      </c>
      <c r="N116" s="83" t="str">
        <f t="shared" si="27"/>
        <v/>
      </c>
      <c r="P116"/>
      <c r="Q116" s="589"/>
      <c r="R116" s="591"/>
      <c r="S116"/>
      <c r="AA116" t="s">
        <v>400</v>
      </c>
      <c r="AB116" t="s">
        <v>1430</v>
      </c>
    </row>
    <row r="117" spans="1:28" ht="21" customHeight="1" x14ac:dyDescent="0.3">
      <c r="A117" s="771"/>
      <c r="B117" s="772"/>
      <c r="C117" s="773"/>
      <c r="D117" s="774"/>
      <c r="E117" s="775"/>
      <c r="F117" s="865"/>
      <c r="G117" s="776"/>
      <c r="H117" s="777"/>
      <c r="I117" s="774"/>
      <c r="J117" s="82" t="str">
        <f t="shared" si="25"/>
        <v/>
      </c>
      <c r="L117" s="81" t="str">
        <f t="shared" si="26"/>
        <v/>
      </c>
      <c r="N117" s="80" t="str">
        <f t="shared" si="27"/>
        <v/>
      </c>
      <c r="P117"/>
      <c r="Q117" s="589"/>
      <c r="R117" s="591"/>
      <c r="S117"/>
      <c r="AA117" t="s">
        <v>492</v>
      </c>
      <c r="AB117" t="s">
        <v>1435</v>
      </c>
    </row>
    <row r="118" spans="1:28" ht="15" customHeight="1" x14ac:dyDescent="0.3">
      <c r="A118" s="853"/>
      <c r="B118" s="837" t="s">
        <v>186</v>
      </c>
      <c r="C118" s="838"/>
      <c r="D118" s="839">
        <f>SUM(D111:D117)</f>
        <v>1664</v>
      </c>
      <c r="E118" s="837"/>
      <c r="F118" s="854" t="s">
        <v>1400</v>
      </c>
      <c r="G118" s="840">
        <f>SUM(G111:G117)</f>
        <v>7</v>
      </c>
      <c r="H118" s="839">
        <f>SUM(H111:H117)</f>
        <v>1097</v>
      </c>
      <c r="I118" s="839">
        <f>SUM(I111:I117)</f>
        <v>13164</v>
      </c>
      <c r="J118" s="67">
        <f>SUM(D112:D117)</f>
        <v>1664</v>
      </c>
      <c r="K118" s="67">
        <f>SUM(G112:G117)</f>
        <v>7</v>
      </c>
      <c r="L118" s="89">
        <f>SUM(H112:H117)</f>
        <v>1097</v>
      </c>
      <c r="M118" s="67">
        <f>SUM(I112:I117)</f>
        <v>13164</v>
      </c>
      <c r="N118" s="88">
        <f t="shared" si="27"/>
        <v>13164</v>
      </c>
      <c r="O118" s="1">
        <f>SUM(N113:N117)</f>
        <v>13164</v>
      </c>
      <c r="P118"/>
      <c r="Q118" s="586" cm="1">
        <f t="array" ref="Q118">IF(H118=0,"",SUMPRODUCT(IFERROR(INT(H112:H117/F112:F117),0)))</f>
        <v>3</v>
      </c>
      <c r="R118" s="769">
        <f>IF(Q118="","",MAX(0,G118-Q118))</f>
        <v>4</v>
      </c>
      <c r="S118"/>
      <c r="AA118" t="s">
        <v>498</v>
      </c>
      <c r="AB118" t="s">
        <v>1423</v>
      </c>
    </row>
    <row r="119" spans="1:28" ht="15" customHeight="1" x14ac:dyDescent="0.3">
      <c r="A119" s="778"/>
      <c r="B119" s="779"/>
      <c r="C119" s="780"/>
      <c r="D119" s="781"/>
      <c r="E119" s="781"/>
      <c r="F119" s="781"/>
      <c r="G119" s="781"/>
      <c r="H119" s="781"/>
      <c r="I119" s="781"/>
      <c r="J119" s="1" t="str">
        <f>IF(D119="","",ROUNDUP(D119/IF(AND(C119="600 ml",ISNUMBER(SEARCH("NORCAU",B119))),95,IF(AND(C119="600 ml",ISNUMBER(SEARCH("APURATOS",B119))),190,IF(C119="600 ml",95,IF(C119="400 ml",125,IF(C119="200 ml",330,IF(C119="180 ml",240,1)))))),0))</f>
        <v/>
      </c>
      <c r="L119" s="1" t="str">
        <f>IF(H119="","",H119)</f>
        <v/>
      </c>
      <c r="N119" s="1" t="str">
        <f t="shared" si="27"/>
        <v/>
      </c>
      <c r="P119"/>
      <c r="Q119" s="589"/>
      <c r="R119" s="591"/>
      <c r="S119"/>
      <c r="AA119" t="s">
        <v>995</v>
      </c>
      <c r="AB119" t="s">
        <v>1426</v>
      </c>
    </row>
    <row r="120" spans="1:28" ht="15" customHeight="1" x14ac:dyDescent="0.3">
      <c r="A120" s="390">
        <v>46076</v>
      </c>
      <c r="B120" s="393" t="s">
        <v>49</v>
      </c>
      <c r="C120" s="391" t="s">
        <v>176</v>
      </c>
      <c r="D120" s="392" t="s">
        <v>177</v>
      </c>
      <c r="E120" s="392" t="s">
        <v>178</v>
      </c>
      <c r="F120" s="858" t="s">
        <v>179</v>
      </c>
      <c r="G120" s="392" t="s">
        <v>180</v>
      </c>
      <c r="H120" s="392" t="s">
        <v>181</v>
      </c>
      <c r="I120" s="392" t="s">
        <v>182</v>
      </c>
      <c r="J120" s="72"/>
      <c r="K120" s="72"/>
      <c r="L120" s="87"/>
      <c r="M120" s="72"/>
      <c r="N120" s="87"/>
      <c r="P120"/>
      <c r="Q120" s="589"/>
      <c r="R120" s="591"/>
      <c r="S120"/>
      <c r="AA120" t="s">
        <v>286</v>
      </c>
      <c r="AB120" t="s">
        <v>1426</v>
      </c>
    </row>
    <row r="121" spans="1:28" ht="21" customHeight="1" x14ac:dyDescent="0.3">
      <c r="A121" s="390"/>
      <c r="B121" s="394"/>
      <c r="C121" s="395"/>
      <c r="D121" s="396"/>
      <c r="E121" s="397"/>
      <c r="F121" s="864"/>
      <c r="G121" s="398"/>
      <c r="H121" s="399"/>
      <c r="I121" s="396"/>
      <c r="J121" s="82" t="str">
        <f>IF(D121="","",ROUNDUP(D121/IF(AND(C121="600 ml",ISNUMBER(SEARCH("NORCAU",B121))),95,IF(AND(C121="600 ml",ISNUMBER(SEARCH("APURATOS",B121))),190,IF(C121="600 ml",95,IF(C121="400 ml",125,IF(C121="200 ml",330,IF(C121="180 ml",240,1)))))),0))</f>
        <v/>
      </c>
      <c r="L121" s="81" t="str">
        <f>IF(H121="","",H121)</f>
        <v/>
      </c>
      <c r="N121" s="80" t="str">
        <f t="shared" ref="N121:N127" si="28">IF(I121="","",I121)</f>
        <v/>
      </c>
      <c r="P121"/>
      <c r="Q121" s="589"/>
      <c r="R121" s="591"/>
      <c r="S121"/>
      <c r="AA121" t="s">
        <v>285</v>
      </c>
      <c r="AB121" t="s">
        <v>1426</v>
      </c>
    </row>
    <row r="122" spans="1:28" ht="21" customHeight="1" x14ac:dyDescent="0.3">
      <c r="A122" s="657" t="s">
        <v>284</v>
      </c>
      <c r="B122" s="394" t="s">
        <v>286</v>
      </c>
      <c r="C122" s="395">
        <v>100</v>
      </c>
      <c r="D122" s="396">
        <f>D115-L115</f>
        <v>570</v>
      </c>
      <c r="E122" s="397" t="s">
        <v>184</v>
      </c>
      <c r="F122" s="864">
        <f>IF($B122="","",IF(SUMIFS(CONFIG_PALETES!$C:$C,CONFIG_PALETES!$A:$A,TRIM($B122),CONFIG_PALETES!$B:$B,$C122&amp;" ml")&gt;0,SUMIFS(CONFIG_PALETES!$C:$C,CONFIG_PALETES!$A:$A,TRIM($B122),CONFIG_PALETES!$B:$B,$C122&amp;" ml"),IF(SUMIFS(CONFIG_PALETES!$C:$C,CONFIG_PALETES!$A:$A,"GERAL",CONFIG_PALETES!$B:$B,$C122&amp;" ml")&gt;0,SUMIFS(CONFIG_PALETES!$C:$C,CONFIG_PALETES!$A:$A,"GERAL",CONFIG_PALETES!$B:$B,$C122&amp;" ml"),"")))</f>
        <v>240</v>
      </c>
      <c r="G122" s="398">
        <f>IFERROR(ROUNDUP(D122/F122,0),"")</f>
        <v>3</v>
      </c>
      <c r="H122" s="399">
        <v>332</v>
      </c>
      <c r="I122" s="396">
        <f>IF(H122="","",H122*IF(SUMIFS(CONFIG_PALETES!$D:$D,CONFIG_PALETES!$A:$A,IF(ISNUMBER(SEARCH("ESPUMA",$B122)),"ESPUMA",IF(OR(ISNUMBER(SEARCH("OLEO DE COCO",$B122)),ISNUMBER(SEARCH("ÓLEO DE COCO",$B122)),ISNUMBER(SEARCH("COPRA",$B122))),"ÓLEO DE COCO",IF(ISNUMBER(SEARCH("CORANTE",$B122)),"CORANTE",TRIM($B122)))),CONFIG_PALETES!$B:$B,$C122&amp;" ml")&gt;0,SUMIFS(CONFIG_PALETES!$D:$D,CONFIG_PALETES!$A:$A,IF(ISNUMBER(SEARCH("ESPUMA",$B122)),"ESPUMA",IF(OR(ISNUMBER(SEARCH("OLEO DE COCO",$B122)),ISNUMBER(SEARCH("ÓLEO DE COCO",$B122)),ISNUMBER(SEARCH("COPRA",$B122))),"ÓLEO DE COCO",IF(ISNUMBER(SEARCH("CORANTE",$B122)),"CORANTE",TRIM($B122)))),CONFIG_PALETES!$B:$B,$C122&amp;" ml"),IF(SUMIFS(CONFIG_PALETES!$D:$D,CONFIG_PALETES!$A:$A,"GERAL",CONFIG_PALETES!$B:$B,$C122&amp;" ml")&gt;0,SUMIFS(CONFIG_PALETES!$D:$D,CONFIG_PALETES!$A:$A,"GERAL",CONFIG_PALETES!$B:$B,$C122&amp;" ml"),12)))</f>
        <v>3984</v>
      </c>
      <c r="J122" s="85">
        <f>IF(D122="","",ROUNDUP(D122/IF(AND(C122="600 ml",ISNUMBER(SEARCH("NORCAU",B122))),95,IF(AND(C122="600 ml",ISNUMBER(SEARCH("APURATOS",B122))),190,IF(C122="600 ml",95,IF(C122="400 ml",125,IF(C122="200 ml",330,IF(C122="180 ml",240,1)))))),0))</f>
        <v>570</v>
      </c>
      <c r="L122" s="84">
        <f>IF(H122="","",H122)</f>
        <v>332</v>
      </c>
      <c r="M122" s="70"/>
      <c r="N122" s="83">
        <f t="shared" si="28"/>
        <v>3984</v>
      </c>
      <c r="P122"/>
      <c r="Q122" s="589"/>
      <c r="R122" s="591"/>
      <c r="S122"/>
      <c r="AA122" t="s">
        <v>103</v>
      </c>
      <c r="AB122" t="s">
        <v>1425</v>
      </c>
    </row>
    <row r="123" spans="1:28" ht="21" customHeight="1" x14ac:dyDescent="0.3">
      <c r="A123" s="657"/>
      <c r="B123" s="394" t="s">
        <v>287</v>
      </c>
      <c r="C123" s="395">
        <v>100</v>
      </c>
      <c r="D123" s="396">
        <v>502</v>
      </c>
      <c r="E123" s="397" t="s">
        <v>184</v>
      </c>
      <c r="F123" s="864">
        <f>IF($B123="","",IF(SUMIFS(CONFIG_PALETES!$C:$C,CONFIG_PALETES!$A:$A,TRIM($B123),CONFIG_PALETES!$B:$B,$C123&amp;" ml")&gt;0,SUMIFS(CONFIG_PALETES!$C:$C,CONFIG_PALETES!$A:$A,TRIM($B123),CONFIG_PALETES!$B:$B,$C123&amp;" ml"),IF(SUMIFS(CONFIG_PALETES!$C:$C,CONFIG_PALETES!$A:$A,"GERAL",CONFIG_PALETES!$B:$B,$C123&amp;" ml")&gt;0,SUMIFS(CONFIG_PALETES!$C:$C,CONFIG_PALETES!$A:$A,"GERAL",CONFIG_PALETES!$B:$B,$C123&amp;" ml"),"")))</f>
        <v>240</v>
      </c>
      <c r="G123" s="398">
        <f>IFERROR(ROUNDUP(D123/F123,0),"")</f>
        <v>3</v>
      </c>
      <c r="H123" s="399">
        <v>502</v>
      </c>
      <c r="I123" s="396">
        <f>IF(H123="","",H123*IF(SUMIFS(CONFIG_PALETES!$D:$D,CONFIG_PALETES!$A:$A,IF(ISNUMBER(SEARCH("ESPUMA",$B123)),"ESPUMA",IF(OR(ISNUMBER(SEARCH("OLEO DE COCO",$B123)),ISNUMBER(SEARCH("ÓLEO DE COCO",$B123)),ISNUMBER(SEARCH("COPRA",$B123))),"ÓLEO DE COCO",IF(ISNUMBER(SEARCH("CORANTE",$B123)),"CORANTE",TRIM($B123)))),CONFIG_PALETES!$B:$B,$C123&amp;" ml")&gt;0,SUMIFS(CONFIG_PALETES!$D:$D,CONFIG_PALETES!$A:$A,IF(ISNUMBER(SEARCH("ESPUMA",$B123)),"ESPUMA",IF(OR(ISNUMBER(SEARCH("OLEO DE COCO",$B123)),ISNUMBER(SEARCH("ÓLEO DE COCO",$B123)),ISNUMBER(SEARCH("COPRA",$B123))),"ÓLEO DE COCO",IF(ISNUMBER(SEARCH("CORANTE",$B123)),"CORANTE",TRIM($B123)))),CONFIG_PALETES!$B:$B,$C123&amp;" ml"),IF(SUMIFS(CONFIG_PALETES!$D:$D,CONFIG_PALETES!$A:$A,"GERAL",CONFIG_PALETES!$B:$B,$C123&amp;" ml")&gt;0,SUMIFS(CONFIG_PALETES!$D:$D,CONFIG_PALETES!$A:$A,"GERAL",CONFIG_PALETES!$B:$B,$C123&amp;" ml"),12)))</f>
        <v>6024</v>
      </c>
      <c r="J123" s="82">
        <f>IF(D123="","",ROUNDUP(D123/IF(AND(C123="600 ml",ISNUMBER(SEARCH("NORCAU",B123))),95,IF(AND(C123="600 ml",ISNUMBER(SEARCH("APURATOS",B123))),190,IF(C123="600 ml",95,IF(C123="400 ml",125,IF(C123="200 ml",330,IF(C123="180 ml",240,1)))))),0))</f>
        <v>502</v>
      </c>
      <c r="L123" s="81">
        <f>IF(H123="","",H123)</f>
        <v>502</v>
      </c>
      <c r="M123" s="70"/>
      <c r="N123" s="80">
        <f t="shared" si="28"/>
        <v>6024</v>
      </c>
      <c r="P123"/>
      <c r="Q123" s="589"/>
      <c r="R123" s="591"/>
      <c r="S123"/>
      <c r="AA123" t="s">
        <v>282</v>
      </c>
      <c r="AB123" t="s">
        <v>1425</v>
      </c>
    </row>
    <row r="124" spans="1:28" ht="21" customHeight="1" x14ac:dyDescent="0.3">
      <c r="A124" s="390"/>
      <c r="B124" s="394" t="s">
        <v>288</v>
      </c>
      <c r="C124" s="395">
        <v>100</v>
      </c>
      <c r="D124" s="396">
        <v>580</v>
      </c>
      <c r="E124" s="397" t="s">
        <v>184</v>
      </c>
      <c r="F124" s="864">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240</v>
      </c>
      <c r="G124" s="398">
        <f>IFERROR(ROUNDUP(D124/F124,0),"")</f>
        <v>3</v>
      </c>
      <c r="H124" s="399">
        <v>490</v>
      </c>
      <c r="I124" s="396">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5880</v>
      </c>
      <c r="J124" s="85">
        <f>IF(D124="","",ROUNDUP(D124/IF(AND(C124="600 ml",ISNUMBER(SEARCH("NORCAU",B124))),95,IF(AND(C124="600 ml",ISNUMBER(SEARCH("APURATOS",B124))),190,IF(C124="600 ml",95,IF(C124="400 ml",125,IF(C124="200 ml",330,IF(C124="180 ml",240,1)))))),0))</f>
        <v>580</v>
      </c>
      <c r="L124" s="84">
        <f>IF(H124="","",H124)</f>
        <v>490</v>
      </c>
      <c r="N124" s="83">
        <f t="shared" si="28"/>
        <v>5880</v>
      </c>
      <c r="P124"/>
      <c r="Q124" s="589"/>
      <c r="R124" s="591"/>
      <c r="S124"/>
      <c r="AA124" t="s">
        <v>576</v>
      </c>
      <c r="AB124" t="s">
        <v>1425</v>
      </c>
    </row>
    <row r="125" spans="1:28" ht="21" customHeight="1" x14ac:dyDescent="0.3">
      <c r="A125" s="771"/>
      <c r="B125" s="772"/>
      <c r="C125" s="773"/>
      <c r="D125" s="774"/>
      <c r="E125" s="775"/>
      <c r="F125" s="865"/>
      <c r="G125" s="776"/>
      <c r="H125" s="777"/>
      <c r="I125" s="774"/>
      <c r="J125" s="82" t="str">
        <f>IF(D125="","",ROUNDUP(D125/IF(AND(C125="600 ml",ISNUMBER(SEARCH("NORCAU",B125))),95,IF(AND(C125="600 ml",ISNUMBER(SEARCH("APURATOS",B125))),190,IF(C125="600 ml",95,IF(C125="400 ml",125,IF(C125="200 ml",330,IF(C125="180 ml",240,1)))))),0))</f>
        <v/>
      </c>
      <c r="L125" s="81" t="str">
        <f>IF(H125="","",H125)</f>
        <v/>
      </c>
      <c r="N125" s="80" t="str">
        <f t="shared" si="28"/>
        <v/>
      </c>
      <c r="P125"/>
      <c r="Q125" s="589"/>
      <c r="R125" s="591"/>
      <c r="S125"/>
      <c r="AA125" t="s">
        <v>135</v>
      </c>
      <c r="AB125" t="s">
        <v>1425</v>
      </c>
    </row>
    <row r="126" spans="1:28" ht="15" customHeight="1" x14ac:dyDescent="0.3">
      <c r="A126" s="853"/>
      <c r="B126" s="837" t="s">
        <v>186</v>
      </c>
      <c r="C126" s="838"/>
      <c r="D126" s="839">
        <f>SUM(D119:D125)</f>
        <v>1652</v>
      </c>
      <c r="E126" s="837"/>
      <c r="F126" s="854" t="s">
        <v>1400</v>
      </c>
      <c r="G126" s="840">
        <f>SUM(G119:G125)</f>
        <v>9</v>
      </c>
      <c r="H126" s="839">
        <f>SUM(H119:H125)</f>
        <v>1324</v>
      </c>
      <c r="I126" s="839">
        <f>SUM(I119:I125)</f>
        <v>15888</v>
      </c>
      <c r="J126" s="79">
        <f>SUM(D121:D125)</f>
        <v>1652</v>
      </c>
      <c r="K126" s="67">
        <f>SUM(G121:G125)</f>
        <v>9</v>
      </c>
      <c r="L126" s="78">
        <f>SUM(H121:H125)</f>
        <v>1324</v>
      </c>
      <c r="M126" s="67">
        <f>SUM(I121:I125)</f>
        <v>15888</v>
      </c>
      <c r="N126" s="77">
        <f t="shared" si="28"/>
        <v>15888</v>
      </c>
      <c r="O126" s="1">
        <f>SUM(N122:N125)</f>
        <v>15888</v>
      </c>
      <c r="P126"/>
      <c r="Q126" s="586" cm="1">
        <f t="array" ref="Q126">IF(H126=0,"",SUMPRODUCT(IFERROR(INT(H121:H125/F121:F125),0)))</f>
        <v>5</v>
      </c>
      <c r="R126" s="769">
        <f>IF(Q126="","",MAX(0,G126-Q126))</f>
        <v>4</v>
      </c>
      <c r="S126"/>
      <c r="AA126" t="s">
        <v>402</v>
      </c>
      <c r="AB126" t="s">
        <v>1425</v>
      </c>
    </row>
    <row r="127" spans="1:28" ht="15" customHeight="1" x14ac:dyDescent="0.3">
      <c r="A127" s="778"/>
      <c r="B127" s="779"/>
      <c r="C127" s="780"/>
      <c r="D127" s="781"/>
      <c r="E127" s="781"/>
      <c r="F127" s="781"/>
      <c r="G127" s="781"/>
      <c r="H127" s="781"/>
      <c r="I127" s="781"/>
      <c r="J127" s="1" t="str">
        <f>IF(D127="","",ROUNDUP(D127/IF(AND(C127="600 ml",ISNUMBER(SEARCH("NORCAU",B127))),95,IF(AND(C127="600 ml",ISNUMBER(SEARCH("APURATOS",B127))),190,IF(C127="600 ml",95,IF(C127="400 ml",125,IF(C127="200 ml",330,IF(C127="180 ml",240,1)))))),0))</f>
        <v/>
      </c>
      <c r="L127" s="1" t="str">
        <f>IF(H127="","",H127)</f>
        <v/>
      </c>
      <c r="N127" s="1" t="str">
        <f t="shared" si="28"/>
        <v/>
      </c>
      <c r="P127"/>
      <c r="Q127" s="589"/>
      <c r="R127" s="591"/>
      <c r="S127"/>
      <c r="AA127" t="s">
        <v>290</v>
      </c>
      <c r="AB127" t="s">
        <v>1426</v>
      </c>
    </row>
    <row r="128" spans="1:28" ht="15" customHeight="1" x14ac:dyDescent="0.3">
      <c r="A128" s="390">
        <v>46077</v>
      </c>
      <c r="B128" s="393" t="s">
        <v>49</v>
      </c>
      <c r="C128" s="391" t="s">
        <v>176</v>
      </c>
      <c r="D128" s="392" t="s">
        <v>177</v>
      </c>
      <c r="E128" s="392" t="s">
        <v>178</v>
      </c>
      <c r="F128" s="858" t="s">
        <v>179</v>
      </c>
      <c r="G128" s="392" t="s">
        <v>180</v>
      </c>
      <c r="H128" s="392" t="s">
        <v>181</v>
      </c>
      <c r="I128" s="392" t="s">
        <v>182</v>
      </c>
      <c r="J128" s="72"/>
      <c r="K128" s="72"/>
      <c r="L128" s="87"/>
      <c r="M128" s="72"/>
      <c r="N128" s="87"/>
      <c r="P128"/>
      <c r="Q128" s="589"/>
      <c r="R128" s="591"/>
      <c r="S128"/>
      <c r="AA128" t="s">
        <v>289</v>
      </c>
      <c r="AB128" t="s">
        <v>1426</v>
      </c>
    </row>
    <row r="129" spans="1:28" ht="21" customHeight="1" x14ac:dyDescent="0.3">
      <c r="A129" s="390"/>
      <c r="B129" s="394"/>
      <c r="C129" s="395"/>
      <c r="D129" s="396"/>
      <c r="E129" s="397"/>
      <c r="F129" s="864"/>
      <c r="G129" s="398"/>
      <c r="H129" s="399"/>
      <c r="I129" s="396"/>
      <c r="J129" s="82" t="str">
        <f t="shared" ref="J129:J134" si="29">IF(D129="","",ROUNDUP(D129/IF(AND(C129="600 ml",ISNUMBER(SEARCH("NORCAU",B129))),95,IF(AND(C129="600 ml",ISNUMBER(SEARCH("APURATOS",B129))),190,IF(C129="600 ml",95,IF(C129="400 ml",125,IF(C129="200 ml",330,IF(C129="180 ml",240,1)))))),0))</f>
        <v/>
      </c>
      <c r="L129" s="81" t="str">
        <f t="shared" ref="L129:L134" si="30">IF(H129="","",H129)</f>
        <v/>
      </c>
      <c r="N129" s="80" t="str">
        <f t="shared" ref="N129:N136" si="31">IF(I129="","",I129)</f>
        <v/>
      </c>
      <c r="P129"/>
      <c r="Q129" s="589"/>
      <c r="R129" s="591"/>
      <c r="S129"/>
      <c r="AA129" t="s">
        <v>72</v>
      </c>
      <c r="AB129" t="s">
        <v>1432</v>
      </c>
    </row>
    <row r="130" spans="1:28" ht="21" customHeight="1" x14ac:dyDescent="0.3">
      <c r="A130" s="657" t="s">
        <v>284</v>
      </c>
      <c r="B130" s="394" t="s">
        <v>288</v>
      </c>
      <c r="C130" s="395">
        <v>100</v>
      </c>
      <c r="D130" s="396">
        <f>D124-L124</f>
        <v>90</v>
      </c>
      <c r="E130" s="397" t="s">
        <v>184</v>
      </c>
      <c r="F130" s="864">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240</v>
      </c>
      <c r="G130" s="398">
        <f>IFERROR(ROUNDUP(D130/F130,0),"")</f>
        <v>1</v>
      </c>
      <c r="H130" s="399">
        <v>97</v>
      </c>
      <c r="I130" s="396">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1164</v>
      </c>
      <c r="J130" s="85">
        <f t="shared" si="29"/>
        <v>90</v>
      </c>
      <c r="L130" s="84">
        <f t="shared" si="30"/>
        <v>97</v>
      </c>
      <c r="M130" s="70"/>
      <c r="N130" s="83">
        <f t="shared" si="31"/>
        <v>1164</v>
      </c>
      <c r="P130"/>
      <c r="Q130" s="589"/>
      <c r="R130" s="591"/>
      <c r="S130"/>
      <c r="AA130" t="s">
        <v>395</v>
      </c>
      <c r="AB130" t="s">
        <v>1423</v>
      </c>
    </row>
    <row r="131" spans="1:28" ht="21" customHeight="1" x14ac:dyDescent="0.3">
      <c r="A131" s="657"/>
      <c r="B131" s="394" t="s">
        <v>289</v>
      </c>
      <c r="C131" s="395">
        <v>100</v>
      </c>
      <c r="D131" s="396">
        <v>500</v>
      </c>
      <c r="E131" s="397" t="s">
        <v>184</v>
      </c>
      <c r="F131" s="864">
        <f>IF($B131="","",IF(SUMIFS(CONFIG_PALETES!$C:$C,CONFIG_PALETES!$A:$A,TRIM($B131),CONFIG_PALETES!$B:$B,$C131&amp;" ml")&gt;0,SUMIFS(CONFIG_PALETES!$C:$C,CONFIG_PALETES!$A:$A,TRIM($B131),CONFIG_PALETES!$B:$B,$C131&amp;" ml"),IF(SUMIFS(CONFIG_PALETES!$C:$C,CONFIG_PALETES!$A:$A,"GERAL",CONFIG_PALETES!$B:$B,$C131&amp;" ml")&gt;0,SUMIFS(CONFIG_PALETES!$C:$C,CONFIG_PALETES!$A:$A,"GERAL",CONFIG_PALETES!$B:$B,$C131&amp;" ml"),"")))</f>
        <v>240</v>
      </c>
      <c r="G131" s="398">
        <f>IFERROR(ROUNDUP(D131/F131,0),"")</f>
        <v>3</v>
      </c>
      <c r="H131" s="399">
        <v>505</v>
      </c>
      <c r="I131" s="396">
        <f>IF(H131="","",H131*IF(SUMIFS(CONFIG_PALETES!$D:$D,CONFIG_PALETES!$A:$A,IF(ISNUMBER(SEARCH("ESPUMA",$B131)),"ESPUMA",IF(OR(ISNUMBER(SEARCH("OLEO DE COCO",$B131)),ISNUMBER(SEARCH("ÓLEO DE COCO",$B131)),ISNUMBER(SEARCH("COPRA",$B131))),"ÓLEO DE COCO",IF(ISNUMBER(SEARCH("CORANTE",$B131)),"CORANTE",TRIM($B131)))),CONFIG_PALETES!$B:$B,$C131&amp;" ml")&gt;0,SUMIFS(CONFIG_PALETES!$D:$D,CONFIG_PALETES!$A:$A,IF(ISNUMBER(SEARCH("ESPUMA",$B131)),"ESPUMA",IF(OR(ISNUMBER(SEARCH("OLEO DE COCO",$B131)),ISNUMBER(SEARCH("ÓLEO DE COCO",$B131)),ISNUMBER(SEARCH("COPRA",$B131))),"ÓLEO DE COCO",IF(ISNUMBER(SEARCH("CORANTE",$B131)),"CORANTE",TRIM($B131)))),CONFIG_PALETES!$B:$B,$C131&amp;" ml"),IF(SUMIFS(CONFIG_PALETES!$D:$D,CONFIG_PALETES!$A:$A,"GERAL",CONFIG_PALETES!$B:$B,$C131&amp;" ml")&gt;0,SUMIFS(CONFIG_PALETES!$D:$D,CONFIG_PALETES!$A:$A,"GERAL",CONFIG_PALETES!$B:$B,$C131&amp;" ml"),12)))</f>
        <v>6060</v>
      </c>
      <c r="J131" s="82">
        <f t="shared" si="29"/>
        <v>500</v>
      </c>
      <c r="L131" s="81">
        <f t="shared" si="30"/>
        <v>505</v>
      </c>
      <c r="M131" s="70"/>
      <c r="N131" s="80">
        <f t="shared" si="31"/>
        <v>6060</v>
      </c>
      <c r="P131"/>
      <c r="Q131" s="589"/>
      <c r="R131" s="591"/>
      <c r="S131"/>
      <c r="AA131" t="s">
        <v>25</v>
      </c>
      <c r="AB131" t="s">
        <v>1433</v>
      </c>
    </row>
    <row r="132" spans="1:28" ht="21" customHeight="1" x14ac:dyDescent="0.3">
      <c r="A132" s="390"/>
      <c r="B132" s="394" t="s">
        <v>290</v>
      </c>
      <c r="C132" s="395">
        <v>100</v>
      </c>
      <c r="D132" s="396">
        <v>500</v>
      </c>
      <c r="E132" s="397" t="s">
        <v>184</v>
      </c>
      <c r="F132" s="864">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240</v>
      </c>
      <c r="G132" s="398">
        <f>IFERROR(ROUNDUP(D132/F132,0),"")</f>
        <v>3</v>
      </c>
      <c r="H132" s="399">
        <v>459</v>
      </c>
      <c r="I132" s="396">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5508</v>
      </c>
      <c r="J132" s="85">
        <f t="shared" si="29"/>
        <v>500</v>
      </c>
      <c r="L132" s="84">
        <f t="shared" si="30"/>
        <v>459</v>
      </c>
      <c r="N132" s="83">
        <f t="shared" si="31"/>
        <v>5508</v>
      </c>
      <c r="P132"/>
      <c r="Q132" s="589"/>
      <c r="R132" s="591"/>
      <c r="S132"/>
      <c r="AA132" t="s">
        <v>398</v>
      </c>
      <c r="AB132" t="s">
        <v>1424</v>
      </c>
    </row>
    <row r="133" spans="1:28" ht="21" customHeight="1" x14ac:dyDescent="0.3">
      <c r="A133" s="390"/>
      <c r="B133" s="394"/>
      <c r="C133" s="395"/>
      <c r="D133" s="396"/>
      <c r="E133" s="397" t="s">
        <v>184</v>
      </c>
      <c r="F133" s="864"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398" t="str">
        <f>IFERROR(ROUNDUP(D133/F133,0),"")</f>
        <v/>
      </c>
      <c r="H133" s="399"/>
      <c r="I133" s="396"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J133" s="82" t="str">
        <f t="shared" si="29"/>
        <v/>
      </c>
      <c r="L133" s="81" t="str">
        <f t="shared" si="30"/>
        <v/>
      </c>
      <c r="N133" s="80" t="str">
        <f t="shared" si="31"/>
        <v/>
      </c>
      <c r="P133"/>
      <c r="Q133" s="589"/>
      <c r="R133" s="591"/>
      <c r="S133"/>
      <c r="AA133" t="s">
        <v>396</v>
      </c>
      <c r="AB133" t="s">
        <v>1432</v>
      </c>
    </row>
    <row r="134" spans="1:28" ht="21" customHeight="1" x14ac:dyDescent="0.3">
      <c r="A134" s="771"/>
      <c r="B134" s="772"/>
      <c r="C134" s="773"/>
      <c r="D134" s="774"/>
      <c r="E134" s="775"/>
      <c r="F134" s="865"/>
      <c r="G134" s="776"/>
      <c r="H134" s="777"/>
      <c r="I134" s="774"/>
      <c r="J134" s="85" t="str">
        <f t="shared" si="29"/>
        <v/>
      </c>
      <c r="L134" s="84" t="str">
        <f t="shared" si="30"/>
        <v/>
      </c>
      <c r="N134" s="83" t="str">
        <f t="shared" si="31"/>
        <v/>
      </c>
      <c r="P134"/>
      <c r="Q134" s="589"/>
      <c r="R134" s="591"/>
      <c r="S134"/>
      <c r="AA134" t="s">
        <v>490</v>
      </c>
      <c r="AB134" t="s">
        <v>1425</v>
      </c>
    </row>
    <row r="135" spans="1:28" ht="15" customHeight="1" x14ac:dyDescent="0.3">
      <c r="A135" s="853"/>
      <c r="B135" s="837" t="s">
        <v>186</v>
      </c>
      <c r="C135" s="838"/>
      <c r="D135" s="839">
        <f>SUM(D128:D134)</f>
        <v>1090</v>
      </c>
      <c r="E135" s="837"/>
      <c r="F135" s="854" t="s">
        <v>1400</v>
      </c>
      <c r="G135" s="840">
        <f>SUM(G128:G134)</f>
        <v>7</v>
      </c>
      <c r="H135" s="839">
        <f>SUM(H128:H134)</f>
        <v>1061</v>
      </c>
      <c r="I135" s="839">
        <f>SUM(I128:I134)</f>
        <v>12732</v>
      </c>
      <c r="J135" s="67">
        <f>SUM(D129:D134)</f>
        <v>1090</v>
      </c>
      <c r="K135" s="67">
        <f>SUM(G129:G134)</f>
        <v>7</v>
      </c>
      <c r="L135" s="89">
        <f>SUM(H129:H134)</f>
        <v>1061</v>
      </c>
      <c r="M135" s="67">
        <f>SUM(I129:I134)</f>
        <v>12732</v>
      </c>
      <c r="N135" s="88">
        <f t="shared" si="31"/>
        <v>12732</v>
      </c>
      <c r="O135" s="1">
        <f>SUM(N130:N134)</f>
        <v>12732</v>
      </c>
      <c r="P135"/>
      <c r="Q135" s="586" cm="1">
        <f t="array" ref="Q135">IF(H135=0,"",SUMPRODUCT(IFERROR(INT(H129:H134/F129:F134),0)))</f>
        <v>3</v>
      </c>
      <c r="R135" s="769">
        <f>IF(Q135="","",MAX(0,G135-Q135))</f>
        <v>4</v>
      </c>
      <c r="S135"/>
      <c r="AA135" t="s">
        <v>1082</v>
      </c>
      <c r="AB135" t="s">
        <v>1424</v>
      </c>
    </row>
    <row r="136" spans="1:28" ht="15" customHeight="1" x14ac:dyDescent="0.3">
      <c r="A136" s="778"/>
      <c r="B136" s="779"/>
      <c r="C136" s="780"/>
      <c r="D136" s="781"/>
      <c r="E136" s="781"/>
      <c r="F136" s="781"/>
      <c r="G136" s="781"/>
      <c r="H136" s="781"/>
      <c r="I136" s="781"/>
      <c r="J136" s="1" t="str">
        <f>IF(D136="","",ROUNDUP(D136/IF(AND(C136="600 ml",ISNUMBER(SEARCH("NORCAU",B136))),95,IF(AND(C136="600 ml",ISNUMBER(SEARCH("APURATOS",B136))),190,IF(C136="600 ml",95,IF(C136="400 ml",125,IF(C136="200 ml",330,IF(C136="180 ml",240,1)))))),0))</f>
        <v/>
      </c>
      <c r="L136" s="1" t="str">
        <f>IF(H136="","",H136)</f>
        <v/>
      </c>
      <c r="N136" s="1" t="str">
        <f t="shared" si="31"/>
        <v/>
      </c>
      <c r="P136"/>
      <c r="Q136" s="589"/>
      <c r="R136" s="591"/>
      <c r="S136"/>
      <c r="AA136" t="s">
        <v>598</v>
      </c>
      <c r="AB136" t="s">
        <v>1432</v>
      </c>
    </row>
    <row r="137" spans="1:28" ht="15" customHeight="1" x14ac:dyDescent="0.3">
      <c r="A137" s="390">
        <v>46078</v>
      </c>
      <c r="B137" s="393" t="s">
        <v>49</v>
      </c>
      <c r="C137" s="391" t="s">
        <v>176</v>
      </c>
      <c r="D137" s="392" t="s">
        <v>177</v>
      </c>
      <c r="E137" s="392" t="s">
        <v>178</v>
      </c>
      <c r="F137" s="858" t="s">
        <v>179</v>
      </c>
      <c r="G137" s="392" t="s">
        <v>180</v>
      </c>
      <c r="H137" s="392" t="s">
        <v>181</v>
      </c>
      <c r="I137" s="392" t="s">
        <v>182</v>
      </c>
      <c r="J137" s="72"/>
      <c r="K137" s="72"/>
      <c r="L137" s="87"/>
      <c r="M137" s="72"/>
      <c r="N137" s="87"/>
      <c r="P137"/>
      <c r="Q137" s="589"/>
      <c r="R137" s="591"/>
      <c r="S137"/>
      <c r="AA137" t="s">
        <v>397</v>
      </c>
      <c r="AB137" t="s">
        <v>1424</v>
      </c>
    </row>
    <row r="138" spans="1:28" ht="21" customHeight="1" x14ac:dyDescent="0.3">
      <c r="A138" s="390"/>
      <c r="B138" s="394"/>
      <c r="C138" s="395"/>
      <c r="D138" s="396"/>
      <c r="E138" s="397"/>
      <c r="F138" s="864"/>
      <c r="G138" s="398"/>
      <c r="H138" s="399"/>
      <c r="I138" s="396"/>
      <c r="J138" s="85" t="str">
        <f t="shared" ref="J138:J146" si="32">IF(D138="","",ROUNDUP(D138/IF(AND(C138="600 ml",ISNUMBER(SEARCH("NORCAU",B138))),95,IF(AND(C138="600 ml",ISNUMBER(SEARCH("APURATOS",B138))),190,IF(C138="600 ml",95,IF(C138="400 ml",125,IF(C138="200 ml",330,IF(C138="180 ml",240,1)))))),0))</f>
        <v/>
      </c>
      <c r="L138" s="84" t="str">
        <f t="shared" ref="L138:L146" si="33">IF(H138="","",H138)</f>
        <v/>
      </c>
      <c r="N138" s="83" t="str">
        <f t="shared" ref="N138:N148" si="34">IF(I138="","",I138)</f>
        <v/>
      </c>
      <c r="P138"/>
      <c r="Q138" s="589"/>
      <c r="R138" s="591"/>
      <c r="S138"/>
      <c r="AA138" t="s">
        <v>163</v>
      </c>
      <c r="AB138" t="s">
        <v>1423</v>
      </c>
    </row>
    <row r="139" spans="1:28" ht="21" customHeight="1" x14ac:dyDescent="0.3">
      <c r="A139" s="657" t="s">
        <v>291</v>
      </c>
      <c r="B139" s="394" t="s">
        <v>290</v>
      </c>
      <c r="C139" s="395">
        <v>100</v>
      </c>
      <c r="D139" s="396">
        <v>36</v>
      </c>
      <c r="E139" s="397" t="s">
        <v>184</v>
      </c>
      <c r="F139" s="864">
        <f>IF($B139="","",IF(SUMIFS(CONFIG_PALETES!$C:$C,CONFIG_PALETES!$A:$A,TRIM($B139),CONFIG_PALETES!$B:$B,$C139&amp;" ml")&gt;0,SUMIFS(CONFIG_PALETES!$C:$C,CONFIG_PALETES!$A:$A,TRIM($B139),CONFIG_PALETES!$B:$B,$C139&amp;" ml"),IF(SUMIFS(CONFIG_PALETES!$C:$C,CONFIG_PALETES!$A:$A,"GERAL",CONFIG_PALETES!$B:$B,$C139&amp;" ml")&gt;0,SUMIFS(CONFIG_PALETES!$C:$C,CONFIG_PALETES!$A:$A,"GERAL",CONFIG_PALETES!$B:$B,$C139&amp;" ml"),"")))</f>
        <v>240</v>
      </c>
      <c r="G139" s="398">
        <f t="shared" ref="G139:G145" si="35">IFERROR(ROUNDUP(D139/F139,0),"")</f>
        <v>1</v>
      </c>
      <c r="H139" s="399">
        <v>36</v>
      </c>
      <c r="I139" s="396">
        <f>IF(H139="","",H139*IF(SUMIFS(CONFIG_PALETES!$D:$D,CONFIG_PALETES!$A:$A,IF(ISNUMBER(SEARCH("ESPUMA",$B139)),"ESPUMA",IF(OR(ISNUMBER(SEARCH("OLEO DE COCO",$B139)),ISNUMBER(SEARCH("ÓLEO DE COCO",$B139)),ISNUMBER(SEARCH("COPRA",$B139))),"ÓLEO DE COCO",IF(ISNUMBER(SEARCH("CORANTE",$B139)),"CORANTE",TRIM($B139)))),CONFIG_PALETES!$B:$B,$C139&amp;" ml")&gt;0,SUMIFS(CONFIG_PALETES!$D:$D,CONFIG_PALETES!$A:$A,IF(ISNUMBER(SEARCH("ESPUMA",$B139)),"ESPUMA",IF(OR(ISNUMBER(SEARCH("OLEO DE COCO",$B139)),ISNUMBER(SEARCH("ÓLEO DE COCO",$B139)),ISNUMBER(SEARCH("COPRA",$B139))),"ÓLEO DE COCO",IF(ISNUMBER(SEARCH("CORANTE",$B139)),"CORANTE",TRIM($B139)))),CONFIG_PALETES!$B:$B,$C139&amp;" ml"),IF(SUMIFS(CONFIG_PALETES!$D:$D,CONFIG_PALETES!$A:$A,"GERAL",CONFIG_PALETES!$B:$B,$C139&amp;" ml")&gt;0,SUMIFS(CONFIG_PALETES!$D:$D,CONFIG_PALETES!$A:$A,"GERAL",CONFIG_PALETES!$B:$B,$C139&amp;" ml"),12)))</f>
        <v>432</v>
      </c>
      <c r="J139" s="82">
        <f t="shared" si="32"/>
        <v>36</v>
      </c>
      <c r="L139" s="81">
        <f t="shared" si="33"/>
        <v>36</v>
      </c>
      <c r="M139" s="70"/>
      <c r="N139" s="80">
        <f t="shared" si="34"/>
        <v>432</v>
      </c>
      <c r="P139"/>
      <c r="Q139" s="589"/>
      <c r="R139" s="591"/>
      <c r="S139"/>
      <c r="AA139" t="s">
        <v>1361</v>
      </c>
      <c r="AB139" t="s">
        <v>1436</v>
      </c>
    </row>
    <row r="140" spans="1:28" ht="21" customHeight="1" x14ac:dyDescent="0.3">
      <c r="A140" s="657"/>
      <c r="B140" s="394" t="s">
        <v>292</v>
      </c>
      <c r="C140" s="395">
        <v>70</v>
      </c>
      <c r="D140" s="396">
        <v>240</v>
      </c>
      <c r="E140" s="397" t="s">
        <v>184</v>
      </c>
      <c r="F140" s="864">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240</v>
      </c>
      <c r="G140" s="398">
        <f t="shared" si="35"/>
        <v>1</v>
      </c>
      <c r="H140" s="399">
        <v>238</v>
      </c>
      <c r="I140" s="396">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2856</v>
      </c>
      <c r="J140" s="85">
        <f t="shared" si="32"/>
        <v>240</v>
      </c>
      <c r="L140" s="84">
        <f t="shared" si="33"/>
        <v>238</v>
      </c>
      <c r="M140" s="70"/>
      <c r="N140" s="83">
        <f t="shared" si="34"/>
        <v>2856</v>
      </c>
      <c r="P140"/>
      <c r="Q140" s="589"/>
      <c r="R140" s="591"/>
      <c r="S140"/>
    </row>
    <row r="141" spans="1:28" ht="21" customHeight="1" x14ac:dyDescent="0.3">
      <c r="A141" s="390"/>
      <c r="B141" s="394" t="s">
        <v>293</v>
      </c>
      <c r="C141" s="395">
        <v>70</v>
      </c>
      <c r="D141" s="396">
        <v>120</v>
      </c>
      <c r="E141" s="397" t="s">
        <v>184</v>
      </c>
      <c r="F141" s="864">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240</v>
      </c>
      <c r="G141" s="398">
        <f t="shared" si="35"/>
        <v>1</v>
      </c>
      <c r="H141" s="399">
        <v>122</v>
      </c>
      <c r="I141" s="396">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1464</v>
      </c>
      <c r="J141" s="82">
        <f t="shared" si="32"/>
        <v>120</v>
      </c>
      <c r="L141" s="81">
        <f t="shared" si="33"/>
        <v>122</v>
      </c>
      <c r="N141" s="80">
        <f t="shared" si="34"/>
        <v>1464</v>
      </c>
      <c r="P141"/>
      <c r="Q141" s="589"/>
      <c r="R141" s="591"/>
      <c r="S141"/>
    </row>
    <row r="142" spans="1:28" ht="21" customHeight="1" x14ac:dyDescent="0.3">
      <c r="A142" s="390"/>
      <c r="B142" s="394" t="s">
        <v>294</v>
      </c>
      <c r="C142" s="395">
        <v>70</v>
      </c>
      <c r="D142" s="396">
        <v>120</v>
      </c>
      <c r="E142" s="397" t="s">
        <v>184</v>
      </c>
      <c r="F142" s="864">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240</v>
      </c>
      <c r="G142" s="398">
        <f t="shared" si="35"/>
        <v>1</v>
      </c>
      <c r="H142" s="399">
        <v>122</v>
      </c>
      <c r="I142" s="396">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1464</v>
      </c>
      <c r="J142" s="85">
        <f t="shared" si="32"/>
        <v>120</v>
      </c>
      <c r="L142" s="84">
        <f t="shared" si="33"/>
        <v>122</v>
      </c>
      <c r="N142" s="83">
        <f t="shared" si="34"/>
        <v>1464</v>
      </c>
      <c r="P142"/>
      <c r="Q142" s="589"/>
      <c r="R142" s="591"/>
      <c r="S142"/>
    </row>
    <row r="143" spans="1:28" ht="21" customHeight="1" x14ac:dyDescent="0.3">
      <c r="A143" s="390"/>
      <c r="B143" s="394" t="s">
        <v>295</v>
      </c>
      <c r="C143" s="395">
        <v>70</v>
      </c>
      <c r="D143" s="396">
        <v>120</v>
      </c>
      <c r="E143" s="397" t="s">
        <v>184</v>
      </c>
      <c r="F143" s="864">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240</v>
      </c>
      <c r="G143" s="398">
        <f t="shared" si="35"/>
        <v>1</v>
      </c>
      <c r="H143" s="399">
        <v>122</v>
      </c>
      <c r="I143" s="396">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1464</v>
      </c>
      <c r="J143" s="82">
        <f t="shared" si="32"/>
        <v>120</v>
      </c>
      <c r="L143" s="81">
        <f t="shared" si="33"/>
        <v>122</v>
      </c>
      <c r="N143" s="80">
        <f t="shared" si="34"/>
        <v>1464</v>
      </c>
      <c r="P143"/>
      <c r="Q143" s="589"/>
      <c r="R143" s="591"/>
      <c r="S143"/>
    </row>
    <row r="144" spans="1:28" ht="21" customHeight="1" x14ac:dyDescent="0.3">
      <c r="A144" s="390"/>
      <c r="B144" s="394" t="s">
        <v>296</v>
      </c>
      <c r="C144" s="395">
        <v>70</v>
      </c>
      <c r="D144" s="396">
        <v>120</v>
      </c>
      <c r="E144" s="397" t="s">
        <v>184</v>
      </c>
      <c r="F144" s="864">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240</v>
      </c>
      <c r="G144" s="398">
        <f t="shared" si="35"/>
        <v>1</v>
      </c>
      <c r="H144" s="399">
        <v>121</v>
      </c>
      <c r="I144" s="396">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1452</v>
      </c>
      <c r="J144" s="92">
        <f t="shared" si="32"/>
        <v>120</v>
      </c>
      <c r="L144" s="91">
        <f t="shared" si="33"/>
        <v>121</v>
      </c>
      <c r="N144" s="90">
        <f t="shared" si="34"/>
        <v>1452</v>
      </c>
      <c r="P144"/>
      <c r="Q144" s="589"/>
      <c r="R144" s="591"/>
      <c r="S144"/>
    </row>
    <row r="145" spans="1:19" ht="21" customHeight="1" x14ac:dyDescent="0.3">
      <c r="A145" s="390"/>
      <c r="B145" s="394"/>
      <c r="C145" s="395"/>
      <c r="D145" s="396"/>
      <c r="E145" s="397" t="s">
        <v>184</v>
      </c>
      <c r="F145" s="864" t="str">
        <f>IF($B145="","",IF(SUMIFS(CONFIG_PALETES!$C:$C,CONFIG_PALETES!$A:$A,TRIM($B145),CONFIG_PALETES!$B:$B,$C145&amp;" ml")&gt;0,SUMIFS(CONFIG_PALETES!$C:$C,CONFIG_PALETES!$A:$A,TRIM($B145),CONFIG_PALETES!$B:$B,$C145&amp;" ml"),IF(SUMIFS(CONFIG_PALETES!$C:$C,CONFIG_PALETES!$A:$A,"GERAL",CONFIG_PALETES!$B:$B,$C145&amp;" ml")&gt;0,SUMIFS(CONFIG_PALETES!$C:$C,CONFIG_PALETES!$A:$A,"GERAL",CONFIG_PALETES!$B:$B,$C145&amp;" ml"),"")))</f>
        <v/>
      </c>
      <c r="G145" s="398" t="str">
        <f t="shared" si="35"/>
        <v/>
      </c>
      <c r="H145" s="399"/>
      <c r="I145" s="396" t="str">
        <f>IF(H145="","",H145*IF(SUMIFS(CONFIG_PALETES!$D:$D,CONFIG_PALETES!$A:$A,IF(ISNUMBER(SEARCH("ESPUMA",$B145)),"ESPUMA",IF(OR(ISNUMBER(SEARCH("OLEO DE COCO",$B145)),ISNUMBER(SEARCH("ÓLEO DE COCO",$B145)),ISNUMBER(SEARCH("COPRA",$B145))),"ÓLEO DE COCO",IF(ISNUMBER(SEARCH("CORANTE",$B145)),"CORANTE",TRIM($B145)))),CONFIG_PALETES!$B:$B,$C145&amp;" ml")&gt;0,SUMIFS(CONFIG_PALETES!$D:$D,CONFIG_PALETES!$A:$A,IF(ISNUMBER(SEARCH("ESPUMA",$B145)),"ESPUMA",IF(OR(ISNUMBER(SEARCH("OLEO DE COCO",$B145)),ISNUMBER(SEARCH("ÓLEO DE COCO",$B145)),ISNUMBER(SEARCH("COPRA",$B145))),"ÓLEO DE COCO",IF(ISNUMBER(SEARCH("CORANTE",$B145)),"CORANTE",TRIM($B145)))),CONFIG_PALETES!$B:$B,$C145&amp;" ml"),IF(SUMIFS(CONFIG_PALETES!$D:$D,CONFIG_PALETES!$A:$A,"GERAL",CONFIG_PALETES!$B:$B,$C145&amp;" ml")&gt;0,SUMIFS(CONFIG_PALETES!$D:$D,CONFIG_PALETES!$A:$A,"GERAL",CONFIG_PALETES!$B:$B,$C145&amp;" ml"),12)))</f>
        <v/>
      </c>
      <c r="J145" s="82" t="str">
        <f t="shared" si="32"/>
        <v/>
      </c>
      <c r="L145" s="70" t="str">
        <f t="shared" si="33"/>
        <v/>
      </c>
      <c r="N145" s="90" t="str">
        <f t="shared" si="34"/>
        <v/>
      </c>
      <c r="P145"/>
      <c r="Q145" s="589"/>
      <c r="R145" s="591"/>
      <c r="S145"/>
    </row>
    <row r="146" spans="1:19" ht="21" customHeight="1" x14ac:dyDescent="0.3">
      <c r="A146" s="771"/>
      <c r="B146" s="772"/>
      <c r="C146" s="773"/>
      <c r="D146" s="774"/>
      <c r="E146" s="775"/>
      <c r="F146" s="865"/>
      <c r="G146" s="776"/>
      <c r="H146" s="777"/>
      <c r="I146" s="774"/>
      <c r="J146" s="1" t="str">
        <f t="shared" si="32"/>
        <v/>
      </c>
      <c r="L146" s="70" t="str">
        <f t="shared" si="33"/>
        <v/>
      </c>
      <c r="N146" s="69" t="str">
        <f t="shared" si="34"/>
        <v/>
      </c>
      <c r="P146"/>
      <c r="Q146" s="589"/>
      <c r="R146" s="591"/>
      <c r="S146"/>
    </row>
    <row r="147" spans="1:19" ht="15" customHeight="1" x14ac:dyDescent="0.3">
      <c r="A147" s="853"/>
      <c r="B147" s="837" t="s">
        <v>186</v>
      </c>
      <c r="C147" s="838"/>
      <c r="D147" s="839">
        <f>SUM(D140:D146)</f>
        <v>720</v>
      </c>
      <c r="E147" s="837"/>
      <c r="F147" s="854" t="s">
        <v>1400</v>
      </c>
      <c r="G147" s="840">
        <f>SUM(G140:G146)</f>
        <v>5</v>
      </c>
      <c r="H147" s="839">
        <f>SUM(H140:H146)</f>
        <v>725</v>
      </c>
      <c r="I147" s="839">
        <f>SUM(I140:I146)</f>
        <v>8700</v>
      </c>
      <c r="J147" s="67">
        <f>SUM(D138:D146)</f>
        <v>756</v>
      </c>
      <c r="K147" s="67">
        <f>SUM(G138:G146)</f>
        <v>6</v>
      </c>
      <c r="L147" s="89">
        <f>SUM(H138:H146)</f>
        <v>761</v>
      </c>
      <c r="M147" s="67">
        <f>SUM(I138:I146)</f>
        <v>9132</v>
      </c>
      <c r="N147" s="88">
        <f t="shared" si="34"/>
        <v>8700</v>
      </c>
      <c r="O147" s="1">
        <f>SUM(N139:N146)</f>
        <v>9132</v>
      </c>
      <c r="P147"/>
      <c r="Q147" s="586" cm="1">
        <f t="array" ref="Q147">IF(H147=0,"",SUMPRODUCT(IFERROR(INT(H138:H146/F138:F146),0)))</f>
        <v>0</v>
      </c>
      <c r="R147" s="769">
        <f>IF(Q147="","",MAX(0,G147-Q147))</f>
        <v>5</v>
      </c>
      <c r="S147"/>
    </row>
    <row r="148" spans="1:19" ht="15" customHeight="1" x14ac:dyDescent="0.3">
      <c r="A148" s="778"/>
      <c r="B148" s="779"/>
      <c r="C148" s="780"/>
      <c r="D148" s="781"/>
      <c r="E148" s="781"/>
      <c r="F148" s="781"/>
      <c r="G148" s="781"/>
      <c r="H148" s="781"/>
      <c r="I148" s="781"/>
      <c r="J148" s="1" t="str">
        <f>IF(D148="","",ROUNDUP(D148/IF(AND(C148="600 ml",ISNUMBER(SEARCH("NORCAU",B148))),95,IF(AND(C148="600 ml",ISNUMBER(SEARCH("APURATOS",B148))),190,IF(C148="600 ml",95,IF(C148="400 ml",125,IF(C148="200 ml",330,IF(C148="180 ml",240,1)))))),0))</f>
        <v/>
      </c>
      <c r="L148" s="1" t="str">
        <f>IF(H148="","",H148)</f>
        <v/>
      </c>
      <c r="N148" s="1" t="str">
        <f t="shared" si="34"/>
        <v/>
      </c>
      <c r="P148"/>
      <c r="Q148" s="589"/>
      <c r="R148" s="591"/>
      <c r="S148"/>
    </row>
    <row r="149" spans="1:19" ht="15" customHeight="1" x14ac:dyDescent="0.3">
      <c r="A149" s="390">
        <v>46079</v>
      </c>
      <c r="B149" s="393" t="s">
        <v>49</v>
      </c>
      <c r="C149" s="391" t="s">
        <v>176</v>
      </c>
      <c r="D149" s="392" t="s">
        <v>177</v>
      </c>
      <c r="E149" s="392" t="s">
        <v>178</v>
      </c>
      <c r="F149" s="858" t="s">
        <v>179</v>
      </c>
      <c r="G149" s="392" t="s">
        <v>180</v>
      </c>
      <c r="H149" s="392" t="s">
        <v>181</v>
      </c>
      <c r="I149" s="392" t="s">
        <v>182</v>
      </c>
      <c r="J149" s="72"/>
      <c r="K149" s="72"/>
      <c r="L149" s="87"/>
      <c r="M149" s="72"/>
      <c r="N149" s="87"/>
      <c r="P149"/>
      <c r="Q149" s="589"/>
      <c r="R149" s="591"/>
      <c r="S149"/>
    </row>
    <row r="150" spans="1:19" ht="21" customHeight="1" x14ac:dyDescent="0.3">
      <c r="A150" s="390"/>
      <c r="B150" s="394"/>
      <c r="C150" s="395"/>
      <c r="D150" s="396"/>
      <c r="E150" s="397"/>
      <c r="F150" s="864"/>
      <c r="G150" s="398"/>
      <c r="H150" s="399"/>
      <c r="I150" s="396"/>
      <c r="J150" s="85" t="str">
        <f t="shared" ref="J150:J155" si="36">IF(D150="","",ROUNDUP(D150/IF(AND(C150="600 ml",ISNUMBER(SEARCH("NORCAU",B150))),95,IF(AND(C150="600 ml",ISNUMBER(SEARCH("APURATOS",B150))),190,IF(C150="600 ml",95,IF(C150="400 ml",125,IF(C150="200 ml",330,IF(C150="180 ml",240,1)))))),0))</f>
        <v/>
      </c>
      <c r="L150" s="84" t="str">
        <f t="shared" ref="L150:L155" si="37">IF(H150="","",H150)</f>
        <v/>
      </c>
      <c r="N150" s="83" t="str">
        <f t="shared" ref="N150:N157" si="38">IF(I150="","",I150)</f>
        <v/>
      </c>
      <c r="P150"/>
      <c r="Q150" s="589"/>
      <c r="R150" s="591"/>
      <c r="S150"/>
    </row>
    <row r="151" spans="1:19" ht="21" customHeight="1" x14ac:dyDescent="0.3">
      <c r="A151" s="657" t="s">
        <v>297</v>
      </c>
      <c r="B151" s="394" t="s">
        <v>114</v>
      </c>
      <c r="C151" s="395">
        <v>200</v>
      </c>
      <c r="D151" s="396">
        <v>1420</v>
      </c>
      <c r="E151" s="397" t="s">
        <v>184</v>
      </c>
      <c r="F151" s="864">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330</v>
      </c>
      <c r="G151" s="398">
        <f>IFERROR(ROUNDUP(D151/F151,0),"")</f>
        <v>5</v>
      </c>
      <c r="H151" s="399">
        <v>1430</v>
      </c>
      <c r="I151" s="396">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8580</v>
      </c>
      <c r="J151" s="82">
        <f t="shared" si="36"/>
        <v>1420</v>
      </c>
      <c r="L151" s="81">
        <f t="shared" si="37"/>
        <v>1430</v>
      </c>
      <c r="M151" s="70"/>
      <c r="N151" s="80">
        <f t="shared" si="38"/>
        <v>8580</v>
      </c>
      <c r="P151"/>
      <c r="Q151" s="589"/>
      <c r="R151" s="591"/>
      <c r="S151"/>
    </row>
    <row r="152" spans="1:19" ht="21" customHeight="1" x14ac:dyDescent="0.3">
      <c r="A152" s="657"/>
      <c r="B152" s="394" t="s">
        <v>298</v>
      </c>
      <c r="C152" s="395">
        <v>200</v>
      </c>
      <c r="D152" s="396">
        <v>660</v>
      </c>
      <c r="E152" s="397" t="s">
        <v>184</v>
      </c>
      <c r="F152" s="864">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330</v>
      </c>
      <c r="G152" s="398">
        <f>IFERROR(ROUNDUP(D152/F152,0),"")</f>
        <v>2</v>
      </c>
      <c r="H152" s="399">
        <v>701</v>
      </c>
      <c r="I152" s="396">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4206</v>
      </c>
      <c r="J152" s="85">
        <f t="shared" si="36"/>
        <v>660</v>
      </c>
      <c r="L152" s="84">
        <f t="shared" si="37"/>
        <v>701</v>
      </c>
      <c r="M152" s="70"/>
      <c r="N152" s="83">
        <f t="shared" si="38"/>
        <v>4206</v>
      </c>
      <c r="P152"/>
      <c r="Q152" s="589"/>
      <c r="R152" s="591"/>
      <c r="S152"/>
    </row>
    <row r="153" spans="1:19" ht="21" customHeight="1" x14ac:dyDescent="0.3">
      <c r="A153" s="390"/>
      <c r="B153" s="394"/>
      <c r="C153" s="395"/>
      <c r="D153" s="396"/>
      <c r="E153" s="397" t="s">
        <v>184</v>
      </c>
      <c r="F153" s="864" t="str">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
      </c>
      <c r="G153" s="398" t="str">
        <f>IFERROR(ROUNDUP(D153/F153,0),"")</f>
        <v/>
      </c>
      <c r="H153" s="399"/>
      <c r="I153" s="396" t="str">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
      </c>
      <c r="J153" s="82" t="str">
        <f t="shared" si="36"/>
        <v/>
      </c>
      <c r="L153" s="81" t="str">
        <f t="shared" si="37"/>
        <v/>
      </c>
      <c r="N153" s="80" t="str">
        <f t="shared" si="38"/>
        <v/>
      </c>
      <c r="P153"/>
      <c r="Q153" s="589"/>
      <c r="R153" s="591"/>
      <c r="S153"/>
    </row>
    <row r="154" spans="1:19" ht="21" customHeight="1" x14ac:dyDescent="0.3">
      <c r="A154" s="390"/>
      <c r="B154" s="394"/>
      <c r="C154" s="395"/>
      <c r="D154" s="396"/>
      <c r="E154" s="397" t="s">
        <v>184</v>
      </c>
      <c r="F154" s="864" t="str">
        <f>IF($B154="","",IF(SUMIFS(CONFIG_PALETES!$C:$C,CONFIG_PALETES!$A:$A,TRIM($B154),CONFIG_PALETES!$B:$B,$C154&amp;" ml")&gt;0,SUMIFS(CONFIG_PALETES!$C:$C,CONFIG_PALETES!$A:$A,TRIM($B154),CONFIG_PALETES!$B:$B,$C154&amp;" ml"),IF(SUMIFS(CONFIG_PALETES!$C:$C,CONFIG_PALETES!$A:$A,"GERAL",CONFIG_PALETES!$B:$B,$C154&amp;" ml")&gt;0,SUMIFS(CONFIG_PALETES!$C:$C,CONFIG_PALETES!$A:$A,"GERAL",CONFIG_PALETES!$B:$B,$C154&amp;" ml"),"")))</f>
        <v/>
      </c>
      <c r="G154" s="398" t="str">
        <f>IFERROR(ROUNDUP(D154/F154,0),"")</f>
        <v/>
      </c>
      <c r="H154" s="399"/>
      <c r="I154" s="396" t="str">
        <f>IF(H154="","",H154*IF(SUMIFS(CONFIG_PALETES!$D:$D,CONFIG_PALETES!$A:$A,IF(ISNUMBER(SEARCH("ESPUMA",$B154)),"ESPUMA",IF(OR(ISNUMBER(SEARCH("OLEO DE COCO",$B154)),ISNUMBER(SEARCH("ÓLEO DE COCO",$B154)),ISNUMBER(SEARCH("COPRA",$B154))),"ÓLEO DE COCO",IF(ISNUMBER(SEARCH("CORANTE",$B154)),"CORANTE",TRIM($B154)))),CONFIG_PALETES!$B:$B,$C154&amp;" ml")&gt;0,SUMIFS(CONFIG_PALETES!$D:$D,CONFIG_PALETES!$A:$A,IF(ISNUMBER(SEARCH("ESPUMA",$B154)),"ESPUMA",IF(OR(ISNUMBER(SEARCH("OLEO DE COCO",$B154)),ISNUMBER(SEARCH("ÓLEO DE COCO",$B154)),ISNUMBER(SEARCH("COPRA",$B154))),"ÓLEO DE COCO",IF(ISNUMBER(SEARCH("CORANTE",$B154)),"CORANTE",TRIM($B154)))),CONFIG_PALETES!$B:$B,$C154&amp;" ml"),IF(SUMIFS(CONFIG_PALETES!$D:$D,CONFIG_PALETES!$A:$A,"GERAL",CONFIG_PALETES!$B:$B,$C154&amp;" ml")&gt;0,SUMIFS(CONFIG_PALETES!$D:$D,CONFIG_PALETES!$A:$A,"GERAL",CONFIG_PALETES!$B:$B,$C154&amp;" ml"),12)))</f>
        <v/>
      </c>
      <c r="J154" s="85" t="str">
        <f t="shared" si="36"/>
        <v/>
      </c>
      <c r="L154" s="84" t="str">
        <f t="shared" si="37"/>
        <v/>
      </c>
      <c r="N154" s="83" t="str">
        <f t="shared" si="38"/>
        <v/>
      </c>
      <c r="P154"/>
      <c r="Q154" s="589"/>
      <c r="R154" s="591"/>
      <c r="S154"/>
    </row>
    <row r="155" spans="1:19" ht="21" customHeight="1" x14ac:dyDescent="0.3">
      <c r="A155" s="771"/>
      <c r="B155" s="772"/>
      <c r="C155" s="773"/>
      <c r="D155" s="774"/>
      <c r="E155" s="775"/>
      <c r="F155" s="865"/>
      <c r="G155" s="776"/>
      <c r="H155" s="777"/>
      <c r="I155" s="774"/>
      <c r="J155" s="82" t="str">
        <f t="shared" si="36"/>
        <v/>
      </c>
      <c r="L155" s="81" t="str">
        <f t="shared" si="37"/>
        <v/>
      </c>
      <c r="N155" s="80" t="str">
        <f t="shared" si="38"/>
        <v/>
      </c>
      <c r="P155"/>
      <c r="Q155" s="589"/>
      <c r="R155" s="591"/>
      <c r="S155"/>
    </row>
    <row r="156" spans="1:19" ht="15" customHeight="1" x14ac:dyDescent="0.3">
      <c r="A156" s="853"/>
      <c r="B156" s="837" t="s">
        <v>186</v>
      </c>
      <c r="C156" s="838"/>
      <c r="D156" s="839">
        <f>SUM(D149:D155)</f>
        <v>2080</v>
      </c>
      <c r="E156" s="837"/>
      <c r="F156" s="854" t="s">
        <v>1400</v>
      </c>
      <c r="G156" s="840">
        <f>SUM(G149:G155)</f>
        <v>7</v>
      </c>
      <c r="H156" s="839">
        <f>SUM(H149:H155)</f>
        <v>2131</v>
      </c>
      <c r="I156" s="839">
        <f>SUM(I149:I155)</f>
        <v>12786</v>
      </c>
      <c r="J156" s="67">
        <f>SUM(D150:D155)</f>
        <v>2080</v>
      </c>
      <c r="K156" s="67">
        <f>SUM(G150:G155)</f>
        <v>7</v>
      </c>
      <c r="L156" s="89">
        <f>SUM(H150:H155)</f>
        <v>2131</v>
      </c>
      <c r="M156" s="67">
        <f>SUM(I150:I155)</f>
        <v>12786</v>
      </c>
      <c r="N156" s="88">
        <f t="shared" si="38"/>
        <v>12786</v>
      </c>
      <c r="O156" s="1">
        <f>SUM(N151:N155)</f>
        <v>12786</v>
      </c>
      <c r="P156"/>
      <c r="Q156" s="586" cm="1">
        <f t="array" ref="Q156">IF(H156=0,"",SUMPRODUCT(IFERROR(INT(H150:H155/F150:F155),0)))</f>
        <v>6</v>
      </c>
      <c r="R156" s="769">
        <f>IF(Q156="","",MAX(0,G156-Q156))</f>
        <v>1</v>
      </c>
      <c r="S156"/>
    </row>
    <row r="157" spans="1:19" ht="15" customHeight="1" x14ac:dyDescent="0.3">
      <c r="A157" s="778"/>
      <c r="B157" s="779"/>
      <c r="C157" s="780"/>
      <c r="D157" s="781"/>
      <c r="E157" s="781"/>
      <c r="F157" s="781"/>
      <c r="G157" s="781"/>
      <c r="H157" s="781"/>
      <c r="I157" s="781"/>
      <c r="J157" s="1" t="str">
        <f>IF(D157="","",ROUNDUP(D157/IF(AND(C157="600 ml",ISNUMBER(SEARCH("NORCAU",B157))),95,IF(AND(C157="600 ml",ISNUMBER(SEARCH("APURATOS",B157))),190,IF(C157="600 ml",95,IF(C157="400 ml",125,IF(C157="200 ml",330,IF(C157="180 ml",240,1)))))),0))</f>
        <v/>
      </c>
      <c r="L157" s="1" t="str">
        <f>IF(H157="","",H157)</f>
        <v/>
      </c>
      <c r="N157" s="1" t="str">
        <f t="shared" si="38"/>
        <v/>
      </c>
      <c r="P157"/>
      <c r="Q157" s="589"/>
      <c r="R157" s="591"/>
      <c r="S157"/>
    </row>
    <row r="158" spans="1:19" ht="15" customHeight="1" x14ac:dyDescent="0.3">
      <c r="A158" s="390">
        <v>46080</v>
      </c>
      <c r="B158" s="393" t="s">
        <v>49</v>
      </c>
      <c r="C158" s="391" t="s">
        <v>176</v>
      </c>
      <c r="D158" s="392" t="s">
        <v>177</v>
      </c>
      <c r="E158" s="392" t="s">
        <v>178</v>
      </c>
      <c r="F158" s="858" t="s">
        <v>179</v>
      </c>
      <c r="G158" s="392" t="s">
        <v>180</v>
      </c>
      <c r="H158" s="392" t="s">
        <v>181</v>
      </c>
      <c r="I158" s="392" t="s">
        <v>182</v>
      </c>
      <c r="J158" s="72"/>
      <c r="K158" s="72"/>
      <c r="L158" s="87"/>
      <c r="M158" s="72"/>
      <c r="N158" s="87"/>
      <c r="P158"/>
      <c r="Q158" s="589"/>
      <c r="R158" s="591"/>
      <c r="S158"/>
    </row>
    <row r="159" spans="1:19" ht="21" customHeight="1" x14ac:dyDescent="0.3">
      <c r="A159" s="390"/>
      <c r="B159" s="394"/>
      <c r="C159" s="395"/>
      <c r="D159" s="396"/>
      <c r="E159" s="397"/>
      <c r="F159" s="864"/>
      <c r="G159" s="398"/>
      <c r="H159" s="399"/>
      <c r="I159" s="396"/>
      <c r="J159" s="82" t="str">
        <f>IF(D159="","",ROUNDUP(D159/IF(AND(C159="600 ml",ISNUMBER(SEARCH("NORCAU",B159))),95,IF(AND(C159="600 ml",ISNUMBER(SEARCH("APURATOS",B159))),190,IF(C159="600 ml",95,IF(C159="400 ml",125,IF(C159="200 ml",330,IF(C159="180 ml",240,1)))))),0))</f>
        <v/>
      </c>
      <c r="L159" s="81" t="str">
        <f>IF(H159="","",H159)</f>
        <v/>
      </c>
      <c r="N159" s="80" t="str">
        <f t="shared" ref="N159:N199" si="39">IF(I159="","",I159)</f>
        <v/>
      </c>
      <c r="P159"/>
      <c r="Q159" s="589"/>
      <c r="R159" s="591"/>
      <c r="S159"/>
    </row>
    <row r="160" spans="1:19" ht="21" customHeight="1" x14ac:dyDescent="0.3">
      <c r="A160" s="657">
        <v>600</v>
      </c>
      <c r="B160" s="394" t="s">
        <v>163</v>
      </c>
      <c r="C160" s="395">
        <v>600</v>
      </c>
      <c r="D160" s="396">
        <v>90</v>
      </c>
      <c r="E160" s="397" t="s">
        <v>184</v>
      </c>
      <c r="F160" s="864">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95</v>
      </c>
      <c r="G160" s="398">
        <f>IFERROR(ROUNDUP(D160/F160,0),"")</f>
        <v>1</v>
      </c>
      <c r="H160" s="399">
        <v>91</v>
      </c>
      <c r="I160" s="396">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1092</v>
      </c>
      <c r="J160" s="85">
        <f>IF(D160="","",ROUNDUP(D160/IF(AND(C160="600 ml",ISNUMBER(SEARCH("NORCAU",B160))),95,IF(AND(C160="600 ml",ISNUMBER(SEARCH("APURATOS",B160))),190,IF(C160="600 ml",95,IF(C160="400 ml",125,IF(C160="200 ml",330,IF(C160="180 ml",240,1)))))),0))</f>
        <v>90</v>
      </c>
      <c r="L160" s="84">
        <f>IF(H160="","",H160)</f>
        <v>91</v>
      </c>
      <c r="M160" s="70"/>
      <c r="N160" s="83">
        <f t="shared" si="39"/>
        <v>1092</v>
      </c>
      <c r="P160"/>
      <c r="Q160" s="589"/>
      <c r="R160" s="591"/>
      <c r="S160"/>
    </row>
    <row r="161" spans="1:19" ht="21" customHeight="1" x14ac:dyDescent="0.3">
      <c r="A161" s="657"/>
      <c r="B161" s="394" t="s">
        <v>25</v>
      </c>
      <c r="C161" s="395">
        <v>600</v>
      </c>
      <c r="D161" s="396">
        <v>1330</v>
      </c>
      <c r="E161" s="397" t="s">
        <v>184</v>
      </c>
      <c r="F161" s="864">
        <f>IF($B161="","",IF(SUMIFS(CONFIG_PALETES!$C:$C,CONFIG_PALETES!$A:$A,TRIM($B161),CONFIG_PALETES!$B:$B,$C161&amp;" ml")&gt;0,SUMIFS(CONFIG_PALETES!$C:$C,CONFIG_PALETES!$A:$A,TRIM($B161),CONFIG_PALETES!$B:$B,$C161&amp;" ml"),IF(SUMIFS(CONFIG_PALETES!$C:$C,CONFIG_PALETES!$A:$A,"GERAL",CONFIG_PALETES!$B:$B,$C161&amp;" ml")&gt;0,SUMIFS(CONFIG_PALETES!$C:$C,CONFIG_PALETES!$A:$A,"GERAL",CONFIG_PALETES!$B:$B,$C161&amp;" ml"),"")))</f>
        <v>95</v>
      </c>
      <c r="G161" s="398">
        <f>IFERROR(ROUNDUP(D161/F161,0),"")</f>
        <v>14</v>
      </c>
      <c r="H161" s="399">
        <v>545</v>
      </c>
      <c r="I161" s="396">
        <f>IF(H161="","",H161*IF(SUMIFS(CONFIG_PALETES!$D:$D,CONFIG_PALETES!$A:$A,IF(ISNUMBER(SEARCH("ESPUMA",$B161)),"ESPUMA",IF(OR(ISNUMBER(SEARCH("OLEO DE COCO",$B161)),ISNUMBER(SEARCH("ÓLEO DE COCO",$B161)),ISNUMBER(SEARCH("COPRA",$B161))),"ÓLEO DE COCO",IF(ISNUMBER(SEARCH("CORANTE",$B161)),"CORANTE",TRIM($B161)))),CONFIG_PALETES!$B:$B,$C161&amp;" ml")&gt;0,SUMIFS(CONFIG_PALETES!$D:$D,CONFIG_PALETES!$A:$A,IF(ISNUMBER(SEARCH("ESPUMA",$B161)),"ESPUMA",IF(OR(ISNUMBER(SEARCH("OLEO DE COCO",$B161)),ISNUMBER(SEARCH("ÓLEO DE COCO",$B161)),ISNUMBER(SEARCH("COPRA",$B161))),"ÓLEO DE COCO",IF(ISNUMBER(SEARCH("CORANTE",$B161)),"CORANTE",TRIM($B161)))),CONFIG_PALETES!$B:$B,$C161&amp;" ml"),IF(SUMIFS(CONFIG_PALETES!$D:$D,CONFIG_PALETES!$A:$A,"GERAL",CONFIG_PALETES!$B:$B,$C161&amp;" ml")&gt;0,SUMIFS(CONFIG_PALETES!$D:$D,CONFIG_PALETES!$A:$A,"GERAL",CONFIG_PALETES!$B:$B,$C161&amp;" ml"),12)))</f>
        <v>6540</v>
      </c>
      <c r="J161" s="82">
        <f>IF(D161="","",ROUNDUP(D161/IF(AND(C161="600 ml",ISNUMBER(SEARCH("NORCAU",B161))),95,IF(AND(C161="600 ml",ISNUMBER(SEARCH("APURATOS",B161))),190,IF(C161="600 ml",95,IF(C161="400 ml",125,IF(C161="200 ml",330,IF(C161="180 ml",240,1)))))),0))</f>
        <v>1330</v>
      </c>
      <c r="L161" s="81">
        <f>IF(H161="","",H161)</f>
        <v>545</v>
      </c>
      <c r="M161" s="70"/>
      <c r="N161" s="80">
        <f t="shared" si="39"/>
        <v>6540</v>
      </c>
      <c r="P161"/>
      <c r="Q161" s="589"/>
      <c r="R161" s="591"/>
      <c r="S161"/>
    </row>
    <row r="162" spans="1:19" ht="21" customHeight="1" x14ac:dyDescent="0.3">
      <c r="A162" s="390"/>
      <c r="B162" s="394"/>
      <c r="C162" s="395"/>
      <c r="D162" s="396"/>
      <c r="E162" s="397" t="s">
        <v>184</v>
      </c>
      <c r="F162" s="864" t="str">
        <f>IF($B162="","",IF(SUMIFS(CONFIG_PALETES!$C:$C,CONFIG_PALETES!$A:$A,TRIM($B162),CONFIG_PALETES!$B:$B,$C162&amp;" ml")&gt;0,SUMIFS(CONFIG_PALETES!$C:$C,CONFIG_PALETES!$A:$A,TRIM($B162),CONFIG_PALETES!$B:$B,$C162&amp;" ml"),IF(SUMIFS(CONFIG_PALETES!$C:$C,CONFIG_PALETES!$A:$A,"GERAL",CONFIG_PALETES!$B:$B,$C162&amp;" ml")&gt;0,SUMIFS(CONFIG_PALETES!$C:$C,CONFIG_PALETES!$A:$A,"GERAL",CONFIG_PALETES!$B:$B,$C162&amp;" ml"),"")))</f>
        <v/>
      </c>
      <c r="G162" s="398" t="str">
        <f>IFERROR(ROUNDUP(D162/F162,0),"")</f>
        <v/>
      </c>
      <c r="H162" s="399"/>
      <c r="I162" s="396" t="str">
        <f>IF(H162="","",H162*IF(SUMIFS(CONFIG_PALETES!$D:$D,CONFIG_PALETES!$A:$A,IF(ISNUMBER(SEARCH("ESPUMA",$B162)),"ESPUMA",IF(OR(ISNUMBER(SEARCH("OLEO DE COCO",$B162)),ISNUMBER(SEARCH("ÓLEO DE COCO",$B162)),ISNUMBER(SEARCH("COPRA",$B162))),"ÓLEO DE COCO",IF(ISNUMBER(SEARCH("CORANTE",$B162)),"CORANTE",TRIM($B162)))),CONFIG_PALETES!$B:$B,$C162&amp;" ml")&gt;0,SUMIFS(CONFIG_PALETES!$D:$D,CONFIG_PALETES!$A:$A,IF(ISNUMBER(SEARCH("ESPUMA",$B162)),"ESPUMA",IF(OR(ISNUMBER(SEARCH("OLEO DE COCO",$B162)),ISNUMBER(SEARCH("ÓLEO DE COCO",$B162)),ISNUMBER(SEARCH("COPRA",$B162))),"ÓLEO DE COCO",IF(ISNUMBER(SEARCH("CORANTE",$B162)),"CORANTE",TRIM($B162)))),CONFIG_PALETES!$B:$B,$C162&amp;" ml"),IF(SUMIFS(CONFIG_PALETES!$D:$D,CONFIG_PALETES!$A:$A,"GERAL",CONFIG_PALETES!$B:$B,$C162&amp;" ml")&gt;0,SUMIFS(CONFIG_PALETES!$D:$D,CONFIG_PALETES!$A:$A,"GERAL",CONFIG_PALETES!$B:$B,$C162&amp;" ml"),12)))</f>
        <v/>
      </c>
      <c r="J162" s="85" t="str">
        <f>IF(D162="","",ROUNDUP(D162/IF(AND(C162="600 ml",ISNUMBER(SEARCH("NORCAU",B162))),95,IF(AND(C162="600 ml",ISNUMBER(SEARCH("APURATOS",B162))),190,IF(C162="600 ml",95,IF(C162="400 ml",125,IF(C162="200 ml",330,IF(C162="180 ml",240,1)))))),0))</f>
        <v/>
      </c>
      <c r="L162" s="84" t="str">
        <f>IF(H162="","",H162)</f>
        <v/>
      </c>
      <c r="N162" s="83" t="str">
        <f t="shared" si="39"/>
        <v/>
      </c>
      <c r="P162"/>
      <c r="Q162" s="589"/>
      <c r="R162" s="591"/>
      <c r="S162"/>
    </row>
    <row r="163" spans="1:19" ht="21" customHeight="1" x14ac:dyDescent="0.3">
      <c r="A163" s="771"/>
      <c r="B163" s="772"/>
      <c r="C163" s="773"/>
      <c r="D163" s="774"/>
      <c r="E163" s="775"/>
      <c r="F163" s="865"/>
      <c r="G163" s="776"/>
      <c r="H163" s="777"/>
      <c r="I163" s="774"/>
      <c r="J163" s="82" t="str">
        <f>IF(D163="","",ROUNDUP(D163/IF(AND(C163="600 ml",ISNUMBER(SEARCH("NORCAU",B163))),95,IF(AND(C163="600 ml",ISNUMBER(SEARCH("APURATOS",B163))),190,IF(C163="600 ml",95,IF(C163="400 ml",125,IF(C163="200 ml",330,IF(C163="180 ml",240,1)))))),0))</f>
        <v/>
      </c>
      <c r="L163" s="81" t="str">
        <f>IF(H163="","",H163)</f>
        <v/>
      </c>
      <c r="N163" s="80" t="str">
        <f t="shared" si="39"/>
        <v/>
      </c>
      <c r="P163"/>
      <c r="Q163" s="589"/>
      <c r="R163" s="591"/>
      <c r="S163"/>
    </row>
    <row r="164" spans="1:19" ht="15" customHeight="1" x14ac:dyDescent="0.3">
      <c r="A164" s="853"/>
      <c r="B164" s="837" t="s">
        <v>186</v>
      </c>
      <c r="C164" s="838"/>
      <c r="D164" s="839">
        <f>SUM(D157:D163)</f>
        <v>1420</v>
      </c>
      <c r="E164" s="837"/>
      <c r="F164" s="854" t="s">
        <v>1400</v>
      </c>
      <c r="G164" s="840">
        <f>SUM(G157:G163)</f>
        <v>15</v>
      </c>
      <c r="H164" s="839">
        <f>SUM(H157:H163)</f>
        <v>636</v>
      </c>
      <c r="I164" s="839">
        <f>SUM(I157:I163)</f>
        <v>7632</v>
      </c>
      <c r="J164" s="79">
        <f>SUM(D159:D163)</f>
        <v>1420</v>
      </c>
      <c r="K164" s="67">
        <f>SUM(G159:G163)</f>
        <v>15</v>
      </c>
      <c r="L164" s="78">
        <f>SUM(H159:H163)</f>
        <v>636</v>
      </c>
      <c r="M164" s="67">
        <f>SUM(I159:I163)</f>
        <v>7632</v>
      </c>
      <c r="N164" s="77">
        <f t="shared" si="39"/>
        <v>7632</v>
      </c>
      <c r="O164" s="1">
        <f>SUM(N160:N163)</f>
        <v>7632</v>
      </c>
      <c r="P164"/>
      <c r="Q164" s="586" cm="1">
        <f t="array" ref="Q164">IF(H164=0,"",SUMPRODUCT(IFERROR(INT(H159:H163/F159:F163),0)))</f>
        <v>5</v>
      </c>
      <c r="R164" s="769">
        <f>IF(Q164="","",MAX(0,G164-Q164))</f>
        <v>10</v>
      </c>
      <c r="S164"/>
    </row>
    <row r="165" spans="1:19" ht="14.25" customHeight="1" x14ac:dyDescent="0.3">
      <c r="A165" s="810"/>
      <c r="B165" s="811"/>
      <c r="C165" s="812"/>
      <c r="D165" s="813"/>
      <c r="E165" s="813"/>
      <c r="F165" s="813"/>
      <c r="G165" s="813"/>
      <c r="H165" s="813"/>
      <c r="I165" s="813"/>
      <c r="J165" s="1" t="str">
        <f t="shared" ref="J165:J197" si="40">IF(D165="","",ROUNDUP(D165/IF(AND(C165="600 ml",ISNUMBER(SEARCH("NORCAU",B165))),95,IF(AND(C165="600 ml",ISNUMBER(SEARCH("APURATOS",B165))),190,IF(C165="600 ml",95,IF(C165="400 ml",125,IF(C165="200 ml",330,IF(C165="180 ml",240,1)))))),0))</f>
        <v/>
      </c>
      <c r="L165" s="1" t="str">
        <f t="shared" ref="L165:L197" si="41">IF(H165="","",H165)</f>
        <v/>
      </c>
      <c r="N165" s="1" t="str">
        <f t="shared" si="39"/>
        <v/>
      </c>
      <c r="P165"/>
      <c r="Q165" s="589"/>
      <c r="R165" s="591"/>
      <c r="S165"/>
    </row>
    <row r="166" spans="1:19" ht="14.25" customHeight="1" x14ac:dyDescent="0.3">
      <c r="A166" s="381"/>
      <c r="B166" s="382"/>
      <c r="C166" s="383"/>
      <c r="D166" s="384"/>
      <c r="E166" s="384"/>
      <c r="F166" s="387" t="s">
        <v>299</v>
      </c>
      <c r="G166" s="384"/>
      <c r="H166" s="388" t="s">
        <v>300</v>
      </c>
      <c r="I166" s="384"/>
      <c r="J166" s="74" t="str">
        <f t="shared" si="40"/>
        <v/>
      </c>
      <c r="K166" s="72"/>
      <c r="L166" s="73" t="str">
        <f t="shared" si="41"/>
        <v>REAL</v>
      </c>
      <c r="M166" s="72"/>
      <c r="N166" s="71" t="str">
        <f t="shared" si="39"/>
        <v/>
      </c>
      <c r="P166"/>
      <c r="Q166" s="589"/>
      <c r="R166" s="591"/>
      <c r="S166"/>
    </row>
    <row r="167" spans="1:19" ht="14.25" customHeight="1" x14ac:dyDescent="0.3">
      <c r="A167" s="381"/>
      <c r="B167" s="382"/>
      <c r="C167" s="383"/>
      <c r="D167" s="384"/>
      <c r="E167" s="384"/>
      <c r="F167" s="384"/>
      <c r="G167" s="389"/>
      <c r="H167" s="385"/>
      <c r="I167" s="384"/>
      <c r="J167" s="1" t="str">
        <f t="shared" si="40"/>
        <v/>
      </c>
      <c r="L167" s="70" t="str">
        <f t="shared" si="41"/>
        <v/>
      </c>
      <c r="N167" s="69" t="str">
        <f t="shared" si="39"/>
        <v/>
      </c>
      <c r="P167"/>
      <c r="Q167" s="589"/>
      <c r="R167" s="591"/>
      <c r="S167"/>
    </row>
    <row r="168" spans="1:19" ht="14.25" customHeight="1" x14ac:dyDescent="0.3">
      <c r="A168" s="381"/>
      <c r="B168" s="382"/>
      <c r="C168" s="383"/>
      <c r="D168" s="384"/>
      <c r="E168" s="384" t="s">
        <v>184</v>
      </c>
      <c r="F168" s="384"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384" t="str">
        <f>IFERROR(ROUNDUP(D168/F168,0),"")</f>
        <v/>
      </c>
      <c r="H168" s="385"/>
      <c r="I168" s="38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c r="J168" s="1" t="str">
        <f t="shared" si="40"/>
        <v/>
      </c>
      <c r="L168" s="70" t="str">
        <f t="shared" si="41"/>
        <v/>
      </c>
      <c r="M168" s="70"/>
      <c r="N168" s="69" t="str">
        <f t="shared" si="39"/>
        <v/>
      </c>
      <c r="P168"/>
      <c r="Q168" s="589"/>
      <c r="R168" s="591"/>
      <c r="S168"/>
    </row>
    <row r="169" spans="1:19" ht="14.25" customHeight="1" x14ac:dyDescent="0.3">
      <c r="A169" s="381"/>
      <c r="B169" s="382"/>
      <c r="C169" s="383"/>
      <c r="D169" s="384"/>
      <c r="E169" s="384" t="s">
        <v>184</v>
      </c>
      <c r="F169" s="384"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384" t="str">
        <f>IFERROR(ROUNDUP(D169/F169,0),"")</f>
        <v/>
      </c>
      <c r="H169" s="385"/>
      <c r="I169" s="384"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c r="J169" s="1" t="str">
        <f t="shared" si="40"/>
        <v/>
      </c>
      <c r="L169" s="70" t="str">
        <f t="shared" si="41"/>
        <v/>
      </c>
      <c r="M169" s="70"/>
      <c r="N169" s="69" t="str">
        <f t="shared" si="39"/>
        <v/>
      </c>
      <c r="P169"/>
      <c r="Q169" s="589"/>
      <c r="R169" s="591"/>
      <c r="S169"/>
    </row>
    <row r="170" spans="1:19" ht="14.25" customHeight="1" x14ac:dyDescent="0.3">
      <c r="A170" s="381"/>
      <c r="B170" s="382"/>
      <c r="C170" s="383"/>
      <c r="D170" s="384"/>
      <c r="E170" s="384" t="s">
        <v>184</v>
      </c>
      <c r="F170" s="384" t="str">
        <f>IF($B170="","",IF(SUMIFS(CONFIG_PALETES!$C:$C,CONFIG_PALETES!$A:$A,TRIM($B170),CONFIG_PALETES!$B:$B,$C170&amp;" ml")&gt;0,SUMIFS(CONFIG_PALETES!$C:$C,CONFIG_PALETES!$A:$A,TRIM($B170),CONFIG_PALETES!$B:$B,$C170&amp;" ml"),IF(SUMIFS(CONFIG_PALETES!$C:$C,CONFIG_PALETES!$A:$A,"GERAL",CONFIG_PALETES!$B:$B,$C170&amp;" ml")&gt;0,SUMIFS(CONFIG_PALETES!$C:$C,CONFIG_PALETES!$A:$A,"GERAL",CONFIG_PALETES!$B:$B,$C170&amp;" ml"),"")))</f>
        <v/>
      </c>
      <c r="G170" s="384" t="str">
        <f>IFERROR(ROUNDUP(D170/F170,0),"")</f>
        <v/>
      </c>
      <c r="H170" s="385"/>
      <c r="I170" s="384" t="str">
        <f>IF(H170="","",H170*IF(SUMIFS(CONFIG_PALETES!$D:$D,CONFIG_PALETES!$A:$A,IF(ISNUMBER(SEARCH("ESPUMA",$B170)),"ESPUMA",IF(OR(ISNUMBER(SEARCH("OLEO DE COCO",$B170)),ISNUMBER(SEARCH("ÓLEO DE COCO",$B170)),ISNUMBER(SEARCH("COPRA",$B170))),"ÓLEO DE COCO",IF(ISNUMBER(SEARCH("CORANTE",$B170)),"CORANTE",TRIM($B170)))),CONFIG_PALETES!$B:$B,$C170&amp;" ml")&gt;0,SUMIFS(CONFIG_PALETES!$D:$D,CONFIG_PALETES!$A:$A,IF(ISNUMBER(SEARCH("ESPUMA",$B170)),"ESPUMA",IF(OR(ISNUMBER(SEARCH("OLEO DE COCO",$B170)),ISNUMBER(SEARCH("ÓLEO DE COCO",$B170)),ISNUMBER(SEARCH("COPRA",$B170))),"ÓLEO DE COCO",IF(ISNUMBER(SEARCH("CORANTE",$B170)),"CORANTE",TRIM($B170)))),CONFIG_PALETES!$B:$B,$C170&amp;" ml"),IF(SUMIFS(CONFIG_PALETES!$D:$D,CONFIG_PALETES!$A:$A,"GERAL",CONFIG_PALETES!$B:$B,$C170&amp;" ml")&gt;0,SUMIFS(CONFIG_PALETES!$D:$D,CONFIG_PALETES!$A:$A,"GERAL",CONFIG_PALETES!$B:$B,$C170&amp;" ml"),12)))</f>
        <v/>
      </c>
      <c r="J170" s="1" t="str">
        <f t="shared" si="40"/>
        <v/>
      </c>
      <c r="L170" s="70" t="str">
        <f t="shared" si="41"/>
        <v/>
      </c>
      <c r="N170" s="69" t="str">
        <f t="shared" si="39"/>
        <v/>
      </c>
      <c r="P170"/>
      <c r="Q170" s="589"/>
      <c r="R170" s="591"/>
      <c r="S170"/>
    </row>
    <row r="171" spans="1:19" ht="14.25" customHeight="1" x14ac:dyDescent="0.3">
      <c r="A171" s="381"/>
      <c r="B171" s="382"/>
      <c r="C171" s="383"/>
      <c r="D171" s="384"/>
      <c r="E171" s="384"/>
      <c r="F171" s="384"/>
      <c r="G171" s="384"/>
      <c r="H171" s="385"/>
      <c r="I171" s="384"/>
      <c r="J171" s="1" t="str">
        <f t="shared" si="40"/>
        <v/>
      </c>
      <c r="L171" s="70" t="str">
        <f t="shared" si="41"/>
        <v/>
      </c>
      <c r="N171" s="69" t="str">
        <f t="shared" si="39"/>
        <v/>
      </c>
      <c r="P171"/>
      <c r="Q171" s="589"/>
      <c r="R171" s="591"/>
      <c r="S171"/>
    </row>
    <row r="172" spans="1:19" ht="14.25" customHeight="1" x14ac:dyDescent="0.3">
      <c r="A172" s="381"/>
      <c r="B172" s="382"/>
      <c r="C172" s="383"/>
      <c r="D172" s="384"/>
      <c r="E172" s="384"/>
      <c r="F172" s="384"/>
      <c r="G172" s="384"/>
      <c r="H172" s="385"/>
      <c r="I172" s="384"/>
      <c r="J172" s="67" t="str">
        <f t="shared" si="40"/>
        <v/>
      </c>
      <c r="K172" s="67"/>
      <c r="L172" s="68" t="str">
        <f t="shared" si="41"/>
        <v/>
      </c>
      <c r="M172" s="67"/>
      <c r="N172" s="66" t="str">
        <f t="shared" si="39"/>
        <v/>
      </c>
      <c r="O172" s="1">
        <f>SUM(N168:N171)</f>
        <v>0</v>
      </c>
      <c r="P172"/>
      <c r="Q172" s="589"/>
      <c r="R172" s="591"/>
      <c r="S172"/>
    </row>
    <row r="173" spans="1:19" ht="14.25" customHeight="1" x14ac:dyDescent="0.3">
      <c r="A173" s="386"/>
      <c r="B173" s="382"/>
      <c r="C173" s="383"/>
      <c r="D173" s="384"/>
      <c r="E173" s="384"/>
      <c r="F173" s="384"/>
      <c r="G173" s="384"/>
      <c r="H173" s="384"/>
      <c r="I173" s="384"/>
      <c r="J173" s="1" t="str">
        <f t="shared" si="40"/>
        <v/>
      </c>
      <c r="L173" s="1" t="str">
        <f t="shared" si="41"/>
        <v/>
      </c>
      <c r="N173" s="1" t="str">
        <f t="shared" si="39"/>
        <v/>
      </c>
      <c r="P173"/>
      <c r="Q173" s="589"/>
      <c r="R173" s="591"/>
      <c r="S173"/>
    </row>
    <row r="174" spans="1:19" ht="14.25" customHeight="1" x14ac:dyDescent="0.3">
      <c r="A174" s="381"/>
      <c r="B174" s="382"/>
      <c r="C174" s="383"/>
      <c r="D174" s="384"/>
      <c r="E174" s="384"/>
      <c r="F174" s="387" t="s">
        <v>299</v>
      </c>
      <c r="G174" s="384"/>
      <c r="H174" s="388" t="s">
        <v>300</v>
      </c>
      <c r="I174" s="384"/>
      <c r="J174" s="74" t="str">
        <f t="shared" si="40"/>
        <v/>
      </c>
      <c r="K174" s="72"/>
      <c r="L174" s="73" t="str">
        <f t="shared" si="41"/>
        <v>REAL</v>
      </c>
      <c r="M174" s="72"/>
      <c r="N174" s="71" t="str">
        <f t="shared" si="39"/>
        <v/>
      </c>
      <c r="P174"/>
      <c r="Q174" s="589"/>
      <c r="R174" s="591"/>
      <c r="S174"/>
    </row>
    <row r="175" spans="1:19" ht="14.25" customHeight="1" x14ac:dyDescent="0.3">
      <c r="A175" s="381"/>
      <c r="B175" s="382"/>
      <c r="C175" s="383"/>
      <c r="D175" s="384"/>
      <c r="E175" s="384"/>
      <c r="F175" s="384"/>
      <c r="G175" s="389"/>
      <c r="H175" s="385"/>
      <c r="I175" s="384"/>
      <c r="J175" s="1" t="str">
        <f t="shared" si="40"/>
        <v/>
      </c>
      <c r="L175" s="70" t="str">
        <f t="shared" si="41"/>
        <v/>
      </c>
      <c r="N175" s="69" t="str">
        <f t="shared" si="39"/>
        <v/>
      </c>
      <c r="P175"/>
      <c r="Q175" s="589"/>
      <c r="R175" s="591"/>
      <c r="S175"/>
    </row>
    <row r="176" spans="1:19" ht="14.25" customHeight="1" x14ac:dyDescent="0.3">
      <c r="A176" s="381"/>
      <c r="B176" s="382"/>
      <c r="C176" s="383"/>
      <c r="D176" s="384"/>
      <c r="E176" s="384" t="s">
        <v>184</v>
      </c>
      <c r="F176" s="384"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384" t="str">
        <f>IFERROR(ROUNDUP(D176/F176,0),"")</f>
        <v/>
      </c>
      <c r="H176" s="385"/>
      <c r="I176" s="384"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c r="J176" s="1" t="str">
        <f t="shared" si="40"/>
        <v/>
      </c>
      <c r="L176" s="70" t="str">
        <f t="shared" si="41"/>
        <v/>
      </c>
      <c r="M176" s="70"/>
      <c r="N176" s="69" t="str">
        <f t="shared" si="39"/>
        <v/>
      </c>
      <c r="P176"/>
      <c r="Q176" s="589"/>
      <c r="R176" s="591"/>
      <c r="S176"/>
    </row>
    <row r="177" spans="1:19" ht="14.25" customHeight="1" x14ac:dyDescent="0.3">
      <c r="A177" s="381"/>
      <c r="B177" s="382"/>
      <c r="C177" s="383"/>
      <c r="D177" s="384"/>
      <c r="E177" s="384" t="s">
        <v>184</v>
      </c>
      <c r="F177" s="384" t="str">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
      </c>
      <c r="G177" s="384" t="str">
        <f>IFERROR(ROUNDUP(D177/F177,0),"")</f>
        <v/>
      </c>
      <c r="H177" s="385"/>
      <c r="I177" s="384" t="str">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
      </c>
      <c r="J177" s="1" t="str">
        <f t="shared" si="40"/>
        <v/>
      </c>
      <c r="L177" s="70" t="str">
        <f t="shared" si="41"/>
        <v/>
      </c>
      <c r="M177" s="70"/>
      <c r="N177" s="69" t="str">
        <f t="shared" si="39"/>
        <v/>
      </c>
      <c r="P177"/>
      <c r="Q177" s="589"/>
      <c r="R177" s="591"/>
      <c r="S177"/>
    </row>
    <row r="178" spans="1:19" ht="14.25" customHeight="1" x14ac:dyDescent="0.3">
      <c r="A178" s="381"/>
      <c r="B178" s="382"/>
      <c r="C178" s="383"/>
      <c r="D178" s="384"/>
      <c r="E178" s="384" t="s">
        <v>184</v>
      </c>
      <c r="F178" s="384"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384" t="str">
        <f>IFERROR(ROUNDUP(D178/F178,0),"")</f>
        <v/>
      </c>
      <c r="H178" s="385"/>
      <c r="I178" s="384"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c r="J178" s="1" t="str">
        <f t="shared" si="40"/>
        <v/>
      </c>
      <c r="L178" s="70" t="str">
        <f t="shared" si="41"/>
        <v/>
      </c>
      <c r="N178" s="69" t="str">
        <f t="shared" si="39"/>
        <v/>
      </c>
      <c r="P178"/>
      <c r="Q178" s="589"/>
      <c r="R178" s="591"/>
      <c r="S178"/>
    </row>
    <row r="179" spans="1:19" ht="14.25" customHeight="1" x14ac:dyDescent="0.3">
      <c r="A179" s="381"/>
      <c r="B179" s="382"/>
      <c r="C179" s="383"/>
      <c r="D179" s="384"/>
      <c r="E179" s="384"/>
      <c r="F179" s="384"/>
      <c r="G179" s="384"/>
      <c r="H179" s="385"/>
      <c r="I179" s="384"/>
      <c r="J179" s="1" t="str">
        <f t="shared" si="40"/>
        <v/>
      </c>
      <c r="L179" s="70" t="str">
        <f t="shared" si="41"/>
        <v/>
      </c>
      <c r="N179" s="69" t="str">
        <f t="shared" si="39"/>
        <v/>
      </c>
      <c r="P179"/>
      <c r="Q179" s="589"/>
      <c r="R179" s="591"/>
      <c r="S179"/>
    </row>
    <row r="180" spans="1:19" ht="14.25" customHeight="1" x14ac:dyDescent="0.3">
      <c r="A180" s="381"/>
      <c r="B180" s="382"/>
      <c r="C180" s="383"/>
      <c r="D180" s="384"/>
      <c r="E180" s="384"/>
      <c r="F180" s="384"/>
      <c r="G180" s="384"/>
      <c r="H180" s="385"/>
      <c r="I180" s="384"/>
      <c r="J180" s="67" t="str">
        <f t="shared" si="40"/>
        <v/>
      </c>
      <c r="K180" s="67"/>
      <c r="L180" s="68" t="str">
        <f t="shared" si="41"/>
        <v/>
      </c>
      <c r="M180" s="67"/>
      <c r="N180" s="66" t="str">
        <f t="shared" si="39"/>
        <v/>
      </c>
      <c r="O180" s="1">
        <f>SUM(N176:N179)</f>
        <v>0</v>
      </c>
      <c r="P180"/>
      <c r="Q180" s="589"/>
      <c r="R180" s="591"/>
      <c r="S180"/>
    </row>
    <row r="181" spans="1:19" ht="14.25" customHeight="1" x14ac:dyDescent="0.3">
      <c r="A181" s="386"/>
      <c r="B181" s="382"/>
      <c r="C181" s="383"/>
      <c r="D181" s="384"/>
      <c r="E181" s="384"/>
      <c r="F181" s="384"/>
      <c r="G181" s="384"/>
      <c r="H181" s="384"/>
      <c r="I181" s="384"/>
      <c r="J181" s="1" t="str">
        <f t="shared" si="40"/>
        <v/>
      </c>
      <c r="L181" s="1" t="str">
        <f t="shared" si="41"/>
        <v/>
      </c>
      <c r="N181" s="1" t="str">
        <f t="shared" si="39"/>
        <v/>
      </c>
      <c r="P181"/>
      <c r="Q181" s="589"/>
      <c r="R181" s="591"/>
      <c r="S181"/>
    </row>
    <row r="182" spans="1:19" ht="14.25" customHeight="1" x14ac:dyDescent="0.3">
      <c r="A182" s="386"/>
      <c r="B182" s="382"/>
      <c r="C182" s="383"/>
      <c r="D182" s="384"/>
      <c r="E182" s="384"/>
      <c r="F182" s="384"/>
      <c r="G182" s="384"/>
      <c r="H182" s="384"/>
      <c r="I182" s="384"/>
      <c r="J182" s="1" t="str">
        <f t="shared" si="40"/>
        <v/>
      </c>
      <c r="L182" s="1" t="str">
        <f t="shared" si="41"/>
        <v/>
      </c>
      <c r="N182" s="1" t="str">
        <f t="shared" si="39"/>
        <v/>
      </c>
      <c r="O182" s="1">
        <f>SUM(O1:O180)</f>
        <v>191118</v>
      </c>
      <c r="P182"/>
      <c r="Q182" s="589"/>
      <c r="R182" s="591"/>
      <c r="S182"/>
    </row>
    <row r="183" spans="1:19" ht="15" customHeight="1" x14ac:dyDescent="0.3">
      <c r="A183" s="386"/>
      <c r="B183" s="384"/>
      <c r="C183" s="383"/>
      <c r="D183" s="384"/>
      <c r="E183" s="384"/>
      <c r="F183" s="384"/>
      <c r="G183" s="384"/>
      <c r="H183" s="384"/>
      <c r="I183" s="384"/>
      <c r="J183" s="1" t="str">
        <f t="shared" si="40"/>
        <v/>
      </c>
      <c r="L183" s="1" t="str">
        <f t="shared" si="41"/>
        <v/>
      </c>
      <c r="N183" s="1" t="str">
        <f t="shared" si="39"/>
        <v/>
      </c>
      <c r="P183"/>
      <c r="Q183" s="589"/>
      <c r="R183" s="591"/>
      <c r="S183"/>
    </row>
    <row r="184" spans="1:19" ht="15" customHeight="1" x14ac:dyDescent="0.3">
      <c r="A184" s="386"/>
      <c r="B184" s="384"/>
      <c r="C184" s="383"/>
      <c r="D184" s="384"/>
      <c r="E184" s="384"/>
      <c r="F184" s="384"/>
      <c r="G184" s="384"/>
      <c r="H184" s="384"/>
      <c r="I184" s="384"/>
      <c r="J184" s="1" t="str">
        <f t="shared" si="40"/>
        <v/>
      </c>
      <c r="L184" s="1" t="str">
        <f t="shared" si="41"/>
        <v/>
      </c>
      <c r="N184" s="1" t="str">
        <f t="shared" si="39"/>
        <v/>
      </c>
      <c r="P184"/>
      <c r="Q184" s="589"/>
      <c r="R184" s="591"/>
      <c r="S184"/>
    </row>
    <row r="185" spans="1:19" ht="15" customHeight="1" x14ac:dyDescent="0.3">
      <c r="A185" s="386"/>
      <c r="B185" s="384"/>
      <c r="C185" s="383"/>
      <c r="D185" s="384"/>
      <c r="E185" s="384"/>
      <c r="F185" s="384"/>
      <c r="G185" s="384"/>
      <c r="H185" s="384"/>
      <c r="I185" s="384"/>
      <c r="J185" s="1" t="str">
        <f t="shared" si="40"/>
        <v/>
      </c>
      <c r="L185" s="1" t="str">
        <f t="shared" si="41"/>
        <v/>
      </c>
      <c r="N185" s="1" t="str">
        <f t="shared" si="39"/>
        <v/>
      </c>
      <c r="P185"/>
      <c r="Q185" s="589"/>
      <c r="R185" s="591"/>
      <c r="S185"/>
    </row>
    <row r="186" spans="1:19" ht="15" customHeight="1" x14ac:dyDescent="0.3">
      <c r="A186" s="386"/>
      <c r="B186" s="384"/>
      <c r="C186" s="383"/>
      <c r="D186" s="384"/>
      <c r="E186" s="384"/>
      <c r="F186" s="384"/>
      <c r="G186" s="384"/>
      <c r="H186" s="384"/>
      <c r="I186" s="384"/>
      <c r="J186" s="1" t="str">
        <f t="shared" si="40"/>
        <v/>
      </c>
      <c r="L186" s="1" t="str">
        <f t="shared" si="41"/>
        <v/>
      </c>
      <c r="N186" s="1" t="str">
        <f t="shared" si="39"/>
        <v/>
      </c>
      <c r="P186"/>
      <c r="Q186" s="589"/>
      <c r="R186" s="591"/>
      <c r="S186"/>
    </row>
    <row r="187" spans="1:19" ht="15" customHeight="1" x14ac:dyDescent="0.3">
      <c r="A187" s="386"/>
      <c r="B187" s="384"/>
      <c r="C187" s="383"/>
      <c r="D187" s="384"/>
      <c r="E187" s="384"/>
      <c r="F187" s="384"/>
      <c r="G187" s="384"/>
      <c r="H187" s="384"/>
      <c r="I187" s="384"/>
      <c r="J187" s="1" t="str">
        <f t="shared" si="40"/>
        <v/>
      </c>
      <c r="L187" s="1" t="str">
        <f t="shared" si="41"/>
        <v/>
      </c>
      <c r="N187" s="1" t="str">
        <f t="shared" si="39"/>
        <v/>
      </c>
      <c r="P187"/>
      <c r="Q187" s="589"/>
      <c r="R187" s="591"/>
      <c r="S187"/>
    </row>
    <row r="188" spans="1:19" ht="15" customHeight="1" x14ac:dyDescent="0.3">
      <c r="A188" s="386"/>
      <c r="B188" s="384"/>
      <c r="C188" s="383"/>
      <c r="D188" s="384"/>
      <c r="E188" s="384"/>
      <c r="F188" s="384"/>
      <c r="G188" s="384"/>
      <c r="H188" s="384"/>
      <c r="I188" s="384"/>
      <c r="J188" s="1" t="str">
        <f t="shared" si="40"/>
        <v/>
      </c>
      <c r="L188" s="1" t="str">
        <f t="shared" si="41"/>
        <v/>
      </c>
      <c r="N188" s="1" t="str">
        <f t="shared" si="39"/>
        <v/>
      </c>
      <c r="P188"/>
      <c r="Q188" s="589"/>
      <c r="R188" s="591"/>
      <c r="S188"/>
    </row>
    <row r="189" spans="1:19" ht="15" customHeight="1" x14ac:dyDescent="0.3">
      <c r="A189" s="386"/>
      <c r="B189" s="384"/>
      <c r="C189" s="383"/>
      <c r="D189" s="384"/>
      <c r="E189" s="384"/>
      <c r="F189" s="384"/>
      <c r="G189" s="384"/>
      <c r="H189" s="384"/>
      <c r="I189" s="384"/>
      <c r="J189" s="1" t="str">
        <f t="shared" si="40"/>
        <v/>
      </c>
      <c r="L189" s="1" t="str">
        <f t="shared" si="41"/>
        <v/>
      </c>
      <c r="N189" s="1" t="str">
        <f t="shared" si="39"/>
        <v/>
      </c>
      <c r="P189"/>
      <c r="Q189" s="589"/>
      <c r="R189" s="591"/>
      <c r="S189"/>
    </row>
    <row r="190" spans="1:19" ht="15" customHeight="1" x14ac:dyDescent="0.3">
      <c r="A190" s="386"/>
      <c r="B190" s="384"/>
      <c r="C190" s="383"/>
      <c r="D190" s="384"/>
      <c r="E190" s="384"/>
      <c r="F190" s="384"/>
      <c r="G190" s="384"/>
      <c r="H190" s="384"/>
      <c r="I190" s="384"/>
      <c r="J190" s="1" t="str">
        <f t="shared" si="40"/>
        <v/>
      </c>
      <c r="L190" s="1" t="str">
        <f t="shared" si="41"/>
        <v/>
      </c>
      <c r="N190" s="1" t="str">
        <f t="shared" si="39"/>
        <v/>
      </c>
      <c r="P190"/>
      <c r="Q190" s="589"/>
      <c r="R190" s="591"/>
      <c r="S190"/>
    </row>
    <row r="191" spans="1:19" ht="15" customHeight="1" x14ac:dyDescent="0.3">
      <c r="A191" s="386"/>
      <c r="B191" s="384"/>
      <c r="C191" s="383"/>
      <c r="D191" s="384"/>
      <c r="E191" s="384"/>
      <c r="F191" s="384"/>
      <c r="G191" s="384"/>
      <c r="H191" s="384"/>
      <c r="I191" s="384"/>
      <c r="J191" s="1" t="str">
        <f t="shared" si="40"/>
        <v/>
      </c>
      <c r="L191" s="1" t="str">
        <f t="shared" si="41"/>
        <v/>
      </c>
      <c r="N191" s="1" t="str">
        <f t="shared" si="39"/>
        <v/>
      </c>
      <c r="P191"/>
      <c r="Q191" s="589"/>
      <c r="R191" s="591"/>
      <c r="S191"/>
    </row>
    <row r="192" spans="1:19" ht="15" customHeight="1" x14ac:dyDescent="0.3">
      <c r="A192" s="386"/>
      <c r="B192" s="384"/>
      <c r="C192" s="383"/>
      <c r="D192" s="384"/>
      <c r="E192" s="384"/>
      <c r="F192" s="384"/>
      <c r="G192" s="384"/>
      <c r="H192" s="384"/>
      <c r="I192" s="384"/>
      <c r="J192" s="1" t="str">
        <f t="shared" si="40"/>
        <v/>
      </c>
      <c r="L192" s="1" t="str">
        <f t="shared" si="41"/>
        <v/>
      </c>
      <c r="N192" s="1" t="str">
        <f t="shared" si="39"/>
        <v/>
      </c>
      <c r="P192"/>
      <c r="Q192" s="589"/>
      <c r="R192" s="591"/>
      <c r="S192"/>
    </row>
    <row r="193" spans="1:19" ht="15" customHeight="1" x14ac:dyDescent="0.3">
      <c r="A193" s="386"/>
      <c r="B193" s="384"/>
      <c r="C193" s="383"/>
      <c r="D193" s="384"/>
      <c r="E193" s="384"/>
      <c r="F193" s="384"/>
      <c r="G193" s="384"/>
      <c r="H193" s="384"/>
      <c r="I193" s="384"/>
      <c r="J193" s="1" t="str">
        <f t="shared" si="40"/>
        <v/>
      </c>
      <c r="L193" s="1" t="str">
        <f t="shared" si="41"/>
        <v/>
      </c>
      <c r="N193" s="1" t="str">
        <f t="shared" si="39"/>
        <v/>
      </c>
      <c r="P193"/>
      <c r="Q193" s="589"/>
      <c r="R193" s="591"/>
      <c r="S193"/>
    </row>
    <row r="194" spans="1:19" ht="15" customHeight="1" x14ac:dyDescent="0.3">
      <c r="A194" s="386"/>
      <c r="B194" s="384"/>
      <c r="C194" s="383"/>
      <c r="D194" s="384"/>
      <c r="E194" s="384"/>
      <c r="F194" s="384"/>
      <c r="G194" s="384"/>
      <c r="H194" s="384"/>
      <c r="I194" s="384"/>
      <c r="J194" s="1" t="str">
        <f t="shared" si="40"/>
        <v/>
      </c>
      <c r="L194" s="1" t="str">
        <f t="shared" si="41"/>
        <v/>
      </c>
      <c r="N194" s="1" t="str">
        <f t="shared" si="39"/>
        <v/>
      </c>
      <c r="P194"/>
      <c r="Q194" s="589"/>
      <c r="R194" s="591"/>
      <c r="S194"/>
    </row>
    <row r="195" spans="1:19" ht="15" customHeight="1" x14ac:dyDescent="0.3">
      <c r="A195" s="386"/>
      <c r="B195" s="384"/>
      <c r="C195" s="383"/>
      <c r="D195" s="384"/>
      <c r="E195" s="384"/>
      <c r="F195" s="384"/>
      <c r="G195" s="384"/>
      <c r="H195" s="384"/>
      <c r="I195" s="384"/>
      <c r="J195" s="1" t="str">
        <f t="shared" si="40"/>
        <v/>
      </c>
      <c r="L195" s="1" t="str">
        <f t="shared" si="41"/>
        <v/>
      </c>
      <c r="N195" s="1" t="str">
        <f t="shared" si="39"/>
        <v/>
      </c>
      <c r="P195"/>
      <c r="Q195" s="589"/>
      <c r="R195" s="591"/>
      <c r="S195"/>
    </row>
    <row r="196" spans="1:19" ht="15" customHeight="1" x14ac:dyDescent="0.3">
      <c r="A196" s="386"/>
      <c r="B196" s="384"/>
      <c r="C196" s="383"/>
      <c r="D196" s="384"/>
      <c r="E196" s="384"/>
      <c r="F196" s="384"/>
      <c r="G196" s="384"/>
      <c r="H196" s="384"/>
      <c r="I196" s="384"/>
      <c r="J196" s="1" t="str">
        <f t="shared" si="40"/>
        <v/>
      </c>
      <c r="L196" s="1" t="str">
        <f t="shared" si="41"/>
        <v/>
      </c>
      <c r="N196" s="1" t="str">
        <f t="shared" si="39"/>
        <v/>
      </c>
      <c r="P196"/>
      <c r="Q196" s="589"/>
      <c r="R196" s="591"/>
      <c r="S196"/>
    </row>
    <row r="197" spans="1:19" ht="15" customHeight="1" x14ac:dyDescent="0.3">
      <c r="A197" s="814"/>
      <c r="B197" s="815"/>
      <c r="C197" s="816"/>
      <c r="D197" s="815"/>
      <c r="E197" s="815"/>
      <c r="F197" s="815"/>
      <c r="G197" s="815"/>
      <c r="H197" s="815"/>
      <c r="I197" s="815"/>
      <c r="J197" s="1" t="str">
        <f t="shared" si="40"/>
        <v/>
      </c>
      <c r="L197" s="1" t="str">
        <f t="shared" si="41"/>
        <v/>
      </c>
      <c r="N197" s="1" t="str">
        <f t="shared" si="39"/>
        <v/>
      </c>
      <c r="P197"/>
      <c r="Q197" s="589"/>
      <c r="R197" s="591"/>
      <c r="S197"/>
    </row>
    <row r="198" spans="1:19" ht="15" customHeight="1" x14ac:dyDescent="0.3">
      <c r="A198" s="898"/>
      <c r="B198" s="841" t="s">
        <v>186</v>
      </c>
      <c r="C198" s="842"/>
      <c r="D198" s="843">
        <f>SUM(D191:D197)</f>
        <v>0</v>
      </c>
      <c r="E198" s="844"/>
      <c r="F198" s="855" t="s">
        <v>1400</v>
      </c>
      <c r="G198" s="845">
        <f>SUM(G191:G197)</f>
        <v>0</v>
      </c>
      <c r="H198" s="843">
        <f>SUM(H191:H197)</f>
        <v>0</v>
      </c>
      <c r="I198" s="843">
        <f>SUM(I191:I197)</f>
        <v>0</v>
      </c>
      <c r="J198" s="1">
        <f>SUM(D159:D197)</f>
        <v>2840</v>
      </c>
      <c r="K198" s="1">
        <f>SUM(G159:G197)</f>
        <v>30</v>
      </c>
      <c r="L198" s="63">
        <f>SUM(H159:H197)</f>
        <v>1272</v>
      </c>
      <c r="M198" s="1">
        <f>SUM(I159:I197)</f>
        <v>15264</v>
      </c>
      <c r="N198" s="63">
        <f t="shared" si="39"/>
        <v>0</v>
      </c>
      <c r="P198"/>
      <c r="Q198" s="586"/>
      <c r="R198" s="769" t="str">
        <f>IF(Q198="","",MAX(0,G198-Q198))</f>
        <v/>
      </c>
      <c r="S198"/>
    </row>
    <row r="199" spans="1:19" ht="15" customHeight="1" x14ac:dyDescent="0.3">
      <c r="A199" s="379"/>
      <c r="B199" s="378"/>
      <c r="C199" s="380"/>
      <c r="D199" s="378"/>
      <c r="E199" s="378"/>
      <c r="F199" s="378"/>
      <c r="G199" s="378"/>
      <c r="H199" s="378"/>
      <c r="I199" s="378"/>
      <c r="J199" s="1" t="str">
        <f>IF(D199="","",ROUNDUP(D199/IF(AND(C199="600 ml",ISNUMBER(SEARCH("NORCAU",B199))),95,IF(AND(C199="600 ml",ISNUMBER(SEARCH("APURATOS",B199))),190,IF(C199="600 ml",95,IF(C199="400 ml",125,IF(C199="200 ml",330,IF(C199="180 ml",240,1)))))),0))</f>
        <v/>
      </c>
      <c r="L199" s="1" t="str">
        <f>IF(H199="","",H199)</f>
        <v/>
      </c>
      <c r="N199" s="1" t="str">
        <f t="shared" si="39"/>
        <v/>
      </c>
      <c r="P199"/>
      <c r="Q199" s="589"/>
      <c r="R199" s="591"/>
      <c r="S199"/>
    </row>
  </sheetData>
  <mergeCells count="22">
    <mergeCell ref="B38:I43"/>
    <mergeCell ref="A160:A161"/>
    <mergeCell ref="A103:A106"/>
    <mergeCell ref="A113:A114"/>
    <mergeCell ref="A122:A123"/>
    <mergeCell ref="A130:A131"/>
    <mergeCell ref="A139:A140"/>
    <mergeCell ref="A81:A82"/>
    <mergeCell ref="A93:A96"/>
    <mergeCell ref="A151:A152"/>
    <mergeCell ref="A73:A74"/>
    <mergeCell ref="A65:A66"/>
    <mergeCell ref="A21:A22"/>
    <mergeCell ref="A29:A30"/>
    <mergeCell ref="A39:A40"/>
    <mergeCell ref="A48:A49"/>
    <mergeCell ref="A57:A58"/>
    <mergeCell ref="A1:I1"/>
    <mergeCell ref="A2:F2"/>
    <mergeCell ref="G2:I2"/>
    <mergeCell ref="A5:A6"/>
    <mergeCell ref="A13:A14"/>
  </mergeCells>
  <dataValidations count="76">
    <dataValidation type="list" allowBlank="1" errorTitle="Embalagem inválida" error="Escolha uma embalagem compatível com o produto." promptTitle="Selecione a embalagem" prompt="As opções mudam conforme o produto escolhido." sqref="C1:C4 C44:C47 C8:C12 C16:C20 C24:C28 C34:C37 C52:C56 C60:C64 C68:C72 C76:C80 C88:C92 C98:C102 C108:C112 C117:C121 C125:C129 C134:C138 C146:C150 C155:C159 C163:C167 C171:C175 C179:C1198" xr:uid="{00000000-0002-0000-07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5" xr:uid="{5A3901D7-56B1-430D-9581-C52680399DA3}">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FE933D04-B2EC-43C1-9F80-1B35DC48A7F1}">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550D5065-A9AA-4A91-875D-69DAB9E893C8}">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13" xr:uid="{F8B8CA28-72E8-4B15-90F8-DC6BE5E2CD12}">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D9CC896D-F368-4C4F-B03F-1CC6F6ACEAEF}">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344FDA35-77B7-43DD-ADDB-37B86DB2DEA9}">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21" xr:uid="{09D58C6F-3BFF-419B-A8E3-C96D5FF5EE8C}">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1EBACF6D-4B7E-4470-A3E3-494C093F4E33}">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7B96E1F6-07C4-44BF-9E6A-6BC4B2A58F3C}">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9" xr:uid="{20DC708A-22E4-4991-ABB7-EAD947ACC8C8}">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0C331F91-6549-4360-987D-1CF2B5553701}">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B621EF33-8C5A-497E-B964-79A1CC351AEB}">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02C23C34-B1AB-4F93-ACEC-71B66D392FB0}">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3" xr:uid="{C522F83A-6870-4E18-B26F-B2EE620CBADD}">
      <formula1>INDIRECT(IF(OR(ISNUMBER(SEARCH("ICEBERG ICE",UPPER(TRIM($B33)))),ISNUMBER(SEARCH("ICE ICEBERG",UPPER(TRIM($B33)))),ISNUMBER(SEARCH("GELINHO ICEBERG",UPPER(TRIM($B33))))),"$AJ$2:$AJ$2",IF(ISNUMBER(SEARCH("ESPUMA",$B33)),"$AI$2:$AI$2",IF(ISNUMBER(SEARCH("CORANTE",$B33)),"$AN$2:$AN$2",IFERROR(INDEX($AB$2:$AB$139,MATCH(UPPER(TRIM($B33)),$AA$2:$AA$139,0)),"$AO$2:$AO$9")))))</formula1>
    </dataValidation>
    <dataValidation type="list" allowBlank="1" errorTitle="Embalagem inválida" error="Escolha uma embalagem compatível com o produto." promptTitle="Selecione a embalagem" prompt="As opções mudam conforme o produto digitado." sqref="C48" xr:uid="{64790D84-78D8-4E4E-BFDC-213C6C9F507F}">
      <formula1>INDIRECT(IF(OR(ISNUMBER(SEARCH("ICEBERG ICE",UPPER(TRIM($B48)))),ISNUMBER(SEARCH("ICE ICEBERG",UPPER(TRIM($B48)))),ISNUMBER(SEARCH("GELINHO ICEBERG",UPPER(TRIM($B48))))),"$AJ$2:$AJ$2",IF(ISNUMBER(SEARCH("ESPUMA",$B48)),"$AI$2:$AI$2",IF(ISNUMBER(SEARCH("CORANTE",$B48)),"$AN$2:$AN$2",IFERROR(INDEX($AB$2:$AB$139,MATCH(UPPER(TRIM($B48)),$AA$2:$AA$139,0)),"$AO$2:$AO$9")))))</formula1>
    </dataValidation>
    <dataValidation type="list" allowBlank="1" errorTitle="Embalagem inválida" error="Escolha uma embalagem compatível com o produto." promptTitle="Selecione a embalagem" prompt="As opções mudam conforme o produto digitado." sqref="C49" xr:uid="{B6089EE2-1F46-4993-9E8A-FA0E5D360306}">
      <formula1>INDIRECT(IF(OR(ISNUMBER(SEARCH("ICEBERG ICE",UPPER(TRIM($B49)))),ISNUMBER(SEARCH("ICE ICEBERG",UPPER(TRIM($B49)))),ISNUMBER(SEARCH("GELINHO ICEBERG",UPPER(TRIM($B49))))),"$AJ$2:$AJ$2",IF(ISNUMBER(SEARCH("ESPUMA",$B49)),"$AI$2:$AI$2",IF(ISNUMBER(SEARCH("CORANTE",$B49)),"$AN$2:$AN$2",IFERROR(INDEX($AB$2:$AB$139,MATCH(UPPER(TRIM($B49)),$AA$2:$AA$139,0)),"$AO$2:$AO$9")))))</formula1>
    </dataValidation>
    <dataValidation type="list" allowBlank="1" errorTitle="Embalagem inválida" error="Escolha uma embalagem compatível com o produto." promptTitle="Selecione a embalagem" prompt="As opções mudam conforme o produto digitado." sqref="C50" xr:uid="{449F8C32-332B-41B1-A324-06A45B3AB11F}">
      <formula1>INDIRECT(IF(OR(ISNUMBER(SEARCH("ICEBERG ICE",UPPER(TRIM($B50)))),ISNUMBER(SEARCH("ICE ICEBERG",UPPER(TRIM($B50)))),ISNUMBER(SEARCH("GELINHO ICEBERG",UPPER(TRIM($B50))))),"$AJ$2:$AJ$2",IF(ISNUMBER(SEARCH("ESPUMA",$B50)),"$AI$2:$AI$2",IF(ISNUMBER(SEARCH("CORANTE",$B50)),"$AN$2:$AN$2",IFERROR(INDEX($AB$2:$AB$139,MATCH(UPPER(TRIM($B50)),$AA$2:$AA$139,0)),"$AO$2:$AO$9")))))</formula1>
    </dataValidation>
    <dataValidation type="list" allowBlank="1" errorTitle="Embalagem inválida" error="Escolha uma embalagem compatível com o produto." promptTitle="Selecione a embalagem" prompt="As opções mudam conforme o produto digitado." sqref="C51" xr:uid="{4EFDE202-0F8C-40E9-8241-0F9CEB5243DB}">
      <formula1>INDIRECT(IF(OR(ISNUMBER(SEARCH("ICEBERG ICE",UPPER(TRIM($B51)))),ISNUMBER(SEARCH("ICE ICEBERG",UPPER(TRIM($B51)))),ISNUMBER(SEARCH("GELINHO ICEBERG",UPPER(TRIM($B51))))),"$AJ$2:$AJ$2",IF(ISNUMBER(SEARCH("ESPUMA",$B51)),"$AI$2:$AI$2",IF(ISNUMBER(SEARCH("CORANTE",$B51)),"$AN$2:$AN$2",IFERROR(INDEX($AB$2:$AB$139,MATCH(UPPER(TRIM($B51)),$AA$2:$AA$139,0)),"$AO$2:$AO$9")))))</formula1>
    </dataValidation>
    <dataValidation type="list" allowBlank="1" errorTitle="Embalagem inválida" error="Escolha uma embalagem compatível com o produto." promptTitle="Selecione a embalagem" prompt="As opções mudam conforme o produto digitado." sqref="C57" xr:uid="{52AD1493-9D6D-4283-BA7E-CA6B90DD52A0}">
      <formula1>INDIRECT(IF(OR(ISNUMBER(SEARCH("ICEBERG ICE",UPPER(TRIM($B57)))),ISNUMBER(SEARCH("ICE ICEBERG",UPPER(TRIM($B57)))),ISNUMBER(SEARCH("GELINHO ICEBERG",UPPER(TRIM($B57))))),"$AJ$2:$AJ$2",IF(ISNUMBER(SEARCH("ESPUMA",$B57)),"$AI$2:$AI$2",IF(ISNUMBER(SEARCH("CORANTE",$B57)),"$AN$2:$AN$2",IFERROR(INDEX($AB$2:$AB$139,MATCH(UPPER(TRIM($B57)),$AA$2:$AA$139,0)),"$AO$2:$AO$9")))))</formula1>
    </dataValidation>
    <dataValidation type="list" allowBlank="1" errorTitle="Embalagem inválida" error="Escolha uma embalagem compatível com o produto." promptTitle="Selecione a embalagem" prompt="As opções mudam conforme o produto digitado." sqref="C58" xr:uid="{852E8CB8-5D92-433E-8702-1D1BA6450AC6}">
      <formula1>INDIRECT(IF(OR(ISNUMBER(SEARCH("ICEBERG ICE",UPPER(TRIM($B58)))),ISNUMBER(SEARCH("ICE ICEBERG",UPPER(TRIM($B58)))),ISNUMBER(SEARCH("GELINHO ICEBERG",UPPER(TRIM($B58))))),"$AJ$2:$AJ$2",IF(ISNUMBER(SEARCH("ESPUMA",$B58)),"$AI$2:$AI$2",IF(ISNUMBER(SEARCH("CORANTE",$B58)),"$AN$2:$AN$2",IFERROR(INDEX($AB$2:$AB$139,MATCH(UPPER(TRIM($B58)),$AA$2:$AA$139,0)),"$AO$2:$AO$9")))))</formula1>
    </dataValidation>
    <dataValidation type="list" allowBlank="1" errorTitle="Embalagem inválida" error="Escolha uma embalagem compatível com o produto." promptTitle="Selecione a embalagem" prompt="As opções mudam conforme o produto digitado." sqref="C59" xr:uid="{21D4105F-69D7-4399-9B41-2BCAC9E7914D}">
      <formula1>INDIRECT(IF(OR(ISNUMBER(SEARCH("ICEBERG ICE",UPPER(TRIM($B59)))),ISNUMBER(SEARCH("ICE ICEBERG",UPPER(TRIM($B59)))),ISNUMBER(SEARCH("GELINHO ICEBERG",UPPER(TRIM($B59))))),"$AJ$2:$AJ$2",IF(ISNUMBER(SEARCH("ESPUMA",$B59)),"$AI$2:$AI$2",IF(ISNUMBER(SEARCH("CORANTE",$B59)),"$AN$2:$AN$2",IFERROR(INDEX($AB$2:$AB$139,MATCH(UPPER(TRIM($B59)),$AA$2:$AA$139,0)),"$AO$2:$AO$9")))))</formula1>
    </dataValidation>
    <dataValidation type="list" allowBlank="1" errorTitle="Embalagem inválida" error="Escolha uma embalagem compatível com o produto." promptTitle="Selecione a embalagem" prompt="As opções mudam conforme o produto digitado." sqref="C65" xr:uid="{E669CA42-580A-44E8-A6B6-E117E63618B4}">
      <formula1>INDIRECT(IF(OR(ISNUMBER(SEARCH("ICEBERG ICE",UPPER(TRIM($B65)))),ISNUMBER(SEARCH("ICE ICEBERG",UPPER(TRIM($B65)))),ISNUMBER(SEARCH("GELINHO ICEBERG",UPPER(TRIM($B65))))),"$AJ$2:$AJ$2",IF(ISNUMBER(SEARCH("ESPUMA",$B65)),"$AI$2:$AI$2",IF(ISNUMBER(SEARCH("CORANTE",$B65)),"$AN$2:$AN$2",IFERROR(INDEX($AB$2:$AB$139,MATCH(UPPER(TRIM($B65)),$AA$2:$AA$139,0)),"$AO$2:$AO$9")))))</formula1>
    </dataValidation>
    <dataValidation type="list" allowBlank="1" errorTitle="Embalagem inválida" error="Escolha uma embalagem compatível com o produto." promptTitle="Selecione a embalagem" prompt="As opções mudam conforme o produto digitado." sqref="C66" xr:uid="{8A008C10-E172-47CB-8D3F-6FFE50624634}">
      <formula1>INDIRECT(IF(OR(ISNUMBER(SEARCH("ICEBERG ICE",UPPER(TRIM($B66)))),ISNUMBER(SEARCH("ICE ICEBERG",UPPER(TRIM($B66)))),ISNUMBER(SEARCH("GELINHO ICEBERG",UPPER(TRIM($B66))))),"$AJ$2:$AJ$2",IF(ISNUMBER(SEARCH("ESPUMA",$B66)),"$AI$2:$AI$2",IF(ISNUMBER(SEARCH("CORANTE",$B66)),"$AN$2:$AN$2",IFERROR(INDEX($AB$2:$AB$139,MATCH(UPPER(TRIM($B66)),$AA$2:$AA$139,0)),"$AO$2:$AO$9")))))</formula1>
    </dataValidation>
    <dataValidation type="list" allowBlank="1" errorTitle="Embalagem inválida" error="Escolha uma embalagem compatível com o produto." promptTitle="Selecione a embalagem" prompt="As opções mudam conforme o produto digitado." sqref="C67" xr:uid="{FD702352-81A3-4DCF-B9C2-36BAF0CEBBE3}">
      <formula1>INDIRECT(IF(OR(ISNUMBER(SEARCH("ICEBERG ICE",UPPER(TRIM($B67)))),ISNUMBER(SEARCH("ICE ICEBERG",UPPER(TRIM($B67)))),ISNUMBER(SEARCH("GELINHO ICEBERG",UPPER(TRIM($B67))))),"$AJ$2:$AJ$2",IF(ISNUMBER(SEARCH("ESPUMA",$B67)),"$AI$2:$AI$2",IF(ISNUMBER(SEARCH("CORANTE",$B67)),"$AN$2:$AN$2",IFERROR(INDEX($AB$2:$AB$139,MATCH(UPPER(TRIM($B67)),$AA$2:$AA$139,0)),"$AO$2:$AO$9")))))</formula1>
    </dataValidation>
    <dataValidation type="list" allowBlank="1" errorTitle="Embalagem inválida" error="Escolha uma embalagem compatível com o produto." promptTitle="Selecione a embalagem" prompt="As opções mudam conforme o produto digitado." sqref="C73" xr:uid="{513B6A1B-FAC9-4749-B64A-359C2E8343A5}">
      <formula1>INDIRECT(IF(OR(ISNUMBER(SEARCH("ICEBERG ICE",UPPER(TRIM($B73)))),ISNUMBER(SEARCH("ICE ICEBERG",UPPER(TRIM($B73)))),ISNUMBER(SEARCH("GELINHO ICEBERG",UPPER(TRIM($B73))))),"$AJ$2:$AJ$2",IF(ISNUMBER(SEARCH("ESPUMA",$B73)),"$AI$2:$AI$2",IF(ISNUMBER(SEARCH("CORANTE",$B73)),"$AN$2:$AN$2",IFERROR(INDEX($AB$2:$AB$139,MATCH(UPPER(TRIM($B73)),$AA$2:$AA$139,0)),"$AO$2:$AO$9")))))</formula1>
    </dataValidation>
    <dataValidation type="list" allowBlank="1" errorTitle="Embalagem inválida" error="Escolha uma embalagem compatível com o produto." promptTitle="Selecione a embalagem" prompt="As opções mudam conforme o produto digitado." sqref="C74" xr:uid="{5541E493-EB37-49F2-B56D-1E452E46D497}">
      <formula1>INDIRECT(IF(OR(ISNUMBER(SEARCH("ICEBERG ICE",UPPER(TRIM($B74)))),ISNUMBER(SEARCH("ICE ICEBERG",UPPER(TRIM($B74)))),ISNUMBER(SEARCH("GELINHO ICEBERG",UPPER(TRIM($B74))))),"$AJ$2:$AJ$2",IF(ISNUMBER(SEARCH("ESPUMA",$B74)),"$AI$2:$AI$2",IF(ISNUMBER(SEARCH("CORANTE",$B74)),"$AN$2:$AN$2",IFERROR(INDEX($AB$2:$AB$139,MATCH(UPPER(TRIM($B74)),$AA$2:$AA$139,0)),"$AO$2:$AO$9")))))</formula1>
    </dataValidation>
    <dataValidation type="list" allowBlank="1" errorTitle="Embalagem inválida" error="Escolha uma embalagem compatível com o produto." promptTitle="Selecione a embalagem" prompt="As opções mudam conforme o produto digitado." sqref="C75" xr:uid="{D94CD989-4DAC-4A39-87EC-C5C6428CEDFC}">
      <formula1>INDIRECT(IF(OR(ISNUMBER(SEARCH("ICEBERG ICE",UPPER(TRIM($B75)))),ISNUMBER(SEARCH("ICE ICEBERG",UPPER(TRIM($B75)))),ISNUMBER(SEARCH("GELINHO ICEBERG",UPPER(TRIM($B75))))),"$AJ$2:$AJ$2",IF(ISNUMBER(SEARCH("ESPUMA",$B75)),"$AI$2:$AI$2",IF(ISNUMBER(SEARCH("CORANTE",$B75)),"$AN$2:$AN$2",IFERROR(INDEX($AB$2:$AB$139,MATCH(UPPER(TRIM($B75)),$AA$2:$AA$139,0)),"$AO$2:$AO$9")))))</formula1>
    </dataValidation>
    <dataValidation type="list" allowBlank="1" errorTitle="Embalagem inválida" error="Escolha uma embalagem compatível com o produto." promptTitle="Selecione a embalagem" prompt="As opções mudam conforme o produto digitado." sqref="C81" xr:uid="{601C0916-38CA-41D6-B320-66008D659B7E}">
      <formula1>INDIRECT(IF(OR(ISNUMBER(SEARCH("ICEBERG ICE",UPPER(TRIM($B81)))),ISNUMBER(SEARCH("ICE ICEBERG",UPPER(TRIM($B81)))),ISNUMBER(SEARCH("GELINHO ICEBERG",UPPER(TRIM($B81))))),"$AJ$2:$AJ$2",IF(ISNUMBER(SEARCH("ESPUMA",$B81)),"$AI$2:$AI$2",IF(ISNUMBER(SEARCH("CORANTE",$B81)),"$AN$2:$AN$2",IFERROR(INDEX($AB$2:$AB$139,MATCH(UPPER(TRIM($B81)),$AA$2:$AA$139,0)),"$AO$2:$AO$9")))))</formula1>
    </dataValidation>
    <dataValidation type="list" allowBlank="1" errorTitle="Embalagem inválida" error="Escolha uma embalagem compatível com o produto." promptTitle="Selecione a embalagem" prompt="As opções mudam conforme o produto digitado." sqref="C82" xr:uid="{4B4DFC4D-0511-4351-AD4C-1FFA61CCF2CA}">
      <formula1>INDIRECT(IF(OR(ISNUMBER(SEARCH("ICEBERG ICE",UPPER(TRIM($B82)))),ISNUMBER(SEARCH("ICE ICEBERG",UPPER(TRIM($B82)))),ISNUMBER(SEARCH("GELINHO ICEBERG",UPPER(TRIM($B82))))),"$AJ$2:$AJ$2",IF(ISNUMBER(SEARCH("ESPUMA",$B82)),"$AI$2:$AI$2",IF(ISNUMBER(SEARCH("CORANTE",$B82)),"$AN$2:$AN$2",IFERROR(INDEX($AB$2:$AB$139,MATCH(UPPER(TRIM($B82)),$AA$2:$AA$139,0)),"$AO$2:$AO$9")))))</formula1>
    </dataValidation>
    <dataValidation type="list" allowBlank="1" errorTitle="Embalagem inválida" error="Escolha uma embalagem compatível com o produto." promptTitle="Selecione a embalagem" prompt="As opções mudam conforme o produto digitado." sqref="C83" xr:uid="{88E50E03-6FC1-4A7F-A55A-55BD04BD7FBA}">
      <formula1>INDIRECT(IF(OR(ISNUMBER(SEARCH("ICEBERG ICE",UPPER(TRIM($B83)))),ISNUMBER(SEARCH("ICE ICEBERG",UPPER(TRIM($B83)))),ISNUMBER(SEARCH("GELINHO ICEBERG",UPPER(TRIM($B83))))),"$AJ$2:$AJ$2",IF(ISNUMBER(SEARCH("ESPUMA",$B83)),"$AI$2:$AI$2",IF(ISNUMBER(SEARCH("CORANTE",$B83)),"$AN$2:$AN$2",IFERROR(INDEX($AB$2:$AB$139,MATCH(UPPER(TRIM($B83)),$AA$2:$AA$139,0)),"$AO$2:$AO$9")))))</formula1>
    </dataValidation>
    <dataValidation type="list" allowBlank="1" errorTitle="Embalagem inválida" error="Escolha uma embalagem compatível com o produto." promptTitle="Selecione a embalagem" prompt="As opções mudam conforme o produto digitado." sqref="C84" xr:uid="{58DE3AD9-F6D8-49DC-8DCA-D6B40088B98B}">
      <formula1>INDIRECT(IF(OR(ISNUMBER(SEARCH("ICEBERG ICE",UPPER(TRIM($B84)))),ISNUMBER(SEARCH("ICE ICEBERG",UPPER(TRIM($B84)))),ISNUMBER(SEARCH("GELINHO ICEBERG",UPPER(TRIM($B84))))),"$AJ$2:$AJ$2",IF(ISNUMBER(SEARCH("ESPUMA",$B84)),"$AI$2:$AI$2",IF(ISNUMBER(SEARCH("CORANTE",$B84)),"$AN$2:$AN$2",IFERROR(INDEX($AB$2:$AB$139,MATCH(UPPER(TRIM($B84)),$AA$2:$AA$139,0)),"$AO$2:$AO$9")))))</formula1>
    </dataValidation>
    <dataValidation type="list" allowBlank="1" errorTitle="Embalagem inválida" error="Escolha uma embalagem compatível com o produto." promptTitle="Selecione a embalagem" prompt="As opções mudam conforme o produto digitado." sqref="C85" xr:uid="{E885F963-AA44-493D-BDEF-54C780888E14}">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77FCE71C-0793-4B7C-9D4F-75B9CF043EAA}">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422A69CE-BEF3-473F-BE6B-26B6E84F0ADD}">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93" xr:uid="{23DD1571-E4FF-42BD-AAF4-5AEA48B7CF72}">
      <formula1>INDIRECT(IF(OR(ISNUMBER(SEARCH("ICEBERG ICE",UPPER(TRIM($B93)))),ISNUMBER(SEARCH("ICE ICEBERG",UPPER(TRIM($B93)))),ISNUMBER(SEARCH("GELINHO ICEBERG",UPPER(TRIM($B93))))),"$AJ$2:$AJ$2",IF(ISNUMBER(SEARCH("ESPUMA",$B93)),"$AI$2:$AI$2",IF(ISNUMBER(SEARCH("CORANTE",$B93)),"$AN$2:$AN$2",IFERROR(INDEX($AB$2:$AB$139,MATCH(UPPER(TRIM($B93)),$AA$2:$AA$139,0)),"$AO$2:$AO$9")))))</formula1>
    </dataValidation>
    <dataValidation type="list" allowBlank="1" errorTitle="Embalagem inválida" error="Escolha uma embalagem compatível com o produto." promptTitle="Selecione a embalagem" prompt="As opções mudam conforme o produto digitado." sqref="C94" xr:uid="{E122FF1B-2D5C-43E0-B9DB-0BE8C7CB5FC9}">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EC2CE8CD-1E33-47AC-945B-C3D1291EE882}">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315C074B-BDE4-4F46-88C2-550086F20494}">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897A5E64-ACBA-4D51-A734-49A8CCF8245F}">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103" xr:uid="{D4E387F4-24C1-43F0-AB0D-831B2BA14C08}">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BAE26A6E-F7D1-4018-BE95-E9B06D072D59}">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5" xr:uid="{132CC173-A62F-46F3-9364-A98D5D144589}">
      <formula1>INDIRECT(IF(OR(ISNUMBER(SEARCH("ICEBERG ICE",UPPER(TRIM($B105)))),ISNUMBER(SEARCH("ICE ICEBERG",UPPER(TRIM($B105)))),ISNUMBER(SEARCH("GELINHO ICEBERG",UPPER(TRIM($B105))))),"$AJ$2:$AJ$2",IF(ISNUMBER(SEARCH("ESPUMA",$B105)),"$AI$2:$AI$2",IF(ISNUMBER(SEARCH("CORANTE",$B105)),"$AN$2:$AN$2",IFERROR(INDEX($AB$2:$AB$139,MATCH(UPPER(TRIM($B105)),$AA$2:$AA$139,0)),"$AO$2:$AO$9")))))</formula1>
    </dataValidation>
    <dataValidation type="list" allowBlank="1" errorTitle="Embalagem inválida" error="Escolha uma embalagem compatível com o produto." promptTitle="Selecione a embalagem" prompt="As opções mudam conforme o produto digitado." sqref="C106" xr:uid="{E350EA6F-6894-4815-A3A3-33087A469849}">
      <formula1>INDIRECT(IF(OR(ISNUMBER(SEARCH("ICEBERG ICE",UPPER(TRIM($B106)))),ISNUMBER(SEARCH("ICE ICEBERG",UPPER(TRIM($B106)))),ISNUMBER(SEARCH("GELINHO ICEBERG",UPPER(TRIM($B106))))),"$AJ$2:$AJ$2",IF(ISNUMBER(SEARCH("ESPUMA",$B106)),"$AI$2:$AI$2",IF(ISNUMBER(SEARCH("CORANTE",$B106)),"$AN$2:$AN$2",IFERROR(INDEX($AB$2:$AB$139,MATCH(UPPER(TRIM($B106)),$AA$2:$AA$139,0)),"$AO$2:$AO$9")))))</formula1>
    </dataValidation>
    <dataValidation type="list" allowBlank="1" errorTitle="Embalagem inválida" error="Escolha uma embalagem compatível com o produto." promptTitle="Selecione a embalagem" prompt="As opções mudam conforme o produto digitado." sqref="C107" xr:uid="{E0AFCFEE-BA87-45AE-B4C3-290A89E2EAF4}">
      <formula1>INDIRECT(IF(OR(ISNUMBER(SEARCH("ICEBERG ICE",UPPER(TRIM($B107)))),ISNUMBER(SEARCH("ICE ICEBERG",UPPER(TRIM($B107)))),ISNUMBER(SEARCH("GELINHO ICEBERG",UPPER(TRIM($B107))))),"$AJ$2:$AJ$2",IF(ISNUMBER(SEARCH("ESPUMA",$B107)),"$AI$2:$AI$2",IF(ISNUMBER(SEARCH("CORANTE",$B107)),"$AN$2:$AN$2",IFERROR(INDEX($AB$2:$AB$139,MATCH(UPPER(TRIM($B107)),$AA$2:$AA$139,0)),"$AO$2:$AO$9")))))</formula1>
    </dataValidation>
    <dataValidation type="list" allowBlank="1" errorTitle="Embalagem inválida" error="Escolha uma embalagem compatível com o produto." promptTitle="Selecione a embalagem" prompt="As opções mudam conforme o produto digitado." sqref="C113" xr:uid="{C7FDD2D8-5670-4145-950C-8124756C37B6}">
      <formula1>INDIRECT(IF(OR(ISNUMBER(SEARCH("ICEBERG ICE",UPPER(TRIM($B113)))),ISNUMBER(SEARCH("ICE ICEBERG",UPPER(TRIM($B113)))),ISNUMBER(SEARCH("GELINHO ICEBERG",UPPER(TRIM($B113))))),"$AJ$2:$AJ$2",IF(ISNUMBER(SEARCH("ESPUMA",$B113)),"$AI$2:$AI$2",IF(ISNUMBER(SEARCH("CORANTE",$B113)),"$AN$2:$AN$2",IFERROR(INDEX($AB$2:$AB$139,MATCH(UPPER(TRIM($B113)),$AA$2:$AA$139,0)),"$AO$2:$AO$9")))))</formula1>
    </dataValidation>
    <dataValidation type="list" allowBlank="1" errorTitle="Embalagem inválida" error="Escolha uma embalagem compatível com o produto." promptTitle="Selecione a embalagem" prompt="As opções mudam conforme o produto digitado." sqref="C114" xr:uid="{2948202A-4BEA-489C-BC85-6D7C6765D27F}">
      <formula1>INDIRECT(IF(OR(ISNUMBER(SEARCH("ICEBERG ICE",UPPER(TRIM($B114)))),ISNUMBER(SEARCH("ICE ICEBERG",UPPER(TRIM($B114)))),ISNUMBER(SEARCH("GELINHO ICEBERG",UPPER(TRIM($B114))))),"$AJ$2:$AJ$2",IF(ISNUMBER(SEARCH("ESPUMA",$B114)),"$AI$2:$AI$2",IF(ISNUMBER(SEARCH("CORANTE",$B114)),"$AN$2:$AN$2",IFERROR(INDEX($AB$2:$AB$139,MATCH(UPPER(TRIM($B114)),$AA$2:$AA$139,0)),"$AO$2:$AO$9")))))</formula1>
    </dataValidation>
    <dataValidation type="list" allowBlank="1" errorTitle="Embalagem inválida" error="Escolha uma embalagem compatível com o produto." promptTitle="Selecione a embalagem" prompt="As opções mudam conforme o produto digitado." sqref="C115" xr:uid="{7DB95092-F2BB-4036-8B17-81878BBC9960}">
      <formula1>INDIRECT(IF(OR(ISNUMBER(SEARCH("ICEBERG ICE",UPPER(TRIM($B115)))),ISNUMBER(SEARCH("ICE ICEBERG",UPPER(TRIM($B115)))),ISNUMBER(SEARCH("GELINHO ICEBERG",UPPER(TRIM($B115))))),"$AJ$2:$AJ$2",IF(ISNUMBER(SEARCH("ESPUMA",$B115)),"$AI$2:$AI$2",IF(ISNUMBER(SEARCH("CORANTE",$B115)),"$AN$2:$AN$2",IFERROR(INDEX($AB$2:$AB$139,MATCH(UPPER(TRIM($B115)),$AA$2:$AA$139,0)),"$AO$2:$AO$9")))))</formula1>
    </dataValidation>
    <dataValidation type="list" allowBlank="1" errorTitle="Embalagem inválida" error="Escolha uma embalagem compatível com o produto." promptTitle="Selecione a embalagem" prompt="As opções mudam conforme o produto digitado." sqref="C116" xr:uid="{B3934262-8480-4736-8B62-0EB9E51180BD}">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22" xr:uid="{FF1DADF6-1FDA-475A-82B5-7CE3B4AC62D1}">
      <formula1>INDIRECT(IF(OR(ISNUMBER(SEARCH("ICEBERG ICE",UPPER(TRIM($B122)))),ISNUMBER(SEARCH("ICE ICEBERG",UPPER(TRIM($B122)))),ISNUMBER(SEARCH("GELINHO ICEBERG",UPPER(TRIM($B122))))),"$AJ$2:$AJ$2",IF(ISNUMBER(SEARCH("ESPUMA",$B122)),"$AI$2:$AI$2",IF(ISNUMBER(SEARCH("CORANTE",$B122)),"$AN$2:$AN$2",IFERROR(INDEX($AB$2:$AB$139,MATCH(UPPER(TRIM($B122)),$AA$2:$AA$139,0)),"$AO$2:$AO$9")))))</formula1>
    </dataValidation>
    <dataValidation type="list" allowBlank="1" errorTitle="Embalagem inválida" error="Escolha uma embalagem compatível com o produto." promptTitle="Selecione a embalagem" prompt="As opções mudam conforme o produto digitado." sqref="C123" xr:uid="{7B0D6D7D-EEC7-4AEE-B29B-2ECBB76805CC}">
      <formula1>INDIRECT(IF(OR(ISNUMBER(SEARCH("ICEBERG ICE",UPPER(TRIM($B123)))),ISNUMBER(SEARCH("ICE ICEBERG",UPPER(TRIM($B123)))),ISNUMBER(SEARCH("GELINHO ICEBERG",UPPER(TRIM($B123))))),"$AJ$2:$AJ$2",IF(ISNUMBER(SEARCH("ESPUMA",$B123)),"$AI$2:$AI$2",IF(ISNUMBER(SEARCH("CORANTE",$B123)),"$AN$2:$AN$2",IFERROR(INDEX($AB$2:$AB$139,MATCH(UPPER(TRIM($B123)),$AA$2:$AA$139,0)),"$AO$2:$AO$9")))))</formula1>
    </dataValidation>
    <dataValidation type="list" allowBlank="1" errorTitle="Embalagem inválida" error="Escolha uma embalagem compatível com o produto." promptTitle="Selecione a embalagem" prompt="As opções mudam conforme o produto digitado." sqref="C124" xr:uid="{FBB38079-CC3C-4022-999F-76586A806A29}">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30" xr:uid="{698E72CF-7951-49C2-89C8-8F454EC56840}">
      <formula1>INDIRECT(IF(OR(ISNUMBER(SEARCH("ICEBERG ICE",UPPER(TRIM($B130)))),ISNUMBER(SEARCH("ICE ICEBERG",UPPER(TRIM($B130)))),ISNUMBER(SEARCH("GELINHO ICEBERG",UPPER(TRIM($B130))))),"$AJ$2:$AJ$2",IF(ISNUMBER(SEARCH("ESPUMA",$B130)),"$AI$2:$AI$2",IF(ISNUMBER(SEARCH("CORANTE",$B130)),"$AN$2:$AN$2",IFERROR(INDEX($AB$2:$AB$139,MATCH(UPPER(TRIM($B130)),$AA$2:$AA$139,0)),"$AO$2:$AO$9")))))</formula1>
    </dataValidation>
    <dataValidation type="list" allowBlank="1" errorTitle="Embalagem inválida" error="Escolha uma embalagem compatível com o produto." promptTitle="Selecione a embalagem" prompt="As opções mudam conforme o produto digitado." sqref="C131" xr:uid="{8C07CDD2-3127-4E6B-8710-A1E164131E48}">
      <formula1>INDIRECT(IF(OR(ISNUMBER(SEARCH("ICEBERG ICE",UPPER(TRIM($B131)))),ISNUMBER(SEARCH("ICE ICEBERG",UPPER(TRIM($B131)))),ISNUMBER(SEARCH("GELINHO ICEBERG",UPPER(TRIM($B131))))),"$AJ$2:$AJ$2",IF(ISNUMBER(SEARCH("ESPUMA",$B131)),"$AI$2:$AI$2",IF(ISNUMBER(SEARCH("CORANTE",$B131)),"$AN$2:$AN$2",IFERROR(INDEX($AB$2:$AB$139,MATCH(UPPER(TRIM($B131)),$AA$2:$AA$139,0)),"$AO$2:$AO$9")))))</formula1>
    </dataValidation>
    <dataValidation type="list" allowBlank="1" errorTitle="Embalagem inválida" error="Escolha uma embalagem compatível com o produto." promptTitle="Selecione a embalagem" prompt="As opções mudam conforme o produto digitado." sqref="C132" xr:uid="{F431B372-570F-4EA2-BDC6-26C3149A28C5}">
      <formula1>INDIRECT(IF(OR(ISNUMBER(SEARCH("ICEBERG ICE",UPPER(TRIM($B132)))),ISNUMBER(SEARCH("ICE ICEBERG",UPPER(TRIM($B132)))),ISNUMBER(SEARCH("GELINHO ICEBERG",UPPER(TRIM($B132))))),"$AJ$2:$AJ$2",IF(ISNUMBER(SEARCH("ESPUMA",$B132)),"$AI$2:$AI$2",IF(ISNUMBER(SEARCH("CORANTE",$B132)),"$AN$2:$AN$2",IFERROR(INDEX($AB$2:$AB$139,MATCH(UPPER(TRIM($B132)),$AA$2:$AA$139,0)),"$AO$2:$AO$9")))))</formula1>
    </dataValidation>
    <dataValidation type="list" allowBlank="1" errorTitle="Embalagem inválida" error="Escolha uma embalagem compatível com o produto." promptTitle="Selecione a embalagem" prompt="As opções mudam conforme o produto digitado." sqref="C133" xr:uid="{5003FEC9-0B26-4012-82AD-D246BF4E2AC3}">
      <formula1>INDIRECT(IF(OR(ISNUMBER(SEARCH("ICEBERG ICE",UPPER(TRIM($B133)))),ISNUMBER(SEARCH("ICE ICEBERG",UPPER(TRIM($B133)))),ISNUMBER(SEARCH("GELINHO ICEBERG",UPPER(TRIM($B133))))),"$AJ$2:$AJ$2",IF(ISNUMBER(SEARCH("ESPUMA",$B133)),"$AI$2:$AI$2",IF(ISNUMBER(SEARCH("CORANTE",$B133)),"$AN$2:$AN$2",IFERROR(INDEX($AB$2:$AB$139,MATCH(UPPER(TRIM($B133)),$AA$2:$AA$139,0)),"$AO$2:$AO$9")))))</formula1>
    </dataValidation>
    <dataValidation type="list" allowBlank="1" errorTitle="Embalagem inválida" error="Escolha uma embalagem compatível com o produto." promptTitle="Selecione a embalagem" prompt="As opções mudam conforme o produto digitado." sqref="C139" xr:uid="{70C18193-9558-4E67-8FDD-7EBDB41641D9}">
      <formula1>INDIRECT(IF(OR(ISNUMBER(SEARCH("ICEBERG ICE",UPPER(TRIM($B139)))),ISNUMBER(SEARCH("ICE ICEBERG",UPPER(TRIM($B139)))),ISNUMBER(SEARCH("GELINHO ICEBERG",UPPER(TRIM($B139))))),"$AJ$2:$AJ$2",IF(ISNUMBER(SEARCH("ESPUMA",$B139)),"$AI$2:$AI$2",IF(ISNUMBER(SEARCH("CORANTE",$B139)),"$AN$2:$AN$2",IFERROR(INDEX($AB$2:$AB$139,MATCH(UPPER(TRIM($B139)),$AA$2:$AA$139,0)),"$AO$2:$AO$9")))))</formula1>
    </dataValidation>
    <dataValidation type="list" allowBlank="1" errorTitle="Embalagem inválida" error="Escolha uma embalagem compatível com o produto." promptTitle="Selecione a embalagem" prompt="As opções mudam conforme o produto digitado." sqref="C140" xr:uid="{0B48D30F-68A0-4540-8237-D008CC7B4BC9}">
      <formula1>INDIRECT(IF(OR(ISNUMBER(SEARCH("ICEBERG ICE",UPPER(TRIM($B140)))),ISNUMBER(SEARCH("ICE ICEBERG",UPPER(TRIM($B140)))),ISNUMBER(SEARCH("GELINHO ICEBERG",UPPER(TRIM($B140))))),"$AJ$2:$AJ$2",IF(ISNUMBER(SEARCH("ESPUMA",$B140)),"$AI$2:$AI$2",IF(ISNUMBER(SEARCH("CORANTE",$B140)),"$AN$2:$AN$2",IFERROR(INDEX($AB$2:$AB$139,MATCH(UPPER(TRIM($B140)),$AA$2:$AA$139,0)),"$AO$2:$AO$9")))))</formula1>
    </dataValidation>
    <dataValidation type="list" allowBlank="1" errorTitle="Embalagem inválida" error="Escolha uma embalagem compatível com o produto." promptTitle="Selecione a embalagem" prompt="As opções mudam conforme o produto digitado." sqref="C141" xr:uid="{1C5805CF-0652-426B-8ADD-9246C9569372}">
      <formula1>INDIRECT(IF(OR(ISNUMBER(SEARCH("ICEBERG ICE",UPPER(TRIM($B141)))),ISNUMBER(SEARCH("ICE ICEBERG",UPPER(TRIM($B141)))),ISNUMBER(SEARCH("GELINHO ICEBERG",UPPER(TRIM($B141))))),"$AJ$2:$AJ$2",IF(ISNUMBER(SEARCH("ESPUMA",$B141)),"$AI$2:$AI$2",IF(ISNUMBER(SEARCH("CORANTE",$B141)),"$AN$2:$AN$2",IFERROR(INDEX($AB$2:$AB$139,MATCH(UPPER(TRIM($B141)),$AA$2:$AA$139,0)),"$AO$2:$AO$9")))))</formula1>
    </dataValidation>
    <dataValidation type="list" allowBlank="1" errorTitle="Embalagem inválida" error="Escolha uma embalagem compatível com o produto." promptTitle="Selecione a embalagem" prompt="As opções mudam conforme o produto digitado." sqref="C142" xr:uid="{4CF20CDB-5B93-4AE7-B64B-D4DAFE9F1F96}">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8218DE7A-7F61-4A71-8D8D-1F41B5ED314E}">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027348E8-D75C-44BA-891F-F17BA49430B0}">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5" xr:uid="{475CAAAD-C307-4E0D-A28D-3E91828D6C93}">
      <formula1>INDIRECT(IF(OR(ISNUMBER(SEARCH("ICEBERG ICE",UPPER(TRIM($B145)))),ISNUMBER(SEARCH("ICE ICEBERG",UPPER(TRIM($B145)))),ISNUMBER(SEARCH("GELINHO ICEBERG",UPPER(TRIM($B145))))),"$AJ$2:$AJ$2",IF(ISNUMBER(SEARCH("ESPUMA",$B145)),"$AI$2:$AI$2",IF(ISNUMBER(SEARCH("CORANTE",$B145)),"$AN$2:$AN$2",IFERROR(INDEX($AB$2:$AB$139,MATCH(UPPER(TRIM($B145)),$AA$2:$AA$139,0)),"$AO$2:$AO$9")))))</formula1>
    </dataValidation>
    <dataValidation type="list" allowBlank="1" errorTitle="Embalagem inválida" error="Escolha uma embalagem compatível com o produto." promptTitle="Selecione a embalagem" prompt="As opções mudam conforme o produto digitado." sqref="C151" xr:uid="{035B26EB-AF4A-44AD-A2E9-21317E059B35}">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F10A28C3-53EF-4207-B7F0-7BDB47E715E7}">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3" xr:uid="{BF4A1A1D-2BCC-4C0D-B441-AF32E746F59B}">
      <formula1>INDIRECT(IF(OR(ISNUMBER(SEARCH("ICEBERG ICE",UPPER(TRIM($B153)))),ISNUMBER(SEARCH("ICE ICEBERG",UPPER(TRIM($B153)))),ISNUMBER(SEARCH("GELINHO ICEBERG",UPPER(TRIM($B153))))),"$AJ$2:$AJ$2",IF(ISNUMBER(SEARCH("ESPUMA",$B153)),"$AI$2:$AI$2",IF(ISNUMBER(SEARCH("CORANTE",$B153)),"$AN$2:$AN$2",IFERROR(INDEX($AB$2:$AB$139,MATCH(UPPER(TRIM($B153)),$AA$2:$AA$139,0)),"$AO$2:$AO$9")))))</formula1>
    </dataValidation>
    <dataValidation type="list" allowBlank="1" errorTitle="Embalagem inválida" error="Escolha uma embalagem compatível com o produto." promptTitle="Selecione a embalagem" prompt="As opções mudam conforme o produto digitado." sqref="C154" xr:uid="{5BE4DADA-65BE-4F39-A337-153A7BE37440}">
      <formula1>INDIRECT(IF(OR(ISNUMBER(SEARCH("ICEBERG ICE",UPPER(TRIM($B154)))),ISNUMBER(SEARCH("ICE ICEBERG",UPPER(TRIM($B154)))),ISNUMBER(SEARCH("GELINHO ICEBERG",UPPER(TRIM($B154))))),"$AJ$2:$AJ$2",IF(ISNUMBER(SEARCH("ESPUMA",$B154)),"$AI$2:$AI$2",IF(ISNUMBER(SEARCH("CORANTE",$B154)),"$AN$2:$AN$2",IFERROR(INDEX($AB$2:$AB$139,MATCH(UPPER(TRIM($B154)),$AA$2:$AA$139,0)),"$AO$2:$AO$9")))))</formula1>
    </dataValidation>
    <dataValidation type="list" allowBlank="1" errorTitle="Embalagem inválida" error="Escolha uma embalagem compatível com o produto." promptTitle="Selecione a embalagem" prompt="As opções mudam conforme o produto digitado." sqref="C160" xr:uid="{CC607F8D-D831-4689-B4D7-7E6A3F96D811}">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1" xr:uid="{EEC7E3CE-E253-4C6A-8D10-AA19AA712E0C}">
      <formula1>INDIRECT(IF(OR(ISNUMBER(SEARCH("ICEBERG ICE",UPPER(TRIM($B161)))),ISNUMBER(SEARCH("ICE ICEBERG",UPPER(TRIM($B161)))),ISNUMBER(SEARCH("GELINHO ICEBERG",UPPER(TRIM($B161))))),"$AJ$2:$AJ$2",IF(ISNUMBER(SEARCH("ESPUMA",$B161)),"$AI$2:$AI$2",IF(ISNUMBER(SEARCH("CORANTE",$B161)),"$AN$2:$AN$2",IFERROR(INDEX($AB$2:$AB$139,MATCH(UPPER(TRIM($B161)),$AA$2:$AA$139,0)),"$AO$2:$AO$9")))))</formula1>
    </dataValidation>
    <dataValidation type="list" allowBlank="1" errorTitle="Embalagem inválida" error="Escolha uma embalagem compatível com o produto." promptTitle="Selecione a embalagem" prompt="As opções mudam conforme o produto digitado." sqref="C162" xr:uid="{4055250E-8D96-4059-9029-4275840B9818}">
      <formula1>INDIRECT(IF(OR(ISNUMBER(SEARCH("ICEBERG ICE",UPPER(TRIM($B162)))),ISNUMBER(SEARCH("ICE ICEBERG",UPPER(TRIM($B162)))),ISNUMBER(SEARCH("GELINHO ICEBERG",UPPER(TRIM($B162))))),"$AJ$2:$AJ$2",IF(ISNUMBER(SEARCH("ESPUMA",$B162)),"$AI$2:$AI$2",IF(ISNUMBER(SEARCH("CORANTE",$B162)),"$AN$2:$AN$2",IFERROR(INDEX($AB$2:$AB$139,MATCH(UPPER(TRIM($B162)),$AA$2:$AA$139,0)),"$AO$2:$AO$9")))))</formula1>
    </dataValidation>
    <dataValidation type="list" allowBlank="1" errorTitle="Embalagem inválida" error="Escolha uma embalagem compatível com o produto." promptTitle="Selecione a embalagem" prompt="As opções mudam conforme o produto digitado." sqref="C168" xr:uid="{E47FA8FC-DF1A-4D15-85D1-63A3B5AA0637}">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69" xr:uid="{0AADB182-A74F-4B43-95E9-BD43722A6811}">
      <formula1>INDIRECT(IF(OR(ISNUMBER(SEARCH("ICEBERG ICE",UPPER(TRIM($B169)))),ISNUMBER(SEARCH("ICE ICEBERG",UPPER(TRIM($B169)))),ISNUMBER(SEARCH("GELINHO ICEBERG",UPPER(TRIM($B169))))),"$AJ$2:$AJ$2",IF(ISNUMBER(SEARCH("ESPUMA",$B169)),"$AI$2:$AI$2",IF(ISNUMBER(SEARCH("CORANTE",$B169)),"$AN$2:$AN$2",IFERROR(INDEX($AB$2:$AB$139,MATCH(UPPER(TRIM($B169)),$AA$2:$AA$139,0)),"$AO$2:$AO$9")))))</formula1>
    </dataValidation>
    <dataValidation type="list" allowBlank="1" errorTitle="Embalagem inválida" error="Escolha uma embalagem compatível com o produto." promptTitle="Selecione a embalagem" prompt="As opções mudam conforme o produto digitado." sqref="C170" xr:uid="{055BAC40-E97C-4BBF-ABCB-22ECB8F1E00B}">
      <formula1>INDIRECT(IF(OR(ISNUMBER(SEARCH("ICEBERG ICE",UPPER(TRIM($B170)))),ISNUMBER(SEARCH("ICE ICEBERG",UPPER(TRIM($B170)))),ISNUMBER(SEARCH("GELINHO ICEBERG",UPPER(TRIM($B170))))),"$AJ$2:$AJ$2",IF(ISNUMBER(SEARCH("ESPUMA",$B170)),"$AI$2:$AI$2",IF(ISNUMBER(SEARCH("CORANTE",$B170)),"$AN$2:$AN$2",IFERROR(INDEX($AB$2:$AB$139,MATCH(UPPER(TRIM($B170)),$AA$2:$AA$139,0)),"$AO$2:$AO$9")))))</formula1>
    </dataValidation>
    <dataValidation type="list" allowBlank="1" errorTitle="Embalagem inválida" error="Escolha uma embalagem compatível com o produto." promptTitle="Selecione a embalagem" prompt="As opções mudam conforme o produto digitado." sqref="C176" xr:uid="{D8E1C75C-93FE-4C7F-B091-927D1F5E6AD7}">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77" xr:uid="{F80047E1-026C-4703-A01C-6D0486E19CEF}">
      <formula1>INDIRECT(IF(OR(ISNUMBER(SEARCH("ICEBERG ICE",UPPER(TRIM($B177)))),ISNUMBER(SEARCH("ICE ICEBERG",UPPER(TRIM($B177)))),ISNUMBER(SEARCH("GELINHO ICEBERG",UPPER(TRIM($B177))))),"$AJ$2:$AJ$2",IF(ISNUMBER(SEARCH("ESPUMA",$B177)),"$AI$2:$AI$2",IF(ISNUMBER(SEARCH("CORANTE",$B177)),"$AN$2:$AN$2",IFERROR(INDEX($AB$2:$AB$139,MATCH(UPPER(TRIM($B177)),$AA$2:$AA$139,0)),"$AO$2:$AO$9")))))</formula1>
    </dataValidation>
    <dataValidation type="list" allowBlank="1" errorTitle="Embalagem inválida" error="Escolha uma embalagem compatível com o produto." promptTitle="Selecione a embalagem" prompt="As opções mudam conforme o produto digitado." sqref="C178" xr:uid="{71600E2E-1E06-4508-81E4-0EAABC3D443B}">
      <formula1>INDIRECT(IF(OR(ISNUMBER(SEARCH("ICEBERG ICE",UPPER(TRIM($B178)))),ISNUMBER(SEARCH("ICE ICEBERG",UPPER(TRIM($B178)))),ISNUMBER(SEARCH("GELINHO ICEBERG",UPPER(TRIM($B178))))),"$AJ$2:$AJ$2",IF(ISNUMBER(SEARCH("ESPUMA",$B178)),"$AI$2:$AI$2",IF(ISNUMBER(SEARCH("CORANTE",$B178)),"$AN$2:$AN$2",IFERROR(INDEX($AB$2:$AB$139,MATCH(UPPER(TRIM($B178)),$AA$2:$AA$139,0)),"$AO$2:$AO$9")))))</formula1>
    </dataValidation>
  </dataValidations>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9012B-1444-4EAF-A20B-E931BD5DD5D3}">
  <sheetPr>
    <tabColor rgb="FF0F766E"/>
  </sheetPr>
  <dimension ref="A1:Y30"/>
  <sheetViews>
    <sheetView showGridLines="0"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301</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SUM(C9:C30)</f>
        <v>191118</v>
      </c>
      <c r="C4" s="424"/>
      <c r="D4" s="435">
        <f>SUM(D9:D28)</f>
        <v>187000</v>
      </c>
      <c r="E4" s="424"/>
      <c r="F4" s="435">
        <f>IFERROR(SUM(C9:C28)/COUNTIF(C9:C28,"&gt;0"),0)</f>
        <v>11242.235294117647</v>
      </c>
      <c r="G4" s="424"/>
      <c r="H4" s="435">
        <f>IFERROR(MAX(C9:C30),0)</f>
        <v>17172</v>
      </c>
      <c r="I4" s="424"/>
      <c r="J4" s="436">
        <f>IFERROR(B4/D4,0)</f>
        <v>1.0220213903743316</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65" t="s">
        <v>213</v>
      </c>
      <c r="B8" s="466" t="s">
        <v>214</v>
      </c>
      <c r="C8" s="466" t="s">
        <v>215</v>
      </c>
      <c r="D8" s="466" t="s">
        <v>216</v>
      </c>
      <c r="E8" s="466" t="s">
        <v>217</v>
      </c>
      <c r="F8" s="439" t="s">
        <v>218</v>
      </c>
      <c r="G8" s="424"/>
      <c r="H8" s="424"/>
      <c r="I8" s="424"/>
      <c r="J8" s="424"/>
      <c r="K8" s="424"/>
      <c r="L8" s="424"/>
      <c r="M8" s="424"/>
      <c r="N8" s="424"/>
      <c r="O8" s="424"/>
      <c r="P8" s="1" t="s">
        <v>1273</v>
      </c>
      <c r="Q8" s="1" t="s">
        <v>210</v>
      </c>
      <c r="R8" s="1" t="s">
        <v>212</v>
      </c>
      <c r="S8" s="1" t="s">
        <v>208</v>
      </c>
      <c r="X8" s="1" t="s">
        <v>219</v>
      </c>
      <c r="Y8" s="1" t="s">
        <v>220</v>
      </c>
    </row>
    <row r="9" spans="1:25" x14ac:dyDescent="0.3">
      <c r="A9" s="476">
        <v>46055</v>
      </c>
      <c r="B9" s="473">
        <f>IF(D9&gt;0,COUNTIF($D$9:D9,"&gt;0"),"")</f>
        <v>1</v>
      </c>
      <c r="C9" s="879">
        <f>'SEMANA FEVEREIRO'!$M$9</f>
        <v>11328</v>
      </c>
      <c r="D9" s="880">
        <f>IF(C9&gt;0,CONFIG!$B$3,0)</f>
        <v>11000</v>
      </c>
      <c r="E9" s="881">
        <f t="shared" ref="E9:E28" si="0">IF(C9&gt;0,C9-D9,0)</f>
        <v>328</v>
      </c>
      <c r="F9" s="441"/>
      <c r="G9" s="424"/>
      <c r="H9" s="424"/>
      <c r="I9" s="424"/>
      <c r="J9" s="424"/>
      <c r="K9" s="424"/>
      <c r="L9" s="424"/>
      <c r="M9" s="424"/>
      <c r="N9" s="424"/>
      <c r="O9" s="424"/>
      <c r="P9" s="93">
        <f t="shared" ref="P9:P28" si="1">B9</f>
        <v>1</v>
      </c>
      <c r="Q9" s="1" t="e">
        <f t="shared" ref="Q9:Q28" si="2">IF(AND($C9&gt;0,$C9&lt;$D9),$C9,NA())</f>
        <v>#N/A</v>
      </c>
      <c r="R9" s="1" t="e">
        <f t="shared" ref="R9:R28" si="3">IF(AND($C9&gt;0,$C9=$D9),$C9,NA())</f>
        <v>#N/A</v>
      </c>
      <c r="S9" s="1">
        <f t="shared" ref="S9:S28" si="4">IF(AND($C9&gt;0,$C9&gt;$D9),$C9,NA())</f>
        <v>11328</v>
      </c>
      <c r="X9" s="63">
        <f t="shared" ref="X9:X28" si="5">IF(COUNTIF($F9,"*Feriado*")&gt;0,NA(),$C9)</f>
        <v>11328</v>
      </c>
      <c r="Y9" s="63">
        <f t="shared" ref="Y9:Y28" si="6">IF(COUNTIF($F9,"*Feriado*")&gt;0,NA(),$D9)</f>
        <v>11000</v>
      </c>
    </row>
    <row r="10" spans="1:25" x14ac:dyDescent="0.3">
      <c r="A10" s="477">
        <v>46056</v>
      </c>
      <c r="B10" s="474">
        <f>IF(D10&gt;0,COUNTIF($D$9:D10,"&gt;0"),"")</f>
        <v>2</v>
      </c>
      <c r="C10" s="882">
        <f>'SEMANA FEVEREIRO'!$M$17</f>
        <v>8424</v>
      </c>
      <c r="D10" s="883">
        <f>IF(C10&gt;0,CONFIG!$B$3,0)</f>
        <v>11000</v>
      </c>
      <c r="E10" s="884">
        <f t="shared" si="0"/>
        <v>-2576</v>
      </c>
      <c r="F10" s="491" t="s">
        <v>1374</v>
      </c>
      <c r="G10" s="424"/>
      <c r="H10" s="424"/>
      <c r="I10" s="424"/>
      <c r="J10" s="424"/>
      <c r="K10" s="424"/>
      <c r="L10" s="424"/>
      <c r="M10" s="424"/>
      <c r="N10" s="424"/>
      <c r="O10" s="424"/>
      <c r="P10" s="93">
        <f t="shared" si="1"/>
        <v>2</v>
      </c>
      <c r="Q10" s="1">
        <f t="shared" si="2"/>
        <v>8424</v>
      </c>
      <c r="R10" s="1" t="e">
        <f t="shared" si="3"/>
        <v>#N/A</v>
      </c>
      <c r="S10" s="1" t="e">
        <f t="shared" si="4"/>
        <v>#N/A</v>
      </c>
      <c r="X10" s="63">
        <f t="shared" si="5"/>
        <v>8424</v>
      </c>
      <c r="Y10" s="63">
        <f t="shared" si="6"/>
        <v>11000</v>
      </c>
    </row>
    <row r="11" spans="1:25" x14ac:dyDescent="0.3">
      <c r="A11" s="477">
        <v>46057</v>
      </c>
      <c r="B11" s="474">
        <f>IF(D11&gt;0,COUNTIF($D$9:D11,"&gt;0"),"")</f>
        <v>3</v>
      </c>
      <c r="C11" s="882">
        <f>'SEMANA FEVEREIRO'!$M$25</f>
        <v>7998</v>
      </c>
      <c r="D11" s="883">
        <f>IF(C11&gt;0,CONFIG!$B$3,0)</f>
        <v>11000</v>
      </c>
      <c r="E11" s="884">
        <f t="shared" si="0"/>
        <v>-3002</v>
      </c>
      <c r="F11" s="491" t="s">
        <v>1375</v>
      </c>
      <c r="G11" s="424"/>
      <c r="H11" s="424"/>
      <c r="I11" s="424"/>
      <c r="J11" s="424"/>
      <c r="K11" s="424"/>
      <c r="L11" s="424"/>
      <c r="M11" s="424"/>
      <c r="N11" s="424"/>
      <c r="O11" s="424"/>
      <c r="P11" s="93">
        <f t="shared" si="1"/>
        <v>3</v>
      </c>
      <c r="Q11" s="1">
        <f t="shared" si="2"/>
        <v>7998</v>
      </c>
      <c r="R11" s="1" t="e">
        <f t="shared" si="3"/>
        <v>#N/A</v>
      </c>
      <c r="S11" s="1" t="e">
        <f t="shared" si="4"/>
        <v>#N/A</v>
      </c>
      <c r="X11" s="63">
        <f t="shared" si="5"/>
        <v>7998</v>
      </c>
      <c r="Y11" s="63">
        <f t="shared" si="6"/>
        <v>11000</v>
      </c>
    </row>
    <row r="12" spans="1:25" x14ac:dyDescent="0.3">
      <c r="A12" s="477">
        <v>46058</v>
      </c>
      <c r="B12" s="474">
        <f>IF(D12&gt;0,COUNTIF($D$9:D12,"&gt;0"),"")</f>
        <v>4</v>
      </c>
      <c r="C12" s="882">
        <f>'SEMANA FEVEREIRO'!$M$35</f>
        <v>6786</v>
      </c>
      <c r="D12" s="883">
        <f>IF(C12&gt;0,CONFIG!$B$3,0)</f>
        <v>11000</v>
      </c>
      <c r="E12" s="884">
        <f t="shared" si="0"/>
        <v>-4214</v>
      </c>
      <c r="F12" s="491" t="s">
        <v>1376</v>
      </c>
      <c r="G12" s="424"/>
      <c r="H12" s="424"/>
      <c r="I12" s="424"/>
      <c r="J12" s="424"/>
      <c r="K12" s="424"/>
      <c r="L12" s="424"/>
      <c r="M12" s="424"/>
      <c r="N12" s="424"/>
      <c r="O12" s="424"/>
      <c r="P12" s="93">
        <f t="shared" si="1"/>
        <v>4</v>
      </c>
      <c r="Q12" s="1">
        <f t="shared" si="2"/>
        <v>6786</v>
      </c>
      <c r="R12" s="1" t="e">
        <f t="shared" si="3"/>
        <v>#N/A</v>
      </c>
      <c r="S12" s="1" t="e">
        <f t="shared" si="4"/>
        <v>#N/A</v>
      </c>
      <c r="X12" s="63">
        <f t="shared" si="5"/>
        <v>6786</v>
      </c>
      <c r="Y12" s="63">
        <f t="shared" si="6"/>
        <v>11000</v>
      </c>
    </row>
    <row r="13" spans="1:25" x14ac:dyDescent="0.3">
      <c r="A13" s="477">
        <v>46059</v>
      </c>
      <c r="B13" s="474" t="str">
        <f>IF(D13&gt;0,COUNTIF($D$9:D13,"&gt;0"),"")</f>
        <v/>
      </c>
      <c r="C13" s="882">
        <f>'SEMANA FEVEREIRO'!$M$44</f>
        <v>0</v>
      </c>
      <c r="D13" s="883">
        <f>IF(C13&gt;0,CONFIG!$B$3,0)</f>
        <v>0</v>
      </c>
      <c r="E13" s="884">
        <f t="shared" si="0"/>
        <v>0</v>
      </c>
      <c r="F13" s="491" t="s">
        <v>1377</v>
      </c>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77">
        <v>46062</v>
      </c>
      <c r="B14" s="474">
        <f>IF(D14&gt;0,COUNTIF($D$9:D14,"&gt;0"),"")</f>
        <v>5</v>
      </c>
      <c r="C14" s="882">
        <f>'SEMANA FEVEREIRO'!$M$53</f>
        <v>14532</v>
      </c>
      <c r="D14" s="883">
        <f>IF(C14&gt;0,CONFIG!$B$3,0)</f>
        <v>11000</v>
      </c>
      <c r="E14" s="884">
        <f t="shared" si="0"/>
        <v>3532</v>
      </c>
      <c r="F14" s="441"/>
      <c r="G14" s="424"/>
      <c r="H14" s="424"/>
      <c r="I14" s="424"/>
      <c r="J14" s="424"/>
      <c r="K14" s="424"/>
      <c r="L14" s="424"/>
      <c r="M14" s="424"/>
      <c r="N14" s="424"/>
      <c r="O14" s="424"/>
      <c r="P14" s="93">
        <f t="shared" si="1"/>
        <v>5</v>
      </c>
      <c r="Q14" s="1" t="e">
        <f t="shared" si="2"/>
        <v>#N/A</v>
      </c>
      <c r="R14" s="1" t="e">
        <f t="shared" si="3"/>
        <v>#N/A</v>
      </c>
      <c r="S14" s="1">
        <f t="shared" si="4"/>
        <v>14532</v>
      </c>
      <c r="X14" s="63">
        <f t="shared" si="5"/>
        <v>14532</v>
      </c>
      <c r="Y14" s="63">
        <f t="shared" si="6"/>
        <v>11000</v>
      </c>
    </row>
    <row r="15" spans="1:25" ht="27.6" x14ac:dyDescent="0.3">
      <c r="A15" s="477">
        <v>46063</v>
      </c>
      <c r="B15" s="474">
        <f>IF(D15&gt;0,COUNTIF($D$9:D15,"&gt;0"),"")</f>
        <v>6</v>
      </c>
      <c r="C15" s="882">
        <f>'SEMANA FEVEREIRO'!$M$61</f>
        <v>12324</v>
      </c>
      <c r="D15" s="883">
        <f>IF(C15&gt;0,CONFIG!$B$3,0)</f>
        <v>11000</v>
      </c>
      <c r="E15" s="884">
        <f t="shared" si="0"/>
        <v>1324</v>
      </c>
      <c r="F15" s="491" t="s">
        <v>1378</v>
      </c>
      <c r="G15" s="424"/>
      <c r="H15" s="424"/>
      <c r="I15" s="424"/>
      <c r="J15" s="424"/>
      <c r="K15" s="424"/>
      <c r="L15" s="424"/>
      <c r="M15" s="424"/>
      <c r="N15" s="424"/>
      <c r="O15" s="424"/>
      <c r="P15" s="93">
        <f t="shared" si="1"/>
        <v>6</v>
      </c>
      <c r="Q15" s="1" t="e">
        <f t="shared" si="2"/>
        <v>#N/A</v>
      </c>
      <c r="R15" s="1" t="e">
        <f t="shared" si="3"/>
        <v>#N/A</v>
      </c>
      <c r="S15" s="1">
        <f t="shared" si="4"/>
        <v>12324</v>
      </c>
      <c r="X15" s="63">
        <f t="shared" si="5"/>
        <v>12324</v>
      </c>
      <c r="Y15" s="63">
        <f t="shared" si="6"/>
        <v>11000</v>
      </c>
    </row>
    <row r="16" spans="1:25" x14ac:dyDescent="0.3">
      <c r="A16" s="477">
        <v>46064</v>
      </c>
      <c r="B16" s="474">
        <f>IF(D16&gt;0,COUNTIF($D$9:D16,"&gt;0"),"")</f>
        <v>7</v>
      </c>
      <c r="C16" s="882">
        <f>'SEMANA FEVEREIRO'!$M$69</f>
        <v>14532</v>
      </c>
      <c r="D16" s="883">
        <f>IF(C16&gt;0,CONFIG!$B$3,0)</f>
        <v>11000</v>
      </c>
      <c r="E16" s="884">
        <f t="shared" si="0"/>
        <v>3532</v>
      </c>
      <c r="F16" s="491" t="s">
        <v>1379</v>
      </c>
      <c r="G16" s="424"/>
      <c r="H16" s="424"/>
      <c r="I16" s="424"/>
      <c r="J16" s="424"/>
      <c r="K16" s="424"/>
      <c r="L16" s="424"/>
      <c r="M16" s="424"/>
      <c r="N16" s="424"/>
      <c r="O16" s="424"/>
      <c r="P16" s="93">
        <f t="shared" si="1"/>
        <v>7</v>
      </c>
      <c r="Q16" s="1" t="e">
        <f t="shared" si="2"/>
        <v>#N/A</v>
      </c>
      <c r="R16" s="1" t="e">
        <f t="shared" si="3"/>
        <v>#N/A</v>
      </c>
      <c r="S16" s="1">
        <f t="shared" si="4"/>
        <v>14532</v>
      </c>
      <c r="X16" s="63">
        <f t="shared" si="5"/>
        <v>14532</v>
      </c>
      <c r="Y16" s="63">
        <f t="shared" si="6"/>
        <v>11000</v>
      </c>
    </row>
    <row r="17" spans="1:25" x14ac:dyDescent="0.3">
      <c r="A17" s="477">
        <v>46065</v>
      </c>
      <c r="B17" s="474">
        <f>IF(D17&gt;0,COUNTIF($D$9:D17,"&gt;0"),"")</f>
        <v>8</v>
      </c>
      <c r="C17" s="882">
        <f>'SEMANA FEVEREIRO'!$M$77</f>
        <v>17172</v>
      </c>
      <c r="D17" s="883">
        <f>IF(C17&gt;0,CONFIG!$B$3,0)</f>
        <v>11000</v>
      </c>
      <c r="E17" s="884">
        <f t="shared" si="0"/>
        <v>6172</v>
      </c>
      <c r="F17" s="441"/>
      <c r="G17" s="424"/>
      <c r="H17" s="424"/>
      <c r="I17" s="424"/>
      <c r="J17" s="424"/>
      <c r="K17" s="424"/>
      <c r="L17" s="424"/>
      <c r="M17" s="424"/>
      <c r="N17" s="424"/>
      <c r="O17" s="424"/>
      <c r="P17" s="93">
        <f t="shared" si="1"/>
        <v>8</v>
      </c>
      <c r="Q17" s="1" t="e">
        <f t="shared" si="2"/>
        <v>#N/A</v>
      </c>
      <c r="R17" s="1" t="e">
        <f t="shared" si="3"/>
        <v>#N/A</v>
      </c>
      <c r="S17" s="1">
        <f t="shared" si="4"/>
        <v>17172</v>
      </c>
      <c r="X17" s="63">
        <f t="shared" si="5"/>
        <v>17172</v>
      </c>
      <c r="Y17" s="63">
        <f t="shared" si="6"/>
        <v>11000</v>
      </c>
    </row>
    <row r="18" spans="1:25" ht="27.6" x14ac:dyDescent="0.3">
      <c r="A18" s="477">
        <v>46066</v>
      </c>
      <c r="B18" s="474">
        <f>IF(D18&gt;0,COUNTIF($D$9:D18,"&gt;0"),"")</f>
        <v>9</v>
      </c>
      <c r="C18" s="882">
        <f>'SEMANA FEVEREIRO'!$M$89</f>
        <v>9624</v>
      </c>
      <c r="D18" s="883">
        <f>IF(C18&gt;0,CONFIG!$B$3,0)</f>
        <v>11000</v>
      </c>
      <c r="E18" s="884">
        <f t="shared" si="0"/>
        <v>-1376</v>
      </c>
      <c r="F18" s="491" t="s">
        <v>1380</v>
      </c>
      <c r="G18" s="424"/>
      <c r="H18" s="424"/>
      <c r="I18" s="424"/>
      <c r="J18" s="424"/>
      <c r="K18" s="424"/>
      <c r="L18" s="424"/>
      <c r="M18" s="424"/>
      <c r="N18" s="424"/>
      <c r="O18" s="424"/>
      <c r="P18" s="93">
        <f t="shared" si="1"/>
        <v>9</v>
      </c>
      <c r="Q18" s="1">
        <f t="shared" si="2"/>
        <v>9624</v>
      </c>
      <c r="R18" s="1" t="e">
        <f t="shared" si="3"/>
        <v>#N/A</v>
      </c>
      <c r="S18" s="1" t="e">
        <f t="shared" si="4"/>
        <v>#N/A</v>
      </c>
      <c r="X18" s="63">
        <f t="shared" si="5"/>
        <v>9624</v>
      </c>
      <c r="Y18" s="63">
        <f t="shared" si="6"/>
        <v>11000</v>
      </c>
    </row>
    <row r="19" spans="1:25" x14ac:dyDescent="0.3">
      <c r="A19" s="477">
        <v>46069</v>
      </c>
      <c r="B19" s="474" t="str">
        <f>IF(D19&gt;0,COUNTIF($D$9:D19,"&gt;0"),"")</f>
        <v/>
      </c>
      <c r="C19" s="882">
        <v>0</v>
      </c>
      <c r="D19" s="883">
        <f>IF(C19&gt;0,CONFIG!$B$3,0)</f>
        <v>0</v>
      </c>
      <c r="E19" s="884">
        <f t="shared" si="0"/>
        <v>0</v>
      </c>
      <c r="F19" s="441"/>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77">
        <v>46070</v>
      </c>
      <c r="B20" s="474" t="str">
        <f>IF(D20&gt;0,COUNTIF($D$9:D20,"&gt;0"),"")</f>
        <v/>
      </c>
      <c r="C20" s="882">
        <v>0</v>
      </c>
      <c r="D20" s="883">
        <f>IF(C20&gt;0,CONFIG!$B$3,0)</f>
        <v>0</v>
      </c>
      <c r="E20" s="884">
        <f t="shared" si="0"/>
        <v>0</v>
      </c>
      <c r="F20" s="441"/>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77">
        <v>46071</v>
      </c>
      <c r="B21" s="474">
        <f>IF(D21&gt;0,COUNTIF($D$9:D21,"&gt;0"),"")</f>
        <v>10</v>
      </c>
      <c r="C21" s="882">
        <f>'SEMANA FEVEREIRO'!$M$99</f>
        <v>5268</v>
      </c>
      <c r="D21" s="883">
        <f>IF(C21&gt;0,CONFIG!$B$3,0)</f>
        <v>11000</v>
      </c>
      <c r="E21" s="884">
        <f t="shared" si="0"/>
        <v>-5732</v>
      </c>
      <c r="F21" s="491" t="s">
        <v>1381</v>
      </c>
      <c r="G21" s="424"/>
      <c r="H21" s="424"/>
      <c r="I21" s="424"/>
      <c r="J21" s="424"/>
      <c r="K21" s="424"/>
      <c r="L21" s="424"/>
      <c r="M21" s="424"/>
      <c r="N21" s="424"/>
      <c r="O21" s="424"/>
      <c r="P21" s="93">
        <f t="shared" si="1"/>
        <v>10</v>
      </c>
      <c r="Q21" s="1">
        <f t="shared" si="2"/>
        <v>5268</v>
      </c>
      <c r="R21" s="1" t="e">
        <f t="shared" si="3"/>
        <v>#N/A</v>
      </c>
      <c r="S21" s="1" t="e">
        <f t="shared" si="4"/>
        <v>#N/A</v>
      </c>
      <c r="X21" s="63">
        <f t="shared" si="5"/>
        <v>5268</v>
      </c>
      <c r="Y21" s="63">
        <f t="shared" si="6"/>
        <v>11000</v>
      </c>
    </row>
    <row r="22" spans="1:25" x14ac:dyDescent="0.3">
      <c r="A22" s="477">
        <v>46072</v>
      </c>
      <c r="B22" s="474">
        <f>IF(D22&gt;0,COUNTIF($D$9:D22,"&gt;0"),"")</f>
        <v>11</v>
      </c>
      <c r="C22" s="882">
        <f>'SEMANA FEVEREIRO'!$M$109</f>
        <v>11796</v>
      </c>
      <c r="D22" s="883">
        <f>IF(C22&gt;0,CONFIG!$B$3,0)</f>
        <v>11000</v>
      </c>
      <c r="E22" s="884">
        <f t="shared" si="0"/>
        <v>796</v>
      </c>
      <c r="F22" s="441"/>
      <c r="G22" s="424"/>
      <c r="H22" s="424"/>
      <c r="I22" s="424"/>
      <c r="J22" s="424"/>
      <c r="K22" s="424"/>
      <c r="L22" s="424"/>
      <c r="M22" s="424"/>
      <c r="N22" s="424"/>
      <c r="O22" s="424"/>
      <c r="P22" s="93">
        <f t="shared" si="1"/>
        <v>11</v>
      </c>
      <c r="Q22" s="1" t="e">
        <f t="shared" si="2"/>
        <v>#N/A</v>
      </c>
      <c r="R22" s="1" t="e">
        <f t="shared" si="3"/>
        <v>#N/A</v>
      </c>
      <c r="S22" s="1">
        <f t="shared" si="4"/>
        <v>11796</v>
      </c>
      <c r="X22" s="63">
        <f t="shared" si="5"/>
        <v>11796</v>
      </c>
      <c r="Y22" s="63">
        <f t="shared" si="6"/>
        <v>11000</v>
      </c>
    </row>
    <row r="23" spans="1:25" x14ac:dyDescent="0.3">
      <c r="A23" s="477">
        <v>46073</v>
      </c>
      <c r="B23" s="474">
        <f>IF(D23&gt;0,COUNTIF($D$9:D23,"&gt;0"),"")</f>
        <v>12</v>
      </c>
      <c r="C23" s="882">
        <f>'SEMANA FEVEREIRO'!$M$118</f>
        <v>13164</v>
      </c>
      <c r="D23" s="883">
        <f>IF(C23&gt;0,CONFIG!$B$3,0)</f>
        <v>11000</v>
      </c>
      <c r="E23" s="884">
        <f t="shared" si="0"/>
        <v>2164</v>
      </c>
      <c r="F23" s="441"/>
      <c r="G23" s="424"/>
      <c r="H23" s="424"/>
      <c r="I23" s="424"/>
      <c r="J23" s="424"/>
      <c r="K23" s="424"/>
      <c r="L23" s="424"/>
      <c r="M23" s="424"/>
      <c r="N23" s="424"/>
      <c r="O23" s="424"/>
      <c r="P23" s="93">
        <f t="shared" si="1"/>
        <v>12</v>
      </c>
      <c r="Q23" s="1" t="e">
        <f t="shared" si="2"/>
        <v>#N/A</v>
      </c>
      <c r="R23" s="1" t="e">
        <f t="shared" si="3"/>
        <v>#N/A</v>
      </c>
      <c r="S23" s="1">
        <f t="shared" si="4"/>
        <v>13164</v>
      </c>
      <c r="X23" s="63">
        <f t="shared" si="5"/>
        <v>13164</v>
      </c>
      <c r="Y23" s="63">
        <f t="shared" si="6"/>
        <v>11000</v>
      </c>
    </row>
    <row r="24" spans="1:25" x14ac:dyDescent="0.3">
      <c r="A24" s="477">
        <v>46076</v>
      </c>
      <c r="B24" s="474">
        <f>IF(D24&gt;0,COUNTIF($D$9:D24,"&gt;0"),"")</f>
        <v>13</v>
      </c>
      <c r="C24" s="882">
        <f>'SEMANA FEVEREIRO'!$M$126</f>
        <v>15888</v>
      </c>
      <c r="D24" s="883">
        <f>IF(C24&gt;0,CONFIG!$B$3,0)</f>
        <v>11000</v>
      </c>
      <c r="E24" s="884">
        <f t="shared" si="0"/>
        <v>4888</v>
      </c>
      <c r="F24" s="441"/>
      <c r="G24" s="424"/>
      <c r="H24" s="424"/>
      <c r="I24" s="424"/>
      <c r="J24" s="424"/>
      <c r="K24" s="424"/>
      <c r="L24" s="424"/>
      <c r="M24" s="424"/>
      <c r="N24" s="424"/>
      <c r="O24" s="424"/>
      <c r="P24" s="93">
        <f t="shared" si="1"/>
        <v>13</v>
      </c>
      <c r="Q24" s="1" t="e">
        <f t="shared" si="2"/>
        <v>#N/A</v>
      </c>
      <c r="R24" s="1" t="e">
        <f t="shared" si="3"/>
        <v>#N/A</v>
      </c>
      <c r="S24" s="1">
        <f t="shared" si="4"/>
        <v>15888</v>
      </c>
      <c r="X24" s="63">
        <f t="shared" si="5"/>
        <v>15888</v>
      </c>
      <c r="Y24" s="63">
        <f t="shared" si="6"/>
        <v>11000</v>
      </c>
    </row>
    <row r="25" spans="1:25" x14ac:dyDescent="0.3">
      <c r="A25" s="477">
        <v>46077</v>
      </c>
      <c r="B25" s="474">
        <f>IF(D25&gt;0,COUNTIF($D$9:D25,"&gt;0"),"")</f>
        <v>14</v>
      </c>
      <c r="C25" s="882">
        <f>'SEMANA FEVEREIRO'!$M$135</f>
        <v>12732</v>
      </c>
      <c r="D25" s="883">
        <f>IF(C25&gt;0,CONFIG!$B$3,0)</f>
        <v>11000</v>
      </c>
      <c r="E25" s="884">
        <f t="shared" si="0"/>
        <v>1732</v>
      </c>
      <c r="F25" s="441"/>
      <c r="G25" s="424"/>
      <c r="H25" s="424"/>
      <c r="I25" s="424"/>
      <c r="J25" s="424"/>
      <c r="K25" s="424"/>
      <c r="L25" s="424"/>
      <c r="M25" s="424"/>
      <c r="N25" s="424"/>
      <c r="O25" s="424"/>
      <c r="P25" s="93">
        <f t="shared" si="1"/>
        <v>14</v>
      </c>
      <c r="Q25" s="1" t="e">
        <f t="shared" si="2"/>
        <v>#N/A</v>
      </c>
      <c r="R25" s="1" t="e">
        <f t="shared" si="3"/>
        <v>#N/A</v>
      </c>
      <c r="S25" s="1">
        <f t="shared" si="4"/>
        <v>12732</v>
      </c>
      <c r="X25" s="63">
        <f t="shared" si="5"/>
        <v>12732</v>
      </c>
      <c r="Y25" s="63">
        <f t="shared" si="6"/>
        <v>11000</v>
      </c>
    </row>
    <row r="26" spans="1:25" x14ac:dyDescent="0.3">
      <c r="A26" s="477">
        <v>46078</v>
      </c>
      <c r="B26" s="474">
        <f>IF(D26&gt;0,COUNTIF($D$9:D26,"&gt;0"),"")</f>
        <v>15</v>
      </c>
      <c r="C26" s="882">
        <f>'SEMANA FEVEREIRO'!$M$147</f>
        <v>9132</v>
      </c>
      <c r="D26" s="883">
        <f>IF(C26&gt;0,CONFIG!$B$3,0)</f>
        <v>11000</v>
      </c>
      <c r="E26" s="884">
        <f t="shared" si="0"/>
        <v>-1868</v>
      </c>
      <c r="F26" s="441"/>
      <c r="G26" s="424"/>
      <c r="H26" s="424"/>
      <c r="I26" s="424"/>
      <c r="J26" s="424"/>
      <c r="K26" s="424"/>
      <c r="L26" s="424"/>
      <c r="M26" s="424"/>
      <c r="N26" s="424"/>
      <c r="O26" s="424"/>
      <c r="P26" s="93">
        <f t="shared" si="1"/>
        <v>15</v>
      </c>
      <c r="Q26" s="1">
        <f t="shared" si="2"/>
        <v>9132</v>
      </c>
      <c r="R26" s="1" t="e">
        <f t="shared" si="3"/>
        <v>#N/A</v>
      </c>
      <c r="S26" s="1" t="e">
        <f t="shared" si="4"/>
        <v>#N/A</v>
      </c>
      <c r="X26" s="63">
        <f t="shared" si="5"/>
        <v>9132</v>
      </c>
      <c r="Y26" s="63">
        <f t="shared" si="6"/>
        <v>11000</v>
      </c>
    </row>
    <row r="27" spans="1:25" x14ac:dyDescent="0.3">
      <c r="A27" s="477">
        <v>46079</v>
      </c>
      <c r="B27" s="474">
        <f>IF(D27&gt;0,COUNTIF($D$9:D27,"&gt;0"),"")</f>
        <v>16</v>
      </c>
      <c r="C27" s="882">
        <f>'SEMANA FEVEREIRO'!$M$156</f>
        <v>12786</v>
      </c>
      <c r="D27" s="883">
        <f>IF(C27&gt;0,CONFIG!$B$3,0)</f>
        <v>11000</v>
      </c>
      <c r="E27" s="884">
        <f t="shared" si="0"/>
        <v>1786</v>
      </c>
      <c r="F27" s="441"/>
      <c r="G27" s="424"/>
      <c r="H27" s="424"/>
      <c r="I27" s="424"/>
      <c r="J27" s="424"/>
      <c r="K27" s="424"/>
      <c r="L27" s="424"/>
      <c r="M27" s="424"/>
      <c r="N27" s="424"/>
      <c r="O27" s="424"/>
      <c r="P27" s="93">
        <f t="shared" si="1"/>
        <v>16</v>
      </c>
      <c r="Q27" s="1" t="e">
        <f t="shared" si="2"/>
        <v>#N/A</v>
      </c>
      <c r="R27" s="1" t="e">
        <f t="shared" si="3"/>
        <v>#N/A</v>
      </c>
      <c r="S27" s="1">
        <f t="shared" si="4"/>
        <v>12786</v>
      </c>
      <c r="X27" s="63">
        <f t="shared" si="5"/>
        <v>12786</v>
      </c>
      <c r="Y27" s="63">
        <f t="shared" si="6"/>
        <v>11000</v>
      </c>
    </row>
    <row r="28" spans="1:25" x14ac:dyDescent="0.3">
      <c r="A28" s="478">
        <v>46080</v>
      </c>
      <c r="B28" s="475">
        <f>IF(D28&gt;0,COUNTIF($D$9:D28,"&gt;0"),"")</f>
        <v>17</v>
      </c>
      <c r="C28" s="885">
        <f>'SEMANA FEVEREIRO'!$M$164</f>
        <v>7632</v>
      </c>
      <c r="D28" s="886">
        <f>IF(C28&gt;0,CONFIG!$B$3,0)</f>
        <v>11000</v>
      </c>
      <c r="E28" s="887">
        <f t="shared" si="0"/>
        <v>-3368</v>
      </c>
      <c r="F28" s="441"/>
      <c r="G28" s="424"/>
      <c r="H28" s="424"/>
      <c r="I28" s="424"/>
      <c r="J28" s="424"/>
      <c r="K28" s="424"/>
      <c r="L28" s="424"/>
      <c r="M28" s="424"/>
      <c r="N28" s="424"/>
      <c r="O28" s="424"/>
      <c r="P28" s="93">
        <f t="shared" si="1"/>
        <v>17</v>
      </c>
      <c r="Q28" s="1">
        <f t="shared" si="2"/>
        <v>7632</v>
      </c>
      <c r="R28" s="1" t="e">
        <f t="shared" si="3"/>
        <v>#N/A</v>
      </c>
      <c r="S28" s="1" t="e">
        <f t="shared" si="4"/>
        <v>#N/A</v>
      </c>
      <c r="X28" s="63">
        <f t="shared" si="5"/>
        <v>7632</v>
      </c>
      <c r="Y28" s="63">
        <f t="shared" si="6"/>
        <v>11000</v>
      </c>
    </row>
    <row r="29" spans="1:25" ht="14.25" customHeight="1" x14ac:dyDescent="0.3">
      <c r="A29" s="102"/>
      <c r="B29" s="101"/>
      <c r="C29" s="100"/>
      <c r="D29" s="100"/>
      <c r="E29" s="100"/>
    </row>
    <row r="30" spans="1:25" ht="14.25" customHeight="1" x14ac:dyDescent="0.3">
      <c r="A30" s="102"/>
      <c r="B30" s="101"/>
      <c r="C30" s="100"/>
      <c r="D30" s="100"/>
      <c r="E30" s="100"/>
    </row>
  </sheetData>
  <mergeCells count="1">
    <mergeCell ref="A1:F1"/>
  </mergeCells>
  <conditionalFormatting sqref="E9:E30">
    <cfRule type="cellIs" dxfId="387" priority="1" operator="greaterThan">
      <formula>0</formula>
    </cfRule>
    <cfRule type="cellIs" dxfId="386" priority="2" operator="lessThan">
      <formula>0</formula>
    </cfRule>
    <cfRule type="cellIs" dxfId="385"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DB54-FF42-4524-8BC8-A963BF1EB6D8}">
  <sheetPr>
    <tabColor rgb="FFC96B0A"/>
  </sheetPr>
  <dimension ref="B1:O291"/>
  <sheetViews>
    <sheetView showGridLines="0" zoomScale="90" zoomScaleNormal="90" workbookViewId="0">
      <selection activeCell="A107" sqref="A107:D131"/>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5" width="8.5546875" style="1" customWidth="1"/>
    <col min="16" max="16384" width="8.5546875" style="1"/>
  </cols>
  <sheetData>
    <row r="1" spans="2:15" ht="21.75" customHeight="1" x14ac:dyDescent="0.3">
      <c r="B1" s="639" t="s">
        <v>302</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504" t="s">
        <v>303</v>
      </c>
      <c r="C4" s="659">
        <v>26010237</v>
      </c>
      <c r="D4" s="659"/>
      <c r="E4" s="659"/>
      <c r="F4" s="659"/>
      <c r="G4" s="659" t="s">
        <v>130</v>
      </c>
      <c r="H4" s="659"/>
      <c r="I4" s="659"/>
      <c r="J4" s="659"/>
      <c r="K4" s="659" t="s">
        <v>131</v>
      </c>
      <c r="L4" s="659"/>
      <c r="M4" s="505" t="s">
        <v>73</v>
      </c>
      <c r="N4" s="528">
        <v>46085</v>
      </c>
      <c r="O4" s="493"/>
    </row>
    <row r="5" spans="2:15" ht="17.25" customHeight="1" x14ac:dyDescent="0.3">
      <c r="B5" s="504" t="s">
        <v>304</v>
      </c>
      <c r="C5" s="659">
        <v>26010238</v>
      </c>
      <c r="D5" s="659"/>
      <c r="E5" s="659"/>
      <c r="F5" s="659"/>
      <c r="G5" s="659" t="s">
        <v>305</v>
      </c>
      <c r="H5" s="659"/>
      <c r="I5" s="659"/>
      <c r="J5" s="659"/>
      <c r="K5" s="659" t="s">
        <v>72</v>
      </c>
      <c r="L5" s="659"/>
      <c r="M5" s="504" t="s">
        <v>106</v>
      </c>
      <c r="N5" s="498">
        <v>46085</v>
      </c>
      <c r="O5" s="493"/>
    </row>
    <row r="6" spans="2:15" ht="17.25" customHeight="1" x14ac:dyDescent="0.3">
      <c r="B6" s="504" t="s">
        <v>306</v>
      </c>
      <c r="C6" s="659">
        <v>26010239</v>
      </c>
      <c r="D6" s="659"/>
      <c r="E6" s="659"/>
      <c r="F6" s="659"/>
      <c r="G6" s="659" t="s">
        <v>64</v>
      </c>
      <c r="H6" s="659"/>
      <c r="I6" s="659"/>
      <c r="J6" s="659"/>
      <c r="K6" s="659" t="s">
        <v>62</v>
      </c>
      <c r="L6" s="659"/>
      <c r="M6" s="505" t="s">
        <v>307</v>
      </c>
      <c r="N6" s="498">
        <v>46086</v>
      </c>
      <c r="O6" s="493"/>
    </row>
    <row r="7" spans="2:15" ht="17.25" customHeight="1" x14ac:dyDescent="0.3">
      <c r="B7" s="504" t="s">
        <v>308</v>
      </c>
      <c r="C7" s="659">
        <v>26040240</v>
      </c>
      <c r="D7" s="659"/>
      <c r="E7" s="659"/>
      <c r="F7" s="659"/>
      <c r="G7" s="659" t="s">
        <v>309</v>
      </c>
      <c r="H7" s="659"/>
      <c r="I7" s="659"/>
      <c r="J7" s="659"/>
      <c r="K7" s="659" t="s">
        <v>262</v>
      </c>
      <c r="L7" s="659"/>
      <c r="M7" s="505" t="s">
        <v>310</v>
      </c>
      <c r="N7" s="498">
        <v>46100</v>
      </c>
      <c r="O7" s="493"/>
    </row>
    <row r="8" spans="2:15" ht="17.25" customHeight="1" x14ac:dyDescent="0.3">
      <c r="B8" s="504" t="s">
        <v>311</v>
      </c>
      <c r="C8" s="659">
        <v>26040241</v>
      </c>
      <c r="D8" s="659"/>
      <c r="E8" s="659"/>
      <c r="F8" s="659"/>
      <c r="G8" s="659" t="s">
        <v>260</v>
      </c>
      <c r="H8" s="659"/>
      <c r="I8" s="659"/>
      <c r="J8" s="659"/>
      <c r="K8" s="659" t="s">
        <v>312</v>
      </c>
      <c r="L8" s="659"/>
      <c r="M8" s="505" t="s">
        <v>106</v>
      </c>
      <c r="N8" s="498">
        <v>46087</v>
      </c>
      <c r="O8" s="493"/>
    </row>
    <row r="9" spans="2:15" ht="17.25" customHeight="1" x14ac:dyDescent="0.3">
      <c r="B9" s="659" t="s">
        <v>313</v>
      </c>
      <c r="C9" s="659">
        <v>26040242</v>
      </c>
      <c r="D9" s="659"/>
      <c r="E9" s="659"/>
      <c r="F9" s="659"/>
      <c r="G9" s="659" t="s">
        <v>314</v>
      </c>
      <c r="H9" s="659"/>
      <c r="I9" s="659"/>
      <c r="J9" s="659"/>
      <c r="K9" s="659" t="s">
        <v>315</v>
      </c>
      <c r="L9" s="659"/>
      <c r="M9" s="505" t="s">
        <v>106</v>
      </c>
      <c r="N9" s="498">
        <v>46087</v>
      </c>
      <c r="O9" s="493"/>
    </row>
    <row r="10" spans="2:15" ht="17.25" customHeight="1" x14ac:dyDescent="0.3">
      <c r="B10" s="659"/>
      <c r="C10" s="659">
        <v>26010243</v>
      </c>
      <c r="D10" s="659"/>
      <c r="E10" s="659"/>
      <c r="F10" s="659"/>
      <c r="G10" s="659" t="s">
        <v>316</v>
      </c>
      <c r="H10" s="659"/>
      <c r="I10" s="659"/>
      <c r="J10" s="659"/>
      <c r="K10" s="659"/>
      <c r="L10" s="659"/>
      <c r="M10" s="505" t="s">
        <v>106</v>
      </c>
      <c r="N10" s="498">
        <v>46086</v>
      </c>
      <c r="O10" s="493"/>
    </row>
    <row r="11" spans="2:15" ht="17.25" customHeight="1" x14ac:dyDescent="0.3">
      <c r="B11" s="659" t="s">
        <v>317</v>
      </c>
      <c r="C11" s="659">
        <v>26010245</v>
      </c>
      <c r="D11" s="659"/>
      <c r="E11" s="660"/>
      <c r="F11" s="660"/>
      <c r="G11" s="659" t="s">
        <v>75</v>
      </c>
      <c r="H11" s="659"/>
      <c r="I11" s="659"/>
      <c r="J11" s="659"/>
      <c r="K11" s="659" t="s">
        <v>76</v>
      </c>
      <c r="L11" s="659"/>
      <c r="M11" s="504" t="s">
        <v>77</v>
      </c>
      <c r="N11" s="498">
        <v>46084</v>
      </c>
      <c r="O11" s="493"/>
    </row>
    <row r="12" spans="2:15" ht="17.25" customHeight="1" x14ac:dyDescent="0.3">
      <c r="B12" s="659"/>
      <c r="C12" s="659">
        <v>26010246</v>
      </c>
      <c r="D12" s="659"/>
      <c r="E12" s="659"/>
      <c r="F12" s="659"/>
      <c r="G12" s="659" t="s">
        <v>75</v>
      </c>
      <c r="H12" s="659"/>
      <c r="I12" s="659"/>
      <c r="J12" s="659"/>
      <c r="K12" s="659"/>
      <c r="L12" s="659"/>
      <c r="M12" s="504" t="s">
        <v>77</v>
      </c>
      <c r="N12" s="498">
        <v>46084</v>
      </c>
      <c r="O12" s="493"/>
    </row>
    <row r="13" spans="2:15" ht="17.25" customHeight="1" x14ac:dyDescent="0.3">
      <c r="B13" s="659"/>
      <c r="C13" s="659">
        <v>26010247</v>
      </c>
      <c r="D13" s="659"/>
      <c r="E13" s="659"/>
      <c r="F13" s="659"/>
      <c r="G13" s="659" t="s">
        <v>75</v>
      </c>
      <c r="H13" s="659"/>
      <c r="I13" s="659"/>
      <c r="J13" s="659"/>
      <c r="K13" s="659"/>
      <c r="L13" s="659"/>
      <c r="M13" s="504" t="s">
        <v>77</v>
      </c>
      <c r="N13" s="498">
        <v>46084</v>
      </c>
      <c r="O13" s="493"/>
    </row>
    <row r="14" spans="2:15" ht="17.25" customHeight="1" x14ac:dyDescent="0.3">
      <c r="B14" s="659"/>
      <c r="C14" s="659">
        <v>26010248</v>
      </c>
      <c r="D14" s="659"/>
      <c r="E14" s="659"/>
      <c r="F14" s="659"/>
      <c r="G14" s="659" t="s">
        <v>75</v>
      </c>
      <c r="H14" s="659"/>
      <c r="I14" s="659"/>
      <c r="J14" s="659"/>
      <c r="K14" s="659"/>
      <c r="L14" s="659"/>
      <c r="M14" s="504" t="s">
        <v>77</v>
      </c>
      <c r="N14" s="498">
        <v>46084</v>
      </c>
      <c r="O14" s="493"/>
    </row>
    <row r="15" spans="2:15" ht="17.25" customHeight="1" x14ac:dyDescent="0.3">
      <c r="B15" s="659"/>
      <c r="C15" s="659">
        <v>26010249</v>
      </c>
      <c r="D15" s="659"/>
      <c r="E15" s="659"/>
      <c r="F15" s="659"/>
      <c r="G15" s="659" t="s">
        <v>75</v>
      </c>
      <c r="H15" s="659"/>
      <c r="I15" s="659"/>
      <c r="J15" s="659"/>
      <c r="K15" s="659"/>
      <c r="L15" s="659"/>
      <c r="M15" s="504" t="s">
        <v>77</v>
      </c>
      <c r="N15" s="498">
        <v>46085</v>
      </c>
      <c r="O15" s="493"/>
    </row>
    <row r="16" spans="2:15" ht="17.25" customHeight="1" x14ac:dyDescent="0.3">
      <c r="B16" s="659"/>
      <c r="C16" s="659">
        <v>26010250</v>
      </c>
      <c r="D16" s="659"/>
      <c r="E16" s="659"/>
      <c r="F16" s="659"/>
      <c r="G16" s="659" t="s">
        <v>75</v>
      </c>
      <c r="H16" s="659"/>
      <c r="I16" s="659"/>
      <c r="J16" s="659"/>
      <c r="K16" s="659"/>
      <c r="L16" s="659"/>
      <c r="M16" s="504" t="s">
        <v>77</v>
      </c>
      <c r="N16" s="498">
        <v>46085</v>
      </c>
      <c r="O16" s="493"/>
    </row>
    <row r="17" spans="2:15" ht="17.25" customHeight="1" x14ac:dyDescent="0.3">
      <c r="B17" s="659"/>
      <c r="C17" s="659">
        <v>26010251</v>
      </c>
      <c r="D17" s="659"/>
      <c r="E17" s="659"/>
      <c r="F17" s="659"/>
      <c r="G17" s="659" t="s">
        <v>75</v>
      </c>
      <c r="H17" s="659"/>
      <c r="I17" s="659"/>
      <c r="J17" s="659"/>
      <c r="K17" s="659"/>
      <c r="L17" s="659"/>
      <c r="M17" s="504" t="s">
        <v>77</v>
      </c>
      <c r="N17" s="498">
        <v>46085</v>
      </c>
      <c r="O17" s="493"/>
    </row>
    <row r="18" spans="2:15" ht="17.25" customHeight="1" x14ac:dyDescent="0.3">
      <c r="B18" s="659"/>
      <c r="C18" s="659">
        <v>26010252</v>
      </c>
      <c r="D18" s="659"/>
      <c r="E18" s="660"/>
      <c r="F18" s="660"/>
      <c r="G18" s="659" t="s">
        <v>75</v>
      </c>
      <c r="H18" s="659"/>
      <c r="I18" s="659"/>
      <c r="J18" s="659"/>
      <c r="K18" s="659"/>
      <c r="L18" s="659"/>
      <c r="M18" s="504" t="s">
        <v>77</v>
      </c>
      <c r="N18" s="498">
        <v>46086</v>
      </c>
      <c r="O18" s="493"/>
    </row>
    <row r="19" spans="2:15" ht="17.25" customHeight="1" x14ac:dyDescent="0.3">
      <c r="B19" s="659"/>
      <c r="C19" s="659">
        <v>26010253</v>
      </c>
      <c r="D19" s="659"/>
      <c r="E19" s="660"/>
      <c r="F19" s="660"/>
      <c r="G19" s="659" t="s">
        <v>75</v>
      </c>
      <c r="H19" s="659"/>
      <c r="I19" s="659"/>
      <c r="J19" s="659"/>
      <c r="K19" s="659"/>
      <c r="L19" s="659"/>
      <c r="M19" s="504" t="s">
        <v>77</v>
      </c>
      <c r="N19" s="498">
        <v>46086</v>
      </c>
      <c r="O19" s="493"/>
    </row>
    <row r="20" spans="2:15" ht="17.25" customHeight="1" x14ac:dyDescent="0.3">
      <c r="B20" s="659"/>
      <c r="C20" s="659">
        <v>26010254</v>
      </c>
      <c r="D20" s="659"/>
      <c r="E20" s="659"/>
      <c r="F20" s="659"/>
      <c r="G20" s="659" t="s">
        <v>118</v>
      </c>
      <c r="H20" s="659"/>
      <c r="I20" s="659"/>
      <c r="J20" s="659"/>
      <c r="K20" s="659"/>
      <c r="L20" s="659"/>
      <c r="M20" s="504" t="s">
        <v>77</v>
      </c>
      <c r="N20" s="498">
        <v>46085</v>
      </c>
      <c r="O20" s="493"/>
    </row>
    <row r="21" spans="2:15" ht="17.25" customHeight="1" x14ac:dyDescent="0.3">
      <c r="B21" s="659"/>
      <c r="C21" s="659">
        <v>26010255</v>
      </c>
      <c r="D21" s="659"/>
      <c r="E21" s="659"/>
      <c r="F21" s="659"/>
      <c r="G21" s="659" t="s">
        <v>118</v>
      </c>
      <c r="H21" s="659"/>
      <c r="I21" s="659"/>
      <c r="J21" s="659"/>
      <c r="K21" s="659"/>
      <c r="L21" s="659"/>
      <c r="M21" s="504" t="s">
        <v>77</v>
      </c>
      <c r="N21" s="498">
        <v>46085</v>
      </c>
      <c r="O21" s="493"/>
    </row>
    <row r="22" spans="2:15" ht="17.25" customHeight="1" x14ac:dyDescent="0.3">
      <c r="B22" s="659"/>
      <c r="C22" s="659">
        <v>26010256</v>
      </c>
      <c r="D22" s="659"/>
      <c r="E22" s="659"/>
      <c r="F22" s="659"/>
      <c r="G22" s="659" t="s">
        <v>118</v>
      </c>
      <c r="H22" s="659"/>
      <c r="I22" s="659"/>
      <c r="J22" s="659"/>
      <c r="K22" s="659"/>
      <c r="L22" s="659"/>
      <c r="M22" s="504" t="s">
        <v>77</v>
      </c>
      <c r="N22" s="498">
        <v>46085</v>
      </c>
      <c r="O22" s="493"/>
    </row>
    <row r="23" spans="2:15" ht="17.25" customHeight="1" x14ac:dyDescent="0.3">
      <c r="B23" s="659"/>
      <c r="C23" s="659">
        <v>26010257</v>
      </c>
      <c r="D23" s="659"/>
      <c r="E23" s="659"/>
      <c r="F23" s="659"/>
      <c r="G23" s="659" t="s">
        <v>118</v>
      </c>
      <c r="H23" s="659"/>
      <c r="I23" s="659"/>
      <c r="J23" s="659"/>
      <c r="K23" s="659"/>
      <c r="L23" s="659"/>
      <c r="M23" s="504" t="s">
        <v>77</v>
      </c>
      <c r="N23" s="498">
        <v>46085</v>
      </c>
      <c r="O23" s="493"/>
    </row>
    <row r="24" spans="2:15" ht="17.25" customHeight="1" x14ac:dyDescent="0.3">
      <c r="B24" s="659"/>
      <c r="C24" s="659">
        <v>26010258</v>
      </c>
      <c r="D24" s="659"/>
      <c r="E24" s="660"/>
      <c r="F24" s="660"/>
      <c r="G24" s="659" t="s">
        <v>118</v>
      </c>
      <c r="H24" s="659"/>
      <c r="I24" s="659"/>
      <c r="J24" s="659"/>
      <c r="K24" s="659"/>
      <c r="L24" s="659"/>
      <c r="M24" s="504" t="s">
        <v>77</v>
      </c>
      <c r="N24" s="498">
        <v>46086</v>
      </c>
      <c r="O24" s="493"/>
    </row>
    <row r="25" spans="2:15" ht="17.25" customHeight="1" x14ac:dyDescent="0.3">
      <c r="B25" s="659"/>
      <c r="C25" s="659">
        <v>26010259</v>
      </c>
      <c r="D25" s="659"/>
      <c r="E25" s="660"/>
      <c r="F25" s="660"/>
      <c r="G25" s="659" t="s">
        <v>118</v>
      </c>
      <c r="H25" s="659"/>
      <c r="I25" s="659"/>
      <c r="J25" s="659"/>
      <c r="K25" s="659"/>
      <c r="L25" s="659"/>
      <c r="M25" s="504" t="s">
        <v>77</v>
      </c>
      <c r="N25" s="498">
        <v>46086</v>
      </c>
      <c r="O25" s="493"/>
    </row>
    <row r="26" spans="2:15" ht="17.25" customHeight="1" x14ac:dyDescent="0.3">
      <c r="B26" s="659"/>
      <c r="C26" s="659">
        <v>26010260</v>
      </c>
      <c r="D26" s="659"/>
      <c r="E26" s="660"/>
      <c r="F26" s="660"/>
      <c r="G26" s="659" t="s">
        <v>75</v>
      </c>
      <c r="H26" s="659"/>
      <c r="I26" s="659"/>
      <c r="J26" s="659"/>
      <c r="K26" s="659"/>
      <c r="L26" s="659"/>
      <c r="M26" s="504" t="s">
        <v>77</v>
      </c>
      <c r="N26" s="498">
        <v>46086</v>
      </c>
      <c r="O26" s="493"/>
    </row>
    <row r="27" spans="2:15" ht="17.25" customHeight="1" x14ac:dyDescent="0.3">
      <c r="B27" s="659"/>
      <c r="C27" s="659">
        <v>26010261</v>
      </c>
      <c r="D27" s="659"/>
      <c r="E27" s="659"/>
      <c r="F27" s="659"/>
      <c r="G27" s="659" t="s">
        <v>75</v>
      </c>
      <c r="H27" s="659"/>
      <c r="I27" s="659"/>
      <c r="J27" s="659"/>
      <c r="K27" s="659"/>
      <c r="L27" s="659"/>
      <c r="M27" s="504" t="s">
        <v>77</v>
      </c>
      <c r="N27" s="498">
        <v>46086</v>
      </c>
      <c r="O27" s="493"/>
    </row>
    <row r="28" spans="2:15" ht="17.25" customHeight="1" x14ac:dyDescent="0.3">
      <c r="B28" s="659"/>
      <c r="C28" s="659">
        <v>26010262</v>
      </c>
      <c r="D28" s="659"/>
      <c r="E28" s="659"/>
      <c r="F28" s="659"/>
      <c r="G28" s="659" t="s">
        <v>75</v>
      </c>
      <c r="H28" s="659"/>
      <c r="I28" s="659"/>
      <c r="J28" s="659"/>
      <c r="K28" s="659"/>
      <c r="L28" s="659"/>
      <c r="M28" s="504" t="s">
        <v>77</v>
      </c>
      <c r="N28" s="498">
        <v>46090</v>
      </c>
      <c r="O28" s="493"/>
    </row>
    <row r="29" spans="2:15" ht="17.25" customHeight="1" x14ac:dyDescent="0.3">
      <c r="B29" s="659"/>
      <c r="C29" s="659">
        <v>26010263</v>
      </c>
      <c r="D29" s="659"/>
      <c r="E29" s="659"/>
      <c r="F29" s="659"/>
      <c r="G29" s="659" t="s">
        <v>75</v>
      </c>
      <c r="H29" s="659"/>
      <c r="I29" s="659"/>
      <c r="J29" s="659"/>
      <c r="K29" s="659"/>
      <c r="L29" s="659"/>
      <c r="M29" s="504" t="s">
        <v>77</v>
      </c>
      <c r="N29" s="498">
        <v>46090</v>
      </c>
      <c r="O29" s="493"/>
    </row>
    <row r="30" spans="2:15" ht="17.25" customHeight="1" x14ac:dyDescent="0.3">
      <c r="B30" s="659"/>
      <c r="C30" s="659">
        <v>26010264</v>
      </c>
      <c r="D30" s="659"/>
      <c r="E30" s="659"/>
      <c r="F30" s="659"/>
      <c r="G30" s="659" t="s">
        <v>75</v>
      </c>
      <c r="H30" s="659"/>
      <c r="I30" s="659"/>
      <c r="J30" s="659"/>
      <c r="K30" s="659"/>
      <c r="L30" s="659"/>
      <c r="M30" s="504" t="s">
        <v>77</v>
      </c>
      <c r="N30" s="498">
        <v>46090</v>
      </c>
      <c r="O30" s="493"/>
    </row>
    <row r="31" spans="2:15" ht="17.25" customHeight="1" x14ac:dyDescent="0.3">
      <c r="B31" s="659"/>
      <c r="C31" s="659">
        <v>26010265</v>
      </c>
      <c r="D31" s="659"/>
      <c r="E31" s="659"/>
      <c r="F31" s="659"/>
      <c r="G31" s="659" t="s">
        <v>75</v>
      </c>
      <c r="H31" s="659"/>
      <c r="I31" s="659"/>
      <c r="J31" s="659"/>
      <c r="K31" s="659"/>
      <c r="L31" s="659"/>
      <c r="M31" s="504" t="s">
        <v>77</v>
      </c>
      <c r="N31" s="498">
        <v>46090</v>
      </c>
      <c r="O31" s="493"/>
    </row>
    <row r="32" spans="2:15" ht="17.25" customHeight="1" x14ac:dyDescent="0.3">
      <c r="B32" s="659"/>
      <c r="C32" s="659">
        <v>26010266</v>
      </c>
      <c r="D32" s="659"/>
      <c r="E32" s="659"/>
      <c r="F32" s="659"/>
      <c r="G32" s="659" t="s">
        <v>75</v>
      </c>
      <c r="H32" s="659"/>
      <c r="I32" s="659"/>
      <c r="J32" s="659"/>
      <c r="K32" s="659"/>
      <c r="L32" s="659"/>
      <c r="M32" s="504" t="s">
        <v>77</v>
      </c>
      <c r="N32" s="498">
        <v>46090</v>
      </c>
      <c r="O32" s="493"/>
    </row>
    <row r="33" spans="2:15" ht="17.25" customHeight="1" x14ac:dyDescent="0.3">
      <c r="B33" s="659"/>
      <c r="C33" s="659">
        <v>26010267</v>
      </c>
      <c r="D33" s="659"/>
      <c r="E33" s="659"/>
      <c r="F33" s="659"/>
      <c r="G33" s="659" t="s">
        <v>75</v>
      </c>
      <c r="H33" s="659"/>
      <c r="I33" s="659"/>
      <c r="J33" s="659"/>
      <c r="K33" s="659"/>
      <c r="L33" s="659"/>
      <c r="M33" s="504" t="s">
        <v>77</v>
      </c>
      <c r="N33" s="498">
        <v>46090</v>
      </c>
      <c r="O33" s="493"/>
    </row>
    <row r="34" spans="2:15" ht="17.25" customHeight="1" x14ac:dyDescent="0.3">
      <c r="B34" s="659"/>
      <c r="C34" s="659">
        <v>26010268</v>
      </c>
      <c r="D34" s="659"/>
      <c r="E34" s="659"/>
      <c r="F34" s="659"/>
      <c r="G34" s="659" t="s">
        <v>75</v>
      </c>
      <c r="H34" s="659"/>
      <c r="I34" s="659"/>
      <c r="J34" s="659"/>
      <c r="K34" s="659"/>
      <c r="L34" s="659"/>
      <c r="M34" s="504" t="s">
        <v>77</v>
      </c>
      <c r="N34" s="498">
        <v>46090</v>
      </c>
      <c r="O34" s="493"/>
    </row>
    <row r="35" spans="2:15" ht="17.25" customHeight="1" x14ac:dyDescent="0.3">
      <c r="B35" s="659"/>
      <c r="C35" s="659">
        <v>26010269</v>
      </c>
      <c r="D35" s="659"/>
      <c r="E35" s="660"/>
      <c r="F35" s="660"/>
      <c r="G35" s="659" t="s">
        <v>75</v>
      </c>
      <c r="H35" s="659"/>
      <c r="I35" s="659"/>
      <c r="J35" s="659"/>
      <c r="K35" s="659"/>
      <c r="L35" s="659"/>
      <c r="M35" s="504" t="s">
        <v>77</v>
      </c>
      <c r="N35" s="498">
        <v>46090</v>
      </c>
      <c r="O35" s="493"/>
    </row>
    <row r="36" spans="2:15" ht="17.25" customHeight="1" x14ac:dyDescent="0.3">
      <c r="B36" s="504" t="s">
        <v>318</v>
      </c>
      <c r="C36" s="659">
        <v>26010244</v>
      </c>
      <c r="D36" s="659"/>
      <c r="E36" s="659"/>
      <c r="F36" s="659"/>
      <c r="G36" s="659" t="s">
        <v>143</v>
      </c>
      <c r="H36" s="659"/>
      <c r="I36" s="659"/>
      <c r="J36" s="659"/>
      <c r="K36" s="659" t="s">
        <v>62</v>
      </c>
      <c r="L36" s="659"/>
      <c r="M36" s="504" t="s">
        <v>144</v>
      </c>
      <c r="N36" s="498">
        <v>46086</v>
      </c>
      <c r="O36" s="493"/>
    </row>
    <row r="37" spans="2:15" ht="17.25" customHeight="1" x14ac:dyDescent="0.3">
      <c r="B37" s="504" t="s">
        <v>319</v>
      </c>
      <c r="C37" s="659">
        <v>26010270</v>
      </c>
      <c r="D37" s="659"/>
      <c r="E37" s="659"/>
      <c r="F37" s="659"/>
      <c r="G37" s="659" t="s">
        <v>320</v>
      </c>
      <c r="H37" s="659"/>
      <c r="I37" s="659"/>
      <c r="J37" s="659"/>
      <c r="K37" s="659" t="s">
        <v>321</v>
      </c>
      <c r="L37" s="659"/>
      <c r="M37" s="504" t="s">
        <v>322</v>
      </c>
      <c r="N37" s="498">
        <v>46090</v>
      </c>
      <c r="O37" s="493"/>
    </row>
    <row r="38" spans="2:15" ht="17.25" customHeight="1" x14ac:dyDescent="0.3">
      <c r="B38" s="504" t="s">
        <v>323</v>
      </c>
      <c r="C38" s="659">
        <v>26010271</v>
      </c>
      <c r="D38" s="659"/>
      <c r="E38" s="659"/>
      <c r="F38" s="659"/>
      <c r="G38" s="659" t="s">
        <v>134</v>
      </c>
      <c r="H38" s="659"/>
      <c r="I38" s="659"/>
      <c r="J38" s="659"/>
      <c r="K38" s="659" t="s">
        <v>135</v>
      </c>
      <c r="L38" s="659"/>
      <c r="M38" s="504" t="s">
        <v>136</v>
      </c>
      <c r="N38" s="498">
        <v>46091</v>
      </c>
      <c r="O38" s="493"/>
    </row>
    <row r="39" spans="2:15" ht="17.25" customHeight="1" x14ac:dyDescent="0.3">
      <c r="B39" s="504" t="s">
        <v>324</v>
      </c>
      <c r="C39" s="659">
        <v>26010272</v>
      </c>
      <c r="D39" s="659"/>
      <c r="E39" s="659"/>
      <c r="F39" s="659"/>
      <c r="G39" s="659" t="s">
        <v>325</v>
      </c>
      <c r="H39" s="659"/>
      <c r="I39" s="659"/>
      <c r="J39" s="659"/>
      <c r="K39" s="659" t="s">
        <v>326</v>
      </c>
      <c r="L39" s="659"/>
      <c r="M39" s="504" t="s">
        <v>136</v>
      </c>
      <c r="N39" s="498">
        <v>46091</v>
      </c>
      <c r="O39" s="493"/>
    </row>
    <row r="40" spans="2:15" ht="17.25" customHeight="1" x14ac:dyDescent="0.3">
      <c r="B40" s="504" t="s">
        <v>327</v>
      </c>
      <c r="C40" s="659">
        <v>26010273</v>
      </c>
      <c r="D40" s="659"/>
      <c r="E40" s="659"/>
      <c r="F40" s="659"/>
      <c r="G40" s="659" t="s">
        <v>145</v>
      </c>
      <c r="H40" s="659"/>
      <c r="I40" s="659"/>
      <c r="J40" s="659"/>
      <c r="K40" s="659" t="s">
        <v>62</v>
      </c>
      <c r="L40" s="659"/>
      <c r="M40" s="504" t="s">
        <v>328</v>
      </c>
      <c r="N40" s="498">
        <v>46094</v>
      </c>
      <c r="O40" s="503" t="s">
        <v>329</v>
      </c>
    </row>
    <row r="41" spans="2:15" ht="17.25" customHeight="1" x14ac:dyDescent="0.3">
      <c r="B41" s="504" t="s">
        <v>330</v>
      </c>
      <c r="C41" s="659"/>
      <c r="D41" s="659"/>
      <c r="E41" s="659">
        <v>2632170</v>
      </c>
      <c r="F41" s="659"/>
      <c r="G41" s="659" t="s">
        <v>331</v>
      </c>
      <c r="H41" s="659"/>
      <c r="I41" s="659"/>
      <c r="J41" s="659"/>
      <c r="K41" s="659" t="s">
        <v>149</v>
      </c>
      <c r="L41" s="659"/>
      <c r="M41" s="504" t="s">
        <v>332</v>
      </c>
      <c r="N41" s="498">
        <v>46097</v>
      </c>
      <c r="O41" s="493"/>
    </row>
    <row r="42" spans="2:15" ht="17.25" customHeight="1" x14ac:dyDescent="0.3">
      <c r="B42" s="504" t="s">
        <v>333</v>
      </c>
      <c r="C42" s="659">
        <v>26010274</v>
      </c>
      <c r="D42" s="659"/>
      <c r="E42" s="659"/>
      <c r="F42" s="659"/>
      <c r="G42" s="659" t="s">
        <v>334</v>
      </c>
      <c r="H42" s="659"/>
      <c r="I42" s="659"/>
      <c r="J42" s="659"/>
      <c r="K42" s="659" t="s">
        <v>35</v>
      </c>
      <c r="L42" s="659"/>
      <c r="M42" s="505" t="s">
        <v>335</v>
      </c>
      <c r="N42" s="498">
        <v>46091</v>
      </c>
      <c r="O42" s="493"/>
    </row>
    <row r="43" spans="2:15" ht="17.25" customHeight="1" x14ac:dyDescent="0.3">
      <c r="B43" s="504" t="s">
        <v>336</v>
      </c>
      <c r="C43" s="659">
        <v>26010275</v>
      </c>
      <c r="D43" s="659"/>
      <c r="E43" s="659"/>
      <c r="F43" s="659"/>
      <c r="G43" s="659" t="s">
        <v>235</v>
      </c>
      <c r="H43" s="659"/>
      <c r="I43" s="659"/>
      <c r="J43" s="659"/>
      <c r="K43" s="659" t="s">
        <v>139</v>
      </c>
      <c r="L43" s="659"/>
      <c r="M43" s="504" t="s">
        <v>140</v>
      </c>
      <c r="N43" s="498">
        <v>46100</v>
      </c>
      <c r="O43" s="493"/>
    </row>
    <row r="44" spans="2:15" ht="17.25" customHeight="1" x14ac:dyDescent="0.3">
      <c r="B44" s="504" t="s">
        <v>337</v>
      </c>
      <c r="C44" s="659">
        <v>26010276</v>
      </c>
      <c r="D44" s="659"/>
      <c r="E44" s="659" t="s">
        <v>338</v>
      </c>
      <c r="F44" s="659"/>
      <c r="G44" s="659" t="s">
        <v>339</v>
      </c>
      <c r="H44" s="659"/>
      <c r="I44" s="659"/>
      <c r="J44" s="659"/>
      <c r="K44" s="659" t="s">
        <v>62</v>
      </c>
      <c r="L44" s="659"/>
      <c r="M44" s="505" t="s">
        <v>106</v>
      </c>
      <c r="N44" s="498">
        <v>46086</v>
      </c>
      <c r="O44" s="493"/>
    </row>
    <row r="45" spans="2:15" ht="17.25" customHeight="1" x14ac:dyDescent="0.3">
      <c r="B45" s="504" t="s">
        <v>340</v>
      </c>
      <c r="C45" s="659">
        <v>26010277</v>
      </c>
      <c r="D45" s="659"/>
      <c r="E45" s="659" t="s">
        <v>341</v>
      </c>
      <c r="F45" s="659"/>
      <c r="G45" s="659" t="s">
        <v>342</v>
      </c>
      <c r="H45" s="659"/>
      <c r="I45" s="659"/>
      <c r="J45" s="659"/>
      <c r="K45" s="659" t="s">
        <v>76</v>
      </c>
      <c r="L45" s="659"/>
      <c r="M45" s="504" t="s">
        <v>343</v>
      </c>
      <c r="N45" s="498">
        <v>46084</v>
      </c>
      <c r="O45" s="493"/>
    </row>
    <row r="46" spans="2:15" ht="17.25" customHeight="1" x14ac:dyDescent="0.3">
      <c r="B46" s="504" t="s">
        <v>344</v>
      </c>
      <c r="C46" s="659">
        <v>26060278</v>
      </c>
      <c r="D46" s="659"/>
      <c r="E46" s="659"/>
      <c r="F46" s="659"/>
      <c r="G46" s="659" t="s">
        <v>345</v>
      </c>
      <c r="H46" s="659"/>
      <c r="I46" s="659"/>
      <c r="J46" s="659"/>
      <c r="K46" s="659" t="s">
        <v>76</v>
      </c>
      <c r="L46" s="659"/>
      <c r="M46" s="505" t="s">
        <v>346</v>
      </c>
      <c r="N46" s="498">
        <v>46086</v>
      </c>
      <c r="O46" s="493"/>
    </row>
    <row r="47" spans="2:15" ht="17.25" customHeight="1" x14ac:dyDescent="0.3">
      <c r="B47" s="504" t="s">
        <v>347</v>
      </c>
      <c r="C47" s="659">
        <v>26060279</v>
      </c>
      <c r="D47" s="659"/>
      <c r="E47" s="659" t="s">
        <v>348</v>
      </c>
      <c r="F47" s="659"/>
      <c r="G47" s="659" t="s">
        <v>82</v>
      </c>
      <c r="H47" s="659"/>
      <c r="I47" s="659"/>
      <c r="J47" s="659"/>
      <c r="K47" s="659" t="s">
        <v>83</v>
      </c>
      <c r="L47" s="659"/>
      <c r="M47" s="504" t="s">
        <v>349</v>
      </c>
      <c r="N47" s="498">
        <v>46086</v>
      </c>
      <c r="O47" s="493"/>
    </row>
    <row r="48" spans="2:15" ht="17.25" customHeight="1" x14ac:dyDescent="0.3">
      <c r="B48" s="504" t="s">
        <v>350</v>
      </c>
      <c r="C48" s="659">
        <v>26010280</v>
      </c>
      <c r="D48" s="659"/>
      <c r="E48" s="659"/>
      <c r="F48" s="659"/>
      <c r="G48" s="659" t="s">
        <v>351</v>
      </c>
      <c r="H48" s="659"/>
      <c r="I48" s="659"/>
      <c r="J48" s="659"/>
      <c r="K48" s="659" t="s">
        <v>62</v>
      </c>
      <c r="L48" s="659"/>
      <c r="M48" s="504" t="s">
        <v>352</v>
      </c>
      <c r="N48" s="498">
        <v>46087</v>
      </c>
      <c r="O48" s="493"/>
    </row>
    <row r="49" spans="2:15" ht="17.25" customHeight="1" x14ac:dyDescent="0.3">
      <c r="B49" s="659" t="s">
        <v>353</v>
      </c>
      <c r="C49" s="659">
        <v>26010281</v>
      </c>
      <c r="D49" s="659"/>
      <c r="E49" s="659"/>
      <c r="F49" s="659"/>
      <c r="G49" s="659" t="s">
        <v>75</v>
      </c>
      <c r="H49" s="659"/>
      <c r="I49" s="659"/>
      <c r="J49" s="659"/>
      <c r="K49" s="659" t="s">
        <v>76</v>
      </c>
      <c r="L49" s="659"/>
      <c r="M49" s="504" t="s">
        <v>77</v>
      </c>
      <c r="N49" s="498">
        <v>46091</v>
      </c>
      <c r="O49" s="493"/>
    </row>
    <row r="50" spans="2:15" ht="17.25" customHeight="1" x14ac:dyDescent="0.3">
      <c r="B50" s="659"/>
      <c r="C50" s="659">
        <v>26010282</v>
      </c>
      <c r="D50" s="659"/>
      <c r="E50" s="659"/>
      <c r="F50" s="659"/>
      <c r="G50" s="659" t="s">
        <v>75</v>
      </c>
      <c r="H50" s="659"/>
      <c r="I50" s="659"/>
      <c r="J50" s="659"/>
      <c r="K50" s="659"/>
      <c r="L50" s="659"/>
      <c r="M50" s="504" t="s">
        <v>77</v>
      </c>
      <c r="N50" s="498">
        <v>46091</v>
      </c>
      <c r="O50" s="493"/>
    </row>
    <row r="51" spans="2:15" ht="17.25" customHeight="1" x14ac:dyDescent="0.3">
      <c r="B51" s="659"/>
      <c r="C51" s="659">
        <v>26010283</v>
      </c>
      <c r="D51" s="659"/>
      <c r="E51" s="660"/>
      <c r="F51" s="660"/>
      <c r="G51" s="659" t="s">
        <v>75</v>
      </c>
      <c r="H51" s="659"/>
      <c r="I51" s="659"/>
      <c r="J51" s="659"/>
      <c r="K51" s="659"/>
      <c r="L51" s="659"/>
      <c r="M51" s="504" t="s">
        <v>77</v>
      </c>
      <c r="N51" s="498">
        <v>46091</v>
      </c>
      <c r="O51" s="493"/>
    </row>
    <row r="52" spans="2:15" ht="17.25" customHeight="1" x14ac:dyDescent="0.3">
      <c r="B52" s="659"/>
      <c r="C52" s="659">
        <v>26010284</v>
      </c>
      <c r="D52" s="659"/>
      <c r="E52" s="660"/>
      <c r="F52" s="660"/>
      <c r="G52" s="659" t="s">
        <v>75</v>
      </c>
      <c r="H52" s="659"/>
      <c r="I52" s="659"/>
      <c r="J52" s="659"/>
      <c r="K52" s="659"/>
      <c r="L52" s="659"/>
      <c r="M52" s="504" t="s">
        <v>77</v>
      </c>
      <c r="N52" s="498">
        <v>46091</v>
      </c>
      <c r="O52" s="493"/>
    </row>
    <row r="53" spans="2:15" ht="17.25" customHeight="1" x14ac:dyDescent="0.3">
      <c r="B53" s="659"/>
      <c r="C53" s="659">
        <v>26010285</v>
      </c>
      <c r="D53" s="659"/>
      <c r="E53" s="659"/>
      <c r="F53" s="659"/>
      <c r="G53" s="659" t="s">
        <v>75</v>
      </c>
      <c r="H53" s="659"/>
      <c r="I53" s="659"/>
      <c r="J53" s="659"/>
      <c r="K53" s="659"/>
      <c r="L53" s="659"/>
      <c r="M53" s="504" t="s">
        <v>77</v>
      </c>
      <c r="N53" s="498">
        <v>46091</v>
      </c>
      <c r="O53" s="493"/>
    </row>
    <row r="54" spans="2:15" ht="17.25" customHeight="1" x14ac:dyDescent="0.3">
      <c r="B54" s="659"/>
      <c r="C54" s="659">
        <v>26010286</v>
      </c>
      <c r="D54" s="659"/>
      <c r="E54" s="659"/>
      <c r="F54" s="659"/>
      <c r="G54" s="659" t="s">
        <v>75</v>
      </c>
      <c r="H54" s="659"/>
      <c r="I54" s="659"/>
      <c r="J54" s="659"/>
      <c r="K54" s="659"/>
      <c r="L54" s="659"/>
      <c r="M54" s="504" t="s">
        <v>77</v>
      </c>
      <c r="N54" s="498">
        <v>46091</v>
      </c>
      <c r="O54" s="493"/>
    </row>
    <row r="55" spans="2:15" ht="17.25" customHeight="1" x14ac:dyDescent="0.3">
      <c r="B55" s="659"/>
      <c r="C55" s="659">
        <v>26010287</v>
      </c>
      <c r="D55" s="659"/>
      <c r="E55" s="659"/>
      <c r="F55" s="659"/>
      <c r="G55" s="659" t="s">
        <v>75</v>
      </c>
      <c r="H55" s="659"/>
      <c r="I55" s="659"/>
      <c r="J55" s="659"/>
      <c r="K55" s="659"/>
      <c r="L55" s="659"/>
      <c r="M55" s="504" t="s">
        <v>77</v>
      </c>
      <c r="N55" s="498">
        <v>46092</v>
      </c>
      <c r="O55" s="493"/>
    </row>
    <row r="56" spans="2:15" ht="17.25" customHeight="1" x14ac:dyDescent="0.3">
      <c r="B56" s="659"/>
      <c r="C56" s="659">
        <v>26010288</v>
      </c>
      <c r="D56" s="659"/>
      <c r="E56" s="659"/>
      <c r="F56" s="659"/>
      <c r="G56" s="659" t="s">
        <v>75</v>
      </c>
      <c r="H56" s="659"/>
      <c r="I56" s="659"/>
      <c r="J56" s="659"/>
      <c r="K56" s="659"/>
      <c r="L56" s="659"/>
      <c r="M56" s="504" t="s">
        <v>77</v>
      </c>
      <c r="N56" s="498">
        <v>46092</v>
      </c>
      <c r="O56" s="493"/>
    </row>
    <row r="57" spans="2:15" ht="17.25" customHeight="1" x14ac:dyDescent="0.3">
      <c r="B57" s="659"/>
      <c r="C57" s="659">
        <v>26010289</v>
      </c>
      <c r="D57" s="659"/>
      <c r="E57" s="659"/>
      <c r="F57" s="659"/>
      <c r="G57" s="659" t="s">
        <v>75</v>
      </c>
      <c r="H57" s="659"/>
      <c r="I57" s="659"/>
      <c r="J57" s="659"/>
      <c r="K57" s="659"/>
      <c r="L57" s="659"/>
      <c r="M57" s="504" t="s">
        <v>77</v>
      </c>
      <c r="N57" s="498">
        <v>46092</v>
      </c>
      <c r="O57" s="493"/>
    </row>
    <row r="58" spans="2:15" ht="17.25" customHeight="1" x14ac:dyDescent="0.3">
      <c r="B58" s="659"/>
      <c r="C58" s="659">
        <v>26010290</v>
      </c>
      <c r="D58" s="659"/>
      <c r="E58" s="659"/>
      <c r="F58" s="659"/>
      <c r="G58" s="659" t="s">
        <v>75</v>
      </c>
      <c r="H58" s="659"/>
      <c r="I58" s="659"/>
      <c r="J58" s="659"/>
      <c r="K58" s="659"/>
      <c r="L58" s="659"/>
      <c r="M58" s="504" t="s">
        <v>77</v>
      </c>
      <c r="N58" s="498">
        <v>46092</v>
      </c>
      <c r="O58" s="493"/>
    </row>
    <row r="59" spans="2:15" ht="17.25" customHeight="1" x14ac:dyDescent="0.3">
      <c r="B59" s="659"/>
      <c r="C59" s="659">
        <v>26010291</v>
      </c>
      <c r="D59" s="659"/>
      <c r="E59" s="659"/>
      <c r="F59" s="659"/>
      <c r="G59" s="659" t="s">
        <v>75</v>
      </c>
      <c r="H59" s="659"/>
      <c r="I59" s="659"/>
      <c r="J59" s="659"/>
      <c r="K59" s="659"/>
      <c r="L59" s="659"/>
      <c r="M59" s="504" t="s">
        <v>77</v>
      </c>
      <c r="N59" s="498">
        <v>46092</v>
      </c>
      <c r="O59" s="493"/>
    </row>
    <row r="60" spans="2:15" ht="17.25" customHeight="1" x14ac:dyDescent="0.3">
      <c r="B60" s="659"/>
      <c r="C60" s="659">
        <v>26010292</v>
      </c>
      <c r="D60" s="659"/>
      <c r="E60" s="660"/>
      <c r="F60" s="660"/>
      <c r="G60" s="659" t="s">
        <v>75</v>
      </c>
      <c r="H60" s="659"/>
      <c r="I60" s="659"/>
      <c r="J60" s="659"/>
      <c r="K60" s="659"/>
      <c r="L60" s="659"/>
      <c r="M60" s="504" t="s">
        <v>77</v>
      </c>
      <c r="N60" s="498">
        <v>46092</v>
      </c>
      <c r="O60" s="493"/>
    </row>
    <row r="61" spans="2:15" ht="17.25" customHeight="1" x14ac:dyDescent="0.3">
      <c r="B61" s="659"/>
      <c r="C61" s="659">
        <v>26010293</v>
      </c>
      <c r="D61" s="659"/>
      <c r="E61" s="659"/>
      <c r="F61" s="659"/>
      <c r="G61" s="659" t="s">
        <v>75</v>
      </c>
      <c r="H61" s="659"/>
      <c r="I61" s="659"/>
      <c r="J61" s="659"/>
      <c r="K61" s="659"/>
      <c r="L61" s="659"/>
      <c r="M61" s="504" t="s">
        <v>77</v>
      </c>
      <c r="N61" s="498">
        <v>46093</v>
      </c>
      <c r="O61" s="493"/>
    </row>
    <row r="62" spans="2:15" ht="17.25" customHeight="1" x14ac:dyDescent="0.3">
      <c r="B62" s="659"/>
      <c r="C62" s="659">
        <v>26010294</v>
      </c>
      <c r="D62" s="659"/>
      <c r="E62" s="659"/>
      <c r="F62" s="659"/>
      <c r="G62" s="659" t="s">
        <v>75</v>
      </c>
      <c r="H62" s="659"/>
      <c r="I62" s="659"/>
      <c r="J62" s="659"/>
      <c r="K62" s="659"/>
      <c r="L62" s="659"/>
      <c r="M62" s="504" t="s">
        <v>77</v>
      </c>
      <c r="N62" s="498">
        <v>46093</v>
      </c>
      <c r="O62" s="493"/>
    </row>
    <row r="63" spans="2:15" ht="17.25" customHeight="1" x14ac:dyDescent="0.3">
      <c r="B63" s="659"/>
      <c r="C63" s="659">
        <v>26010295</v>
      </c>
      <c r="D63" s="659"/>
      <c r="E63" s="659"/>
      <c r="F63" s="659"/>
      <c r="G63" s="659" t="s">
        <v>75</v>
      </c>
      <c r="H63" s="659"/>
      <c r="I63" s="659"/>
      <c r="J63" s="659"/>
      <c r="K63" s="659"/>
      <c r="L63" s="659"/>
      <c r="M63" s="504" t="s">
        <v>77</v>
      </c>
      <c r="N63" s="498">
        <v>46093</v>
      </c>
      <c r="O63" s="493"/>
    </row>
    <row r="64" spans="2:15" ht="17.25" customHeight="1" x14ac:dyDescent="0.3">
      <c r="B64" s="659"/>
      <c r="C64" s="659">
        <v>26010296</v>
      </c>
      <c r="D64" s="659"/>
      <c r="E64" s="659"/>
      <c r="F64" s="659"/>
      <c r="G64" s="659" t="s">
        <v>75</v>
      </c>
      <c r="H64" s="659"/>
      <c r="I64" s="659"/>
      <c r="J64" s="659"/>
      <c r="K64" s="659"/>
      <c r="L64" s="659"/>
      <c r="M64" s="504" t="s">
        <v>77</v>
      </c>
      <c r="N64" s="498">
        <v>46093</v>
      </c>
      <c r="O64" s="493"/>
    </row>
    <row r="65" spans="2:15" ht="17.25" customHeight="1" x14ac:dyDescent="0.3">
      <c r="B65" s="659"/>
      <c r="C65" s="659">
        <v>26010297</v>
      </c>
      <c r="D65" s="659"/>
      <c r="E65" s="659"/>
      <c r="F65" s="659"/>
      <c r="G65" s="659" t="s">
        <v>75</v>
      </c>
      <c r="H65" s="659"/>
      <c r="I65" s="659"/>
      <c r="J65" s="659"/>
      <c r="K65" s="659"/>
      <c r="L65" s="659"/>
      <c r="M65" s="504" t="s">
        <v>77</v>
      </c>
      <c r="N65" s="498">
        <v>46093</v>
      </c>
      <c r="O65" s="493"/>
    </row>
    <row r="66" spans="2:15" ht="17.25" customHeight="1" x14ac:dyDescent="0.3">
      <c r="B66" s="659"/>
      <c r="C66" s="659">
        <v>26010298</v>
      </c>
      <c r="D66" s="659"/>
      <c r="E66" s="660"/>
      <c r="F66" s="660"/>
      <c r="G66" s="659" t="s">
        <v>75</v>
      </c>
      <c r="H66" s="659"/>
      <c r="I66" s="659"/>
      <c r="J66" s="659"/>
      <c r="K66" s="659"/>
      <c r="L66" s="659"/>
      <c r="M66" s="504" t="s">
        <v>77</v>
      </c>
      <c r="N66" s="498">
        <v>46093</v>
      </c>
      <c r="O66" s="493"/>
    </row>
    <row r="67" spans="2:15" ht="17.25" customHeight="1" x14ac:dyDescent="0.3">
      <c r="B67" s="659"/>
      <c r="C67" s="659">
        <v>26010299</v>
      </c>
      <c r="D67" s="659"/>
      <c r="E67" s="659"/>
      <c r="F67" s="659"/>
      <c r="G67" s="659" t="s">
        <v>75</v>
      </c>
      <c r="H67" s="659"/>
      <c r="I67" s="659"/>
      <c r="J67" s="659"/>
      <c r="K67" s="659"/>
      <c r="L67" s="659"/>
      <c r="M67" s="504" t="s">
        <v>77</v>
      </c>
      <c r="N67" s="498">
        <v>46094</v>
      </c>
      <c r="O67" s="493"/>
    </row>
    <row r="68" spans="2:15" ht="17.25" customHeight="1" x14ac:dyDescent="0.3">
      <c r="B68" s="659"/>
      <c r="C68" s="659">
        <v>26010300</v>
      </c>
      <c r="D68" s="659"/>
      <c r="E68" s="660"/>
      <c r="F68" s="660"/>
      <c r="G68" s="659" t="s">
        <v>75</v>
      </c>
      <c r="H68" s="659"/>
      <c r="I68" s="659"/>
      <c r="J68" s="659"/>
      <c r="K68" s="659"/>
      <c r="L68" s="659"/>
      <c r="M68" s="504" t="s">
        <v>77</v>
      </c>
      <c r="N68" s="498">
        <v>46094</v>
      </c>
      <c r="O68" s="493"/>
    </row>
    <row r="69" spans="2:15" ht="17.25" customHeight="1" x14ac:dyDescent="0.3">
      <c r="B69" s="659"/>
      <c r="C69" s="659">
        <v>26010301</v>
      </c>
      <c r="D69" s="659"/>
      <c r="E69" s="659"/>
      <c r="F69" s="659"/>
      <c r="G69" s="659" t="s">
        <v>75</v>
      </c>
      <c r="H69" s="659"/>
      <c r="I69" s="659"/>
      <c r="J69" s="659"/>
      <c r="K69" s="659"/>
      <c r="L69" s="659"/>
      <c r="M69" s="504" t="s">
        <v>77</v>
      </c>
      <c r="N69" s="498">
        <v>46094</v>
      </c>
      <c r="O69" s="493"/>
    </row>
    <row r="70" spans="2:15" ht="17.25" customHeight="1" x14ac:dyDescent="0.3">
      <c r="B70" s="659"/>
      <c r="C70" s="659">
        <v>26010302</v>
      </c>
      <c r="D70" s="659"/>
      <c r="E70" s="659"/>
      <c r="F70" s="659"/>
      <c r="G70" s="659" t="s">
        <v>75</v>
      </c>
      <c r="H70" s="659"/>
      <c r="I70" s="659"/>
      <c r="J70" s="659"/>
      <c r="K70" s="659"/>
      <c r="L70" s="659"/>
      <c r="M70" s="504" t="s">
        <v>77</v>
      </c>
      <c r="N70" s="498">
        <v>46094</v>
      </c>
      <c r="O70" s="493"/>
    </row>
    <row r="71" spans="2:15" ht="17.25" customHeight="1" x14ac:dyDescent="0.3">
      <c r="B71" s="659"/>
      <c r="C71" s="659">
        <v>26010303</v>
      </c>
      <c r="D71" s="659"/>
      <c r="E71" s="659"/>
      <c r="F71" s="659"/>
      <c r="G71" s="659" t="s">
        <v>75</v>
      </c>
      <c r="H71" s="659"/>
      <c r="I71" s="659"/>
      <c r="J71" s="659"/>
      <c r="K71" s="659"/>
      <c r="L71" s="659"/>
      <c r="M71" s="504" t="s">
        <v>77</v>
      </c>
      <c r="N71" s="498">
        <v>46094</v>
      </c>
      <c r="O71" s="493"/>
    </row>
    <row r="72" spans="2:15" ht="17.25" customHeight="1" x14ac:dyDescent="0.3">
      <c r="B72" s="659"/>
      <c r="C72" s="659">
        <v>26010304</v>
      </c>
      <c r="D72" s="659"/>
      <c r="E72" s="660"/>
      <c r="F72" s="660"/>
      <c r="G72" s="659" t="s">
        <v>75</v>
      </c>
      <c r="H72" s="659"/>
      <c r="I72" s="659"/>
      <c r="J72" s="659"/>
      <c r="K72" s="659"/>
      <c r="L72" s="659"/>
      <c r="M72" s="504" t="s">
        <v>77</v>
      </c>
      <c r="N72" s="498">
        <v>46097</v>
      </c>
      <c r="O72" s="493"/>
    </row>
    <row r="73" spans="2:15" ht="17.25" customHeight="1" x14ac:dyDescent="0.3">
      <c r="B73" s="659"/>
      <c r="C73" s="659">
        <v>26010305</v>
      </c>
      <c r="D73" s="659"/>
      <c r="E73" s="659"/>
      <c r="F73" s="659"/>
      <c r="G73" s="659" t="s">
        <v>75</v>
      </c>
      <c r="H73" s="659"/>
      <c r="I73" s="659"/>
      <c r="J73" s="659"/>
      <c r="K73" s="659"/>
      <c r="L73" s="659"/>
      <c r="M73" s="504" t="s">
        <v>77</v>
      </c>
      <c r="N73" s="498">
        <v>46097</v>
      </c>
      <c r="O73" s="493"/>
    </row>
    <row r="74" spans="2:15" ht="17.25" customHeight="1" x14ac:dyDescent="0.3">
      <c r="B74" s="659" t="s">
        <v>354</v>
      </c>
      <c r="C74" s="659">
        <v>26010306</v>
      </c>
      <c r="D74" s="659"/>
      <c r="E74" s="659"/>
      <c r="F74" s="659"/>
      <c r="G74" s="659" t="s">
        <v>86</v>
      </c>
      <c r="H74" s="659"/>
      <c r="I74" s="659"/>
      <c r="J74" s="659"/>
      <c r="K74" s="659" t="s">
        <v>27</v>
      </c>
      <c r="L74" s="659"/>
      <c r="M74" s="504" t="s">
        <v>355</v>
      </c>
      <c r="N74" s="498">
        <v>46101</v>
      </c>
      <c r="O74" s="493"/>
    </row>
    <row r="75" spans="2:15" ht="17.25" customHeight="1" x14ac:dyDescent="0.3">
      <c r="B75" s="659"/>
      <c r="C75" s="659">
        <v>26010307</v>
      </c>
      <c r="D75" s="659"/>
      <c r="E75" s="659"/>
      <c r="F75" s="659"/>
      <c r="G75" s="659" t="s">
        <v>86</v>
      </c>
      <c r="H75" s="659"/>
      <c r="I75" s="659"/>
      <c r="J75" s="659"/>
      <c r="K75" s="659"/>
      <c r="L75" s="659"/>
      <c r="M75" s="504" t="s">
        <v>355</v>
      </c>
      <c r="N75" s="498">
        <v>46104</v>
      </c>
      <c r="O75" s="493"/>
    </row>
    <row r="76" spans="2:15" ht="17.25" customHeight="1" x14ac:dyDescent="0.3">
      <c r="B76" s="659"/>
      <c r="C76" s="659">
        <v>26010308</v>
      </c>
      <c r="D76" s="659"/>
      <c r="E76" s="659"/>
      <c r="F76" s="659"/>
      <c r="G76" s="659" t="s">
        <v>86</v>
      </c>
      <c r="H76" s="659"/>
      <c r="I76" s="659"/>
      <c r="J76" s="659"/>
      <c r="K76" s="659"/>
      <c r="L76" s="659"/>
      <c r="M76" s="504" t="s">
        <v>355</v>
      </c>
      <c r="N76" s="498">
        <v>46105</v>
      </c>
      <c r="O76" s="493"/>
    </row>
    <row r="77" spans="2:15" ht="17.25" customHeight="1" x14ac:dyDescent="0.3">
      <c r="B77" s="659"/>
      <c r="C77" s="659">
        <v>26010309</v>
      </c>
      <c r="D77" s="659"/>
      <c r="E77" s="659"/>
      <c r="F77" s="659"/>
      <c r="G77" s="659" t="s">
        <v>86</v>
      </c>
      <c r="H77" s="659"/>
      <c r="I77" s="659"/>
      <c r="J77" s="659"/>
      <c r="K77" s="659"/>
      <c r="L77" s="659"/>
      <c r="M77" s="504" t="s">
        <v>355</v>
      </c>
      <c r="N77" s="498">
        <v>46106</v>
      </c>
      <c r="O77" s="493"/>
    </row>
    <row r="78" spans="2:15" ht="17.25" customHeight="1" x14ac:dyDescent="0.3">
      <c r="B78" s="659"/>
      <c r="C78" s="659">
        <v>26010310</v>
      </c>
      <c r="D78" s="659"/>
      <c r="E78" s="659"/>
      <c r="F78" s="659"/>
      <c r="G78" s="659" t="s">
        <v>86</v>
      </c>
      <c r="H78" s="659"/>
      <c r="I78" s="659"/>
      <c r="J78" s="659"/>
      <c r="K78" s="659"/>
      <c r="L78" s="659"/>
      <c r="M78" s="504" t="s">
        <v>355</v>
      </c>
      <c r="N78" s="498">
        <v>46107</v>
      </c>
      <c r="O78" s="493"/>
    </row>
    <row r="79" spans="2:15" ht="17.25" customHeight="1" x14ac:dyDescent="0.3">
      <c r="B79" s="659"/>
      <c r="C79" s="659">
        <v>26010311</v>
      </c>
      <c r="D79" s="659"/>
      <c r="E79" s="659"/>
      <c r="F79" s="659"/>
      <c r="G79" s="659" t="s">
        <v>86</v>
      </c>
      <c r="H79" s="659"/>
      <c r="I79" s="659"/>
      <c r="J79" s="659"/>
      <c r="K79" s="659"/>
      <c r="L79" s="659"/>
      <c r="M79" s="504" t="s">
        <v>355</v>
      </c>
      <c r="N79" s="498">
        <v>46120</v>
      </c>
      <c r="O79" s="493"/>
    </row>
    <row r="80" spans="2:15" ht="17.25" customHeight="1" x14ac:dyDescent="0.3">
      <c r="B80" s="659" t="s">
        <v>356</v>
      </c>
      <c r="C80" s="659">
        <v>26010312</v>
      </c>
      <c r="D80" s="659"/>
      <c r="E80" s="660"/>
      <c r="F80" s="660"/>
      <c r="G80" s="659" t="s">
        <v>75</v>
      </c>
      <c r="H80" s="659"/>
      <c r="I80" s="659"/>
      <c r="J80" s="659"/>
      <c r="K80" s="659" t="s">
        <v>76</v>
      </c>
      <c r="L80" s="659"/>
      <c r="M80" s="504" t="s">
        <v>77</v>
      </c>
      <c r="N80" s="498">
        <v>46097</v>
      </c>
      <c r="O80" s="493"/>
    </row>
    <row r="81" spans="2:15" ht="17.25" customHeight="1" x14ac:dyDescent="0.3">
      <c r="B81" s="659"/>
      <c r="C81" s="659">
        <v>26010313</v>
      </c>
      <c r="D81" s="659"/>
      <c r="E81" s="659"/>
      <c r="F81" s="659"/>
      <c r="G81" s="659" t="s">
        <v>75</v>
      </c>
      <c r="H81" s="659"/>
      <c r="I81" s="659"/>
      <c r="J81" s="659"/>
      <c r="K81" s="659"/>
      <c r="L81" s="659"/>
      <c r="M81" s="504" t="s">
        <v>77</v>
      </c>
      <c r="N81" s="498">
        <v>46097</v>
      </c>
      <c r="O81" s="493"/>
    </row>
    <row r="82" spans="2:15" ht="17.25" customHeight="1" x14ac:dyDescent="0.3">
      <c r="B82" s="659"/>
      <c r="C82" s="659">
        <v>26010314</v>
      </c>
      <c r="D82" s="659"/>
      <c r="E82" s="659"/>
      <c r="F82" s="659"/>
      <c r="G82" s="659" t="s">
        <v>75</v>
      </c>
      <c r="H82" s="659"/>
      <c r="I82" s="659"/>
      <c r="J82" s="659"/>
      <c r="K82" s="659"/>
      <c r="L82" s="659"/>
      <c r="M82" s="504" t="s">
        <v>77</v>
      </c>
      <c r="N82" s="498">
        <v>46097</v>
      </c>
      <c r="O82" s="493"/>
    </row>
    <row r="83" spans="2:15" ht="17.25" customHeight="1" x14ac:dyDescent="0.3">
      <c r="B83" s="659"/>
      <c r="C83" s="659">
        <v>26010315</v>
      </c>
      <c r="D83" s="659"/>
      <c r="E83" s="659"/>
      <c r="F83" s="659"/>
      <c r="G83" s="659" t="s">
        <v>75</v>
      </c>
      <c r="H83" s="659"/>
      <c r="I83" s="659"/>
      <c r="J83" s="659"/>
      <c r="K83" s="659"/>
      <c r="L83" s="659"/>
      <c r="M83" s="504" t="s">
        <v>77</v>
      </c>
      <c r="N83" s="498">
        <v>46097</v>
      </c>
      <c r="O83" s="493"/>
    </row>
    <row r="84" spans="2:15" ht="17.25" customHeight="1" x14ac:dyDescent="0.3">
      <c r="B84" s="659"/>
      <c r="C84" s="659">
        <v>26010316</v>
      </c>
      <c r="D84" s="659"/>
      <c r="E84" s="659"/>
      <c r="F84" s="659"/>
      <c r="G84" s="659" t="s">
        <v>75</v>
      </c>
      <c r="H84" s="659"/>
      <c r="I84" s="659"/>
      <c r="J84" s="659"/>
      <c r="K84" s="659"/>
      <c r="L84" s="659"/>
      <c r="M84" s="504" t="s">
        <v>77</v>
      </c>
      <c r="N84" s="498">
        <v>46098</v>
      </c>
      <c r="O84" s="493"/>
    </row>
    <row r="85" spans="2:15" ht="17.25" customHeight="1" x14ac:dyDescent="0.3">
      <c r="B85" s="659"/>
      <c r="C85" s="659">
        <v>26010317</v>
      </c>
      <c r="D85" s="659"/>
      <c r="E85" s="659"/>
      <c r="F85" s="659"/>
      <c r="G85" s="659" t="s">
        <v>75</v>
      </c>
      <c r="H85" s="659"/>
      <c r="I85" s="659"/>
      <c r="J85" s="659"/>
      <c r="K85" s="659"/>
      <c r="L85" s="659"/>
      <c r="M85" s="504" t="s">
        <v>77</v>
      </c>
      <c r="N85" s="498">
        <v>46098</v>
      </c>
      <c r="O85" s="493"/>
    </row>
    <row r="86" spans="2:15" ht="17.25" customHeight="1" x14ac:dyDescent="0.3">
      <c r="B86" s="659"/>
      <c r="C86" s="659">
        <v>26010318</v>
      </c>
      <c r="D86" s="659"/>
      <c r="E86" s="660"/>
      <c r="F86" s="660"/>
      <c r="G86" s="659" t="s">
        <v>75</v>
      </c>
      <c r="H86" s="659"/>
      <c r="I86" s="659"/>
      <c r="J86" s="659"/>
      <c r="K86" s="659"/>
      <c r="L86" s="659"/>
      <c r="M86" s="504" t="s">
        <v>77</v>
      </c>
      <c r="N86" s="498">
        <v>46098</v>
      </c>
      <c r="O86" s="493"/>
    </row>
    <row r="87" spans="2:15" ht="17.25" customHeight="1" x14ac:dyDescent="0.3">
      <c r="B87" s="659"/>
      <c r="C87" s="659">
        <v>26010319</v>
      </c>
      <c r="D87" s="659"/>
      <c r="E87" s="659"/>
      <c r="F87" s="659"/>
      <c r="G87" s="659" t="s">
        <v>75</v>
      </c>
      <c r="H87" s="659"/>
      <c r="I87" s="659"/>
      <c r="J87" s="659"/>
      <c r="K87" s="659"/>
      <c r="L87" s="659"/>
      <c r="M87" s="504" t="s">
        <v>77</v>
      </c>
      <c r="N87" s="498">
        <v>46098</v>
      </c>
      <c r="O87" s="493"/>
    </row>
    <row r="88" spans="2:15" ht="17.25" customHeight="1" x14ac:dyDescent="0.3">
      <c r="B88" s="659"/>
      <c r="C88" s="659">
        <v>26010320</v>
      </c>
      <c r="D88" s="659"/>
      <c r="E88" s="659"/>
      <c r="F88" s="659"/>
      <c r="G88" s="659" t="s">
        <v>75</v>
      </c>
      <c r="H88" s="659"/>
      <c r="I88" s="659"/>
      <c r="J88" s="659"/>
      <c r="K88" s="659"/>
      <c r="L88" s="659"/>
      <c r="M88" s="504" t="s">
        <v>77</v>
      </c>
      <c r="N88" s="498">
        <v>46098</v>
      </c>
      <c r="O88" s="493"/>
    </row>
    <row r="89" spans="2:15" ht="17.25" customHeight="1" x14ac:dyDescent="0.3">
      <c r="B89" s="659"/>
      <c r="C89" s="659">
        <v>26010321</v>
      </c>
      <c r="D89" s="659"/>
      <c r="E89" s="659"/>
      <c r="F89" s="659"/>
      <c r="G89" s="659" t="s">
        <v>75</v>
      </c>
      <c r="H89" s="659"/>
      <c r="I89" s="659"/>
      <c r="J89" s="659"/>
      <c r="K89" s="659"/>
      <c r="L89" s="659"/>
      <c r="M89" s="504" t="s">
        <v>77</v>
      </c>
      <c r="N89" s="498">
        <v>46098</v>
      </c>
      <c r="O89" s="493"/>
    </row>
    <row r="90" spans="2:15" ht="17.25" customHeight="1" x14ac:dyDescent="0.3">
      <c r="B90" s="659"/>
      <c r="C90" s="659">
        <v>26010322</v>
      </c>
      <c r="D90" s="659"/>
      <c r="E90" s="660"/>
      <c r="F90" s="660"/>
      <c r="G90" s="659" t="s">
        <v>75</v>
      </c>
      <c r="H90" s="659"/>
      <c r="I90" s="659"/>
      <c r="J90" s="659"/>
      <c r="K90" s="659"/>
      <c r="L90" s="659"/>
      <c r="M90" s="504" t="s">
        <v>77</v>
      </c>
      <c r="N90" s="498">
        <v>46098</v>
      </c>
      <c r="O90" s="493"/>
    </row>
    <row r="91" spans="2:15" ht="17.25" customHeight="1" x14ac:dyDescent="0.3">
      <c r="B91" s="659"/>
      <c r="C91" s="659">
        <v>26010323</v>
      </c>
      <c r="D91" s="659"/>
      <c r="E91" s="659"/>
      <c r="F91" s="659"/>
      <c r="G91" s="659" t="s">
        <v>357</v>
      </c>
      <c r="H91" s="659"/>
      <c r="I91" s="659"/>
      <c r="J91" s="659"/>
      <c r="K91" s="659"/>
      <c r="L91" s="659"/>
      <c r="M91" s="504" t="s">
        <v>77</v>
      </c>
      <c r="N91" s="498">
        <v>46099</v>
      </c>
      <c r="O91" s="493"/>
    </row>
    <row r="92" spans="2:15" ht="17.25" customHeight="1" x14ac:dyDescent="0.3">
      <c r="B92" s="659"/>
      <c r="C92" s="659">
        <v>26010324</v>
      </c>
      <c r="D92" s="659"/>
      <c r="E92" s="659"/>
      <c r="F92" s="659"/>
      <c r="G92" s="659" t="s">
        <v>357</v>
      </c>
      <c r="H92" s="659"/>
      <c r="I92" s="659"/>
      <c r="J92" s="659"/>
      <c r="K92" s="659"/>
      <c r="L92" s="659"/>
      <c r="M92" s="504" t="s">
        <v>77</v>
      </c>
      <c r="N92" s="498">
        <v>46099</v>
      </c>
      <c r="O92" s="493"/>
    </row>
    <row r="93" spans="2:15" ht="17.25" customHeight="1" x14ac:dyDescent="0.3">
      <c r="B93" s="659"/>
      <c r="C93" s="659">
        <v>26010325</v>
      </c>
      <c r="D93" s="659"/>
      <c r="E93" s="659"/>
      <c r="F93" s="659"/>
      <c r="G93" s="659" t="s">
        <v>357</v>
      </c>
      <c r="H93" s="659"/>
      <c r="I93" s="659"/>
      <c r="J93" s="659"/>
      <c r="K93" s="659"/>
      <c r="L93" s="659"/>
      <c r="M93" s="504" t="s">
        <v>77</v>
      </c>
      <c r="N93" s="498">
        <v>46099</v>
      </c>
      <c r="O93" s="493"/>
    </row>
    <row r="94" spans="2:15" ht="17.25" customHeight="1" x14ac:dyDescent="0.3">
      <c r="B94" s="659"/>
      <c r="C94" s="659">
        <v>26010326</v>
      </c>
      <c r="D94" s="659"/>
      <c r="E94" s="659"/>
      <c r="F94" s="659"/>
      <c r="G94" s="659" t="s">
        <v>357</v>
      </c>
      <c r="H94" s="659"/>
      <c r="I94" s="659"/>
      <c r="J94" s="659"/>
      <c r="K94" s="659"/>
      <c r="L94" s="659"/>
      <c r="M94" s="504" t="s">
        <v>77</v>
      </c>
      <c r="N94" s="498">
        <v>46099</v>
      </c>
      <c r="O94" s="493"/>
    </row>
    <row r="95" spans="2:15" ht="17.25" customHeight="1" x14ac:dyDescent="0.3">
      <c r="B95" s="659"/>
      <c r="C95" s="659">
        <v>26010327</v>
      </c>
      <c r="D95" s="659"/>
      <c r="E95" s="659"/>
      <c r="F95" s="659"/>
      <c r="G95" s="659" t="s">
        <v>75</v>
      </c>
      <c r="H95" s="659"/>
      <c r="I95" s="659"/>
      <c r="J95" s="659"/>
      <c r="K95" s="659"/>
      <c r="L95" s="659"/>
      <c r="M95" s="504" t="s">
        <v>77</v>
      </c>
      <c r="N95" s="498">
        <v>46099</v>
      </c>
      <c r="O95" s="493"/>
    </row>
    <row r="96" spans="2:15" ht="17.25" customHeight="1" x14ac:dyDescent="0.3">
      <c r="B96" s="659"/>
      <c r="C96" s="659">
        <v>26010328</v>
      </c>
      <c r="D96" s="659"/>
      <c r="E96" s="659"/>
      <c r="F96" s="659"/>
      <c r="G96" s="659" t="s">
        <v>75</v>
      </c>
      <c r="H96" s="659"/>
      <c r="I96" s="659"/>
      <c r="J96" s="659"/>
      <c r="K96" s="659"/>
      <c r="L96" s="659"/>
      <c r="M96" s="504" t="s">
        <v>77</v>
      </c>
      <c r="N96" s="498">
        <v>46099</v>
      </c>
      <c r="O96" s="493"/>
    </row>
    <row r="97" spans="2:15" ht="17.25" customHeight="1" x14ac:dyDescent="0.3">
      <c r="B97" s="659"/>
      <c r="C97" s="659">
        <v>26010329</v>
      </c>
      <c r="D97" s="659"/>
      <c r="E97" s="659"/>
      <c r="F97" s="659"/>
      <c r="G97" s="659" t="s">
        <v>75</v>
      </c>
      <c r="H97" s="659"/>
      <c r="I97" s="659"/>
      <c r="J97" s="659"/>
      <c r="K97" s="659"/>
      <c r="L97" s="659"/>
      <c r="M97" s="504" t="s">
        <v>77</v>
      </c>
      <c r="N97" s="498">
        <v>46100</v>
      </c>
      <c r="O97" s="493"/>
    </row>
    <row r="98" spans="2:15" ht="17.25" customHeight="1" x14ac:dyDescent="0.3">
      <c r="B98" s="659"/>
      <c r="C98" s="659">
        <v>26010330</v>
      </c>
      <c r="D98" s="659"/>
      <c r="E98" s="660"/>
      <c r="F98" s="660"/>
      <c r="G98" s="659" t="s">
        <v>75</v>
      </c>
      <c r="H98" s="659"/>
      <c r="I98" s="659"/>
      <c r="J98" s="659"/>
      <c r="K98" s="659"/>
      <c r="L98" s="659"/>
      <c r="M98" s="504" t="s">
        <v>77</v>
      </c>
      <c r="N98" s="498">
        <v>46100</v>
      </c>
      <c r="O98" s="493"/>
    </row>
    <row r="99" spans="2:15" ht="17.25" customHeight="1" x14ac:dyDescent="0.3">
      <c r="B99" s="659"/>
      <c r="C99" s="659">
        <v>26010331</v>
      </c>
      <c r="D99" s="659"/>
      <c r="E99" s="659"/>
      <c r="F99" s="659"/>
      <c r="G99" s="659" t="s">
        <v>75</v>
      </c>
      <c r="H99" s="659"/>
      <c r="I99" s="659"/>
      <c r="J99" s="659"/>
      <c r="K99" s="659"/>
      <c r="L99" s="659"/>
      <c r="M99" s="504" t="s">
        <v>77</v>
      </c>
      <c r="N99" s="498">
        <v>46101</v>
      </c>
      <c r="O99" s="493"/>
    </row>
    <row r="100" spans="2:15" ht="17.25" customHeight="1" x14ac:dyDescent="0.3">
      <c r="B100" s="659"/>
      <c r="C100" s="659">
        <v>26010332</v>
      </c>
      <c r="D100" s="659"/>
      <c r="E100" s="660"/>
      <c r="F100" s="660"/>
      <c r="G100" s="659" t="s">
        <v>75</v>
      </c>
      <c r="H100" s="659"/>
      <c r="I100" s="659"/>
      <c r="J100" s="659"/>
      <c r="K100" s="659"/>
      <c r="L100" s="659"/>
      <c r="M100" s="504" t="s">
        <v>77</v>
      </c>
      <c r="N100" s="498">
        <v>46101</v>
      </c>
      <c r="O100" s="493"/>
    </row>
    <row r="101" spans="2:15" ht="17.25" customHeight="1" x14ac:dyDescent="0.3">
      <c r="B101" s="659"/>
      <c r="C101" s="659">
        <v>26010333</v>
      </c>
      <c r="D101" s="659"/>
      <c r="E101" s="659"/>
      <c r="F101" s="659"/>
      <c r="G101" s="659" t="s">
        <v>75</v>
      </c>
      <c r="H101" s="659"/>
      <c r="I101" s="659"/>
      <c r="J101" s="659"/>
      <c r="K101" s="659"/>
      <c r="L101" s="659"/>
      <c r="M101" s="504" t="s">
        <v>77</v>
      </c>
      <c r="N101" s="498">
        <v>46101</v>
      </c>
      <c r="O101" s="493"/>
    </row>
    <row r="102" spans="2:15" ht="17.25" customHeight="1" x14ac:dyDescent="0.3">
      <c r="B102" s="659"/>
      <c r="C102" s="659">
        <v>26010334</v>
      </c>
      <c r="D102" s="659"/>
      <c r="E102" s="659"/>
      <c r="F102" s="659"/>
      <c r="G102" s="659" t="s">
        <v>75</v>
      </c>
      <c r="H102" s="659"/>
      <c r="I102" s="659"/>
      <c r="J102" s="659"/>
      <c r="K102" s="659"/>
      <c r="L102" s="659"/>
      <c r="M102" s="504" t="s">
        <v>77</v>
      </c>
      <c r="N102" s="498">
        <v>46101</v>
      </c>
      <c r="O102" s="493"/>
    </row>
    <row r="103" spans="2:15" ht="17.25" customHeight="1" x14ac:dyDescent="0.3">
      <c r="B103" s="659"/>
      <c r="C103" s="659">
        <v>26010335</v>
      </c>
      <c r="D103" s="659"/>
      <c r="E103" s="659"/>
      <c r="F103" s="659"/>
      <c r="G103" s="659" t="s">
        <v>75</v>
      </c>
      <c r="H103" s="659"/>
      <c r="I103" s="659"/>
      <c r="J103" s="659"/>
      <c r="K103" s="659"/>
      <c r="L103" s="659"/>
      <c r="M103" s="504" t="s">
        <v>77</v>
      </c>
      <c r="N103" s="498">
        <v>46101</v>
      </c>
      <c r="O103" s="493"/>
    </row>
    <row r="104" spans="2:15" ht="17.25" customHeight="1" x14ac:dyDescent="0.3">
      <c r="B104" s="659"/>
      <c r="C104" s="659">
        <v>26010336</v>
      </c>
      <c r="D104" s="659"/>
      <c r="E104" s="660"/>
      <c r="F104" s="660"/>
      <c r="G104" s="659" t="s">
        <v>75</v>
      </c>
      <c r="H104" s="659"/>
      <c r="I104" s="659"/>
      <c r="J104" s="659"/>
      <c r="K104" s="659"/>
      <c r="L104" s="659"/>
      <c r="M104" s="504" t="s">
        <v>77</v>
      </c>
      <c r="N104" s="498">
        <v>46101</v>
      </c>
      <c r="O104" s="493"/>
    </row>
    <row r="105" spans="2:15" ht="17.25" customHeight="1" x14ac:dyDescent="0.3">
      <c r="B105" s="659"/>
      <c r="C105" s="659">
        <v>26010337</v>
      </c>
      <c r="D105" s="659"/>
      <c r="E105" s="659"/>
      <c r="F105" s="659"/>
      <c r="G105" s="659" t="s">
        <v>358</v>
      </c>
      <c r="H105" s="659"/>
      <c r="I105" s="659"/>
      <c r="J105" s="659"/>
      <c r="K105" s="659"/>
      <c r="L105" s="659"/>
      <c r="M105" s="504" t="s">
        <v>359</v>
      </c>
      <c r="N105" s="498">
        <v>46099</v>
      </c>
      <c r="O105" s="493"/>
    </row>
    <row r="106" spans="2:15" ht="17.25" customHeight="1" x14ac:dyDescent="0.3">
      <c r="B106" s="504" t="s">
        <v>360</v>
      </c>
      <c r="C106" s="659">
        <v>26010338</v>
      </c>
      <c r="D106" s="659"/>
      <c r="E106" s="659"/>
      <c r="F106" s="659"/>
      <c r="G106" s="659" t="s">
        <v>361</v>
      </c>
      <c r="H106" s="659"/>
      <c r="I106" s="659"/>
      <c r="J106" s="659"/>
      <c r="K106" s="659" t="s">
        <v>43</v>
      </c>
      <c r="L106" s="659"/>
      <c r="M106" s="504" t="s">
        <v>362</v>
      </c>
      <c r="N106" s="498">
        <v>46099</v>
      </c>
      <c r="O106" s="493"/>
    </row>
    <row r="107" spans="2:15" ht="17.25" customHeight="1" x14ac:dyDescent="0.3">
      <c r="B107" s="659" t="s">
        <v>363</v>
      </c>
      <c r="C107" s="659">
        <v>26010339</v>
      </c>
      <c r="D107" s="659"/>
      <c r="E107" s="659"/>
      <c r="F107" s="659"/>
      <c r="G107" s="659" t="s">
        <v>75</v>
      </c>
      <c r="H107" s="659"/>
      <c r="I107" s="659"/>
      <c r="J107" s="659"/>
      <c r="K107" s="659" t="s">
        <v>76</v>
      </c>
      <c r="L107" s="659"/>
      <c r="M107" s="504" t="s">
        <v>77</v>
      </c>
      <c r="N107" s="498">
        <v>46101</v>
      </c>
      <c r="O107" s="493"/>
    </row>
    <row r="108" spans="2:15" ht="17.25" customHeight="1" x14ac:dyDescent="0.3">
      <c r="B108" s="659"/>
      <c r="C108" s="659">
        <v>26010340</v>
      </c>
      <c r="D108" s="659"/>
      <c r="E108" s="659"/>
      <c r="F108" s="659"/>
      <c r="G108" s="659" t="s">
        <v>75</v>
      </c>
      <c r="H108" s="659"/>
      <c r="I108" s="659"/>
      <c r="J108" s="659"/>
      <c r="K108" s="659"/>
      <c r="L108" s="659"/>
      <c r="M108" s="504" t="s">
        <v>77</v>
      </c>
      <c r="N108" s="498">
        <v>46101</v>
      </c>
      <c r="O108" s="493"/>
    </row>
    <row r="109" spans="2:15" ht="17.25" customHeight="1" x14ac:dyDescent="0.3">
      <c r="B109" s="659"/>
      <c r="C109" s="659">
        <v>26010341</v>
      </c>
      <c r="D109" s="659"/>
      <c r="E109" s="659"/>
      <c r="F109" s="659"/>
      <c r="G109" s="659" t="s">
        <v>75</v>
      </c>
      <c r="H109" s="659"/>
      <c r="I109" s="659"/>
      <c r="J109" s="659"/>
      <c r="K109" s="659"/>
      <c r="L109" s="659"/>
      <c r="M109" s="504" t="s">
        <v>77</v>
      </c>
      <c r="N109" s="498">
        <v>46104</v>
      </c>
      <c r="O109" s="493"/>
    </row>
    <row r="110" spans="2:15" ht="17.25" customHeight="1" x14ac:dyDescent="0.3">
      <c r="B110" s="659"/>
      <c r="C110" s="659">
        <v>26010342</v>
      </c>
      <c r="D110" s="659"/>
      <c r="E110" s="660"/>
      <c r="F110" s="660"/>
      <c r="G110" s="659" t="s">
        <v>75</v>
      </c>
      <c r="H110" s="659"/>
      <c r="I110" s="659"/>
      <c r="J110" s="659"/>
      <c r="K110" s="659"/>
      <c r="L110" s="659"/>
      <c r="M110" s="504" t="s">
        <v>77</v>
      </c>
      <c r="N110" s="498">
        <v>46104</v>
      </c>
      <c r="O110" s="493"/>
    </row>
    <row r="111" spans="2:15" ht="17.25" customHeight="1" x14ac:dyDescent="0.3">
      <c r="B111" s="659"/>
      <c r="C111" s="659">
        <v>26010343</v>
      </c>
      <c r="D111" s="659"/>
      <c r="E111" s="659"/>
      <c r="F111" s="659"/>
      <c r="G111" s="659" t="s">
        <v>75</v>
      </c>
      <c r="H111" s="659"/>
      <c r="I111" s="659"/>
      <c r="J111" s="659"/>
      <c r="K111" s="659"/>
      <c r="L111" s="659"/>
      <c r="M111" s="504" t="s">
        <v>77</v>
      </c>
      <c r="N111" s="498">
        <v>46104</v>
      </c>
      <c r="O111" s="493"/>
    </row>
    <row r="112" spans="2:15" ht="17.25" customHeight="1" x14ac:dyDescent="0.3">
      <c r="B112" s="659"/>
      <c r="C112" s="659">
        <v>26010344</v>
      </c>
      <c r="D112" s="659"/>
      <c r="E112" s="659"/>
      <c r="F112" s="659"/>
      <c r="G112" s="659" t="s">
        <v>75</v>
      </c>
      <c r="H112" s="659"/>
      <c r="I112" s="659"/>
      <c r="J112" s="659"/>
      <c r="K112" s="659"/>
      <c r="L112" s="659"/>
      <c r="M112" s="504" t="s">
        <v>77</v>
      </c>
      <c r="N112" s="498">
        <v>46104</v>
      </c>
      <c r="O112" s="493"/>
    </row>
    <row r="113" spans="2:15" ht="17.25" customHeight="1" x14ac:dyDescent="0.3">
      <c r="B113" s="659"/>
      <c r="C113" s="659">
        <v>26010345</v>
      </c>
      <c r="D113" s="659"/>
      <c r="E113" s="659"/>
      <c r="F113" s="659"/>
      <c r="G113" s="659" t="s">
        <v>75</v>
      </c>
      <c r="H113" s="659"/>
      <c r="I113" s="659"/>
      <c r="J113" s="659"/>
      <c r="K113" s="659"/>
      <c r="L113" s="659"/>
      <c r="M113" s="504" t="s">
        <v>77</v>
      </c>
      <c r="N113" s="498">
        <v>46104</v>
      </c>
      <c r="O113" s="493"/>
    </row>
    <row r="114" spans="2:15" ht="17.25" customHeight="1" x14ac:dyDescent="0.3">
      <c r="B114" s="659"/>
      <c r="C114" s="659">
        <v>26010346</v>
      </c>
      <c r="D114" s="659"/>
      <c r="E114" s="659"/>
      <c r="F114" s="659"/>
      <c r="G114" s="659" t="s">
        <v>75</v>
      </c>
      <c r="H114" s="659"/>
      <c r="I114" s="659"/>
      <c r="J114" s="659"/>
      <c r="K114" s="659"/>
      <c r="L114" s="659"/>
      <c r="M114" s="504" t="s">
        <v>77</v>
      </c>
      <c r="N114" s="498">
        <v>46104</v>
      </c>
      <c r="O114" s="493"/>
    </row>
    <row r="115" spans="2:15" ht="17.25" customHeight="1" x14ac:dyDescent="0.3">
      <c r="B115" s="659"/>
      <c r="C115" s="659">
        <v>26010347</v>
      </c>
      <c r="D115" s="659"/>
      <c r="E115" s="659"/>
      <c r="F115" s="659"/>
      <c r="G115" s="659" t="s">
        <v>75</v>
      </c>
      <c r="H115" s="659"/>
      <c r="I115" s="659"/>
      <c r="J115" s="659"/>
      <c r="K115" s="659"/>
      <c r="L115" s="659"/>
      <c r="M115" s="504" t="s">
        <v>77</v>
      </c>
      <c r="N115" s="498">
        <v>46105</v>
      </c>
      <c r="O115" s="493"/>
    </row>
    <row r="116" spans="2:15" ht="17.25" customHeight="1" x14ac:dyDescent="0.3">
      <c r="B116" s="659"/>
      <c r="C116" s="659">
        <v>26010348</v>
      </c>
      <c r="D116" s="659"/>
      <c r="E116" s="659"/>
      <c r="F116" s="659"/>
      <c r="G116" s="659" t="s">
        <v>75</v>
      </c>
      <c r="H116" s="659"/>
      <c r="I116" s="659"/>
      <c r="J116" s="659"/>
      <c r="K116" s="659"/>
      <c r="L116" s="659"/>
      <c r="M116" s="504" t="s">
        <v>77</v>
      </c>
      <c r="N116" s="498">
        <v>46105</v>
      </c>
      <c r="O116" s="493"/>
    </row>
    <row r="117" spans="2:15" ht="17.25" customHeight="1" x14ac:dyDescent="0.3">
      <c r="B117" s="659"/>
      <c r="C117" s="659">
        <v>26010349</v>
      </c>
      <c r="D117" s="659"/>
      <c r="E117" s="659"/>
      <c r="F117" s="659"/>
      <c r="G117" s="659" t="s">
        <v>75</v>
      </c>
      <c r="H117" s="659"/>
      <c r="I117" s="659"/>
      <c r="J117" s="659"/>
      <c r="K117" s="659"/>
      <c r="L117" s="659"/>
      <c r="M117" s="504" t="s">
        <v>77</v>
      </c>
      <c r="N117" s="498">
        <v>46105</v>
      </c>
      <c r="O117" s="493"/>
    </row>
    <row r="118" spans="2:15" ht="17.25" customHeight="1" x14ac:dyDescent="0.3">
      <c r="B118" s="659"/>
      <c r="C118" s="659">
        <v>26010350</v>
      </c>
      <c r="D118" s="659"/>
      <c r="E118" s="659"/>
      <c r="F118" s="659"/>
      <c r="G118" s="659" t="s">
        <v>75</v>
      </c>
      <c r="H118" s="659"/>
      <c r="I118" s="659"/>
      <c r="J118" s="659"/>
      <c r="K118" s="659"/>
      <c r="L118" s="659"/>
      <c r="M118" s="504" t="s">
        <v>77</v>
      </c>
      <c r="N118" s="498">
        <v>46105</v>
      </c>
      <c r="O118" s="493"/>
    </row>
    <row r="119" spans="2:15" ht="17.25" customHeight="1" x14ac:dyDescent="0.3">
      <c r="B119" s="659"/>
      <c r="C119" s="659">
        <v>26010351</v>
      </c>
      <c r="D119" s="659"/>
      <c r="E119" s="659"/>
      <c r="F119" s="659"/>
      <c r="G119" s="659" t="s">
        <v>75</v>
      </c>
      <c r="H119" s="659"/>
      <c r="I119" s="659"/>
      <c r="J119" s="659"/>
      <c r="K119" s="659"/>
      <c r="L119" s="659"/>
      <c r="M119" s="504" t="s">
        <v>77</v>
      </c>
      <c r="N119" s="498">
        <v>46105</v>
      </c>
      <c r="O119" s="493"/>
    </row>
    <row r="120" spans="2:15" ht="17.25" customHeight="1" x14ac:dyDescent="0.3">
      <c r="B120" s="659"/>
      <c r="C120" s="659">
        <v>26010352</v>
      </c>
      <c r="D120" s="659"/>
      <c r="E120" s="660"/>
      <c r="F120" s="660"/>
      <c r="G120" s="659" t="s">
        <v>75</v>
      </c>
      <c r="H120" s="659"/>
      <c r="I120" s="659"/>
      <c r="J120" s="659"/>
      <c r="K120" s="659"/>
      <c r="L120" s="659"/>
      <c r="M120" s="504" t="s">
        <v>77</v>
      </c>
      <c r="N120" s="498">
        <v>46105</v>
      </c>
      <c r="O120" s="493"/>
    </row>
    <row r="121" spans="2:15" ht="17.25" customHeight="1" x14ac:dyDescent="0.3">
      <c r="B121" s="659"/>
      <c r="C121" s="659">
        <v>26010353</v>
      </c>
      <c r="D121" s="659"/>
      <c r="E121" s="659"/>
      <c r="F121" s="659"/>
      <c r="G121" s="659" t="s">
        <v>75</v>
      </c>
      <c r="H121" s="659"/>
      <c r="I121" s="659"/>
      <c r="J121" s="659"/>
      <c r="K121" s="659"/>
      <c r="L121" s="659"/>
      <c r="M121" s="504" t="s">
        <v>77</v>
      </c>
      <c r="N121" s="498">
        <v>46106</v>
      </c>
      <c r="O121" s="493"/>
    </row>
    <row r="122" spans="2:15" ht="17.25" customHeight="1" x14ac:dyDescent="0.3">
      <c r="B122" s="659"/>
      <c r="C122" s="659">
        <v>26010354</v>
      </c>
      <c r="D122" s="659"/>
      <c r="E122" s="659"/>
      <c r="F122" s="659"/>
      <c r="G122" s="659" t="s">
        <v>75</v>
      </c>
      <c r="H122" s="659"/>
      <c r="I122" s="659"/>
      <c r="J122" s="659"/>
      <c r="K122" s="659"/>
      <c r="L122" s="659"/>
      <c r="M122" s="504" t="s">
        <v>77</v>
      </c>
      <c r="N122" s="498">
        <v>46106</v>
      </c>
      <c r="O122" s="493"/>
    </row>
    <row r="123" spans="2:15" ht="17.25" customHeight="1" x14ac:dyDescent="0.3">
      <c r="B123" s="659"/>
      <c r="C123" s="659">
        <v>26010355</v>
      </c>
      <c r="D123" s="659"/>
      <c r="E123" s="659"/>
      <c r="F123" s="659"/>
      <c r="G123" s="659" t="s">
        <v>75</v>
      </c>
      <c r="H123" s="659"/>
      <c r="I123" s="659"/>
      <c r="J123" s="659"/>
      <c r="K123" s="659"/>
      <c r="L123" s="659"/>
      <c r="M123" s="504" t="s">
        <v>77</v>
      </c>
      <c r="N123" s="498">
        <v>46111</v>
      </c>
      <c r="O123" s="493"/>
    </row>
    <row r="124" spans="2:15" ht="17.25" customHeight="1" x14ac:dyDescent="0.3">
      <c r="B124" s="659"/>
      <c r="C124" s="659">
        <v>26010356</v>
      </c>
      <c r="D124" s="659"/>
      <c r="E124" s="659"/>
      <c r="F124" s="659"/>
      <c r="G124" s="659" t="s">
        <v>75</v>
      </c>
      <c r="H124" s="659"/>
      <c r="I124" s="659"/>
      <c r="J124" s="659"/>
      <c r="K124" s="659"/>
      <c r="L124" s="659"/>
      <c r="M124" s="504" t="s">
        <v>77</v>
      </c>
      <c r="N124" s="498">
        <v>46112</v>
      </c>
      <c r="O124" s="493"/>
    </row>
    <row r="125" spans="2:15" ht="17.25" customHeight="1" x14ac:dyDescent="0.3">
      <c r="B125" s="659"/>
      <c r="C125" s="659">
        <v>26010357</v>
      </c>
      <c r="D125" s="659"/>
      <c r="E125" s="659"/>
      <c r="F125" s="659"/>
      <c r="G125" s="659" t="s">
        <v>75</v>
      </c>
      <c r="H125" s="659"/>
      <c r="I125" s="659"/>
      <c r="J125" s="659"/>
      <c r="K125" s="659"/>
      <c r="L125" s="659"/>
      <c r="M125" s="504" t="s">
        <v>77</v>
      </c>
      <c r="N125" s="498">
        <v>46112</v>
      </c>
      <c r="O125" s="493"/>
    </row>
    <row r="126" spans="2:15" ht="17.25" customHeight="1" x14ac:dyDescent="0.3">
      <c r="B126" s="659"/>
      <c r="C126" s="659">
        <v>26010358</v>
      </c>
      <c r="D126" s="659"/>
      <c r="E126" s="659"/>
      <c r="F126" s="659"/>
      <c r="G126" s="659" t="s">
        <v>75</v>
      </c>
      <c r="H126" s="659"/>
      <c r="I126" s="659"/>
      <c r="J126" s="659"/>
      <c r="K126" s="659"/>
      <c r="L126" s="659"/>
      <c r="M126" s="504" t="s">
        <v>77</v>
      </c>
      <c r="N126" s="498">
        <v>46112</v>
      </c>
      <c r="O126" s="493"/>
    </row>
    <row r="127" spans="2:15" ht="17.25" customHeight="1" x14ac:dyDescent="0.3">
      <c r="B127" s="659"/>
      <c r="C127" s="659">
        <v>26010359</v>
      </c>
      <c r="D127" s="659"/>
      <c r="E127" s="659"/>
      <c r="F127" s="659"/>
      <c r="G127" s="659" t="s">
        <v>75</v>
      </c>
      <c r="H127" s="659"/>
      <c r="I127" s="659"/>
      <c r="J127" s="659"/>
      <c r="K127" s="659"/>
      <c r="L127" s="659"/>
      <c r="M127" s="504" t="s">
        <v>77</v>
      </c>
      <c r="N127" s="498">
        <v>46120</v>
      </c>
      <c r="O127" s="493"/>
    </row>
    <row r="128" spans="2:15" ht="17.25" customHeight="1" x14ac:dyDescent="0.3">
      <c r="B128" s="659"/>
      <c r="C128" s="659">
        <v>26010360</v>
      </c>
      <c r="D128" s="659"/>
      <c r="E128" s="660"/>
      <c r="F128" s="660"/>
      <c r="G128" s="659" t="s">
        <v>75</v>
      </c>
      <c r="H128" s="659"/>
      <c r="I128" s="659"/>
      <c r="J128" s="659"/>
      <c r="K128" s="659"/>
      <c r="L128" s="659"/>
      <c r="M128" s="504" t="s">
        <v>77</v>
      </c>
      <c r="N128" s="498">
        <v>46120</v>
      </c>
      <c r="O128" s="493"/>
    </row>
    <row r="129" spans="2:15" ht="17.25" customHeight="1" x14ac:dyDescent="0.3">
      <c r="B129" s="659"/>
      <c r="C129" s="659">
        <v>26010361</v>
      </c>
      <c r="D129" s="659"/>
      <c r="E129" s="659"/>
      <c r="F129" s="659"/>
      <c r="G129" s="659" t="s">
        <v>75</v>
      </c>
      <c r="H129" s="659"/>
      <c r="I129" s="659"/>
      <c r="J129" s="659"/>
      <c r="K129" s="659"/>
      <c r="L129" s="659"/>
      <c r="M129" s="504" t="s">
        <v>77</v>
      </c>
      <c r="N129" s="498">
        <v>46120</v>
      </c>
      <c r="O129" s="493"/>
    </row>
    <row r="130" spans="2:15" ht="17.25" customHeight="1" x14ac:dyDescent="0.3">
      <c r="B130" s="659"/>
      <c r="C130" s="659">
        <v>26010362</v>
      </c>
      <c r="D130" s="659"/>
      <c r="E130" s="659"/>
      <c r="F130" s="659"/>
      <c r="G130" s="659" t="s">
        <v>75</v>
      </c>
      <c r="H130" s="659"/>
      <c r="I130" s="659"/>
      <c r="J130" s="659"/>
      <c r="K130" s="659"/>
      <c r="L130" s="659"/>
      <c r="M130" s="504" t="s">
        <v>77</v>
      </c>
      <c r="N130" s="498">
        <v>46120</v>
      </c>
      <c r="O130" s="493"/>
    </row>
    <row r="131" spans="2:15" ht="17.25" customHeight="1" x14ac:dyDescent="0.3">
      <c r="B131" s="659"/>
      <c r="C131" s="659">
        <v>26010363</v>
      </c>
      <c r="D131" s="659"/>
      <c r="E131" s="660" t="s">
        <v>364</v>
      </c>
      <c r="F131" s="660"/>
      <c r="G131" s="659" t="s">
        <v>75</v>
      </c>
      <c r="H131" s="659"/>
      <c r="I131" s="659"/>
      <c r="J131" s="659"/>
      <c r="K131" s="659"/>
      <c r="L131" s="659"/>
      <c r="M131" s="504" t="s">
        <v>77</v>
      </c>
      <c r="N131" s="498">
        <v>46120</v>
      </c>
      <c r="O131" s="493"/>
    </row>
    <row r="132" spans="2:15" ht="17.25" customHeight="1" x14ac:dyDescent="0.3">
      <c r="B132" s="504" t="s">
        <v>365</v>
      </c>
      <c r="C132" s="659">
        <v>26010364</v>
      </c>
      <c r="D132" s="659"/>
      <c r="E132" s="659"/>
      <c r="F132" s="659"/>
      <c r="G132" s="659" t="s">
        <v>366</v>
      </c>
      <c r="H132" s="659"/>
      <c r="I132" s="659"/>
      <c r="J132" s="659"/>
      <c r="K132" s="659" t="s">
        <v>27</v>
      </c>
      <c r="L132" s="659"/>
      <c r="M132" s="504" t="s">
        <v>367</v>
      </c>
      <c r="N132" s="498">
        <v>46100</v>
      </c>
      <c r="O132" s="493"/>
    </row>
    <row r="133" spans="2:15" ht="17.25" customHeight="1" x14ac:dyDescent="0.3">
      <c r="B133" s="504" t="s">
        <v>368</v>
      </c>
      <c r="C133" s="659" t="s">
        <v>369</v>
      </c>
      <c r="D133" s="659"/>
      <c r="E133" s="659"/>
      <c r="F133" s="659"/>
      <c r="G133" s="659" t="s">
        <v>370</v>
      </c>
      <c r="H133" s="659"/>
      <c r="I133" s="659"/>
      <c r="J133" s="659"/>
      <c r="K133" s="659" t="s">
        <v>31</v>
      </c>
      <c r="L133" s="659"/>
      <c r="M133" s="504" t="s">
        <v>55</v>
      </c>
      <c r="N133" s="498">
        <v>46104</v>
      </c>
      <c r="O133" s="493"/>
    </row>
    <row r="134" spans="2:15" ht="17.25" customHeight="1" x14ac:dyDescent="0.3">
      <c r="B134" s="504" t="s">
        <v>371</v>
      </c>
      <c r="C134" s="659">
        <v>26010366</v>
      </c>
      <c r="D134" s="659"/>
      <c r="E134" s="659"/>
      <c r="F134" s="659"/>
      <c r="G134" s="659" t="s">
        <v>57</v>
      </c>
      <c r="H134" s="659"/>
      <c r="I134" s="659"/>
      <c r="J134" s="659"/>
      <c r="K134" s="659" t="s">
        <v>58</v>
      </c>
      <c r="L134" s="659"/>
      <c r="M134" s="504" t="s">
        <v>372</v>
      </c>
      <c r="N134" s="498">
        <v>46106</v>
      </c>
      <c r="O134" s="493"/>
    </row>
    <row r="135" spans="2:15" ht="17.25" customHeight="1" x14ac:dyDescent="0.3">
      <c r="B135" s="504" t="s">
        <v>373</v>
      </c>
      <c r="C135" s="659">
        <v>26010367</v>
      </c>
      <c r="D135" s="659"/>
      <c r="E135" s="659"/>
      <c r="F135" s="659"/>
      <c r="G135" s="659" t="s">
        <v>61</v>
      </c>
      <c r="H135" s="659"/>
      <c r="I135" s="659"/>
      <c r="J135" s="659"/>
      <c r="K135" s="659" t="s">
        <v>62</v>
      </c>
      <c r="L135" s="659"/>
      <c r="M135" s="504" t="s">
        <v>55</v>
      </c>
      <c r="N135" s="498">
        <v>46133</v>
      </c>
      <c r="O135" s="493"/>
    </row>
    <row r="136" spans="2:15" ht="17.25" customHeight="1" x14ac:dyDescent="0.3">
      <c r="B136" s="659" t="s">
        <v>374</v>
      </c>
      <c r="C136" s="659">
        <v>26010368</v>
      </c>
      <c r="D136" s="659"/>
      <c r="E136" s="659"/>
      <c r="F136" s="659"/>
      <c r="G136" s="659" t="s">
        <v>93</v>
      </c>
      <c r="H136" s="659"/>
      <c r="I136" s="659"/>
      <c r="J136" s="659"/>
      <c r="K136" s="659" t="s">
        <v>76</v>
      </c>
      <c r="L136" s="659"/>
      <c r="M136" s="504" t="s">
        <v>375</v>
      </c>
      <c r="N136" s="498">
        <v>46106</v>
      </c>
      <c r="O136" s="493"/>
    </row>
    <row r="137" spans="2:15" ht="17.25" customHeight="1" x14ac:dyDescent="0.3">
      <c r="B137" s="659"/>
      <c r="C137" s="659">
        <v>26030369</v>
      </c>
      <c r="D137" s="659"/>
      <c r="E137" s="659"/>
      <c r="F137" s="659"/>
      <c r="G137" s="659" t="s">
        <v>271</v>
      </c>
      <c r="H137" s="659"/>
      <c r="I137" s="659"/>
      <c r="J137" s="659"/>
      <c r="K137" s="659"/>
      <c r="L137" s="659"/>
      <c r="M137" s="504" t="s">
        <v>376</v>
      </c>
      <c r="N137" s="498">
        <v>46106</v>
      </c>
      <c r="O137" s="493"/>
    </row>
    <row r="138" spans="2:15" ht="17.25" customHeight="1" x14ac:dyDescent="0.3">
      <c r="B138" s="659"/>
      <c r="C138" s="659">
        <v>26030370</v>
      </c>
      <c r="D138" s="659"/>
      <c r="E138" s="659"/>
      <c r="F138" s="659"/>
      <c r="G138" s="659" t="s">
        <v>95</v>
      </c>
      <c r="H138" s="659"/>
      <c r="I138" s="659"/>
      <c r="J138" s="659"/>
      <c r="K138" s="659"/>
      <c r="L138" s="659"/>
      <c r="M138" s="505" t="s">
        <v>98</v>
      </c>
      <c r="N138" s="498">
        <v>46106</v>
      </c>
      <c r="O138" s="493"/>
    </row>
    <row r="139" spans="2:15" ht="17.25" customHeight="1" x14ac:dyDescent="0.3">
      <c r="B139" s="659"/>
      <c r="C139" s="659">
        <v>26030371</v>
      </c>
      <c r="D139" s="659"/>
      <c r="E139" s="659"/>
      <c r="F139" s="659"/>
      <c r="G139" s="659" t="s">
        <v>99</v>
      </c>
      <c r="H139" s="659"/>
      <c r="I139" s="659"/>
      <c r="J139" s="659"/>
      <c r="K139" s="659"/>
      <c r="L139" s="659"/>
      <c r="M139" s="504" t="s">
        <v>375</v>
      </c>
      <c r="N139" s="498">
        <v>46106</v>
      </c>
      <c r="O139" s="493"/>
    </row>
    <row r="140" spans="2:15" ht="17.25" customHeight="1" x14ac:dyDescent="0.3">
      <c r="B140" s="659"/>
      <c r="C140" s="659">
        <v>26030372</v>
      </c>
      <c r="D140" s="659"/>
      <c r="E140" s="659"/>
      <c r="F140" s="659"/>
      <c r="G140" s="659" t="s">
        <v>101</v>
      </c>
      <c r="H140" s="659"/>
      <c r="I140" s="659"/>
      <c r="J140" s="659"/>
      <c r="K140" s="659"/>
      <c r="L140" s="659"/>
      <c r="M140" s="504" t="s">
        <v>376</v>
      </c>
      <c r="N140" s="498">
        <v>46106</v>
      </c>
      <c r="O140" s="493"/>
    </row>
    <row r="141" spans="2:15" ht="17.25" customHeight="1" x14ac:dyDescent="0.3">
      <c r="B141" s="659" t="s">
        <v>377</v>
      </c>
      <c r="C141" s="659">
        <v>26040373</v>
      </c>
      <c r="D141" s="659"/>
      <c r="E141" s="659"/>
      <c r="F141" s="659"/>
      <c r="G141" s="659" t="s">
        <v>263</v>
      </c>
      <c r="H141" s="659"/>
      <c r="I141" s="659"/>
      <c r="J141" s="659"/>
      <c r="K141" s="659" t="s">
        <v>265</v>
      </c>
      <c r="L141" s="659"/>
      <c r="M141" s="504" t="s">
        <v>378</v>
      </c>
      <c r="N141" s="498">
        <v>46106</v>
      </c>
      <c r="O141" s="493"/>
    </row>
    <row r="142" spans="2:15" ht="17.25" customHeight="1" x14ac:dyDescent="0.3">
      <c r="B142" s="659"/>
      <c r="C142" s="659">
        <v>26040374</v>
      </c>
      <c r="D142" s="659"/>
      <c r="E142" s="659"/>
      <c r="F142" s="659"/>
      <c r="G142" s="659" t="s">
        <v>260</v>
      </c>
      <c r="H142" s="659"/>
      <c r="I142" s="659"/>
      <c r="J142" s="659"/>
      <c r="K142" s="659"/>
      <c r="L142" s="659"/>
      <c r="M142" s="504" t="s">
        <v>379</v>
      </c>
      <c r="N142" s="498">
        <v>46108</v>
      </c>
      <c r="O142" s="493"/>
    </row>
    <row r="143" spans="2:15" ht="17.25" customHeight="1" x14ac:dyDescent="0.3">
      <c r="B143" s="504" t="s">
        <v>380</v>
      </c>
      <c r="C143" s="659">
        <v>26010375</v>
      </c>
      <c r="D143" s="659"/>
      <c r="E143" s="659"/>
      <c r="F143" s="659"/>
      <c r="G143" s="659" t="s">
        <v>253</v>
      </c>
      <c r="H143" s="659"/>
      <c r="I143" s="659"/>
      <c r="J143" s="659"/>
      <c r="K143" s="659" t="s">
        <v>254</v>
      </c>
      <c r="L143" s="659"/>
      <c r="M143" s="504" t="s">
        <v>256</v>
      </c>
      <c r="N143" s="498">
        <v>46112</v>
      </c>
      <c r="O143" s="493"/>
    </row>
    <row r="144" spans="2:15" ht="17.25" customHeight="1" x14ac:dyDescent="0.3">
      <c r="B144" s="659" t="s">
        <v>381</v>
      </c>
      <c r="C144" s="659">
        <v>26020376</v>
      </c>
      <c r="D144" s="659"/>
      <c r="E144" s="659"/>
      <c r="F144" s="659"/>
      <c r="G144" s="659" t="s">
        <v>273</v>
      </c>
      <c r="H144" s="659"/>
      <c r="I144" s="659"/>
      <c r="J144" s="659"/>
      <c r="K144" s="659" t="s">
        <v>76</v>
      </c>
      <c r="L144" s="659"/>
      <c r="M144" s="504" t="s">
        <v>382</v>
      </c>
      <c r="N144" s="498">
        <v>46111</v>
      </c>
      <c r="O144" s="493"/>
    </row>
    <row r="145" spans="2:15" ht="17.25" customHeight="1" x14ac:dyDescent="0.3">
      <c r="B145" s="659"/>
      <c r="C145" s="659">
        <v>26020377</v>
      </c>
      <c r="D145" s="659"/>
      <c r="E145" s="659"/>
      <c r="F145" s="659"/>
      <c r="G145" s="659" t="s">
        <v>383</v>
      </c>
      <c r="H145" s="659"/>
      <c r="I145" s="659"/>
      <c r="J145" s="659"/>
      <c r="K145" s="659"/>
      <c r="L145" s="659"/>
      <c r="M145" s="505" t="s">
        <v>384</v>
      </c>
      <c r="N145" s="498">
        <v>46114</v>
      </c>
      <c r="O145" s="493"/>
    </row>
    <row r="146" spans="2:15" ht="17.25" customHeight="1" x14ac:dyDescent="0.3">
      <c r="B146" s="659"/>
      <c r="C146" s="659">
        <v>26020378</v>
      </c>
      <c r="D146" s="659"/>
      <c r="E146" s="659"/>
      <c r="F146" s="659"/>
      <c r="G146" s="659" t="s">
        <v>385</v>
      </c>
      <c r="H146" s="659"/>
      <c r="I146" s="659"/>
      <c r="J146" s="659"/>
      <c r="K146" s="659"/>
      <c r="L146" s="659"/>
      <c r="M146" s="505" t="s">
        <v>384</v>
      </c>
      <c r="N146" s="498">
        <v>46118</v>
      </c>
      <c r="O146" s="493"/>
    </row>
    <row r="147" spans="2:15" ht="17.25" customHeight="1" x14ac:dyDescent="0.3">
      <c r="B147" s="659"/>
      <c r="C147" s="659">
        <v>26020379</v>
      </c>
      <c r="D147" s="659"/>
      <c r="E147" s="659"/>
      <c r="F147" s="659"/>
      <c r="G147" s="659" t="s">
        <v>386</v>
      </c>
      <c r="H147" s="659"/>
      <c r="I147" s="659"/>
      <c r="J147" s="659"/>
      <c r="K147" s="659"/>
      <c r="L147" s="659"/>
      <c r="M147" s="505" t="s">
        <v>384</v>
      </c>
      <c r="N147" s="498">
        <v>46118</v>
      </c>
      <c r="O147" s="493"/>
    </row>
    <row r="148" spans="2:15" ht="17.25" customHeight="1" x14ac:dyDescent="0.3">
      <c r="B148" s="659"/>
      <c r="C148" s="659">
        <v>26020380</v>
      </c>
      <c r="D148" s="659"/>
      <c r="E148" s="659"/>
      <c r="F148" s="659"/>
      <c r="G148" s="659" t="s">
        <v>387</v>
      </c>
      <c r="H148" s="659"/>
      <c r="I148" s="659"/>
      <c r="J148" s="659"/>
      <c r="K148" s="659"/>
      <c r="L148" s="659"/>
      <c r="M148" s="505" t="s">
        <v>384</v>
      </c>
      <c r="N148" s="498">
        <v>46118</v>
      </c>
      <c r="O148" s="493"/>
    </row>
    <row r="149" spans="2:15" ht="17.25" customHeight="1" x14ac:dyDescent="0.3">
      <c r="B149" s="659"/>
      <c r="C149" s="659">
        <v>26020381</v>
      </c>
      <c r="D149" s="659"/>
      <c r="E149" s="659"/>
      <c r="F149" s="659"/>
      <c r="G149" s="659" t="s">
        <v>388</v>
      </c>
      <c r="H149" s="659"/>
      <c r="I149" s="659"/>
      <c r="J149" s="659"/>
      <c r="K149" s="659"/>
      <c r="L149" s="659"/>
      <c r="M149" s="505" t="s">
        <v>384</v>
      </c>
      <c r="N149" s="498">
        <v>46118</v>
      </c>
      <c r="O149" s="493"/>
    </row>
    <row r="150" spans="2:15" ht="17.25" customHeight="1" x14ac:dyDescent="0.3">
      <c r="B150" s="659"/>
      <c r="C150" s="659">
        <v>26020382</v>
      </c>
      <c r="D150" s="659"/>
      <c r="E150" s="659"/>
      <c r="F150" s="659"/>
      <c r="G150" s="659" t="s">
        <v>389</v>
      </c>
      <c r="H150" s="659"/>
      <c r="I150" s="659"/>
      <c r="J150" s="659"/>
      <c r="K150" s="659"/>
      <c r="L150" s="659"/>
      <c r="M150" s="504" t="s">
        <v>274</v>
      </c>
      <c r="N150" s="498">
        <v>46118</v>
      </c>
      <c r="O150" s="493"/>
    </row>
    <row r="151" spans="2:15" ht="17.25" customHeight="1" x14ac:dyDescent="0.3">
      <c r="B151" s="659"/>
      <c r="C151" s="659">
        <v>26020383</v>
      </c>
      <c r="D151" s="659"/>
      <c r="E151" s="659"/>
      <c r="F151" s="659"/>
      <c r="G151" s="659" t="s">
        <v>390</v>
      </c>
      <c r="H151" s="659"/>
      <c r="I151" s="659"/>
      <c r="J151" s="659"/>
      <c r="K151" s="659"/>
      <c r="L151" s="659"/>
      <c r="M151" s="504" t="s">
        <v>274</v>
      </c>
      <c r="N151" s="498">
        <v>46119</v>
      </c>
      <c r="O151" s="493"/>
    </row>
    <row r="152" spans="2:15" ht="17.25" customHeight="1" x14ac:dyDescent="0.3">
      <c r="B152" s="659" t="s">
        <v>391</v>
      </c>
      <c r="C152" s="659"/>
      <c r="D152" s="659"/>
      <c r="E152" s="659">
        <v>26030368</v>
      </c>
      <c r="F152" s="659"/>
      <c r="G152" s="659" t="s">
        <v>93</v>
      </c>
      <c r="H152" s="659"/>
      <c r="I152" s="659"/>
      <c r="J152" s="659"/>
      <c r="K152" s="659" t="s">
        <v>103</v>
      </c>
      <c r="L152" s="659"/>
      <c r="M152" s="504" t="s">
        <v>106</v>
      </c>
      <c r="N152" s="498">
        <v>46112</v>
      </c>
      <c r="O152" s="493"/>
    </row>
    <row r="153" spans="2:15" ht="17.25" customHeight="1" x14ac:dyDescent="0.3">
      <c r="B153" s="659"/>
      <c r="C153" s="659"/>
      <c r="D153" s="659"/>
      <c r="E153" s="659">
        <v>26030370</v>
      </c>
      <c r="F153" s="659"/>
      <c r="G153" s="659" t="s">
        <v>95</v>
      </c>
      <c r="H153" s="659"/>
      <c r="I153" s="659"/>
      <c r="J153" s="659"/>
      <c r="K153" s="659"/>
      <c r="L153" s="659"/>
      <c r="M153" s="505" t="s">
        <v>104</v>
      </c>
      <c r="N153" s="498">
        <v>46113</v>
      </c>
      <c r="O153" s="493"/>
    </row>
    <row r="154" spans="2:15" ht="17.25" customHeight="1" x14ac:dyDescent="0.3">
      <c r="B154" s="659"/>
      <c r="C154" s="659"/>
      <c r="D154" s="659"/>
      <c r="E154" s="659">
        <v>26030371</v>
      </c>
      <c r="F154" s="659"/>
      <c r="G154" s="659" t="s">
        <v>392</v>
      </c>
      <c r="H154" s="659"/>
      <c r="I154" s="659"/>
      <c r="J154" s="659"/>
      <c r="K154" s="659"/>
      <c r="L154" s="659"/>
      <c r="M154" s="504" t="s">
        <v>106</v>
      </c>
      <c r="N154" s="498">
        <v>46113</v>
      </c>
      <c r="O154" s="493"/>
    </row>
    <row r="155" spans="2:15" ht="17.25" customHeight="1" x14ac:dyDescent="0.3">
      <c r="B155" s="659"/>
      <c r="C155" s="659"/>
      <c r="D155" s="659"/>
      <c r="E155" s="659">
        <v>26030052</v>
      </c>
      <c r="F155" s="659"/>
      <c r="G155" s="659" t="s">
        <v>97</v>
      </c>
      <c r="H155" s="659"/>
      <c r="I155" s="659"/>
      <c r="J155" s="659"/>
      <c r="K155" s="659"/>
      <c r="L155" s="659"/>
      <c r="M155" s="505" t="s">
        <v>393</v>
      </c>
      <c r="N155" s="498">
        <v>46113</v>
      </c>
      <c r="O155" s="493"/>
    </row>
    <row r="156" spans="2:15" ht="17.25" customHeight="1" x14ac:dyDescent="0.3">
      <c r="B156" s="659" t="s">
        <v>394</v>
      </c>
      <c r="C156" s="659"/>
      <c r="D156" s="659"/>
      <c r="E156" s="659">
        <v>26030368</v>
      </c>
      <c r="F156" s="659"/>
      <c r="G156" s="659" t="s">
        <v>93</v>
      </c>
      <c r="H156" s="659"/>
      <c r="I156" s="659"/>
      <c r="J156" s="659"/>
      <c r="K156" s="659" t="s">
        <v>62</v>
      </c>
      <c r="L156" s="659"/>
      <c r="M156" s="504" t="s">
        <v>106</v>
      </c>
      <c r="N156" s="498">
        <v>46112</v>
      </c>
      <c r="O156" s="493"/>
    </row>
    <row r="157" spans="2:15" ht="17.25" customHeight="1" x14ac:dyDescent="0.3">
      <c r="B157" s="659"/>
      <c r="C157" s="659"/>
      <c r="D157" s="659"/>
      <c r="E157" s="659">
        <v>26030369</v>
      </c>
      <c r="F157" s="659"/>
      <c r="G157" s="659" t="s">
        <v>271</v>
      </c>
      <c r="H157" s="659"/>
      <c r="I157" s="659"/>
      <c r="J157" s="659"/>
      <c r="K157" s="659"/>
      <c r="L157" s="659"/>
      <c r="M157" s="505" t="s">
        <v>106</v>
      </c>
      <c r="N157" s="498">
        <v>46113</v>
      </c>
      <c r="O157" s="493"/>
    </row>
    <row r="158" spans="2:15" ht="17.25" customHeight="1" x14ac:dyDescent="0.3">
      <c r="B158" s="659"/>
      <c r="C158" s="659"/>
      <c r="D158" s="659"/>
      <c r="E158" s="659">
        <v>26030371</v>
      </c>
      <c r="F158" s="659"/>
      <c r="G158" s="659" t="s">
        <v>99</v>
      </c>
      <c r="H158" s="659"/>
      <c r="I158" s="659"/>
      <c r="J158" s="659"/>
      <c r="K158" s="659"/>
      <c r="L158" s="659"/>
      <c r="M158" s="504" t="s">
        <v>106</v>
      </c>
      <c r="N158" s="498">
        <v>46113</v>
      </c>
      <c r="O158" s="493"/>
    </row>
    <row r="159" spans="2:15" ht="17.25" customHeight="1" x14ac:dyDescent="0.3">
      <c r="B159" s="659"/>
      <c r="C159" s="659"/>
      <c r="D159" s="659"/>
      <c r="E159" s="659">
        <v>26030372</v>
      </c>
      <c r="F159" s="659"/>
      <c r="G159" s="659" t="s">
        <v>101</v>
      </c>
      <c r="H159" s="659"/>
      <c r="I159" s="659"/>
      <c r="J159" s="659"/>
      <c r="K159" s="659"/>
      <c r="L159" s="659"/>
      <c r="M159" s="505" t="s">
        <v>106</v>
      </c>
      <c r="N159" s="498">
        <v>46113</v>
      </c>
      <c r="O159" s="493"/>
    </row>
    <row r="160" spans="2:15"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5"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5" customHeight="1" x14ac:dyDescent="0.3">
      <c r="N283" s="62"/>
    </row>
    <row r="284" spans="14:14" ht="18" customHeight="1" x14ac:dyDescent="0.3">
      <c r="N284" s="62"/>
    </row>
    <row r="285" spans="14:14" ht="18" customHeight="1" x14ac:dyDescent="0.3">
      <c r="N285" s="62"/>
    </row>
    <row r="286" spans="14:14" ht="15" customHeight="1" x14ac:dyDescent="0.3">
      <c r="N286" s="62"/>
    </row>
    <row r="287" spans="14:14" ht="15" customHeight="1" x14ac:dyDescent="0.3">
      <c r="N287" s="62"/>
    </row>
    <row r="288" spans="14:14" ht="15" customHeight="1" x14ac:dyDescent="0.3">
      <c r="N288" s="62"/>
    </row>
    <row r="289" spans="14:14" ht="15" customHeight="1" x14ac:dyDescent="0.3">
      <c r="N289" s="62"/>
    </row>
    <row r="290" spans="14:14" ht="15" customHeight="1" x14ac:dyDescent="0.3">
      <c r="N290" s="62"/>
    </row>
    <row r="291" spans="14:14" ht="15" customHeight="1" x14ac:dyDescent="0.3">
      <c r="N291" s="62"/>
    </row>
  </sheetData>
  <mergeCells count="519">
    <mergeCell ref="B156:B159"/>
    <mergeCell ref="C156:D156"/>
    <mergeCell ref="E156:F156"/>
    <mergeCell ref="G156:J156"/>
    <mergeCell ref="B152:B155"/>
    <mergeCell ref="C152:D152"/>
    <mergeCell ref="E152:F152"/>
    <mergeCell ref="G152:J152"/>
    <mergeCell ref="K156:L159"/>
    <mergeCell ref="C157:D157"/>
    <mergeCell ref="E157:F157"/>
    <mergeCell ref="G157:J157"/>
    <mergeCell ref="C158:D158"/>
    <mergeCell ref="E158:F158"/>
    <mergeCell ref="G158:J158"/>
    <mergeCell ref="C159:D159"/>
    <mergeCell ref="E159:F159"/>
    <mergeCell ref="G159:J159"/>
    <mergeCell ref="K152:L155"/>
    <mergeCell ref="C153:D153"/>
    <mergeCell ref="E153:F153"/>
    <mergeCell ref="G153:J153"/>
    <mergeCell ref="C154:D154"/>
    <mergeCell ref="E154:F154"/>
    <mergeCell ref="C150:D150"/>
    <mergeCell ref="E150:F150"/>
    <mergeCell ref="G150:J150"/>
    <mergeCell ref="C151:D151"/>
    <mergeCell ref="E151:F151"/>
    <mergeCell ref="G151:J151"/>
    <mergeCell ref="G154:J154"/>
    <mergeCell ref="C155:D155"/>
    <mergeCell ref="E155:F155"/>
    <mergeCell ref="G155:J155"/>
    <mergeCell ref="C143:D143"/>
    <mergeCell ref="E143:F143"/>
    <mergeCell ref="G143:J143"/>
    <mergeCell ref="K143:L143"/>
    <mergeCell ref="B144:B151"/>
    <mergeCell ref="C144:D144"/>
    <mergeCell ref="E144:F144"/>
    <mergeCell ref="G144:J144"/>
    <mergeCell ref="K144:L151"/>
    <mergeCell ref="C145:D145"/>
    <mergeCell ref="C148:D148"/>
    <mergeCell ref="E148:F148"/>
    <mergeCell ref="G148:J148"/>
    <mergeCell ref="C149:D149"/>
    <mergeCell ref="E149:F149"/>
    <mergeCell ref="G149:J149"/>
    <mergeCell ref="E145:F145"/>
    <mergeCell ref="G145:J145"/>
    <mergeCell ref="C146:D146"/>
    <mergeCell ref="E146:F146"/>
    <mergeCell ref="G146:J146"/>
    <mergeCell ref="C147:D147"/>
    <mergeCell ref="E147:F147"/>
    <mergeCell ref="G147:J147"/>
    <mergeCell ref="B141:B142"/>
    <mergeCell ref="C141:D141"/>
    <mergeCell ref="E141:F141"/>
    <mergeCell ref="G141:J141"/>
    <mergeCell ref="K141:L142"/>
    <mergeCell ref="C142:D142"/>
    <mergeCell ref="E142:F142"/>
    <mergeCell ref="G142:J142"/>
    <mergeCell ref="G138:J138"/>
    <mergeCell ref="C139:D139"/>
    <mergeCell ref="E139:F139"/>
    <mergeCell ref="G139:J139"/>
    <mergeCell ref="C140:D140"/>
    <mergeCell ref="E140:F140"/>
    <mergeCell ref="G140:J140"/>
    <mergeCell ref="B136:B140"/>
    <mergeCell ref="C136:D136"/>
    <mergeCell ref="E136:F136"/>
    <mergeCell ref="G136:J136"/>
    <mergeCell ref="K136:L140"/>
    <mergeCell ref="C137:D137"/>
    <mergeCell ref="E137:F137"/>
    <mergeCell ref="G137:J137"/>
    <mergeCell ref="C138:D138"/>
    <mergeCell ref="E138:F138"/>
    <mergeCell ref="C134:D134"/>
    <mergeCell ref="E134:F134"/>
    <mergeCell ref="G134:J134"/>
    <mergeCell ref="K134:L134"/>
    <mergeCell ref="C135:D135"/>
    <mergeCell ref="E135:F135"/>
    <mergeCell ref="G135:J135"/>
    <mergeCell ref="K135:L135"/>
    <mergeCell ref="C132:D132"/>
    <mergeCell ref="E132:F132"/>
    <mergeCell ref="G132:J132"/>
    <mergeCell ref="K132:L132"/>
    <mergeCell ref="C133:D133"/>
    <mergeCell ref="E133:F133"/>
    <mergeCell ref="G133:J133"/>
    <mergeCell ref="K133:L133"/>
    <mergeCell ref="C130:D130"/>
    <mergeCell ref="E130:F130"/>
    <mergeCell ref="G130:J130"/>
    <mergeCell ref="C131:D131"/>
    <mergeCell ref="E131:F131"/>
    <mergeCell ref="G131:J131"/>
    <mergeCell ref="C128:D128"/>
    <mergeCell ref="E128:F128"/>
    <mergeCell ref="G128:J128"/>
    <mergeCell ref="C129:D129"/>
    <mergeCell ref="E129:F129"/>
    <mergeCell ref="G129:J129"/>
    <mergeCell ref="C126:D126"/>
    <mergeCell ref="E126:F126"/>
    <mergeCell ref="G126:J126"/>
    <mergeCell ref="C127:D127"/>
    <mergeCell ref="E127:F127"/>
    <mergeCell ref="G127:J127"/>
    <mergeCell ref="C124:D124"/>
    <mergeCell ref="E124:F124"/>
    <mergeCell ref="G124:J124"/>
    <mergeCell ref="C125:D125"/>
    <mergeCell ref="E125:F125"/>
    <mergeCell ref="G125:J125"/>
    <mergeCell ref="C122:D122"/>
    <mergeCell ref="E122:F122"/>
    <mergeCell ref="G122:J122"/>
    <mergeCell ref="C123:D123"/>
    <mergeCell ref="E123:F123"/>
    <mergeCell ref="G123:J123"/>
    <mergeCell ref="C120:D120"/>
    <mergeCell ref="E120:F120"/>
    <mergeCell ref="G120:J120"/>
    <mergeCell ref="C121:D121"/>
    <mergeCell ref="E121:F121"/>
    <mergeCell ref="G121:J121"/>
    <mergeCell ref="C118:D118"/>
    <mergeCell ref="E118:F118"/>
    <mergeCell ref="G118:J118"/>
    <mergeCell ref="C119:D119"/>
    <mergeCell ref="E119:F119"/>
    <mergeCell ref="G119:J119"/>
    <mergeCell ref="C116:D116"/>
    <mergeCell ref="E116:F116"/>
    <mergeCell ref="G116:J116"/>
    <mergeCell ref="C117:D117"/>
    <mergeCell ref="E117:F117"/>
    <mergeCell ref="G117:J117"/>
    <mergeCell ref="C114:D114"/>
    <mergeCell ref="E114:F114"/>
    <mergeCell ref="G114:J114"/>
    <mergeCell ref="C115:D115"/>
    <mergeCell ref="E115:F115"/>
    <mergeCell ref="G115:J115"/>
    <mergeCell ref="K106:L106"/>
    <mergeCell ref="B107:B131"/>
    <mergeCell ref="C107:D107"/>
    <mergeCell ref="E107:F107"/>
    <mergeCell ref="G107:J107"/>
    <mergeCell ref="K107:L131"/>
    <mergeCell ref="C108:D108"/>
    <mergeCell ref="E108:F108"/>
    <mergeCell ref="G108:J108"/>
    <mergeCell ref="C109:D109"/>
    <mergeCell ref="C112:D112"/>
    <mergeCell ref="E112:F112"/>
    <mergeCell ref="G112:J112"/>
    <mergeCell ref="C113:D113"/>
    <mergeCell ref="E113:F113"/>
    <mergeCell ref="G113:J113"/>
    <mergeCell ref="E109:F109"/>
    <mergeCell ref="G109:J109"/>
    <mergeCell ref="C110:D110"/>
    <mergeCell ref="E110:F110"/>
    <mergeCell ref="G110:J110"/>
    <mergeCell ref="C111:D111"/>
    <mergeCell ref="E111:F111"/>
    <mergeCell ref="G111:J111"/>
    <mergeCell ref="C105:D105"/>
    <mergeCell ref="E105:F105"/>
    <mergeCell ref="G105:J105"/>
    <mergeCell ref="C106:D106"/>
    <mergeCell ref="E106:F106"/>
    <mergeCell ref="G106:J106"/>
    <mergeCell ref="C103:D103"/>
    <mergeCell ref="E103:F103"/>
    <mergeCell ref="G103:J103"/>
    <mergeCell ref="C104:D104"/>
    <mergeCell ref="E104:F104"/>
    <mergeCell ref="G104:J104"/>
    <mergeCell ref="C101:D101"/>
    <mergeCell ref="E101:F101"/>
    <mergeCell ref="G101:J101"/>
    <mergeCell ref="C102:D102"/>
    <mergeCell ref="E102:F102"/>
    <mergeCell ref="G102:J102"/>
    <mergeCell ref="C99:D99"/>
    <mergeCell ref="E99:F99"/>
    <mergeCell ref="G99:J99"/>
    <mergeCell ref="C100:D100"/>
    <mergeCell ref="E100:F100"/>
    <mergeCell ref="G100:J100"/>
    <mergeCell ref="E97:F97"/>
    <mergeCell ref="G97:J97"/>
    <mergeCell ref="C98:D98"/>
    <mergeCell ref="E98:F98"/>
    <mergeCell ref="G98:J98"/>
    <mergeCell ref="C95:D95"/>
    <mergeCell ref="E95:F95"/>
    <mergeCell ref="G95:J95"/>
    <mergeCell ref="C96:D96"/>
    <mergeCell ref="E96:F96"/>
    <mergeCell ref="G96:J96"/>
    <mergeCell ref="K80:L105"/>
    <mergeCell ref="C81:D81"/>
    <mergeCell ref="E81:F81"/>
    <mergeCell ref="G81:J81"/>
    <mergeCell ref="C82:D82"/>
    <mergeCell ref="E82:F82"/>
    <mergeCell ref="G82:J82"/>
    <mergeCell ref="C83:D83"/>
    <mergeCell ref="E83:F83"/>
    <mergeCell ref="G83:J83"/>
    <mergeCell ref="C89:D89"/>
    <mergeCell ref="E89:F89"/>
    <mergeCell ref="G89:J89"/>
    <mergeCell ref="C90:D90"/>
    <mergeCell ref="E90:F90"/>
    <mergeCell ref="G90:J90"/>
    <mergeCell ref="C87:D87"/>
    <mergeCell ref="E87:F87"/>
    <mergeCell ref="G87:J87"/>
    <mergeCell ref="C88:D88"/>
    <mergeCell ref="E88:F88"/>
    <mergeCell ref="G88:J88"/>
    <mergeCell ref="C93:D93"/>
    <mergeCell ref="E93:F93"/>
    <mergeCell ref="B80:B105"/>
    <mergeCell ref="C80:D80"/>
    <mergeCell ref="E80:F80"/>
    <mergeCell ref="G80:J80"/>
    <mergeCell ref="C84:D84"/>
    <mergeCell ref="E84:F84"/>
    <mergeCell ref="G84:J84"/>
    <mergeCell ref="C85:D85"/>
    <mergeCell ref="E85:F85"/>
    <mergeCell ref="G85:J85"/>
    <mergeCell ref="C86:D86"/>
    <mergeCell ref="E86:F86"/>
    <mergeCell ref="G86:J86"/>
    <mergeCell ref="G93:J93"/>
    <mergeCell ref="C94:D94"/>
    <mergeCell ref="E94:F94"/>
    <mergeCell ref="G94:J94"/>
    <mergeCell ref="C91:D91"/>
    <mergeCell ref="E91:F91"/>
    <mergeCell ref="G91:J91"/>
    <mergeCell ref="C92:D92"/>
    <mergeCell ref="E92:F92"/>
    <mergeCell ref="G92:J92"/>
    <mergeCell ref="C97:D97"/>
    <mergeCell ref="K74:L79"/>
    <mergeCell ref="C75:D75"/>
    <mergeCell ref="E75:F75"/>
    <mergeCell ref="G75:J75"/>
    <mergeCell ref="C76:D76"/>
    <mergeCell ref="E76:F76"/>
    <mergeCell ref="G76:J76"/>
    <mergeCell ref="C77:D77"/>
    <mergeCell ref="E77:F77"/>
    <mergeCell ref="G77:J77"/>
    <mergeCell ref="C79:D79"/>
    <mergeCell ref="E79:F79"/>
    <mergeCell ref="G79:J79"/>
    <mergeCell ref="C73:D73"/>
    <mergeCell ref="E73:F73"/>
    <mergeCell ref="G73:J73"/>
    <mergeCell ref="B74:B79"/>
    <mergeCell ref="C74:D74"/>
    <mergeCell ref="E74:F74"/>
    <mergeCell ref="G74:J74"/>
    <mergeCell ref="C78:D78"/>
    <mergeCell ref="E78:F78"/>
    <mergeCell ref="G78:J78"/>
    <mergeCell ref="C71:D71"/>
    <mergeCell ref="E71:F71"/>
    <mergeCell ref="G71:J71"/>
    <mergeCell ref="C72:D72"/>
    <mergeCell ref="E72:F72"/>
    <mergeCell ref="G72:J72"/>
    <mergeCell ref="C69:D69"/>
    <mergeCell ref="E69:F69"/>
    <mergeCell ref="G69:J69"/>
    <mergeCell ref="C70:D70"/>
    <mergeCell ref="E70:F70"/>
    <mergeCell ref="G70:J70"/>
    <mergeCell ref="C67:D67"/>
    <mergeCell ref="E67:F67"/>
    <mergeCell ref="G67:J67"/>
    <mergeCell ref="C68:D68"/>
    <mergeCell ref="E68:F68"/>
    <mergeCell ref="G68:J68"/>
    <mergeCell ref="C65:D65"/>
    <mergeCell ref="E65:F65"/>
    <mergeCell ref="G65:J65"/>
    <mergeCell ref="C66:D66"/>
    <mergeCell ref="E66:F66"/>
    <mergeCell ref="G66:J66"/>
    <mergeCell ref="C63:D63"/>
    <mergeCell ref="E63:F63"/>
    <mergeCell ref="G63:J63"/>
    <mergeCell ref="C64:D64"/>
    <mergeCell ref="E64:F64"/>
    <mergeCell ref="G64:J64"/>
    <mergeCell ref="C61:D61"/>
    <mergeCell ref="E61:F61"/>
    <mergeCell ref="G61:J61"/>
    <mergeCell ref="C62:D62"/>
    <mergeCell ref="E62:F62"/>
    <mergeCell ref="G62:J62"/>
    <mergeCell ref="C59:D59"/>
    <mergeCell ref="E59:F59"/>
    <mergeCell ref="G59:J59"/>
    <mergeCell ref="C60:D60"/>
    <mergeCell ref="E60:F60"/>
    <mergeCell ref="G60:J60"/>
    <mergeCell ref="C57:D57"/>
    <mergeCell ref="E57:F57"/>
    <mergeCell ref="G57:J57"/>
    <mergeCell ref="C58:D58"/>
    <mergeCell ref="E58:F58"/>
    <mergeCell ref="G58:J58"/>
    <mergeCell ref="E48:F48"/>
    <mergeCell ref="G48:J48"/>
    <mergeCell ref="C55:D55"/>
    <mergeCell ref="E55:F55"/>
    <mergeCell ref="G55:J55"/>
    <mergeCell ref="C56:D56"/>
    <mergeCell ref="E56:F56"/>
    <mergeCell ref="G56:J56"/>
    <mergeCell ref="C53:D53"/>
    <mergeCell ref="E53:F53"/>
    <mergeCell ref="G53:J53"/>
    <mergeCell ref="C54:D54"/>
    <mergeCell ref="E54:F54"/>
    <mergeCell ref="G54:J54"/>
    <mergeCell ref="K48:L48"/>
    <mergeCell ref="B49:B73"/>
    <mergeCell ref="C49:D49"/>
    <mergeCell ref="E49:F49"/>
    <mergeCell ref="G49:J49"/>
    <mergeCell ref="K49:L73"/>
    <mergeCell ref="C50:D50"/>
    <mergeCell ref="C46:D46"/>
    <mergeCell ref="E46:F46"/>
    <mergeCell ref="G46:J46"/>
    <mergeCell ref="K46:L46"/>
    <mergeCell ref="C47:D47"/>
    <mergeCell ref="E47:F47"/>
    <mergeCell ref="G47:J47"/>
    <mergeCell ref="K47:L47"/>
    <mergeCell ref="E50:F50"/>
    <mergeCell ref="G50:J50"/>
    <mergeCell ref="C51:D51"/>
    <mergeCell ref="E51:F51"/>
    <mergeCell ref="G51:J51"/>
    <mergeCell ref="C52:D52"/>
    <mergeCell ref="E52:F52"/>
    <mergeCell ref="G52:J52"/>
    <mergeCell ref="C48:D48"/>
    <mergeCell ref="C44:D44"/>
    <mergeCell ref="E44:F44"/>
    <mergeCell ref="G44:J44"/>
    <mergeCell ref="K44:L44"/>
    <mergeCell ref="C45:D45"/>
    <mergeCell ref="E45:F45"/>
    <mergeCell ref="G45:J45"/>
    <mergeCell ref="K45:L45"/>
    <mergeCell ref="C42:D42"/>
    <mergeCell ref="E42:F42"/>
    <mergeCell ref="G42:J42"/>
    <mergeCell ref="K42:L42"/>
    <mergeCell ref="C43:D43"/>
    <mergeCell ref="E43:F43"/>
    <mergeCell ref="G43:J43"/>
    <mergeCell ref="K43:L43"/>
    <mergeCell ref="C40:D40"/>
    <mergeCell ref="E40:F40"/>
    <mergeCell ref="G40:J40"/>
    <mergeCell ref="K40:L40"/>
    <mergeCell ref="C41:D41"/>
    <mergeCell ref="E41:F41"/>
    <mergeCell ref="G41:J41"/>
    <mergeCell ref="K41:L41"/>
    <mergeCell ref="C38:D38"/>
    <mergeCell ref="E38:F38"/>
    <mergeCell ref="G38:J38"/>
    <mergeCell ref="K38:L38"/>
    <mergeCell ref="C39:D39"/>
    <mergeCell ref="E39:F39"/>
    <mergeCell ref="G39:J39"/>
    <mergeCell ref="K39:L39"/>
    <mergeCell ref="C36:D36"/>
    <mergeCell ref="E36:F36"/>
    <mergeCell ref="G36:J36"/>
    <mergeCell ref="K36:L36"/>
    <mergeCell ref="C37:D37"/>
    <mergeCell ref="E37:F37"/>
    <mergeCell ref="G37:J37"/>
    <mergeCell ref="K37:L37"/>
    <mergeCell ref="C34:D34"/>
    <mergeCell ref="E34:F34"/>
    <mergeCell ref="G34:J34"/>
    <mergeCell ref="C35:D35"/>
    <mergeCell ref="E35:F35"/>
    <mergeCell ref="G35:J35"/>
    <mergeCell ref="C32:D32"/>
    <mergeCell ref="E32:F32"/>
    <mergeCell ref="G32:J32"/>
    <mergeCell ref="C33:D33"/>
    <mergeCell ref="E33:F33"/>
    <mergeCell ref="G33:J33"/>
    <mergeCell ref="C30:D30"/>
    <mergeCell ref="E30:F30"/>
    <mergeCell ref="G30:J30"/>
    <mergeCell ref="C31:D31"/>
    <mergeCell ref="E31:F31"/>
    <mergeCell ref="G31:J31"/>
    <mergeCell ref="C28:D28"/>
    <mergeCell ref="E28:F28"/>
    <mergeCell ref="G28:J28"/>
    <mergeCell ref="C29:D29"/>
    <mergeCell ref="E29:F29"/>
    <mergeCell ref="G29:J29"/>
    <mergeCell ref="C26:D26"/>
    <mergeCell ref="E26:F26"/>
    <mergeCell ref="G26:J26"/>
    <mergeCell ref="C27:D27"/>
    <mergeCell ref="E27:F27"/>
    <mergeCell ref="G27:J27"/>
    <mergeCell ref="C24:D24"/>
    <mergeCell ref="E24:F24"/>
    <mergeCell ref="G24:J24"/>
    <mergeCell ref="C25:D25"/>
    <mergeCell ref="E25:F25"/>
    <mergeCell ref="G25:J25"/>
    <mergeCell ref="C22:D22"/>
    <mergeCell ref="E22:F22"/>
    <mergeCell ref="G22:J22"/>
    <mergeCell ref="C23:D23"/>
    <mergeCell ref="E23:F23"/>
    <mergeCell ref="G23:J23"/>
    <mergeCell ref="E20:F20"/>
    <mergeCell ref="G20:J20"/>
    <mergeCell ref="C21:D21"/>
    <mergeCell ref="E21:F21"/>
    <mergeCell ref="G21:J21"/>
    <mergeCell ref="C18:D18"/>
    <mergeCell ref="E18:F18"/>
    <mergeCell ref="G18:J18"/>
    <mergeCell ref="C19:D19"/>
    <mergeCell ref="E19:F19"/>
    <mergeCell ref="G19:J19"/>
    <mergeCell ref="B11:B35"/>
    <mergeCell ref="C11:D11"/>
    <mergeCell ref="E11:F11"/>
    <mergeCell ref="G11:J11"/>
    <mergeCell ref="K11:L35"/>
    <mergeCell ref="C12:D12"/>
    <mergeCell ref="E12:F12"/>
    <mergeCell ref="G12:J12"/>
    <mergeCell ref="C13:D13"/>
    <mergeCell ref="E13:F13"/>
    <mergeCell ref="C16:D16"/>
    <mergeCell ref="E16:F16"/>
    <mergeCell ref="G16:J16"/>
    <mergeCell ref="C17:D17"/>
    <mergeCell ref="E17:F17"/>
    <mergeCell ref="G17:J17"/>
    <mergeCell ref="G13:J13"/>
    <mergeCell ref="C14:D14"/>
    <mergeCell ref="E14:F14"/>
    <mergeCell ref="G14:J14"/>
    <mergeCell ref="C15:D15"/>
    <mergeCell ref="E15:F15"/>
    <mergeCell ref="G15:J15"/>
    <mergeCell ref="C20:D20"/>
    <mergeCell ref="B9:B10"/>
    <mergeCell ref="C9:D9"/>
    <mergeCell ref="E9:F9"/>
    <mergeCell ref="G9:J9"/>
    <mergeCell ref="K9:L10"/>
    <mergeCell ref="C10:D10"/>
    <mergeCell ref="E10:F10"/>
    <mergeCell ref="G10:J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B4">
    <cfRule type="expression" dxfId="384" priority="3">
      <formula>AND(COUNTA($C$4:$C$4)+COUNTA($E$4:$E$4)&gt;0,COUNTIFS($N$4:$N$4,"",$C$4:$C$4,"&lt;&gt;")+COUNTIFS($N$4:$N$4,"",$E$4:$E$4,"&lt;&gt;")=0)</formula>
    </cfRule>
  </conditionalFormatting>
  <conditionalFormatting sqref="B5">
    <cfRule type="expression" dxfId="383" priority="4">
      <formula>AND(COUNTA($C$5:$C$5)+COUNTA($E$5:$E$5)&gt;0,COUNTIFS($N$5:$N$5,"",$C$5:$C$5,"&lt;&gt;")+COUNTIFS($N$5:$N$5,"",$E$5:$E$5,"&lt;&gt;")=0)</formula>
    </cfRule>
  </conditionalFormatting>
  <conditionalFormatting sqref="B6">
    <cfRule type="expression" dxfId="382" priority="5">
      <formula>AND(COUNTA($C$6:$C$6)+COUNTA($E$6:$E$6)&gt;0,COUNTIFS($N$6:$N$6,"",$C$6:$C$6,"&lt;&gt;")+COUNTIFS($N$6:$N$6,"",$E$6:$E$6,"&lt;&gt;")=0)</formula>
    </cfRule>
  </conditionalFormatting>
  <conditionalFormatting sqref="B7">
    <cfRule type="expression" dxfId="381" priority="6">
      <formula>AND(COUNTA($C$7:$C$7)+COUNTA($E$7:$E$7)&gt;0,COUNTIFS($N$7:$N$7,"",$C$7:$C$7,"&lt;&gt;")+COUNTIFS($N$7:$N$7,"",$E$7:$E$7,"&lt;&gt;")=0)</formula>
    </cfRule>
  </conditionalFormatting>
  <conditionalFormatting sqref="B8">
    <cfRule type="expression" dxfId="380" priority="7">
      <formula>AND(COUNTA($C$8:$C$8)+COUNTA($E$8:$E$8)&gt;0,COUNTIFS($N$8:$N$8,"",$C$8:$C$8,"&lt;&gt;")+COUNTIFS($N$8:$N$8,"",$E$8:$E$8,"&lt;&gt;")=0)</formula>
    </cfRule>
  </conditionalFormatting>
  <conditionalFormatting sqref="B9">
    <cfRule type="expression" dxfId="379" priority="8">
      <formula>AND(COUNTA($C$9:$C$10)+COUNTA($E$9:$E$10)&gt;0,COUNTIFS($N$9:$N$10,"",$C$9:$C$10,"&lt;&gt;")+COUNTIFS($N$9:$N$10,"",$E$9:$E$10,"&lt;&gt;")=0)</formula>
    </cfRule>
  </conditionalFormatting>
  <conditionalFormatting sqref="B11">
    <cfRule type="expression" dxfId="378" priority="9">
      <formula>AND(COUNTA($C$11:$C$35)+COUNTA($E$11:$E$35)&gt;0,COUNTIFS($N$11:$N$35,"",$C$11:$C$35,"&lt;&gt;")+COUNTIFS($N$11:$N$35,"",$E$11:$E$35,"&lt;&gt;")=0)</formula>
    </cfRule>
  </conditionalFormatting>
  <conditionalFormatting sqref="B36">
    <cfRule type="expression" dxfId="377" priority="10">
      <formula>AND(COUNTA($C$36:$C$36)+COUNTA($E$36:$E$36)&gt;0,COUNTIFS($N$36:$N$36,"",$C$36:$C$36,"&lt;&gt;")+COUNTIFS($N$36:$N$36,"",$E$36:$E$36,"&lt;&gt;")=0)</formula>
    </cfRule>
  </conditionalFormatting>
  <conditionalFormatting sqref="B37">
    <cfRule type="expression" dxfId="376" priority="11">
      <formula>AND(COUNTA($C$37:$C$37)+COUNTA($E$37:$E$37)&gt;0,COUNTIFS($N$37:$N$37,"",$C$37:$C$37,"&lt;&gt;")+COUNTIFS($N$37:$N$37,"",$E$37:$E$37,"&lt;&gt;")=0)</formula>
    </cfRule>
  </conditionalFormatting>
  <conditionalFormatting sqref="B38">
    <cfRule type="expression" dxfId="375" priority="12">
      <formula>AND(COUNTA($C$38:$C$38)+COUNTA($E$38:$E$38)&gt;0,COUNTIFS($N$38:$N$38,"",$C$38:$C$38,"&lt;&gt;")+COUNTIFS($N$38:$N$38,"",$E$38:$E$38,"&lt;&gt;")=0)</formula>
    </cfRule>
  </conditionalFormatting>
  <conditionalFormatting sqref="B39">
    <cfRule type="expression" dxfId="374" priority="13">
      <formula>AND(COUNTA($C$39:$C$39)+COUNTA($E$39:$E$39)&gt;0,COUNTIFS($N$39:$N$39,"",$C$39:$C$39,"&lt;&gt;")+COUNTIFS($N$39:$N$39,"",$E$39:$E$39,"&lt;&gt;")=0)</formula>
    </cfRule>
  </conditionalFormatting>
  <conditionalFormatting sqref="B40">
    <cfRule type="expression" dxfId="373" priority="14">
      <formula>AND(COUNTA($C$40:$C$40)+COUNTA($E$40:$E$40)&gt;0,COUNTIFS($N$40:$N$40,"",$C$40:$C$40,"&lt;&gt;")+COUNTIFS($N$40:$N$40,"",$E$40:$E$40,"&lt;&gt;")=0)</formula>
    </cfRule>
  </conditionalFormatting>
  <conditionalFormatting sqref="B41">
    <cfRule type="expression" dxfId="372" priority="15">
      <formula>AND(COUNTA($C$41:$C$41)+COUNTA($E$41:$E$41)&gt;0,COUNTIFS($N$41:$N$41,"",$C$41:$C$41,"&lt;&gt;")+COUNTIFS($N$41:$N$41,"",$E$41:$E$41,"&lt;&gt;")=0)</formula>
    </cfRule>
  </conditionalFormatting>
  <conditionalFormatting sqref="B42">
    <cfRule type="expression" dxfId="371" priority="16">
      <formula>AND(COUNTA($C$42:$C$42)+COUNTA($E$42:$E$42)&gt;0,COUNTIFS($N$42:$N$42,"",$C$42:$C$42,"&lt;&gt;")+COUNTIFS($N$42:$N$42,"",$E$42:$E$42,"&lt;&gt;")=0)</formula>
    </cfRule>
  </conditionalFormatting>
  <conditionalFormatting sqref="B43">
    <cfRule type="expression" dxfId="370" priority="17">
      <formula>AND(COUNTA($C$43:$C$43)+COUNTA($E$43:$E$43)&gt;0,COUNTIFS($N$43:$N$43,"",$C$43:$C$43,"&lt;&gt;")+COUNTIFS($N$43:$N$43,"",$E$43:$E$43,"&lt;&gt;")=0)</formula>
    </cfRule>
  </conditionalFormatting>
  <conditionalFormatting sqref="B44">
    <cfRule type="expression" dxfId="369" priority="18">
      <formula>AND(COUNTA($C$44:$C$44)+COUNTA($E$44:$E$44)&gt;0,COUNTIFS($N$44:$N$44,"",$C$44:$C$44,"&lt;&gt;")+COUNTIFS($N$44:$N$44,"",$E$44:$E$44,"&lt;&gt;")=0)</formula>
    </cfRule>
  </conditionalFormatting>
  <conditionalFormatting sqref="B45">
    <cfRule type="expression" dxfId="368" priority="19">
      <formula>AND(COUNTA($C$45:$C$45)+COUNTA($E$45:$E$45)&gt;0,COUNTIFS($N$45:$N$45,"",$C$45:$C$45,"&lt;&gt;")+COUNTIFS($N$45:$N$45,"",$E$45:$E$45,"&lt;&gt;")=0)</formula>
    </cfRule>
  </conditionalFormatting>
  <conditionalFormatting sqref="B46">
    <cfRule type="expression" dxfId="367" priority="20">
      <formula>AND(COUNTA($C$46:$C$46)+COUNTA($E$46:$E$46)&gt;0,COUNTIFS($N$46:$N$46,"",$C$46:$C$46,"&lt;&gt;")+COUNTIFS($N$46:$N$46,"",$E$46:$E$46,"&lt;&gt;")=0)</formula>
    </cfRule>
  </conditionalFormatting>
  <conditionalFormatting sqref="B47">
    <cfRule type="expression" dxfId="366" priority="21">
      <formula>AND(COUNTA($C$47:$C$47)+COUNTA($E$47:$E$47)&gt;0,COUNTIFS($N$47:$N$47,"",$C$47:$C$47,"&lt;&gt;")+COUNTIFS($N$47:$N$47,"",$E$47:$E$47,"&lt;&gt;")=0)</formula>
    </cfRule>
  </conditionalFormatting>
  <conditionalFormatting sqref="B48">
    <cfRule type="expression" dxfId="365" priority="22">
      <formula>AND(COUNTA($C$48:$C$48)+COUNTA($E$48:$E$48)&gt;0,COUNTIFS($N$48:$N$48,"",$C$48:$C$48,"&lt;&gt;")+COUNTIFS($N$48:$N$48,"",$E$48:$E$48,"&lt;&gt;")=0)</formula>
    </cfRule>
  </conditionalFormatting>
  <conditionalFormatting sqref="B49">
    <cfRule type="expression" dxfId="364" priority="23">
      <formula>AND(COUNTA($C$49:$C$73)+COUNTA($E$49:$E$73)&gt;0,COUNTIFS($N$49:$N$73,"",$C$49:$C$73,"&lt;&gt;")+COUNTIFS($N$49:$N$73,"",$E$49:$E$73,"&lt;&gt;")=0)</formula>
    </cfRule>
  </conditionalFormatting>
  <conditionalFormatting sqref="B74">
    <cfRule type="expression" dxfId="363" priority="24">
      <formula>AND(COUNTA($C$74:$C$79)+COUNTA($E$74:$E$79)&gt;0,COUNTIFS($N$74:$N$79,"",$C$74:$C$79,"&lt;&gt;")+COUNTIFS($N$74:$N$79,"",$E$74:$E$79,"&lt;&gt;")=0)</formula>
    </cfRule>
  </conditionalFormatting>
  <conditionalFormatting sqref="B80">
    <cfRule type="expression" dxfId="362" priority="25">
      <formula>AND(COUNTA($C$80:$C$105)+COUNTA($E$80:$E$105)&gt;0,COUNTIFS($N$80:$N$105,"",$C$80:$C$105,"&lt;&gt;")+COUNTIFS($N$80:$N$105,"",$E$80:$E$105,"&lt;&gt;")=0)</formula>
    </cfRule>
  </conditionalFormatting>
  <conditionalFormatting sqref="B106">
    <cfRule type="expression" dxfId="361" priority="26">
      <formula>AND(COUNTA($C$106:$C$106)+COUNTA($E$106:$E$106)&gt;0,COUNTIFS($N$106:$N$106,"",$C$106:$C$106,"&lt;&gt;")+COUNTIFS($N$106:$N$106,"",$E$106:$E$106,"&lt;&gt;")=0)</formula>
    </cfRule>
  </conditionalFormatting>
  <conditionalFormatting sqref="B107">
    <cfRule type="expression" dxfId="360" priority="27">
      <formula>AND(COUNTA($C$107:$C$131)+COUNTA($E$107:$E$131)&gt;0,COUNTIFS($N$107:$N$131,"",$C$107:$C$131,"&lt;&gt;")+COUNTIFS($N$107:$N$131,"",$E$107:$E$131,"&lt;&gt;")=0)</formula>
    </cfRule>
  </conditionalFormatting>
  <conditionalFormatting sqref="B132">
    <cfRule type="expression" dxfId="359" priority="28">
      <formula>AND(COUNTA($C$132:$C$132)+COUNTA($E$132:$E$132)&gt;0,COUNTIFS($N$132:$N$132,"",$C$132:$C$132,"&lt;&gt;")+COUNTIFS($N$132:$N$132,"",$E$132:$E$132,"&lt;&gt;")=0)</formula>
    </cfRule>
  </conditionalFormatting>
  <conditionalFormatting sqref="B133">
    <cfRule type="expression" dxfId="358" priority="29">
      <formula>AND(COUNTA($C$133:$C$133)+COUNTA($E$133:$E$133)&gt;0,COUNTIFS($N$133:$N$133,"",$C$133:$C$133,"&lt;&gt;")+COUNTIFS($N$133:$N$133,"",$E$133:$E$133,"&lt;&gt;")=0)</formula>
    </cfRule>
  </conditionalFormatting>
  <conditionalFormatting sqref="B134">
    <cfRule type="expression" dxfId="357" priority="30">
      <formula>AND(COUNTA($C$134:$C$134)+COUNTA($E$134:$E$134)&gt;0,COUNTIFS($N$134:$N$134,"",$C$134:$C$134,"&lt;&gt;")+COUNTIFS($N$134:$N$134,"",$E$134:$E$134,"&lt;&gt;")=0)</formula>
    </cfRule>
  </conditionalFormatting>
  <conditionalFormatting sqref="B135">
    <cfRule type="expression" dxfId="356" priority="31">
      <formula>AND(COUNTA($C$135:$C$135)+COUNTA($E$135:$E$135)&gt;0,COUNTIFS($N$135:$N$135,"",$C$135:$C$135,"&lt;&gt;")+COUNTIFS($N$135:$N$135,"",$E$135:$E$135,"&lt;&gt;")=0)</formula>
    </cfRule>
  </conditionalFormatting>
  <conditionalFormatting sqref="B136">
    <cfRule type="expression" dxfId="355" priority="32">
      <formula>AND(COUNTA($C$136:$C$140)+COUNTA($E$136:$E$140)&gt;0,COUNTIFS($N$136:$N$140,"",$C$136:$C$140,"&lt;&gt;")+COUNTIFS($N$136:$N$140,"",$E$136:$E$140,"&lt;&gt;")=0)</formula>
    </cfRule>
  </conditionalFormatting>
  <conditionalFormatting sqref="B141">
    <cfRule type="expression" dxfId="354" priority="33">
      <formula>AND(COUNTA($C$141:$C$142)+COUNTA($E$141:$E$142)&gt;0,COUNTIFS($N$141:$N$142,"",$C$141:$C$142,"&lt;&gt;")+COUNTIFS($N$141:$N$142,"",$E$141:$E$142,"&lt;&gt;")=0)</formula>
    </cfRule>
  </conditionalFormatting>
  <conditionalFormatting sqref="B143">
    <cfRule type="expression" dxfId="353" priority="34">
      <formula>AND(COUNTA($C$143:$C$143)+COUNTA($E$143:$E$143)&gt;0,COUNTIFS($N$143:$N$143,"",$C$143:$C$143,"&lt;&gt;")+COUNTIFS($N$143:$N$143,"",$E$143:$E$143,"&lt;&gt;")=0)</formula>
    </cfRule>
  </conditionalFormatting>
  <conditionalFormatting sqref="B144">
    <cfRule type="expression" dxfId="352" priority="35">
      <formula>AND(COUNTA($C$144:$C$151)+COUNTA($E$144:$E$151)&gt;0,COUNTIFS($N$144:$N$151,"",$C$144:$C$151,"&lt;&gt;")+COUNTIFS($N$144:$N$151,"",$E$144:$E$151,"&lt;&gt;")=0)</formula>
    </cfRule>
  </conditionalFormatting>
  <conditionalFormatting sqref="B152">
    <cfRule type="expression" dxfId="351" priority="36">
      <formula>AND(COUNTA($C$152:$C$155)+COUNTA($E$152:$E$155)&gt;0,COUNTIFS($N$152:$N$155,"",$C$152:$C$155,"&lt;&gt;")+COUNTIFS($N$152:$N$155,"",$E$152:$E$155,"&lt;&gt;")=0)</formula>
    </cfRule>
  </conditionalFormatting>
  <conditionalFormatting sqref="B156">
    <cfRule type="expression" dxfId="350" priority="37">
      <formula>AND(COUNTA($C$156:$C$159)+COUNTA($E$156:$E$159)&gt;0,COUNTIFS($N$156:$N$159,"",$C$156:$C$159,"&lt;&gt;")+COUNTIFS($N$156:$N$159,"",$E$156:$E$159,"&lt;&gt;")=0)</formula>
    </cfRule>
  </conditionalFormatting>
  <conditionalFormatting sqref="C4:J491 M4:N491">
    <cfRule type="expression" dxfId="349" priority="1">
      <formula>$N4&lt;&gt;""</formula>
    </cfRule>
  </conditionalFormatting>
  <conditionalFormatting sqref="K4">
    <cfRule type="expression" dxfId="348" priority="38">
      <formula>AND(COUNTA($C$4:$C$4)+COUNTA($E$4:$E$4)&gt;0,COUNTIFS($N$4:$N$4,"",$C$4:$C$4,"&lt;&gt;")+COUNTIFS($N$4:$N$4,"",$E$4:$E$4,"&lt;&gt;")=0)</formula>
    </cfRule>
  </conditionalFormatting>
  <conditionalFormatting sqref="K5">
    <cfRule type="expression" dxfId="347" priority="39">
      <formula>AND(COUNTA($C$5:$C$5)+COUNTA($E$5:$E$5)&gt;0,COUNTIFS($N$5:$N$5,"",$C$5:$C$5,"&lt;&gt;")+COUNTIFS($N$5:$N$5,"",$E$5:$E$5,"&lt;&gt;")=0)</formula>
    </cfRule>
  </conditionalFormatting>
  <conditionalFormatting sqref="K6">
    <cfRule type="expression" dxfId="346" priority="40">
      <formula>AND(COUNTA($C$6:$C$6)+COUNTA($E$6:$E$6)&gt;0,COUNTIFS($N$6:$N$6,"",$C$6:$C$6,"&lt;&gt;")+COUNTIFS($N$6:$N$6,"",$E$6:$E$6,"&lt;&gt;")=0)</formula>
    </cfRule>
  </conditionalFormatting>
  <conditionalFormatting sqref="K7">
    <cfRule type="expression" dxfId="345" priority="41">
      <formula>AND(COUNTA($C$7:$C$7)+COUNTA($E$7:$E$7)&gt;0,COUNTIFS($N$7:$N$7,"",$C$7:$C$7,"&lt;&gt;")+COUNTIFS($N$7:$N$7,"",$E$7:$E$7,"&lt;&gt;")=0)</formula>
    </cfRule>
  </conditionalFormatting>
  <conditionalFormatting sqref="K8">
    <cfRule type="expression" dxfId="344" priority="42">
      <formula>AND(COUNTA($C$8:$C$8)+COUNTA($E$8:$E$8)&gt;0,COUNTIFS($N$8:$N$8,"",$C$8:$C$8,"&lt;&gt;")+COUNTIFS($N$8:$N$8,"",$E$8:$E$8,"&lt;&gt;")=0)</formula>
    </cfRule>
  </conditionalFormatting>
  <conditionalFormatting sqref="K9">
    <cfRule type="expression" dxfId="343" priority="43">
      <formula>AND(COUNTA($C$9:$C$10)+COUNTA($E$9:$E$10)&gt;0,COUNTIFS($N$9:$N$10,"",$C$9:$C$10,"&lt;&gt;")+COUNTIFS($N$9:$N$10,"",$E$9:$E$10,"&lt;&gt;")=0)</formula>
    </cfRule>
  </conditionalFormatting>
  <conditionalFormatting sqref="K11">
    <cfRule type="expression" dxfId="342" priority="44">
      <formula>AND(COUNTA($C$11:$C$35)+COUNTA($E$11:$E$35)&gt;0,COUNTIFS($N$11:$N$35,"",$C$11:$C$35,"&lt;&gt;")+COUNTIFS($N$11:$N$35,"",$E$11:$E$35,"&lt;&gt;")=0)</formula>
    </cfRule>
  </conditionalFormatting>
  <conditionalFormatting sqref="K36">
    <cfRule type="expression" dxfId="341" priority="45">
      <formula>AND(COUNTA($C$36:$C$36)+COUNTA($E$36:$E$36)&gt;0,COUNTIFS($N$36:$N$36,"",$C$36:$C$36,"&lt;&gt;")+COUNTIFS($N$36:$N$36,"",$E$36:$E$36,"&lt;&gt;")=0)</formula>
    </cfRule>
  </conditionalFormatting>
  <conditionalFormatting sqref="K37">
    <cfRule type="expression" dxfId="340" priority="46">
      <formula>AND(COUNTA($C$37:$C$37)+COUNTA($E$37:$E$37)&gt;0,COUNTIFS($N$37:$N$37,"",$C$37:$C$37,"&lt;&gt;")+COUNTIFS($N$37:$N$37,"",$E$37:$E$37,"&lt;&gt;")=0)</formula>
    </cfRule>
  </conditionalFormatting>
  <conditionalFormatting sqref="K38">
    <cfRule type="expression" dxfId="339" priority="47">
      <formula>AND(COUNTA($C$38:$C$38)+COUNTA($E$38:$E$38)&gt;0,COUNTIFS($N$38:$N$38,"",$C$38:$C$38,"&lt;&gt;")+COUNTIFS($N$38:$N$38,"",$E$38:$E$38,"&lt;&gt;")=0)</formula>
    </cfRule>
  </conditionalFormatting>
  <conditionalFormatting sqref="K39">
    <cfRule type="expression" dxfId="338" priority="48">
      <formula>AND(COUNTA($C$39:$C$39)+COUNTA($E$39:$E$39)&gt;0,COUNTIFS($N$39:$N$39,"",$C$39:$C$39,"&lt;&gt;")+COUNTIFS($N$39:$N$39,"",$E$39:$E$39,"&lt;&gt;")=0)</formula>
    </cfRule>
  </conditionalFormatting>
  <conditionalFormatting sqref="K40">
    <cfRule type="expression" dxfId="337" priority="49">
      <formula>AND(COUNTA($C$40:$C$40)+COUNTA($E$40:$E$40)&gt;0,COUNTIFS($N$40:$N$40,"",$C$40:$C$40,"&lt;&gt;")+COUNTIFS($N$40:$N$40,"",$E$40:$E$40,"&lt;&gt;")=0)</formula>
    </cfRule>
  </conditionalFormatting>
  <conditionalFormatting sqref="K41">
    <cfRule type="expression" dxfId="336" priority="50">
      <formula>AND(COUNTA($C$41:$C$41)+COUNTA($E$41:$E$41)&gt;0,COUNTIFS($N$41:$N$41,"",$C$41:$C$41,"&lt;&gt;")+COUNTIFS($N$41:$N$41,"",$E$41:$E$41,"&lt;&gt;")=0)</formula>
    </cfRule>
  </conditionalFormatting>
  <conditionalFormatting sqref="K42">
    <cfRule type="expression" dxfId="335" priority="51">
      <formula>AND(COUNTA($C$42:$C$42)+COUNTA($E$42:$E$42)&gt;0,COUNTIFS($N$42:$N$42,"",$C$42:$C$42,"&lt;&gt;")+COUNTIFS($N$42:$N$42,"",$E$42:$E$42,"&lt;&gt;")=0)</formula>
    </cfRule>
  </conditionalFormatting>
  <conditionalFormatting sqref="K43">
    <cfRule type="expression" dxfId="334" priority="52">
      <formula>AND(COUNTA($C$43:$C$43)+COUNTA($E$43:$E$43)&gt;0,COUNTIFS($N$43:$N$43,"",$C$43:$C$43,"&lt;&gt;")+COUNTIFS($N$43:$N$43,"",$E$43:$E$43,"&lt;&gt;")=0)</formula>
    </cfRule>
  </conditionalFormatting>
  <conditionalFormatting sqref="K44">
    <cfRule type="expression" dxfId="333" priority="53">
      <formula>AND(COUNTA($C$44:$C$44)+COUNTA($E$44:$E$44)&gt;0,COUNTIFS($N$44:$N$44,"",$C$44:$C$44,"&lt;&gt;")+COUNTIFS($N$44:$N$44,"",$E$44:$E$44,"&lt;&gt;")=0)</formula>
    </cfRule>
  </conditionalFormatting>
  <conditionalFormatting sqref="K45">
    <cfRule type="expression" dxfId="332" priority="54">
      <formula>AND(COUNTA($C$45:$C$45)+COUNTA($E$45:$E$45)&gt;0,COUNTIFS($N$45:$N$45,"",$C$45:$C$45,"&lt;&gt;")+COUNTIFS($N$45:$N$45,"",$E$45:$E$45,"&lt;&gt;")=0)</formula>
    </cfRule>
  </conditionalFormatting>
  <conditionalFormatting sqref="K46">
    <cfRule type="expression" dxfId="331" priority="55">
      <formula>AND(COUNTA($C$46:$C$46)+COUNTA($E$46:$E$46)&gt;0,COUNTIFS($N$46:$N$46,"",$C$46:$C$46,"&lt;&gt;")+COUNTIFS($N$46:$N$46,"",$E$46:$E$46,"&lt;&gt;")=0)</formula>
    </cfRule>
  </conditionalFormatting>
  <conditionalFormatting sqref="K47">
    <cfRule type="expression" dxfId="330" priority="56">
      <formula>AND(COUNTA($C$47:$C$47)+COUNTA($E$47:$E$47)&gt;0,COUNTIFS($N$47:$N$47,"",$C$47:$C$47,"&lt;&gt;")+COUNTIFS($N$47:$N$47,"",$E$47:$E$47,"&lt;&gt;")=0)</formula>
    </cfRule>
  </conditionalFormatting>
  <conditionalFormatting sqref="K48">
    <cfRule type="expression" dxfId="329" priority="57">
      <formula>AND(COUNTA($C$48:$C$48)+COUNTA($E$48:$E$48)&gt;0,COUNTIFS($N$48:$N$48,"",$C$48:$C$48,"&lt;&gt;")+COUNTIFS($N$48:$N$48,"",$E$48:$E$48,"&lt;&gt;")=0)</formula>
    </cfRule>
  </conditionalFormatting>
  <conditionalFormatting sqref="K49">
    <cfRule type="expression" dxfId="328" priority="58">
      <formula>AND(COUNTA($C$49:$C$73)+COUNTA($E$49:$E$73)&gt;0,COUNTIFS($N$49:$N$73,"",$C$49:$C$73,"&lt;&gt;")+COUNTIFS($N$49:$N$73,"",$E$49:$E$73,"&lt;&gt;")=0)</formula>
    </cfRule>
  </conditionalFormatting>
  <conditionalFormatting sqref="K74">
    <cfRule type="expression" dxfId="327" priority="59">
      <formula>AND(COUNTA($C$74:$C$79)+COUNTA($E$74:$E$79)&gt;0,COUNTIFS($N$74:$N$79,"",$C$74:$C$79,"&lt;&gt;")+COUNTIFS($N$74:$N$79,"",$E$74:$E$79,"&lt;&gt;")=0)</formula>
    </cfRule>
  </conditionalFormatting>
  <conditionalFormatting sqref="K80">
    <cfRule type="expression" dxfId="326" priority="60">
      <formula>AND(COUNTA($C$80:$C$105)+COUNTA($E$80:$E$105)&gt;0,COUNTIFS($N$80:$N$105,"",$C$80:$C$105,"&lt;&gt;")+COUNTIFS($N$80:$N$105,"",$E$80:$E$105,"&lt;&gt;")=0)</formula>
    </cfRule>
  </conditionalFormatting>
  <conditionalFormatting sqref="K106">
    <cfRule type="expression" dxfId="325" priority="61">
      <formula>AND(COUNTA($C$106:$C$106)+COUNTA($E$106:$E$106)&gt;0,COUNTIFS($N$106:$N$106,"",$C$106:$C$106,"&lt;&gt;")+COUNTIFS($N$106:$N$106,"",$E$106:$E$106,"&lt;&gt;")=0)</formula>
    </cfRule>
  </conditionalFormatting>
  <conditionalFormatting sqref="K107">
    <cfRule type="expression" dxfId="324" priority="62">
      <formula>AND(COUNTA($C$107:$C$131)+COUNTA($E$107:$E$131)&gt;0,COUNTIFS($N$107:$N$131,"",$C$107:$C$131,"&lt;&gt;")+COUNTIFS($N$107:$N$131,"",$E$107:$E$131,"&lt;&gt;")=0)</formula>
    </cfRule>
  </conditionalFormatting>
  <conditionalFormatting sqref="K132">
    <cfRule type="expression" dxfId="323" priority="63">
      <formula>AND(COUNTA($C$132:$C$132)+COUNTA($E$132:$E$132)&gt;0,COUNTIFS($N$132:$N$132,"",$C$132:$C$132,"&lt;&gt;")+COUNTIFS($N$132:$N$132,"",$E$132:$E$132,"&lt;&gt;")=0)</formula>
    </cfRule>
  </conditionalFormatting>
  <conditionalFormatting sqref="K133">
    <cfRule type="expression" dxfId="322" priority="64">
      <formula>AND(COUNTA($C$133:$C$133)+COUNTA($E$133:$E$133)&gt;0,COUNTIFS($N$133:$N$133,"",$C$133:$C$133,"&lt;&gt;")+COUNTIFS($N$133:$N$133,"",$E$133:$E$133,"&lt;&gt;")=0)</formula>
    </cfRule>
  </conditionalFormatting>
  <conditionalFormatting sqref="K134">
    <cfRule type="expression" dxfId="321" priority="65">
      <formula>AND(COUNTA($C$134:$C$134)+COUNTA($E$134:$E$134)&gt;0,COUNTIFS($N$134:$N$134,"",$C$134:$C$134,"&lt;&gt;")+COUNTIFS($N$134:$N$134,"",$E$134:$E$134,"&lt;&gt;")=0)</formula>
    </cfRule>
  </conditionalFormatting>
  <conditionalFormatting sqref="K135">
    <cfRule type="expression" dxfId="320" priority="66">
      <formula>AND(COUNTA($C$135:$C$135)+COUNTA($E$135:$E$135)&gt;0,COUNTIFS($N$135:$N$135,"",$C$135:$C$135,"&lt;&gt;")+COUNTIFS($N$135:$N$135,"",$E$135:$E$135,"&lt;&gt;")=0)</formula>
    </cfRule>
  </conditionalFormatting>
  <conditionalFormatting sqref="K136">
    <cfRule type="expression" dxfId="319" priority="67">
      <formula>AND(COUNTA($C$136:$C$140)+COUNTA($E$136:$E$140)&gt;0,COUNTIFS($N$136:$N$140,"",$C$136:$C$140,"&lt;&gt;")+COUNTIFS($N$136:$N$140,"",$E$136:$E$140,"&lt;&gt;")=0)</formula>
    </cfRule>
  </conditionalFormatting>
  <conditionalFormatting sqref="K141">
    <cfRule type="expression" dxfId="318" priority="68">
      <formula>AND(COUNTA($C$141:$C$142)+COUNTA($E$141:$E$142)&gt;0,COUNTIFS($N$141:$N$142,"",$C$141:$C$142,"&lt;&gt;")+COUNTIFS($N$141:$N$142,"",$E$141:$E$142,"&lt;&gt;")=0)</formula>
    </cfRule>
  </conditionalFormatting>
  <conditionalFormatting sqref="K143">
    <cfRule type="expression" dxfId="317" priority="69">
      <formula>AND(COUNTA($C$143:$C$143)+COUNTA($E$143:$E$143)&gt;0,COUNTIFS($N$143:$N$143,"",$C$143:$C$143,"&lt;&gt;")+COUNTIFS($N$143:$N$143,"",$E$143:$E$143,"&lt;&gt;")=0)</formula>
    </cfRule>
  </conditionalFormatting>
  <conditionalFormatting sqref="K144">
    <cfRule type="expression" dxfId="316" priority="70">
      <formula>AND(COUNTA($C$144:$C$151)+COUNTA($E$144:$E$151)&gt;0,COUNTIFS($N$144:$N$151,"",$C$144:$C$151,"&lt;&gt;")+COUNTIFS($N$144:$N$151,"",$E$144:$E$151,"&lt;&gt;")=0)</formula>
    </cfRule>
  </conditionalFormatting>
  <conditionalFormatting sqref="K152">
    <cfRule type="expression" dxfId="315" priority="71">
      <formula>AND(COUNTA($C$152:$C$155)+COUNTA($E$152:$E$155)&gt;0,COUNTIFS($N$152:$N$155,"",$C$152:$C$155,"&lt;&gt;")+COUNTIFS($N$152:$N$155,"",$E$152:$E$155,"&lt;&gt;")=0)</formula>
    </cfRule>
  </conditionalFormatting>
  <conditionalFormatting sqref="K156">
    <cfRule type="expression" dxfId="314" priority="72">
      <formula>AND(COUNTA($C$156:$C$159)+COUNTA($E$156:$E$159)&gt;0,COUNTIFS($N$156:$N$159,"",$C$156:$C$159,"&lt;&gt;")+COUNTIFS($N$156:$N$159,"",$E$156:$E$159,"&lt;&gt;")=0)</formula>
    </cfRule>
  </conditionalFormatting>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638B-83A7-481D-A815-88E106017129}">
  <sheetPr>
    <tabColor rgb="FF2F3A4A"/>
  </sheetPr>
  <dimension ref="A1:AP200"/>
  <sheetViews>
    <sheetView showGridLines="0" zoomScale="90" zoomScaleNormal="90" workbookViewId="0">
      <selection activeCell="S33" sqref="S33"/>
    </sheetView>
  </sheetViews>
  <sheetFormatPr defaultColWidth="8.5546875" defaultRowHeight="14.4" x14ac:dyDescent="0.3"/>
  <cols>
    <col min="1" max="1" width="32.5546875" style="64" customWidth="1"/>
    <col min="2" max="2" width="28" style="1" customWidth="1"/>
    <col min="3" max="3" width="14" style="1" customWidth="1"/>
    <col min="4" max="4" width="13" style="1" customWidth="1"/>
    <col min="5" max="5" width="10" style="1" customWidth="1"/>
    <col min="6" max="6" width="13" style="1" customWidth="1"/>
    <col min="7" max="7" width="14.6640625" style="1" customWidth="1"/>
    <col min="8" max="8" width="13" style="1" customWidth="1"/>
    <col min="9" max="9" width="16.5546875" style="1" customWidth="1"/>
    <col min="10" max="13" width="12" style="1" hidden="1" customWidth="1"/>
    <col min="14" max="14" width="45" style="1" hidden="1" customWidth="1"/>
    <col min="15" max="15" width="13" style="1" hidden="1" customWidth="1"/>
    <col min="16" max="16" width="10.21875" style="588" customWidth="1"/>
    <col min="17" max="17" width="17.77734375" style="590" customWidth="1"/>
    <col min="18" max="18" width="11.109375" style="1" customWidth="1"/>
    <col min="19" max="19" width="19.44140625" style="1" customWidth="1"/>
    <col min="20"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4.25" customHeight="1" x14ac:dyDescent="0.3">
      <c r="A2" s="597" t="s">
        <v>173</v>
      </c>
      <c r="B2" s="597"/>
      <c r="C2" s="597"/>
      <c r="D2" s="597"/>
      <c r="E2" s="597"/>
      <c r="F2" s="597"/>
      <c r="G2" s="597" t="s">
        <v>174</v>
      </c>
      <c r="H2" s="597"/>
      <c r="I2" s="597"/>
      <c r="N2" s="114" t="s">
        <v>175</v>
      </c>
      <c r="P2" s="594"/>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46083</v>
      </c>
      <c r="B3" s="113" t="s">
        <v>49</v>
      </c>
      <c r="C3" s="112" t="s">
        <v>176</v>
      </c>
      <c r="D3" s="111" t="s">
        <v>177</v>
      </c>
      <c r="E3" s="111" t="s">
        <v>178</v>
      </c>
      <c r="F3" s="860" t="s">
        <v>179</v>
      </c>
      <c r="G3" s="111" t="s">
        <v>180</v>
      </c>
      <c r="H3" s="111" t="s">
        <v>181</v>
      </c>
      <c r="I3" s="111" t="s">
        <v>182</v>
      </c>
      <c r="J3" s="72"/>
      <c r="K3" s="72"/>
      <c r="L3" s="87"/>
      <c r="M3" s="72"/>
      <c r="N3" s="87"/>
      <c r="AA3" t="s">
        <v>31</v>
      </c>
      <c r="AB3" t="s">
        <v>1423</v>
      </c>
      <c r="AD3" s="900">
        <v>180</v>
      </c>
      <c r="AH3" s="900">
        <v>400</v>
      </c>
      <c r="AL3" s="900">
        <v>600</v>
      </c>
      <c r="AO3" s="900">
        <v>100</v>
      </c>
      <c r="AP3" s="65">
        <v>600</v>
      </c>
    </row>
    <row r="4" spans="1:42" ht="21" customHeight="1" x14ac:dyDescent="0.3">
      <c r="A4" s="110"/>
      <c r="B4" s="109" t="s">
        <v>25</v>
      </c>
      <c r="C4" s="108">
        <v>600</v>
      </c>
      <c r="D4" s="104">
        <f>MAX(0,'SEMANA FEVEREIRO'!D160-'SEMANA FEVEREIRO'!L160)</f>
        <v>0</v>
      </c>
      <c r="E4" s="107" t="s">
        <v>184</v>
      </c>
      <c r="F4" s="871">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95</v>
      </c>
      <c r="G4" s="106">
        <f t="shared" ref="G4:G9" si="0">IFERROR(ROUNDUP(D4/F4,0),"")</f>
        <v>0</v>
      </c>
      <c r="H4" s="105">
        <v>802</v>
      </c>
      <c r="I4" s="104">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9624</v>
      </c>
      <c r="J4" s="85"/>
      <c r="L4" s="84"/>
      <c r="N4" s="83"/>
      <c r="AA4" t="s">
        <v>185</v>
      </c>
      <c r="AB4" t="s">
        <v>1423</v>
      </c>
      <c r="AH4" s="900">
        <v>600</v>
      </c>
      <c r="AO4" s="900">
        <v>125</v>
      </c>
    </row>
    <row r="5" spans="1:42" ht="21" customHeight="1" x14ac:dyDescent="0.3">
      <c r="A5" s="110"/>
      <c r="B5" s="109" t="s">
        <v>39</v>
      </c>
      <c r="C5" s="108">
        <v>600</v>
      </c>
      <c r="D5" s="104">
        <v>1330</v>
      </c>
      <c r="E5" s="107" t="s">
        <v>184</v>
      </c>
      <c r="F5" s="871">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95</v>
      </c>
      <c r="G5" s="106">
        <f t="shared" si="0"/>
        <v>14</v>
      </c>
      <c r="H5" s="105">
        <v>197</v>
      </c>
      <c r="I5" s="104">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2364</v>
      </c>
      <c r="J5" s="82"/>
      <c r="L5" s="81"/>
      <c r="M5" s="70"/>
      <c r="N5" s="80"/>
      <c r="AA5" t="s">
        <v>183</v>
      </c>
      <c r="AB5" t="s">
        <v>1423</v>
      </c>
      <c r="AO5" s="900">
        <v>180</v>
      </c>
    </row>
    <row r="6" spans="1:42"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 t="shared" si="0"/>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J6" s="85"/>
      <c r="L6" s="84"/>
      <c r="M6" s="70"/>
      <c r="N6" s="83"/>
      <c r="AA6" t="s">
        <v>499</v>
      </c>
      <c r="AB6" t="s">
        <v>1423</v>
      </c>
      <c r="AO6" s="900">
        <v>200</v>
      </c>
    </row>
    <row r="7" spans="1:42"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 t="shared" si="0"/>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J7" s="82"/>
      <c r="L7" s="81"/>
      <c r="N7" s="80"/>
      <c r="AA7" t="s">
        <v>254</v>
      </c>
      <c r="AB7" t="s">
        <v>1424</v>
      </c>
      <c r="AO7" s="900">
        <v>400</v>
      </c>
    </row>
    <row r="8" spans="1:42" ht="21" customHeight="1" x14ac:dyDescent="0.3">
      <c r="A8" s="110"/>
      <c r="B8" s="109"/>
      <c r="C8" s="108"/>
      <c r="D8" s="104"/>
      <c r="E8" s="107" t="s">
        <v>184</v>
      </c>
      <c r="F8" s="871"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106" t="str">
        <f t="shared" si="0"/>
        <v/>
      </c>
      <c r="H8" s="105"/>
      <c r="I8" s="104"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J8" s="85"/>
      <c r="L8" s="84"/>
      <c r="N8" s="83"/>
      <c r="AA8" t="s">
        <v>1104</v>
      </c>
      <c r="AB8" t="s">
        <v>1424</v>
      </c>
      <c r="AO8" s="900">
        <v>500</v>
      </c>
    </row>
    <row r="9" spans="1:42" ht="21" customHeight="1" x14ac:dyDescent="0.3">
      <c r="A9" s="817"/>
      <c r="B9" s="818"/>
      <c r="C9" s="819"/>
      <c r="D9" s="820"/>
      <c r="E9" s="821" t="s">
        <v>184</v>
      </c>
      <c r="F9" s="872" t="str">
        <f>IF($B9="","",IF(SUMIFS(CONFIG_PALETES!$C:$C,CONFIG_PALETES!$A:$A,TRIM($B9),CONFIG_PALETES!$B:$B,$C9&amp;" ml")&gt;0,SUMIFS(CONFIG_PALETES!$C:$C,CONFIG_PALETES!$A:$A,TRIM($B9),CONFIG_PALETES!$B:$B,$C9&amp;" ml"),IF(SUMIFS(CONFIG_PALETES!$C:$C,CONFIG_PALETES!$A:$A,"GERAL",CONFIG_PALETES!$B:$B,$C9&amp;" ml")&gt;0,SUMIFS(CONFIG_PALETES!$C:$C,CONFIG_PALETES!$A:$A,"GERAL",CONFIG_PALETES!$B:$B,$C9&amp;" ml"),"")))</f>
        <v/>
      </c>
      <c r="G9" s="822" t="str">
        <f t="shared" si="0"/>
        <v/>
      </c>
      <c r="H9" s="823"/>
      <c r="I9" s="820" t="str">
        <f>IF(H9="","",H9*IF(SUMIFS(CONFIG_PALETES!$D:$D,CONFIG_PALETES!$A:$A,IF(ISNUMBER(SEARCH("ESPUMA",$B9)),"ESPUMA",IF(OR(ISNUMBER(SEARCH("OLEO DE COCO",$B9)),ISNUMBER(SEARCH("ÓLEO DE COCO",$B9)),ISNUMBER(SEARCH("COPRA",$B9))),"ÓLEO DE COCO",IF(ISNUMBER(SEARCH("CORANTE",$B9)),"CORANTE",TRIM($B9)))),CONFIG_PALETES!$B:$B,$C9&amp;" ml")&gt;0,SUMIFS(CONFIG_PALETES!$D:$D,CONFIG_PALETES!$A:$A,IF(ISNUMBER(SEARCH("ESPUMA",$B9)),"ESPUMA",IF(OR(ISNUMBER(SEARCH("OLEO DE COCO",$B9)),ISNUMBER(SEARCH("ÓLEO DE COCO",$B9)),ISNUMBER(SEARCH("COPRA",$B9))),"ÓLEO DE COCO",IF(ISNUMBER(SEARCH("CORANTE",$B9)),"CORANTE",TRIM($B9)))),CONFIG_PALETES!$B:$B,$C9&amp;" ml"),IF(SUMIFS(CONFIG_PALETES!$D:$D,CONFIG_PALETES!$A:$A,"GERAL",CONFIG_PALETES!$B:$B,$C9&amp;" ml")&gt;0,SUMIFS(CONFIG_PALETES!$D:$D,CONFIG_PALETES!$A:$A,"GERAL",CONFIG_PALETES!$B:$B,$C9&amp;" ml"),12)))</f>
        <v/>
      </c>
      <c r="J9" s="98"/>
      <c r="K9" s="67"/>
      <c r="L9" s="97"/>
      <c r="M9" s="67"/>
      <c r="N9" s="96"/>
      <c r="AA9" t="s">
        <v>58</v>
      </c>
      <c r="AB9" t="s">
        <v>1423</v>
      </c>
      <c r="AO9" s="900">
        <v>600</v>
      </c>
    </row>
    <row r="10" spans="1:42" ht="15" customHeight="1" x14ac:dyDescent="0.3">
      <c r="A10" s="899"/>
      <c r="B10" s="846" t="s">
        <v>186</v>
      </c>
      <c r="C10" s="847"/>
      <c r="D10" s="848">
        <f>SUM(D3:D9)</f>
        <v>1330</v>
      </c>
      <c r="E10" s="849"/>
      <c r="F10" s="856" t="s">
        <v>1400</v>
      </c>
      <c r="G10" s="850">
        <f>SUM(G3:G9)</f>
        <v>14</v>
      </c>
      <c r="H10" s="848">
        <f>SUM(H3:H9)</f>
        <v>999</v>
      </c>
      <c r="I10" s="848">
        <f>SUM(I3:I9)</f>
        <v>11988</v>
      </c>
      <c r="J10" s="1">
        <f>SUM(D4:D9)</f>
        <v>1330</v>
      </c>
      <c r="K10" s="1">
        <f>SUM(G4:G9)</f>
        <v>14</v>
      </c>
      <c r="L10" s="1">
        <f>SUM(H4:H9)</f>
        <v>999</v>
      </c>
      <c r="M10" s="1">
        <f>SUM(I4:I9)</f>
        <v>11988</v>
      </c>
      <c r="P10" s="587" cm="1">
        <f t="array" ref="P10">IF(H10=0,"",SUMPRODUCT(IFERROR(INT(H4:H9/F4:F9),0)))</f>
        <v>10</v>
      </c>
      <c r="Q10" s="770">
        <f>IF(P10="","",MAX(0,G10-P10))</f>
        <v>4</v>
      </c>
      <c r="R10" s="584"/>
      <c r="S10" s="585"/>
      <c r="AA10" t="s">
        <v>496</v>
      </c>
      <c r="AB10" t="s">
        <v>1423</v>
      </c>
    </row>
    <row r="11" spans="1:42" ht="6" customHeight="1" x14ac:dyDescent="0.3">
      <c r="C11" s="65"/>
      <c r="J11" s="72"/>
      <c r="K11" s="72"/>
      <c r="L11" s="87"/>
      <c r="M11" s="72"/>
      <c r="N11" s="87"/>
      <c r="AA11" t="s">
        <v>37</v>
      </c>
      <c r="AB11" t="s">
        <v>1423</v>
      </c>
    </row>
    <row r="12" spans="1:42" ht="15" customHeight="1" x14ac:dyDescent="0.3">
      <c r="A12" s="75">
        <v>46084</v>
      </c>
      <c r="B12" s="113" t="s">
        <v>49</v>
      </c>
      <c r="C12" s="112" t="s">
        <v>176</v>
      </c>
      <c r="D12" s="111" t="s">
        <v>177</v>
      </c>
      <c r="E12" s="111" t="s">
        <v>178</v>
      </c>
      <c r="F12" s="860" t="s">
        <v>179</v>
      </c>
      <c r="G12" s="111" t="s">
        <v>180</v>
      </c>
      <c r="H12" s="111" t="s">
        <v>181</v>
      </c>
      <c r="I12" s="111" t="s">
        <v>182</v>
      </c>
      <c r="J12" s="85"/>
      <c r="L12" s="84"/>
      <c r="N12"/>
      <c r="O12"/>
      <c r="P12" s="589"/>
      <c r="Q12" s="591"/>
      <c r="AA12" t="s">
        <v>1080</v>
      </c>
      <c r="AB12" t="s">
        <v>1423</v>
      </c>
    </row>
    <row r="13" spans="1:42" ht="21" customHeight="1" x14ac:dyDescent="0.3">
      <c r="A13" s="110"/>
      <c r="B13" s="109" t="s">
        <v>39</v>
      </c>
      <c r="C13" s="108">
        <v>600</v>
      </c>
      <c r="D13" s="104">
        <f>D6-J6</f>
        <v>0</v>
      </c>
      <c r="E13" s="107" t="s">
        <v>184</v>
      </c>
      <c r="F13" s="871">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95</v>
      </c>
      <c r="G13" s="106">
        <f t="shared" ref="G13:G18" si="1">IFERROR(ROUNDUP(D13/F13,0),"")</f>
        <v>0</v>
      </c>
      <c r="H13" s="105">
        <v>1133</v>
      </c>
      <c r="I13" s="104">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13596</v>
      </c>
      <c r="J13" s="82"/>
      <c r="L13" s="81"/>
      <c r="M13" s="70"/>
      <c r="N13"/>
      <c r="O13"/>
      <c r="P13" s="589"/>
      <c r="Q13" s="591"/>
      <c r="AA13" t="s">
        <v>489</v>
      </c>
      <c r="AB13" t="s">
        <v>1423</v>
      </c>
    </row>
    <row r="14" spans="1:42" ht="21" customHeight="1" x14ac:dyDescent="0.3">
      <c r="A14" s="110"/>
      <c r="B14" s="109" t="s">
        <v>31</v>
      </c>
      <c r="C14" s="108">
        <v>600</v>
      </c>
      <c r="D14" s="104">
        <v>665</v>
      </c>
      <c r="E14" s="107" t="s">
        <v>184</v>
      </c>
      <c r="F14" s="871">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95</v>
      </c>
      <c r="G14" s="106">
        <f t="shared" si="1"/>
        <v>7</v>
      </c>
      <c r="H14" s="105">
        <v>196</v>
      </c>
      <c r="I14" s="104">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2352</v>
      </c>
      <c r="J14" s="85"/>
      <c r="L14" s="84"/>
      <c r="M14" s="70"/>
      <c r="N14"/>
      <c r="O14"/>
      <c r="P14" s="589"/>
      <c r="Q14" s="591"/>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 t="shared" si="1"/>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J15" s="82"/>
      <c r="L15" s="81"/>
      <c r="N15"/>
      <c r="O15"/>
      <c r="P15" s="589"/>
      <c r="Q15" s="591"/>
      <c r="AA15" t="s">
        <v>1224</v>
      </c>
      <c r="AB15" t="s">
        <v>1426</v>
      </c>
    </row>
    <row r="16" spans="1:42" ht="21" customHeight="1" x14ac:dyDescent="0.3">
      <c r="A16" s="110"/>
      <c r="B16" s="109"/>
      <c r="C16" s="108"/>
      <c r="D16" s="104"/>
      <c r="E16" s="107" t="s">
        <v>184</v>
      </c>
      <c r="F16" s="871"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106" t="str">
        <f t="shared" si="1"/>
        <v/>
      </c>
      <c r="H16" s="105"/>
      <c r="I16" s="104"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J16" s="85"/>
      <c r="L16" s="84"/>
      <c r="N16"/>
      <c r="O16"/>
      <c r="P16" s="589"/>
      <c r="Q16" s="591"/>
      <c r="AA16" t="s">
        <v>1014</v>
      </c>
      <c r="AB16" t="s">
        <v>1425</v>
      </c>
    </row>
    <row r="17" spans="1:28" ht="21" customHeight="1" x14ac:dyDescent="0.3">
      <c r="A17" s="110"/>
      <c r="B17" s="109"/>
      <c r="C17" s="108"/>
      <c r="D17" s="104"/>
      <c r="E17" s="107" t="s">
        <v>184</v>
      </c>
      <c r="F17" s="871" t="str">
        <f>IF($B17="","",IF(SUMIFS(CONFIG_PALETES!$C:$C,CONFIG_PALETES!$A:$A,TRIM($B17),CONFIG_PALETES!$B:$B,$C17&amp;" ml")&gt;0,SUMIFS(CONFIG_PALETES!$C:$C,CONFIG_PALETES!$A:$A,TRIM($B17),CONFIG_PALETES!$B:$B,$C17&amp;" ml"),IF(SUMIFS(CONFIG_PALETES!$C:$C,CONFIG_PALETES!$A:$A,"GERAL",CONFIG_PALETES!$B:$B,$C17&amp;" ml")&gt;0,SUMIFS(CONFIG_PALETES!$C:$C,CONFIG_PALETES!$A:$A,"GERAL",CONFIG_PALETES!$B:$B,$C17&amp;" ml"),"")))</f>
        <v/>
      </c>
      <c r="G17" s="106" t="str">
        <f t="shared" si="1"/>
        <v/>
      </c>
      <c r="H17" s="105"/>
      <c r="I17" s="104" t="str">
        <f>IF(H17="","",H17*IF(SUMIFS(CONFIG_PALETES!$D:$D,CONFIG_PALETES!$A:$A,IF(ISNUMBER(SEARCH("ESPUMA",$B17)),"ESPUMA",IF(OR(ISNUMBER(SEARCH("OLEO DE COCO",$B17)),ISNUMBER(SEARCH("ÓLEO DE COCO",$B17)),ISNUMBER(SEARCH("COPRA",$B17))),"ÓLEO DE COCO",IF(ISNUMBER(SEARCH("CORANTE",$B17)),"CORANTE",TRIM($B17)))),CONFIG_PALETES!$B:$B,$C17&amp;" ml")&gt;0,SUMIFS(CONFIG_PALETES!$D:$D,CONFIG_PALETES!$A:$A,IF(ISNUMBER(SEARCH("ESPUMA",$B17)),"ESPUMA",IF(OR(ISNUMBER(SEARCH("OLEO DE COCO",$B17)),ISNUMBER(SEARCH("ÓLEO DE COCO",$B17)),ISNUMBER(SEARCH("COPRA",$B17))),"ÓLEO DE COCO",IF(ISNUMBER(SEARCH("CORANTE",$B17)),"CORANTE",TRIM($B17)))),CONFIG_PALETES!$B:$B,$C17&amp;" ml"),IF(SUMIFS(CONFIG_PALETES!$D:$D,CONFIG_PALETES!$A:$A,"GERAL",CONFIG_PALETES!$B:$B,$C17&amp;" ml")&gt;0,SUMIFS(CONFIG_PALETES!$D:$D,CONFIG_PALETES!$A:$A,"GERAL",CONFIG_PALETES!$B:$B,$C17&amp;" ml"),12)))</f>
        <v/>
      </c>
      <c r="J17" s="98"/>
      <c r="K17" s="67"/>
      <c r="L17" s="97"/>
      <c r="M17" s="67"/>
      <c r="N17"/>
      <c r="O17"/>
      <c r="P17" s="589"/>
      <c r="Q17" s="591"/>
      <c r="AA17" t="s">
        <v>236</v>
      </c>
      <c r="AB17" t="s">
        <v>1425</v>
      </c>
    </row>
    <row r="18" spans="1:28" ht="21" customHeight="1" x14ac:dyDescent="0.3">
      <c r="A18" s="817"/>
      <c r="B18" s="818"/>
      <c r="C18" s="819"/>
      <c r="D18" s="820"/>
      <c r="E18" s="821" t="s">
        <v>184</v>
      </c>
      <c r="F18" s="872" t="str">
        <f>IF($B18="","",IF(SUMIFS(CONFIG_PALETES!$C:$C,CONFIG_PALETES!$A:$A,TRIM($B18),CONFIG_PALETES!$B:$B,$C18&amp;" ml")&gt;0,SUMIFS(CONFIG_PALETES!$C:$C,CONFIG_PALETES!$A:$A,TRIM($B18),CONFIG_PALETES!$B:$B,$C18&amp;" ml"),IF(SUMIFS(CONFIG_PALETES!$C:$C,CONFIG_PALETES!$A:$A,"GERAL",CONFIG_PALETES!$B:$B,$C18&amp;" ml")&gt;0,SUMIFS(CONFIG_PALETES!$C:$C,CONFIG_PALETES!$A:$A,"GERAL",CONFIG_PALETES!$B:$B,$C18&amp;" ml"),"")))</f>
        <v/>
      </c>
      <c r="G18" s="822" t="str">
        <f t="shared" si="1"/>
        <v/>
      </c>
      <c r="H18" s="823"/>
      <c r="I18" s="820" t="str">
        <f>IF(H18="","",H18*IF(SUMIFS(CONFIG_PALETES!$D:$D,CONFIG_PALETES!$A:$A,IF(ISNUMBER(SEARCH("ESPUMA",$B18)),"ESPUMA",IF(OR(ISNUMBER(SEARCH("OLEO DE COCO",$B18)),ISNUMBER(SEARCH("ÓLEO DE COCO",$B18)),ISNUMBER(SEARCH("COPRA",$B18))),"ÓLEO DE COCO",IF(ISNUMBER(SEARCH("CORANTE",$B18)),"CORANTE",TRIM($B18)))),CONFIG_PALETES!$B:$B,$C18&amp;" ml")&gt;0,SUMIFS(CONFIG_PALETES!$D:$D,CONFIG_PALETES!$A:$A,IF(ISNUMBER(SEARCH("ESPUMA",$B18)),"ESPUMA",IF(OR(ISNUMBER(SEARCH("OLEO DE COCO",$B18)),ISNUMBER(SEARCH("ÓLEO DE COCO",$B18)),ISNUMBER(SEARCH("COPRA",$B18))),"ÓLEO DE COCO",IF(ISNUMBER(SEARCH("CORANTE",$B18)),"CORANTE",TRIM($B18)))),CONFIG_PALETES!$B:$B,$C18&amp;" ml"),IF(SUMIFS(CONFIG_PALETES!$D:$D,CONFIG_PALETES!$A:$A,"GERAL",CONFIG_PALETES!$B:$B,$C18&amp;" ml")&gt;0,SUMIFS(CONFIG_PALETES!$D:$D,CONFIG_PALETES!$A:$A,"GERAL",CONFIG_PALETES!$B:$B,$C18&amp;" ml"),12)))</f>
        <v/>
      </c>
      <c r="N18"/>
      <c r="O18"/>
      <c r="P18" s="589"/>
      <c r="Q18" s="591"/>
      <c r="AA18" t="s">
        <v>593</v>
      </c>
      <c r="AB18" t="s">
        <v>1426</v>
      </c>
    </row>
    <row r="19" spans="1:28" ht="15" customHeight="1" x14ac:dyDescent="0.3">
      <c r="A19" s="899"/>
      <c r="B19" s="846" t="s">
        <v>186</v>
      </c>
      <c r="C19" s="847"/>
      <c r="D19" s="848">
        <f>SUM(D12:D18)</f>
        <v>665</v>
      </c>
      <c r="E19" s="849"/>
      <c r="F19" s="856" t="s">
        <v>1400</v>
      </c>
      <c r="G19" s="850">
        <f>SUM(G12:G18)</f>
        <v>7</v>
      </c>
      <c r="H19" s="848">
        <f>SUM(H12:H18)</f>
        <v>1329</v>
      </c>
      <c r="I19" s="848">
        <f>SUM(I12:I18)</f>
        <v>15948</v>
      </c>
      <c r="J19" s="72">
        <f>SUM(D13:D18)</f>
        <v>665</v>
      </c>
      <c r="K19" s="72">
        <f>SUM(G13:G18)</f>
        <v>7</v>
      </c>
      <c r="L19" s="87">
        <f>SUM(H13:H18)</f>
        <v>1329</v>
      </c>
      <c r="M19" s="72">
        <f>SUM(I13:I18)</f>
        <v>15948</v>
      </c>
      <c r="N19"/>
      <c r="O19"/>
      <c r="P19" s="586" cm="1">
        <f t="array" ref="P19">IF(H19=0,"",SUMPRODUCT(IFERROR(INT(H13:H18/F13:F18),0)))</f>
        <v>13</v>
      </c>
      <c r="Q19" s="769">
        <f>IF(P19="","",MAX(0,G19-P19))</f>
        <v>0</v>
      </c>
      <c r="R19" s="584"/>
      <c r="S19" s="585"/>
      <c r="AA19" t="s">
        <v>139</v>
      </c>
      <c r="AB19" t="s">
        <v>1425</v>
      </c>
    </row>
    <row r="20" spans="1:28" ht="6" customHeight="1" x14ac:dyDescent="0.3">
      <c r="C20" s="65"/>
      <c r="J20" s="85"/>
      <c r="L20" s="84"/>
      <c r="N20"/>
      <c r="O20"/>
      <c r="P20" s="589"/>
      <c r="Q20" s="591"/>
      <c r="AA20" t="s">
        <v>189</v>
      </c>
      <c r="AB20" t="s">
        <v>1425</v>
      </c>
    </row>
    <row r="21" spans="1:28" ht="15" customHeight="1" x14ac:dyDescent="0.3">
      <c r="A21" s="75">
        <v>46085</v>
      </c>
      <c r="B21" s="113" t="s">
        <v>49</v>
      </c>
      <c r="C21" s="112" t="s">
        <v>176</v>
      </c>
      <c r="D21" s="111" t="s">
        <v>177</v>
      </c>
      <c r="E21" s="111" t="s">
        <v>178</v>
      </c>
      <c r="F21" s="860" t="s">
        <v>179</v>
      </c>
      <c r="G21" s="111" t="s">
        <v>180</v>
      </c>
      <c r="H21" s="111" t="s">
        <v>181</v>
      </c>
      <c r="I21" s="111" t="s">
        <v>182</v>
      </c>
      <c r="J21" s="82"/>
      <c r="L21" s="81"/>
      <c r="M21" s="70"/>
      <c r="N21" s="80"/>
      <c r="AA21" t="s">
        <v>403</v>
      </c>
      <c r="AB21" t="s">
        <v>1425</v>
      </c>
    </row>
    <row r="22" spans="1:28" ht="21" customHeight="1" x14ac:dyDescent="0.3">
      <c r="A22" s="110"/>
      <c r="B22" s="109" t="s">
        <v>31</v>
      </c>
      <c r="C22" s="108">
        <v>600</v>
      </c>
      <c r="D22" s="104">
        <f>D15-J15</f>
        <v>0</v>
      </c>
      <c r="E22" s="107" t="s">
        <v>184</v>
      </c>
      <c r="F22" s="871">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95</v>
      </c>
      <c r="G22" s="106">
        <f t="shared" ref="G22:G27" si="2">IFERROR(ROUNDUP(D22/F22,0),"")</f>
        <v>0</v>
      </c>
      <c r="H22" s="105">
        <v>469</v>
      </c>
      <c r="I22" s="104">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5628</v>
      </c>
      <c r="J22" s="85"/>
      <c r="L22" s="84"/>
      <c r="M22" s="70"/>
      <c r="N22" s="535"/>
      <c r="AA22" t="s">
        <v>553</v>
      </c>
      <c r="AB22" t="s">
        <v>1423</v>
      </c>
    </row>
    <row r="23" spans="1:28" ht="21" customHeight="1" x14ac:dyDescent="0.3">
      <c r="A23" s="110"/>
      <c r="B23" s="109" t="s">
        <v>131</v>
      </c>
      <c r="C23" s="108">
        <v>600</v>
      </c>
      <c r="D23" s="104">
        <v>285</v>
      </c>
      <c r="E23" s="107" t="s">
        <v>184</v>
      </c>
      <c r="F23" s="871">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95</v>
      </c>
      <c r="G23" s="106">
        <f t="shared" si="2"/>
        <v>3</v>
      </c>
      <c r="H23" s="105">
        <v>288</v>
      </c>
      <c r="I23" s="104">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3456</v>
      </c>
      <c r="J23" s="82"/>
      <c r="L23" s="81"/>
      <c r="N23" s="536"/>
      <c r="AA23" t="s">
        <v>1205</v>
      </c>
      <c r="AB23" t="s">
        <v>1426</v>
      </c>
    </row>
    <row r="24" spans="1:28" ht="21" customHeight="1" x14ac:dyDescent="0.3">
      <c r="A24" s="110"/>
      <c r="B24" s="109" t="s">
        <v>395</v>
      </c>
      <c r="C24" s="108">
        <v>600</v>
      </c>
      <c r="D24" s="104">
        <v>240</v>
      </c>
      <c r="E24" s="107" t="s">
        <v>184</v>
      </c>
      <c r="F24" s="871">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95</v>
      </c>
      <c r="G24" s="106">
        <f t="shared" si="2"/>
        <v>3</v>
      </c>
      <c r="H24" s="105">
        <v>199</v>
      </c>
      <c r="I24" s="104">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2388</v>
      </c>
      <c r="J24" s="85"/>
      <c r="L24" s="84"/>
      <c r="N24" s="535"/>
      <c r="AA24" t="s">
        <v>1165</v>
      </c>
      <c r="AB24" t="s">
        <v>1426</v>
      </c>
    </row>
    <row r="25" spans="1:28" ht="21" customHeight="1" x14ac:dyDescent="0.3">
      <c r="A25" s="110"/>
      <c r="B25" s="109"/>
      <c r="C25" s="108"/>
      <c r="D25" s="104"/>
      <c r="E25" s="107" t="s">
        <v>184</v>
      </c>
      <c r="F25" s="871" t="str">
        <f>IF($B25="","",IF(SUMIFS(CONFIG_PALETES!$C:$C,CONFIG_PALETES!$A:$A,TRIM($B25),CONFIG_PALETES!$B:$B,$C25&amp;" ml")&gt;0,SUMIFS(CONFIG_PALETES!$C:$C,CONFIG_PALETES!$A:$A,TRIM($B25),CONFIG_PALETES!$B:$B,$C25&amp;" ml"),IF(SUMIFS(CONFIG_PALETES!$C:$C,CONFIG_PALETES!$A:$A,"GERAL",CONFIG_PALETES!$B:$B,$C25&amp;" ml")&gt;0,SUMIFS(CONFIG_PALETES!$C:$C,CONFIG_PALETES!$A:$A,"GERAL",CONFIG_PALETES!$B:$B,$C25&amp;" ml"),"")))</f>
        <v/>
      </c>
      <c r="G25" s="106" t="str">
        <f t="shared" si="2"/>
        <v/>
      </c>
      <c r="H25" s="105"/>
      <c r="I25" s="104" t="str">
        <f>IF(H25="","",H25*IF(SUMIFS(CONFIG_PALETES!$D:$D,CONFIG_PALETES!$A:$A,IF(ISNUMBER(SEARCH("ESPUMA",$B25)),"ESPUMA",IF(OR(ISNUMBER(SEARCH("OLEO DE COCO",$B25)),ISNUMBER(SEARCH("ÓLEO DE COCO",$B25)),ISNUMBER(SEARCH("COPRA",$B25))),"ÓLEO DE COCO",IF(ISNUMBER(SEARCH("CORANTE",$B25)),"CORANTE",TRIM($B25)))),CONFIG_PALETES!$B:$B,$C25&amp;" ml")&gt;0,SUMIFS(CONFIG_PALETES!$D:$D,CONFIG_PALETES!$A:$A,IF(ISNUMBER(SEARCH("ESPUMA",$B25)),"ESPUMA",IF(OR(ISNUMBER(SEARCH("OLEO DE COCO",$B25)),ISNUMBER(SEARCH("ÓLEO DE COCO",$B25)),ISNUMBER(SEARCH("COPRA",$B25))),"ÓLEO DE COCO",IF(ISNUMBER(SEARCH("CORANTE",$B25)),"CORANTE",TRIM($B25)))),CONFIG_PALETES!$B:$B,$C25&amp;" ml"),IF(SUMIFS(CONFIG_PALETES!$D:$D,CONFIG_PALETES!$A:$A,"GERAL",CONFIG_PALETES!$B:$B,$C25&amp;" ml")&gt;0,SUMIFS(CONFIG_PALETES!$D:$D,CONFIG_PALETES!$A:$A,"GERAL",CONFIG_PALETES!$B:$B,$C25&amp;" ml"),12)))</f>
        <v/>
      </c>
      <c r="J25" s="98"/>
      <c r="K25" s="67"/>
      <c r="L25" s="97"/>
      <c r="M25" s="67"/>
      <c r="N25" s="536"/>
      <c r="AA25" t="s">
        <v>1159</v>
      </c>
      <c r="AB25" t="s">
        <v>1423</v>
      </c>
    </row>
    <row r="26" spans="1:28" ht="21" customHeight="1" x14ac:dyDescent="0.3">
      <c r="A26" s="110"/>
      <c r="B26" s="109"/>
      <c r="C26" s="108"/>
      <c r="D26" s="104"/>
      <c r="E26" s="107" t="s">
        <v>184</v>
      </c>
      <c r="F26" s="871" t="str">
        <f>IF($B26="","",IF(SUMIFS(CONFIG_PALETES!$C:$C,CONFIG_PALETES!$A:$A,TRIM($B26),CONFIG_PALETES!$B:$B,$C26&amp;" ml")&gt;0,SUMIFS(CONFIG_PALETES!$C:$C,CONFIG_PALETES!$A:$A,TRIM($B26),CONFIG_PALETES!$B:$B,$C26&amp;" ml"),IF(SUMIFS(CONFIG_PALETES!$C:$C,CONFIG_PALETES!$A:$A,"GERAL",CONFIG_PALETES!$B:$B,$C26&amp;" ml")&gt;0,SUMIFS(CONFIG_PALETES!$C:$C,CONFIG_PALETES!$A:$A,"GERAL",CONFIG_PALETES!$B:$B,$C26&amp;" ml"),"")))</f>
        <v/>
      </c>
      <c r="G26" s="106" t="str">
        <f t="shared" si="2"/>
        <v/>
      </c>
      <c r="H26" s="105"/>
      <c r="I26" s="104" t="str">
        <f>IF(H26="","",H26*IF(SUMIFS(CONFIG_PALETES!$D:$D,CONFIG_PALETES!$A:$A,IF(ISNUMBER(SEARCH("ESPUMA",$B26)),"ESPUMA",IF(OR(ISNUMBER(SEARCH("OLEO DE COCO",$B26)),ISNUMBER(SEARCH("ÓLEO DE COCO",$B26)),ISNUMBER(SEARCH("COPRA",$B26))),"ÓLEO DE COCO",IF(ISNUMBER(SEARCH("CORANTE",$B26)),"CORANTE",TRIM($B26)))),CONFIG_PALETES!$B:$B,$C26&amp;" ml")&gt;0,SUMIFS(CONFIG_PALETES!$D:$D,CONFIG_PALETES!$A:$A,IF(ISNUMBER(SEARCH("ESPUMA",$B26)),"ESPUMA",IF(OR(ISNUMBER(SEARCH("OLEO DE COCO",$B26)),ISNUMBER(SEARCH("ÓLEO DE COCO",$B26)),ISNUMBER(SEARCH("COPRA",$B26))),"ÓLEO DE COCO",IF(ISNUMBER(SEARCH("CORANTE",$B26)),"CORANTE",TRIM($B26)))),CONFIG_PALETES!$B:$B,$C26&amp;" ml"),IF(SUMIFS(CONFIG_PALETES!$D:$D,CONFIG_PALETES!$A:$A,"GERAL",CONFIG_PALETES!$B:$B,$C26&amp;" ml")&gt;0,SUMIFS(CONFIG_PALETES!$D:$D,CONFIG_PALETES!$A:$A,"GERAL",CONFIG_PALETES!$B:$B,$C26&amp;" ml"),12)))</f>
        <v/>
      </c>
      <c r="AA26" t="s">
        <v>287</v>
      </c>
      <c r="AB26" t="s">
        <v>1427</v>
      </c>
    </row>
    <row r="27" spans="1:28" ht="21" customHeight="1" x14ac:dyDescent="0.3">
      <c r="A27" s="817"/>
      <c r="B27" s="818"/>
      <c r="C27" s="819"/>
      <c r="D27" s="820"/>
      <c r="E27" s="821" t="s">
        <v>184</v>
      </c>
      <c r="F27" s="872" t="str">
        <f>IF($B27="","",IF(SUMIFS(CONFIG_PALETES!$C:$C,CONFIG_PALETES!$A:$A,TRIM($B27),CONFIG_PALETES!$B:$B,$C27&amp;" ml")&gt;0,SUMIFS(CONFIG_PALETES!$C:$C,CONFIG_PALETES!$A:$A,TRIM($B27),CONFIG_PALETES!$B:$B,$C27&amp;" ml"),IF(SUMIFS(CONFIG_PALETES!$C:$C,CONFIG_PALETES!$A:$A,"GERAL",CONFIG_PALETES!$B:$B,$C27&amp;" ml")&gt;0,SUMIFS(CONFIG_PALETES!$C:$C,CONFIG_PALETES!$A:$A,"GERAL",CONFIG_PALETES!$B:$B,$C27&amp;" ml"),"")))</f>
        <v/>
      </c>
      <c r="G27" s="822" t="str">
        <f t="shared" si="2"/>
        <v/>
      </c>
      <c r="H27" s="823"/>
      <c r="I27" s="820" t="str">
        <f>IF(H27="","",H27*IF(SUMIFS(CONFIG_PALETES!$D:$D,CONFIG_PALETES!$A:$A,IF(ISNUMBER(SEARCH("ESPUMA",$B27)),"ESPUMA",IF(OR(ISNUMBER(SEARCH("OLEO DE COCO",$B27)),ISNUMBER(SEARCH("ÓLEO DE COCO",$B27)),ISNUMBER(SEARCH("COPRA",$B27))),"ÓLEO DE COCO",IF(ISNUMBER(SEARCH("CORANTE",$B27)),"CORANTE",TRIM($B27)))),CONFIG_PALETES!$B:$B,$C27&amp;" ml")&gt;0,SUMIFS(CONFIG_PALETES!$D:$D,CONFIG_PALETES!$A:$A,IF(ISNUMBER(SEARCH("ESPUMA",$B27)),"ESPUMA",IF(OR(ISNUMBER(SEARCH("OLEO DE COCO",$B27)),ISNUMBER(SEARCH("ÓLEO DE COCO",$B27)),ISNUMBER(SEARCH("COPRA",$B27))),"ÓLEO DE COCO",IF(ISNUMBER(SEARCH("CORANTE",$B27)),"CORANTE",TRIM($B27)))),CONFIG_PALETES!$B:$B,$C27&amp;" ml"),IF(SUMIFS(CONFIG_PALETES!$D:$D,CONFIG_PALETES!$A:$A,"GERAL",CONFIG_PALETES!$B:$B,$C27&amp;" ml")&gt;0,SUMIFS(CONFIG_PALETES!$D:$D,CONFIG_PALETES!$A:$A,"GERAL",CONFIG_PALETES!$B:$B,$C27&amp;" ml"),12)))</f>
        <v/>
      </c>
      <c r="J27" s="72"/>
      <c r="K27" s="72"/>
      <c r="L27" s="87"/>
      <c r="M27" s="72"/>
      <c r="N27" s="537"/>
      <c r="AA27" t="s">
        <v>996</v>
      </c>
      <c r="AB27" t="s">
        <v>1426</v>
      </c>
    </row>
    <row r="28" spans="1:28" ht="15" customHeight="1" x14ac:dyDescent="0.3">
      <c r="A28" s="899"/>
      <c r="B28" s="846" t="s">
        <v>186</v>
      </c>
      <c r="C28" s="847"/>
      <c r="D28" s="848">
        <f>SUM(D21:D27)</f>
        <v>525</v>
      </c>
      <c r="E28" s="849"/>
      <c r="F28" s="856" t="s">
        <v>1400</v>
      </c>
      <c r="G28" s="850">
        <f>SUM(G21:G27)</f>
        <v>6</v>
      </c>
      <c r="H28" s="848">
        <f>SUM(H21:H27)</f>
        <v>956</v>
      </c>
      <c r="I28" s="848">
        <f>SUM(I21:I27)</f>
        <v>11472</v>
      </c>
      <c r="J28" s="85">
        <f>SUM(D22:D27)</f>
        <v>525</v>
      </c>
      <c r="K28" s="1">
        <f>SUM(G22:G27)</f>
        <v>6</v>
      </c>
      <c r="L28" s="84">
        <f>SUM(H22:H27)</f>
        <v>956</v>
      </c>
      <c r="M28" s="1">
        <f>SUM(I22:I27)</f>
        <v>11472</v>
      </c>
      <c r="N28" s="535"/>
      <c r="P28" s="592" cm="1">
        <f t="array" ref="P28">IF(H28=0,"",SUMPRODUCT(IFERROR(INT(H22:H27/F22:F27),0)))</f>
        <v>9</v>
      </c>
      <c r="Q28" s="770">
        <f>IF(P28="","",MAX(0,G28-P28))</f>
        <v>0</v>
      </c>
      <c r="R28" s="584"/>
      <c r="S28" s="585"/>
      <c r="AA28" t="s">
        <v>288</v>
      </c>
      <c r="AB28" t="s">
        <v>1426</v>
      </c>
    </row>
    <row r="29" spans="1:28" ht="6" customHeight="1" x14ac:dyDescent="0.3">
      <c r="C29" s="65"/>
      <c r="J29" s="82"/>
      <c r="L29" s="81"/>
      <c r="M29" s="70"/>
      <c r="N29" s="536"/>
      <c r="AA29" t="s">
        <v>93</v>
      </c>
      <c r="AB29" t="s">
        <v>1428</v>
      </c>
    </row>
    <row r="30" spans="1:28" ht="15" customHeight="1" x14ac:dyDescent="0.3">
      <c r="A30" s="75">
        <v>46086</v>
      </c>
      <c r="B30" s="113" t="s">
        <v>49</v>
      </c>
      <c r="C30" s="112" t="s">
        <v>176</v>
      </c>
      <c r="D30" s="111" t="s">
        <v>177</v>
      </c>
      <c r="E30" s="111" t="s">
        <v>178</v>
      </c>
      <c r="F30" s="860" t="s">
        <v>179</v>
      </c>
      <c r="G30" s="111" t="s">
        <v>180</v>
      </c>
      <c r="H30" s="111" t="s">
        <v>181</v>
      </c>
      <c r="I30" s="111" t="s">
        <v>182</v>
      </c>
      <c r="J30" s="85"/>
      <c r="L30" s="84"/>
      <c r="M30" s="70"/>
      <c r="N30" s="535"/>
      <c r="AA30" t="s">
        <v>406</v>
      </c>
      <c r="AB30" t="s">
        <v>1428</v>
      </c>
    </row>
    <row r="31" spans="1:28" ht="21" customHeight="1" x14ac:dyDescent="0.3">
      <c r="A31" s="110"/>
      <c r="B31" s="109" t="s">
        <v>395</v>
      </c>
      <c r="C31" s="108">
        <v>600</v>
      </c>
      <c r="D31" s="104">
        <f>D23-J23</f>
        <v>285</v>
      </c>
      <c r="E31" s="107" t="s">
        <v>184</v>
      </c>
      <c r="F31" s="871">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95</v>
      </c>
      <c r="G31" s="106">
        <f t="shared" ref="G31:G36" si="3">IFERROR(ROUNDUP(D31/F31,0),"")</f>
        <v>3</v>
      </c>
      <c r="H31" s="105">
        <v>42</v>
      </c>
      <c r="I31" s="104">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504</v>
      </c>
      <c r="J31" s="82"/>
      <c r="L31" s="81"/>
      <c r="M31" s="70"/>
      <c r="N31" s="536"/>
      <c r="O31" s="63"/>
      <c r="AA31" t="s">
        <v>407</v>
      </c>
      <c r="AB31" t="s">
        <v>1428</v>
      </c>
    </row>
    <row r="32" spans="1:28" ht="21" customHeight="1" x14ac:dyDescent="0.3">
      <c r="A32" s="110"/>
      <c r="B32" s="109" t="s">
        <v>396</v>
      </c>
      <c r="C32" s="108">
        <v>600</v>
      </c>
      <c r="D32" s="104">
        <v>308</v>
      </c>
      <c r="E32" s="107" t="s">
        <v>184</v>
      </c>
      <c r="F32" s="871">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95</v>
      </c>
      <c r="G32" s="106">
        <f t="shared" si="3"/>
        <v>4</v>
      </c>
      <c r="H32" s="105">
        <v>307</v>
      </c>
      <c r="I32" s="104">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3684</v>
      </c>
      <c r="J32" s="85"/>
      <c r="L32" s="84"/>
      <c r="M32" s="70"/>
      <c r="N32" s="535"/>
      <c r="O32" s="63"/>
      <c r="AA32" t="s">
        <v>95</v>
      </c>
      <c r="AB32" t="s">
        <v>1428</v>
      </c>
    </row>
    <row r="33" spans="1:28" ht="21" customHeight="1" x14ac:dyDescent="0.3">
      <c r="A33" s="110"/>
      <c r="B33" s="109" t="s">
        <v>397</v>
      </c>
      <c r="C33" s="108">
        <v>180</v>
      </c>
      <c r="D33" s="104">
        <v>240</v>
      </c>
      <c r="E33" s="107" t="s">
        <v>184</v>
      </c>
      <c r="F33" s="871">
        <f>IF($B33="","",IF(SUMIFS(CONFIG_PALETES!$C:$C,CONFIG_PALETES!$A:$A,TRIM($B33),CONFIG_PALETES!$B:$B,$C33&amp;" ml")&gt;0,SUMIFS(CONFIG_PALETES!$C:$C,CONFIG_PALETES!$A:$A,TRIM($B33),CONFIG_PALETES!$B:$B,$C33&amp;" ml"),IF(SUMIFS(CONFIG_PALETES!$C:$C,CONFIG_PALETES!$A:$A,"GERAL",CONFIG_PALETES!$B:$B,$C33&amp;" ml")&gt;0,SUMIFS(CONFIG_PALETES!$C:$C,CONFIG_PALETES!$A:$A,"GERAL",CONFIG_PALETES!$B:$B,$C33&amp;" ml"),"")))</f>
        <v>240</v>
      </c>
      <c r="G33" s="106">
        <f t="shared" si="3"/>
        <v>1</v>
      </c>
      <c r="H33" s="105">
        <v>242</v>
      </c>
      <c r="I33" s="104">
        <f>IF(H33="","",H33*IF(SUMIFS(CONFIG_PALETES!$D:$D,CONFIG_PALETES!$A:$A,IF(ISNUMBER(SEARCH("ESPUMA",$B33)),"ESPUMA",IF(OR(ISNUMBER(SEARCH("OLEO DE COCO",$B33)),ISNUMBER(SEARCH("ÓLEO DE COCO",$B33)),ISNUMBER(SEARCH("COPRA",$B33))),"ÓLEO DE COCO",IF(ISNUMBER(SEARCH("CORANTE",$B33)),"CORANTE",TRIM($B33)))),CONFIG_PALETES!$B:$B,$C33&amp;" ml")&gt;0,SUMIFS(CONFIG_PALETES!$D:$D,CONFIG_PALETES!$A:$A,IF(ISNUMBER(SEARCH("ESPUMA",$B33)),"ESPUMA",IF(OR(ISNUMBER(SEARCH("OLEO DE COCO",$B33)),ISNUMBER(SEARCH("ÓLEO DE COCO",$B33)),ISNUMBER(SEARCH("COPRA",$B33))),"ÓLEO DE COCO",IF(ISNUMBER(SEARCH("CORANTE",$B33)),"CORANTE",TRIM($B33)))),CONFIG_PALETES!$B:$B,$C33&amp;" ml"),IF(SUMIFS(CONFIG_PALETES!$D:$D,CONFIG_PALETES!$A:$A,"GERAL",CONFIG_PALETES!$B:$B,$C33&amp;" ml")&gt;0,SUMIFS(CONFIG_PALETES!$D:$D,CONFIG_PALETES!$A:$A,"GERAL",CONFIG_PALETES!$B:$B,$C33&amp;" ml"),12)))</f>
        <v>2904</v>
      </c>
      <c r="J33" s="82"/>
      <c r="L33" s="81"/>
      <c r="N33" s="536"/>
      <c r="AA33" t="s">
        <v>471</v>
      </c>
      <c r="AB33" t="s">
        <v>1428</v>
      </c>
    </row>
    <row r="34" spans="1:28" ht="21" customHeight="1" x14ac:dyDescent="0.3">
      <c r="A34" s="110"/>
      <c r="B34" s="109" t="s">
        <v>25</v>
      </c>
      <c r="C34" s="108">
        <v>180</v>
      </c>
      <c r="D34" s="104">
        <v>240</v>
      </c>
      <c r="E34" s="107" t="s">
        <v>184</v>
      </c>
      <c r="F34" s="871">
        <f>IF($B34="","",IF(SUMIFS(CONFIG_PALETES!$C:$C,CONFIG_PALETES!$A:$A,TRIM($B34),CONFIG_PALETES!$B:$B,$C34&amp;" ml")&gt;0,SUMIFS(CONFIG_PALETES!$C:$C,CONFIG_PALETES!$A:$A,TRIM($B34),CONFIG_PALETES!$B:$B,$C34&amp;" ml"),IF(SUMIFS(CONFIG_PALETES!$C:$C,CONFIG_PALETES!$A:$A,"GERAL",CONFIG_PALETES!$B:$B,$C34&amp;" ml")&gt;0,SUMIFS(CONFIG_PALETES!$C:$C,CONFIG_PALETES!$A:$A,"GERAL",CONFIG_PALETES!$B:$B,$C34&amp;" ml"),"")))</f>
        <v>240</v>
      </c>
      <c r="G34" s="106">
        <f t="shared" si="3"/>
        <v>1</v>
      </c>
      <c r="H34" s="105">
        <v>276</v>
      </c>
      <c r="I34" s="104">
        <f>IF(H34="","",H34*IF(SUMIFS(CONFIG_PALETES!$D:$D,CONFIG_PALETES!$A:$A,IF(ISNUMBER(SEARCH("ESPUMA",$B34)),"ESPUMA",IF(OR(ISNUMBER(SEARCH("OLEO DE COCO",$B34)),ISNUMBER(SEARCH("ÓLEO DE COCO",$B34)),ISNUMBER(SEARCH("COPRA",$B34))),"ÓLEO DE COCO",IF(ISNUMBER(SEARCH("CORANTE",$B34)),"CORANTE",TRIM($B34)))),CONFIG_PALETES!$B:$B,$C34&amp;" ml")&gt;0,SUMIFS(CONFIG_PALETES!$D:$D,CONFIG_PALETES!$A:$A,IF(ISNUMBER(SEARCH("ESPUMA",$B34)),"ESPUMA",IF(OR(ISNUMBER(SEARCH("OLEO DE COCO",$B34)),ISNUMBER(SEARCH("ÓLEO DE COCO",$B34)),ISNUMBER(SEARCH("COPRA",$B34))),"ÓLEO DE COCO",IF(ISNUMBER(SEARCH("CORANTE",$B34)),"CORANTE",TRIM($B34)))),CONFIG_PALETES!$B:$B,$C34&amp;" ml"),IF(SUMIFS(CONFIG_PALETES!$D:$D,CONFIG_PALETES!$A:$A,"GERAL",CONFIG_PALETES!$B:$B,$C34&amp;" ml")&gt;0,SUMIFS(CONFIG_PALETES!$D:$D,CONFIG_PALETES!$A:$A,"GERAL",CONFIG_PALETES!$B:$B,$C34&amp;" ml"),12)))</f>
        <v>3312</v>
      </c>
      <c r="L34" s="70"/>
      <c r="AA34" t="s">
        <v>292</v>
      </c>
      <c r="AB34" t="s">
        <v>1428</v>
      </c>
    </row>
    <row r="35" spans="1:28" ht="21" customHeight="1" x14ac:dyDescent="0.3">
      <c r="A35" s="110"/>
      <c r="B35" s="109" t="s">
        <v>398</v>
      </c>
      <c r="C35" s="108">
        <v>180</v>
      </c>
      <c r="D35" s="104">
        <v>240</v>
      </c>
      <c r="E35" s="107" t="s">
        <v>184</v>
      </c>
      <c r="F35" s="871">
        <f>IF($B35="","",IF(SUMIFS(CONFIG_PALETES!$C:$C,CONFIG_PALETES!$A:$A,TRIM($B35),CONFIG_PALETES!$B:$B,$C35&amp;" ml")&gt;0,SUMIFS(CONFIG_PALETES!$C:$C,CONFIG_PALETES!$A:$A,TRIM($B35),CONFIG_PALETES!$B:$B,$C35&amp;" ml"),IF(SUMIFS(CONFIG_PALETES!$C:$C,CONFIG_PALETES!$A:$A,"GERAL",CONFIG_PALETES!$B:$B,$C35&amp;" ml")&gt;0,SUMIFS(CONFIG_PALETES!$C:$C,CONFIG_PALETES!$A:$A,"GERAL",CONFIG_PALETES!$B:$B,$C35&amp;" ml"),"")))</f>
        <v>240</v>
      </c>
      <c r="G35" s="106">
        <f t="shared" si="3"/>
        <v>1</v>
      </c>
      <c r="H35" s="105">
        <v>242</v>
      </c>
      <c r="I35" s="104">
        <f>IF(H35="","",H35*IF(SUMIFS(CONFIG_PALETES!$D:$D,CONFIG_PALETES!$A:$A,IF(ISNUMBER(SEARCH("ESPUMA",$B35)),"ESPUMA",IF(OR(ISNUMBER(SEARCH("OLEO DE COCO",$B35)),ISNUMBER(SEARCH("ÓLEO DE COCO",$B35)),ISNUMBER(SEARCH("COPRA",$B35))),"ÓLEO DE COCO",IF(ISNUMBER(SEARCH("CORANTE",$B35)),"CORANTE",TRIM($B35)))),CONFIG_PALETES!$B:$B,$C35&amp;" ml")&gt;0,SUMIFS(CONFIG_PALETES!$D:$D,CONFIG_PALETES!$A:$A,IF(ISNUMBER(SEARCH("ESPUMA",$B35)),"ESPUMA",IF(OR(ISNUMBER(SEARCH("OLEO DE COCO",$B35)),ISNUMBER(SEARCH("ÓLEO DE COCO",$B35)),ISNUMBER(SEARCH("COPRA",$B35))),"ÓLEO DE COCO",IF(ISNUMBER(SEARCH("CORANTE",$B35)),"CORANTE",TRIM($B35)))),CONFIG_PALETES!$B:$B,$C35&amp;" ml"),IF(SUMIFS(CONFIG_PALETES!$D:$D,CONFIG_PALETES!$A:$A,"GERAL",CONFIG_PALETES!$B:$B,$C35&amp;" ml")&gt;0,SUMIFS(CONFIG_PALETES!$D:$D,CONFIG_PALETES!$A:$A,"GERAL",CONFIG_PALETES!$B:$B,$C35&amp;" ml"),12)))</f>
        <v>2904</v>
      </c>
      <c r="J35" s="67"/>
      <c r="K35" s="67"/>
      <c r="L35" s="89"/>
      <c r="M35" s="67"/>
      <c r="N35" s="63"/>
      <c r="AA35" t="s">
        <v>1193</v>
      </c>
      <c r="AB35" t="s">
        <v>1428</v>
      </c>
    </row>
    <row r="36" spans="1:28" ht="21" customHeight="1" x14ac:dyDescent="0.3">
      <c r="A36" s="817"/>
      <c r="B36" s="818"/>
      <c r="C36" s="819"/>
      <c r="D36" s="820"/>
      <c r="E36" s="821" t="s">
        <v>184</v>
      </c>
      <c r="F36" s="872"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822" t="str">
        <f t="shared" si="3"/>
        <v/>
      </c>
      <c r="H36" s="823"/>
      <c r="I36" s="820"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AA36" t="s">
        <v>294</v>
      </c>
      <c r="AB36" t="s">
        <v>1428</v>
      </c>
    </row>
    <row r="37" spans="1:28" ht="15" customHeight="1" x14ac:dyDescent="0.3">
      <c r="A37" s="899"/>
      <c r="B37" s="846" t="s">
        <v>186</v>
      </c>
      <c r="C37" s="847"/>
      <c r="D37" s="848">
        <f>SUM(D30:D36)</f>
        <v>1313</v>
      </c>
      <c r="E37" s="849"/>
      <c r="F37" s="856" t="s">
        <v>1400</v>
      </c>
      <c r="G37" s="850">
        <f>SUM(G30:G36)</f>
        <v>10</v>
      </c>
      <c r="H37" s="848">
        <f>SUM(H30:H36)</f>
        <v>1109</v>
      </c>
      <c r="I37" s="848">
        <f>SUM(I30:I36)</f>
        <v>13308</v>
      </c>
      <c r="J37" s="72">
        <f>SUM(D31:D36)</f>
        <v>1313</v>
      </c>
      <c r="K37" s="72">
        <f>SUM(G31:G36)</f>
        <v>10</v>
      </c>
      <c r="L37" s="87">
        <f>SUM(H31:H36)</f>
        <v>1109</v>
      </c>
      <c r="M37" s="72">
        <f>SUM(I31:I36)</f>
        <v>13308</v>
      </c>
      <c r="N37" s="537"/>
      <c r="P37" s="587" cm="1">
        <f t="array" ref="P37">IF(H37=0,"",SUMPRODUCT(IFERROR(INT(H31:H36/F31:F36),0)))</f>
        <v>6</v>
      </c>
      <c r="Q37" s="770">
        <f>IF(P37="","",MAX(0,G37-P37))</f>
        <v>4</v>
      </c>
      <c r="R37" s="584"/>
      <c r="S37" s="585"/>
      <c r="AA37" t="s">
        <v>591</v>
      </c>
      <c r="AB37" t="s">
        <v>1428</v>
      </c>
    </row>
    <row r="38" spans="1:28" ht="6" customHeight="1" x14ac:dyDescent="0.3">
      <c r="C38" s="65"/>
      <c r="J38" s="85"/>
      <c r="L38" s="84"/>
      <c r="N38" s="535"/>
      <c r="AA38" t="s">
        <v>590</v>
      </c>
      <c r="AB38" t="s">
        <v>1428</v>
      </c>
    </row>
    <row r="39" spans="1:28" ht="15" customHeight="1" x14ac:dyDescent="0.3">
      <c r="A39" s="75">
        <v>46087</v>
      </c>
      <c r="B39" s="113" t="s">
        <v>49</v>
      </c>
      <c r="C39" s="112" t="s">
        <v>176</v>
      </c>
      <c r="D39" s="111" t="s">
        <v>177</v>
      </c>
      <c r="E39" s="111" t="s">
        <v>178</v>
      </c>
      <c r="F39" s="860" t="s">
        <v>179</v>
      </c>
      <c r="G39" s="111" t="s">
        <v>180</v>
      </c>
      <c r="H39" s="111" t="s">
        <v>181</v>
      </c>
      <c r="I39" s="111" t="s">
        <v>182</v>
      </c>
      <c r="J39" s="82"/>
      <c r="L39" s="81"/>
      <c r="M39" s="70"/>
      <c r="N39" s="536"/>
      <c r="P39" s="593"/>
      <c r="AA39" t="s">
        <v>592</v>
      </c>
      <c r="AB39" t="s">
        <v>1428</v>
      </c>
    </row>
    <row r="40" spans="1:28" ht="21" customHeight="1" x14ac:dyDescent="0.3">
      <c r="A40" s="110"/>
      <c r="B40" s="109" t="s">
        <v>399</v>
      </c>
      <c r="C40" s="108">
        <v>120</v>
      </c>
      <c r="D40" s="104">
        <v>240</v>
      </c>
      <c r="E40" s="107" t="s">
        <v>184</v>
      </c>
      <c r="F40" s="871"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106" t="str">
        <f t="shared" ref="G40:G45" si="4">IFERROR(ROUNDUP(D40/F40,0),"")</f>
        <v/>
      </c>
      <c r="H40" s="105">
        <v>241</v>
      </c>
      <c r="I40" s="104">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2892</v>
      </c>
      <c r="J40" s="85"/>
      <c r="L40" s="84"/>
      <c r="M40" s="70"/>
      <c r="N40" s="661"/>
      <c r="O40" s="661"/>
      <c r="P40" s="661"/>
      <c r="Q40" s="661"/>
      <c r="AA40" t="s">
        <v>473</v>
      </c>
      <c r="AB40" t="s">
        <v>1428</v>
      </c>
    </row>
    <row r="41" spans="1:28" ht="21" customHeight="1" x14ac:dyDescent="0.3">
      <c r="A41" s="110"/>
      <c r="B41" s="109" t="s">
        <v>400</v>
      </c>
      <c r="C41" s="108">
        <v>120</v>
      </c>
      <c r="D41" s="104">
        <v>240</v>
      </c>
      <c r="E41" s="107" t="s">
        <v>184</v>
      </c>
      <c r="F41" s="871" t="str">
        <f>IF($B41="","",IF(SUMIFS(CONFIG_PALETES!$C:$C,CONFIG_PALETES!$A:$A,TRIM($B41),CONFIG_PALETES!$B:$B,$C41&amp;" ml")&gt;0,SUMIFS(CONFIG_PALETES!$C:$C,CONFIG_PALETES!$A:$A,TRIM($B41),CONFIG_PALETES!$B:$B,$C41&amp;" ml"),IF(SUMIFS(CONFIG_PALETES!$C:$C,CONFIG_PALETES!$A:$A,"GERAL",CONFIG_PALETES!$B:$B,$C41&amp;" ml")&gt;0,SUMIFS(CONFIG_PALETES!$C:$C,CONFIG_PALETES!$A:$A,"GERAL",CONFIG_PALETES!$B:$B,$C41&amp;" ml"),"")))</f>
        <v/>
      </c>
      <c r="G41" s="106" t="str">
        <f t="shared" si="4"/>
        <v/>
      </c>
      <c r="H41" s="105">
        <v>242</v>
      </c>
      <c r="I41" s="104">
        <f>IF(H41="","",H41*IF(SUMIFS(CONFIG_PALETES!$D:$D,CONFIG_PALETES!$A:$A,IF(ISNUMBER(SEARCH("ESPUMA",$B41)),"ESPUMA",IF(OR(ISNUMBER(SEARCH("OLEO DE COCO",$B41)),ISNUMBER(SEARCH("ÓLEO DE COCO",$B41)),ISNUMBER(SEARCH("COPRA",$B41))),"ÓLEO DE COCO",IF(ISNUMBER(SEARCH("CORANTE",$B41)),"CORANTE",TRIM($B41)))),CONFIG_PALETES!$B:$B,$C41&amp;" ml")&gt;0,SUMIFS(CONFIG_PALETES!$D:$D,CONFIG_PALETES!$A:$A,IF(ISNUMBER(SEARCH("ESPUMA",$B41)),"ESPUMA",IF(OR(ISNUMBER(SEARCH("OLEO DE COCO",$B41)),ISNUMBER(SEARCH("ÓLEO DE COCO",$B41)),ISNUMBER(SEARCH("COPRA",$B41))),"ÓLEO DE COCO",IF(ISNUMBER(SEARCH("CORANTE",$B41)),"CORANTE",TRIM($B41)))),CONFIG_PALETES!$B:$B,$C41&amp;" ml"),IF(SUMIFS(CONFIG_PALETES!$D:$D,CONFIG_PALETES!$A:$A,"GERAL",CONFIG_PALETES!$B:$B,$C41&amp;" ml")&gt;0,SUMIFS(CONFIG_PALETES!$D:$D,CONFIG_PALETES!$A:$A,"GERAL",CONFIG_PALETES!$B:$B,$C41&amp;" ml"),12)))</f>
        <v>2904</v>
      </c>
      <c r="J41" s="82"/>
      <c r="L41" s="81"/>
      <c r="N41" s="661"/>
      <c r="O41" s="661"/>
      <c r="P41" s="661"/>
      <c r="Q41" s="661"/>
      <c r="AA41" t="s">
        <v>296</v>
      </c>
      <c r="AB41" t="s">
        <v>1428</v>
      </c>
    </row>
    <row r="42" spans="1:28" ht="21" customHeight="1" x14ac:dyDescent="0.3">
      <c r="A42" s="110"/>
      <c r="B42" s="109" t="s">
        <v>401</v>
      </c>
      <c r="C42" s="108">
        <v>400</v>
      </c>
      <c r="D42" s="104">
        <v>193</v>
      </c>
      <c r="E42" s="107" t="s">
        <v>184</v>
      </c>
      <c r="F42" s="871">
        <f>IF($B42="","",IF(SUMIFS(CONFIG_PALETES!$C:$C,CONFIG_PALETES!$A:$A,TRIM($B42),CONFIG_PALETES!$B:$B,$C42&amp;" ml")&gt;0,SUMIFS(CONFIG_PALETES!$C:$C,CONFIG_PALETES!$A:$A,TRIM($B42),CONFIG_PALETES!$B:$B,$C42&amp;" ml"),IF(SUMIFS(CONFIG_PALETES!$C:$C,CONFIG_PALETES!$A:$A,"GERAL",CONFIG_PALETES!$B:$B,$C42&amp;" ml")&gt;0,SUMIFS(CONFIG_PALETES!$C:$C,CONFIG_PALETES!$A:$A,"GERAL",CONFIG_PALETES!$B:$B,$C42&amp;" ml"),"")))</f>
        <v>125</v>
      </c>
      <c r="G42" s="106">
        <f t="shared" si="4"/>
        <v>2</v>
      </c>
      <c r="H42" s="105">
        <v>192</v>
      </c>
      <c r="I42" s="104">
        <f>IF(H42="","",H42*IF(SUMIFS(CONFIG_PALETES!$D:$D,CONFIG_PALETES!$A:$A,IF(ISNUMBER(SEARCH("ESPUMA",$B42)),"ESPUMA",IF(OR(ISNUMBER(SEARCH("OLEO DE COCO",$B42)),ISNUMBER(SEARCH("ÓLEO DE COCO",$B42)),ISNUMBER(SEARCH("COPRA",$B42))),"ÓLEO DE COCO",IF(ISNUMBER(SEARCH("CORANTE",$B42)),"CORANTE",TRIM($B42)))),CONFIG_PALETES!$B:$B,$C42&amp;" ml")&gt;0,SUMIFS(CONFIG_PALETES!$D:$D,CONFIG_PALETES!$A:$A,IF(ISNUMBER(SEARCH("ESPUMA",$B42)),"ESPUMA",IF(OR(ISNUMBER(SEARCH("OLEO DE COCO",$B42)),ISNUMBER(SEARCH("ÓLEO DE COCO",$B42)),ISNUMBER(SEARCH("COPRA",$B42))),"ÓLEO DE COCO",IF(ISNUMBER(SEARCH("CORANTE",$B42)),"CORANTE",TRIM($B42)))),CONFIG_PALETES!$B:$B,$C42&amp;" ml"),IF(SUMIFS(CONFIG_PALETES!$D:$D,CONFIG_PALETES!$A:$A,"GERAL",CONFIG_PALETES!$B:$B,$C42&amp;" ml")&gt;0,SUMIFS(CONFIG_PALETES!$D:$D,CONFIG_PALETES!$A:$A,"GERAL",CONFIG_PALETES!$B:$B,$C42&amp;" ml"),12)))</f>
        <v>2304</v>
      </c>
      <c r="J42" s="85"/>
      <c r="L42" s="84"/>
      <c r="N42" s="661"/>
      <c r="O42" s="661"/>
      <c r="P42" s="661"/>
      <c r="Q42" s="661"/>
      <c r="AA42" t="s">
        <v>472</v>
      </c>
      <c r="AB42" t="s">
        <v>1428</v>
      </c>
    </row>
    <row r="43" spans="1:28" ht="21" customHeight="1" x14ac:dyDescent="0.3">
      <c r="A43" s="110"/>
      <c r="B43" s="109" t="s">
        <v>33</v>
      </c>
      <c r="C43" s="108">
        <v>400</v>
      </c>
      <c r="D43" s="104">
        <v>2060</v>
      </c>
      <c r="E43" s="107" t="s">
        <v>184</v>
      </c>
      <c r="F43" s="871">
        <f>IF($B43="","",IF(SUMIFS(CONFIG_PALETES!$C:$C,CONFIG_PALETES!$A:$A,TRIM($B43),CONFIG_PALETES!$B:$B,$C43&amp;" ml")&gt;0,SUMIFS(CONFIG_PALETES!$C:$C,CONFIG_PALETES!$A:$A,TRIM($B43),CONFIG_PALETES!$B:$B,$C43&amp;" ml"),IF(SUMIFS(CONFIG_PALETES!$C:$C,CONFIG_PALETES!$A:$A,"GERAL",CONFIG_PALETES!$B:$B,$C43&amp;" ml")&gt;0,SUMIFS(CONFIG_PALETES!$C:$C,CONFIG_PALETES!$A:$A,"GERAL",CONFIG_PALETES!$B:$B,$C43&amp;" ml"),"")))</f>
        <v>125</v>
      </c>
      <c r="G43" s="106">
        <f t="shared" si="4"/>
        <v>17</v>
      </c>
      <c r="H43" s="105">
        <v>270</v>
      </c>
      <c r="I43" s="104">
        <f>IF(H43="","",H43*IF(SUMIFS(CONFIG_PALETES!$D:$D,CONFIG_PALETES!$A:$A,IF(ISNUMBER(SEARCH("ESPUMA",$B43)),"ESPUMA",IF(OR(ISNUMBER(SEARCH("OLEO DE COCO",$B43)),ISNUMBER(SEARCH("ÓLEO DE COCO",$B43)),ISNUMBER(SEARCH("COPRA",$B43))),"ÓLEO DE COCO",IF(ISNUMBER(SEARCH("CORANTE",$B43)),"CORANTE",TRIM($B43)))),CONFIG_PALETES!$B:$B,$C43&amp;" ml")&gt;0,SUMIFS(CONFIG_PALETES!$D:$D,CONFIG_PALETES!$A:$A,IF(ISNUMBER(SEARCH("ESPUMA",$B43)),"ESPUMA",IF(OR(ISNUMBER(SEARCH("OLEO DE COCO",$B43)),ISNUMBER(SEARCH("ÓLEO DE COCO",$B43)),ISNUMBER(SEARCH("COPRA",$B43))),"ÓLEO DE COCO",IF(ISNUMBER(SEARCH("CORANTE",$B43)),"CORANTE",TRIM($B43)))),CONFIG_PALETES!$B:$B,$C43&amp;" ml"),IF(SUMIFS(CONFIG_PALETES!$D:$D,CONFIG_PALETES!$A:$A,"GERAL",CONFIG_PALETES!$B:$B,$C43&amp;" ml")&gt;0,SUMIFS(CONFIG_PALETES!$D:$D,CONFIG_PALETES!$A:$A,"GERAL",CONFIG_PALETES!$B:$B,$C43&amp;" ml"),12)))</f>
        <v>3240</v>
      </c>
      <c r="J43" s="82"/>
      <c r="L43" s="81"/>
      <c r="N43" s="661"/>
      <c r="O43" s="661"/>
      <c r="P43" s="661"/>
      <c r="Q43" s="661"/>
      <c r="AA43" t="s">
        <v>293</v>
      </c>
      <c r="AB43" t="s">
        <v>1428</v>
      </c>
    </row>
    <row r="44" spans="1:28" ht="21" customHeight="1" x14ac:dyDescent="0.3">
      <c r="A44" s="110"/>
      <c r="B44" s="109"/>
      <c r="C44" s="108"/>
      <c r="D44" s="104"/>
      <c r="E44" s="107" t="s">
        <v>184</v>
      </c>
      <c r="F44" s="871"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06" t="str">
        <f t="shared" si="4"/>
        <v/>
      </c>
      <c r="H44" s="105"/>
      <c r="I44" s="104"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J44" s="67"/>
      <c r="K44" s="67"/>
      <c r="L44" s="89"/>
      <c r="M44" s="67"/>
      <c r="N44" s="88"/>
      <c r="AA44" t="s">
        <v>101</v>
      </c>
      <c r="AB44" t="s">
        <v>1428</v>
      </c>
    </row>
    <row r="45" spans="1:28" ht="21" customHeight="1" x14ac:dyDescent="0.3">
      <c r="A45" s="817"/>
      <c r="B45" s="818"/>
      <c r="C45" s="819"/>
      <c r="D45" s="820"/>
      <c r="E45" s="821" t="s">
        <v>184</v>
      </c>
      <c r="F45" s="872"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822" t="str">
        <f t="shared" si="4"/>
        <v/>
      </c>
      <c r="H45" s="823"/>
      <c r="I45" s="820"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AA45" t="s">
        <v>474</v>
      </c>
      <c r="AB45" t="s">
        <v>1428</v>
      </c>
    </row>
    <row r="46" spans="1:28" ht="15" customHeight="1" x14ac:dyDescent="0.3">
      <c r="A46" s="899"/>
      <c r="B46" s="846" t="s">
        <v>186</v>
      </c>
      <c r="C46" s="847"/>
      <c r="D46" s="848">
        <f>SUM(D39:D45)</f>
        <v>2733</v>
      </c>
      <c r="E46" s="849"/>
      <c r="F46" s="856" t="s">
        <v>1400</v>
      </c>
      <c r="G46" s="850">
        <f>SUM(G39:G45)</f>
        <v>19</v>
      </c>
      <c r="H46" s="848">
        <f>SUM(H39:H45)</f>
        <v>945</v>
      </c>
      <c r="I46" s="848">
        <f>SUM(I39:I45)</f>
        <v>11340</v>
      </c>
      <c r="J46" s="72">
        <f>SUM(D40:D45)</f>
        <v>2733</v>
      </c>
      <c r="K46" s="72">
        <f>SUM(G40:G45)</f>
        <v>19</v>
      </c>
      <c r="L46" s="87">
        <f>SUM(H40:H45)</f>
        <v>945</v>
      </c>
      <c r="M46" s="72">
        <f>SUM(I40:I45)</f>
        <v>11340</v>
      </c>
      <c r="N46" s="87"/>
      <c r="P46" s="587" cm="1">
        <f t="array" ref="P46">IF(H46=0,"",SUMPRODUCT(IFERROR(INT(H40:H45/F40:F45),0)))</f>
        <v>3</v>
      </c>
      <c r="Q46" s="770">
        <f>IF(P46="","",MAX(0,G46-P46))</f>
        <v>16</v>
      </c>
      <c r="R46" s="584"/>
      <c r="S46" s="585"/>
      <c r="AA46" t="s">
        <v>295</v>
      </c>
      <c r="AB46" t="s">
        <v>1428</v>
      </c>
    </row>
    <row r="47" spans="1:28" ht="6" customHeight="1" x14ac:dyDescent="0.3">
      <c r="C47" s="65"/>
      <c r="J47" s="82"/>
      <c r="L47" s="81"/>
      <c r="N47" s="80"/>
      <c r="AA47" t="s">
        <v>97</v>
      </c>
      <c r="AB47" t="s">
        <v>1428</v>
      </c>
    </row>
    <row r="48" spans="1:28" ht="15" customHeight="1" x14ac:dyDescent="0.3">
      <c r="A48" s="75">
        <v>46090</v>
      </c>
      <c r="B48" s="113" t="s">
        <v>49</v>
      </c>
      <c r="C48" s="112" t="s">
        <v>176</v>
      </c>
      <c r="D48" s="111" t="s">
        <v>177</v>
      </c>
      <c r="E48" s="111" t="s">
        <v>178</v>
      </c>
      <c r="F48" s="860" t="s">
        <v>179</v>
      </c>
      <c r="G48" s="111" t="s">
        <v>180</v>
      </c>
      <c r="H48" s="111" t="s">
        <v>181</v>
      </c>
      <c r="I48" s="111" t="s">
        <v>182</v>
      </c>
      <c r="J48" s="85"/>
      <c r="L48" s="84"/>
      <c r="M48" s="70"/>
      <c r="N48" s="83"/>
      <c r="AA48" t="s">
        <v>475</v>
      </c>
      <c r="AB48" t="s">
        <v>1428</v>
      </c>
    </row>
    <row r="49" spans="1:28" ht="21" customHeight="1" x14ac:dyDescent="0.3">
      <c r="A49" s="110"/>
      <c r="B49" s="109" t="s">
        <v>33</v>
      </c>
      <c r="C49" s="108">
        <v>400</v>
      </c>
      <c r="D49" s="104">
        <v>2060</v>
      </c>
      <c r="E49" s="107" t="s">
        <v>184</v>
      </c>
      <c r="F49" s="871">
        <f>IF($B49="","",IF(SUMIFS(CONFIG_PALETES!$C:$C,CONFIG_PALETES!$A:$A,TRIM($B49),CONFIG_PALETES!$B:$B,$C49&amp;" ml")&gt;0,SUMIFS(CONFIG_PALETES!$C:$C,CONFIG_PALETES!$A:$A,TRIM($B49),CONFIG_PALETES!$B:$B,$C49&amp;" ml"),IF(SUMIFS(CONFIG_PALETES!$C:$C,CONFIG_PALETES!$A:$A,"GERAL",CONFIG_PALETES!$B:$B,$C49&amp;" ml")&gt;0,SUMIFS(CONFIG_PALETES!$C:$C,CONFIG_PALETES!$A:$A,"GERAL",CONFIG_PALETES!$B:$B,$C49&amp;" ml"),"")))</f>
        <v>125</v>
      </c>
      <c r="G49" s="106">
        <f t="shared" ref="G49:G54" si="5">IFERROR(ROUNDUP(D49/F49,0),"")</f>
        <v>17</v>
      </c>
      <c r="H49" s="105">
        <v>1278</v>
      </c>
      <c r="I49" s="104">
        <f>IF(H49="","",H49*IF(SUMIFS(CONFIG_PALETES!$D:$D,CONFIG_PALETES!$A:$A,IF(ISNUMBER(SEARCH("ESPUMA",$B49)),"ESPUMA",IF(OR(ISNUMBER(SEARCH("OLEO DE COCO",$B49)),ISNUMBER(SEARCH("ÓLEO DE COCO",$B49)),ISNUMBER(SEARCH("COPRA",$B49))),"ÓLEO DE COCO",IF(ISNUMBER(SEARCH("CORANTE",$B49)),"CORANTE",TRIM($B49)))),CONFIG_PALETES!$B:$B,$C49&amp;" ml")&gt;0,SUMIFS(CONFIG_PALETES!$D:$D,CONFIG_PALETES!$A:$A,IF(ISNUMBER(SEARCH("ESPUMA",$B49)),"ESPUMA",IF(OR(ISNUMBER(SEARCH("OLEO DE COCO",$B49)),ISNUMBER(SEARCH("ÓLEO DE COCO",$B49)),ISNUMBER(SEARCH("COPRA",$B49))),"ÓLEO DE COCO",IF(ISNUMBER(SEARCH("CORANTE",$B49)),"CORANTE",TRIM($B49)))),CONFIG_PALETES!$B:$B,$C49&amp;" ml"),IF(SUMIFS(CONFIG_PALETES!$D:$D,CONFIG_PALETES!$A:$A,"GERAL",CONFIG_PALETES!$B:$B,$C49&amp;" ml")&gt;0,SUMIFS(CONFIG_PALETES!$D:$D,CONFIG_PALETES!$A:$A,"GERAL",CONFIG_PALETES!$B:$B,$C49&amp;" ml"),12)))</f>
        <v>15336</v>
      </c>
      <c r="J49" s="82"/>
      <c r="L49" s="81"/>
      <c r="M49" s="70"/>
      <c r="N49" s="80"/>
      <c r="AA49" t="s">
        <v>491</v>
      </c>
      <c r="AB49" t="s">
        <v>1425</v>
      </c>
    </row>
    <row r="50" spans="1:28" ht="21" customHeight="1" x14ac:dyDescent="0.3">
      <c r="A50" s="110"/>
      <c r="B50" s="109"/>
      <c r="C50" s="108"/>
      <c r="D50" s="104"/>
      <c r="E50" s="107" t="s">
        <v>184</v>
      </c>
      <c r="F50" s="871" t="str">
        <f>IF($B50="","",IF(SUMIFS(CONFIG_PALETES!$C:$C,CONFIG_PALETES!$A:$A,TRIM($B50),CONFIG_PALETES!$B:$B,$C50&amp;" ml")&gt;0,SUMIFS(CONFIG_PALETES!$C:$C,CONFIG_PALETES!$A:$A,TRIM($B50),CONFIG_PALETES!$B:$B,$C50&amp;" ml"),IF(SUMIFS(CONFIG_PALETES!$C:$C,CONFIG_PALETES!$A:$A,"GERAL",CONFIG_PALETES!$B:$B,$C50&amp;" ml")&gt;0,SUMIFS(CONFIG_PALETES!$C:$C,CONFIG_PALETES!$A:$A,"GERAL",CONFIG_PALETES!$B:$B,$C50&amp;" ml"),"")))</f>
        <v/>
      </c>
      <c r="G50" s="106" t="str">
        <f t="shared" si="5"/>
        <v/>
      </c>
      <c r="H50" s="105"/>
      <c r="I50" s="104" t="str">
        <f>IF(H50="","",H50*IF(SUMIFS(CONFIG_PALETES!$D:$D,CONFIG_PALETES!$A:$A,IF(ISNUMBER(SEARCH("ESPUMA",$B50)),"ESPUMA",IF(OR(ISNUMBER(SEARCH("OLEO DE COCO",$B50)),ISNUMBER(SEARCH("ÓLEO DE COCO",$B50)),ISNUMBER(SEARCH("COPRA",$B50))),"ÓLEO DE COCO",IF(ISNUMBER(SEARCH("CORANTE",$B50)),"CORANTE",TRIM($B50)))),CONFIG_PALETES!$B:$B,$C50&amp;" ml")&gt;0,SUMIFS(CONFIG_PALETES!$D:$D,CONFIG_PALETES!$A:$A,IF(ISNUMBER(SEARCH("ESPUMA",$B50)),"ESPUMA",IF(OR(ISNUMBER(SEARCH("OLEO DE COCO",$B50)),ISNUMBER(SEARCH("ÓLEO DE COCO",$B50)),ISNUMBER(SEARCH("COPRA",$B50))),"ÓLEO DE COCO",IF(ISNUMBER(SEARCH("CORANTE",$B50)),"CORANTE",TRIM($B50)))),CONFIG_PALETES!$B:$B,$C50&amp;" ml"),IF(SUMIFS(CONFIG_PALETES!$D:$D,CONFIG_PALETES!$A:$A,"GERAL",CONFIG_PALETES!$B:$B,$C50&amp;" ml")&gt;0,SUMIFS(CONFIG_PALETES!$D:$D,CONFIG_PALETES!$A:$A,"GERAL",CONFIG_PALETES!$B:$B,$C50&amp;" ml"),12)))</f>
        <v/>
      </c>
      <c r="J50" s="85"/>
      <c r="L50" s="84"/>
      <c r="N50" s="83"/>
      <c r="AA50" t="s">
        <v>1162</v>
      </c>
      <c r="AB50" t="s">
        <v>1424</v>
      </c>
    </row>
    <row r="51" spans="1:28" ht="21" customHeight="1" x14ac:dyDescent="0.3">
      <c r="A51" s="110"/>
      <c r="B51" s="109"/>
      <c r="C51" s="108"/>
      <c r="D51" s="104"/>
      <c r="E51" s="107" t="s">
        <v>184</v>
      </c>
      <c r="F51" s="871" t="str">
        <f>IF($B51="","",IF(SUMIFS(CONFIG_PALETES!$C:$C,CONFIG_PALETES!$A:$A,TRIM($B51),CONFIG_PALETES!$B:$B,$C51&amp;" ml")&gt;0,SUMIFS(CONFIG_PALETES!$C:$C,CONFIG_PALETES!$A:$A,TRIM($B51),CONFIG_PALETES!$B:$B,$C51&amp;" ml"),IF(SUMIFS(CONFIG_PALETES!$C:$C,CONFIG_PALETES!$A:$A,"GERAL",CONFIG_PALETES!$B:$B,$C51&amp;" ml")&gt;0,SUMIFS(CONFIG_PALETES!$C:$C,CONFIG_PALETES!$A:$A,"GERAL",CONFIG_PALETES!$B:$B,$C51&amp;" ml"),"")))</f>
        <v/>
      </c>
      <c r="G51" s="106" t="str">
        <f t="shared" si="5"/>
        <v/>
      </c>
      <c r="H51" s="105"/>
      <c r="I51" s="104" t="str">
        <f>IF(H51="","",H51*IF(SUMIFS(CONFIG_PALETES!$D:$D,CONFIG_PALETES!$A:$A,IF(ISNUMBER(SEARCH("ESPUMA",$B51)),"ESPUMA",IF(OR(ISNUMBER(SEARCH("OLEO DE COCO",$B51)),ISNUMBER(SEARCH("ÓLEO DE COCO",$B51)),ISNUMBER(SEARCH("COPRA",$B51))),"ÓLEO DE COCO",IF(ISNUMBER(SEARCH("CORANTE",$B51)),"CORANTE",TRIM($B51)))),CONFIG_PALETES!$B:$B,$C51&amp;" ml")&gt;0,SUMIFS(CONFIG_PALETES!$D:$D,CONFIG_PALETES!$A:$A,IF(ISNUMBER(SEARCH("ESPUMA",$B51)),"ESPUMA",IF(OR(ISNUMBER(SEARCH("OLEO DE COCO",$B51)),ISNUMBER(SEARCH("ÓLEO DE COCO",$B51)),ISNUMBER(SEARCH("COPRA",$B51))),"ÓLEO DE COCO",IF(ISNUMBER(SEARCH("CORANTE",$B51)),"CORANTE",TRIM($B51)))),CONFIG_PALETES!$B:$B,$C51&amp;" ml"),IF(SUMIFS(CONFIG_PALETES!$D:$D,CONFIG_PALETES!$A:$A,"GERAL",CONFIG_PALETES!$B:$B,$C51&amp;" ml")&gt;0,SUMIFS(CONFIG_PALETES!$D:$D,CONFIG_PALETES!$A:$A,"GERAL",CONFIG_PALETES!$B:$B,$C51&amp;" ml"),12)))</f>
        <v/>
      </c>
      <c r="J51" s="82"/>
      <c r="L51" s="81"/>
      <c r="N51" s="80"/>
      <c r="AA51" t="s">
        <v>39</v>
      </c>
      <c r="AB51" t="s">
        <v>1423</v>
      </c>
    </row>
    <row r="52" spans="1:28" ht="21" customHeight="1" x14ac:dyDescent="0.3">
      <c r="A52" s="110"/>
      <c r="B52" s="109"/>
      <c r="C52" s="108"/>
      <c r="D52" s="104"/>
      <c r="E52" s="107" t="s">
        <v>184</v>
      </c>
      <c r="F52" s="871"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06" t="str">
        <f t="shared" si="5"/>
        <v/>
      </c>
      <c r="H52" s="105"/>
      <c r="I52" s="104"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J52" s="85"/>
      <c r="L52" s="84"/>
      <c r="N52" s="83"/>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 t="shared" si="5"/>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J53" s="67"/>
      <c r="K53" s="67"/>
      <c r="L53" s="89"/>
      <c r="M53" s="67"/>
      <c r="N53" s="88"/>
      <c r="AA53" t="s">
        <v>596</v>
      </c>
      <c r="AB53" t="s">
        <v>1425</v>
      </c>
    </row>
    <row r="54" spans="1:28" ht="21" customHeight="1" x14ac:dyDescent="0.3">
      <c r="A54" s="817"/>
      <c r="B54" s="818"/>
      <c r="C54" s="819"/>
      <c r="D54" s="820"/>
      <c r="E54" s="821" t="s">
        <v>184</v>
      </c>
      <c r="F54" s="872"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822" t="str">
        <f t="shared" si="5"/>
        <v/>
      </c>
      <c r="H54" s="823"/>
      <c r="I54" s="820"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15" customHeight="1" x14ac:dyDescent="0.3">
      <c r="A55" s="899"/>
      <c r="B55" s="846" t="s">
        <v>186</v>
      </c>
      <c r="C55" s="847"/>
      <c r="D55" s="848">
        <f>SUM(D48:D54)</f>
        <v>2060</v>
      </c>
      <c r="E55" s="849"/>
      <c r="F55" s="856" t="s">
        <v>1400</v>
      </c>
      <c r="G55" s="850">
        <f>SUM(G48:G54)</f>
        <v>17</v>
      </c>
      <c r="H55" s="848">
        <f>SUM(H48:H54)</f>
        <v>1278</v>
      </c>
      <c r="I55" s="848">
        <f>SUM(I48:I54)</f>
        <v>15336</v>
      </c>
      <c r="J55" s="72">
        <f>SUM(D49:D54)</f>
        <v>2060</v>
      </c>
      <c r="K55" s="72">
        <f>SUM(G49:G54)</f>
        <v>17</v>
      </c>
      <c r="L55" s="87">
        <f>SUM(H49:H54)</f>
        <v>1278</v>
      </c>
      <c r="M55" s="72">
        <f>SUM(I49:I54)</f>
        <v>15336</v>
      </c>
      <c r="N55" s="87"/>
      <c r="P55" s="587" cm="1">
        <f t="array" ref="P55">IF(H55=0,"",SUMPRODUCT(IFERROR(INT(H49:H54/F49:F54),0)))</f>
        <v>10</v>
      </c>
      <c r="Q55" s="770">
        <f>IF(P55="","",MAX(0,G55-P55))</f>
        <v>7</v>
      </c>
      <c r="R55" s="584"/>
      <c r="S55" s="585"/>
      <c r="AA55" t="s">
        <v>571</v>
      </c>
      <c r="AB55" t="s">
        <v>1425</v>
      </c>
    </row>
    <row r="56" spans="1:28" ht="6" customHeight="1" x14ac:dyDescent="0.3">
      <c r="C56" s="65"/>
      <c r="J56" s="85"/>
      <c r="L56" s="84"/>
      <c r="N56" s="83"/>
      <c r="P56" s="593"/>
      <c r="AA56" t="s">
        <v>280</v>
      </c>
      <c r="AB56" t="s">
        <v>1423</v>
      </c>
    </row>
    <row r="57" spans="1:28" ht="15" customHeight="1" x14ac:dyDescent="0.3">
      <c r="A57" s="75">
        <v>46091</v>
      </c>
      <c r="B57" s="113" t="s">
        <v>49</v>
      </c>
      <c r="C57" s="112" t="s">
        <v>176</v>
      </c>
      <c r="D57" s="111" t="s">
        <v>177</v>
      </c>
      <c r="E57" s="111" t="s">
        <v>178</v>
      </c>
      <c r="F57" s="860" t="s">
        <v>179</v>
      </c>
      <c r="G57" s="111" t="s">
        <v>180</v>
      </c>
      <c r="H57" s="111" t="s">
        <v>181</v>
      </c>
      <c r="I57" s="111" t="s">
        <v>182</v>
      </c>
      <c r="J57" s="82"/>
      <c r="L57" s="81"/>
      <c r="M57" s="70"/>
      <c r="N57"/>
      <c r="O57"/>
      <c r="P57" s="589"/>
      <c r="Q57" s="591"/>
      <c r="AA57" t="s">
        <v>595</v>
      </c>
      <c r="AB57" t="s">
        <v>1425</v>
      </c>
    </row>
    <row r="58" spans="1:28" ht="21" customHeight="1" x14ac:dyDescent="0.3">
      <c r="A58" s="110"/>
      <c r="B58" s="109" t="s">
        <v>33</v>
      </c>
      <c r="C58" s="108">
        <v>400</v>
      </c>
      <c r="D58" s="104">
        <v>526</v>
      </c>
      <c r="E58" s="107" t="s">
        <v>184</v>
      </c>
      <c r="F58" s="871">
        <f>IF($B58="","",IF(SUMIFS(CONFIG_PALETES!$C:$C,CONFIG_PALETES!$A:$A,TRIM($B58),CONFIG_PALETES!$B:$B,$C58&amp;" ml")&gt;0,SUMIFS(CONFIG_PALETES!$C:$C,CONFIG_PALETES!$A:$A,TRIM($B58),CONFIG_PALETES!$B:$B,$C58&amp;" ml"),IF(SUMIFS(CONFIG_PALETES!$C:$C,CONFIG_PALETES!$A:$A,"GERAL",CONFIG_PALETES!$B:$B,$C58&amp;" ml")&gt;0,SUMIFS(CONFIG_PALETES!$C:$C,CONFIG_PALETES!$A:$A,"GERAL",CONFIG_PALETES!$B:$B,$C58&amp;" ml"),"")))</f>
        <v>125</v>
      </c>
      <c r="G58" s="106">
        <f t="shared" ref="G58:G63" si="6">IFERROR(ROUNDUP(D58/F58,0),"")</f>
        <v>5</v>
      </c>
      <c r="H58" s="105">
        <v>526</v>
      </c>
      <c r="I58" s="104">
        <f>IF(H58="","",H58*IF(SUMIFS(CONFIG_PALETES!$D:$D,CONFIG_PALETES!$A:$A,IF(ISNUMBER(SEARCH("ESPUMA",$B58)),"ESPUMA",IF(OR(ISNUMBER(SEARCH("OLEO DE COCO",$B58)),ISNUMBER(SEARCH("ÓLEO DE COCO",$B58)),ISNUMBER(SEARCH("COPRA",$B58))),"ÓLEO DE COCO",IF(ISNUMBER(SEARCH("CORANTE",$B58)),"CORANTE",TRIM($B58)))),CONFIG_PALETES!$B:$B,$C58&amp;" ml")&gt;0,SUMIFS(CONFIG_PALETES!$D:$D,CONFIG_PALETES!$A:$A,IF(ISNUMBER(SEARCH("ESPUMA",$B58)),"ESPUMA",IF(OR(ISNUMBER(SEARCH("OLEO DE COCO",$B58)),ISNUMBER(SEARCH("ÓLEO DE COCO",$B58)),ISNUMBER(SEARCH("COPRA",$B58))),"ÓLEO DE COCO",IF(ISNUMBER(SEARCH("CORANTE",$B58)),"CORANTE",TRIM($B58)))),CONFIG_PALETES!$B:$B,$C58&amp;" ml"),IF(SUMIFS(CONFIG_PALETES!$D:$D,CONFIG_PALETES!$A:$A,"GERAL",CONFIG_PALETES!$B:$B,$C58&amp;" ml")&gt;0,SUMIFS(CONFIG_PALETES!$D:$D,CONFIG_PALETES!$A:$A,"GERAL",CONFIG_PALETES!$B:$B,$C58&amp;" ml"),12)))</f>
        <v>6312</v>
      </c>
      <c r="J58" s="85"/>
      <c r="L58" s="84"/>
      <c r="M58" s="70"/>
      <c r="N58"/>
      <c r="O58"/>
      <c r="P58" s="589"/>
      <c r="Q58" s="591"/>
      <c r="AA58" t="s">
        <v>483</v>
      </c>
      <c r="AB58" t="s">
        <v>1422</v>
      </c>
    </row>
    <row r="59" spans="1:28" ht="21" customHeight="1" x14ac:dyDescent="0.3">
      <c r="A59" s="110"/>
      <c r="B59" s="109" t="s">
        <v>402</v>
      </c>
      <c r="C59" s="108">
        <v>400</v>
      </c>
      <c r="D59" s="104">
        <v>251</v>
      </c>
      <c r="E59" s="107" t="s">
        <v>184</v>
      </c>
      <c r="F59" s="871">
        <f>IF($B59="","",IF(SUMIFS(CONFIG_PALETES!$C:$C,CONFIG_PALETES!$A:$A,TRIM($B59),CONFIG_PALETES!$B:$B,$C59&amp;" ml")&gt;0,SUMIFS(CONFIG_PALETES!$C:$C,CONFIG_PALETES!$A:$A,TRIM($B59),CONFIG_PALETES!$B:$B,$C59&amp;" ml"),IF(SUMIFS(CONFIG_PALETES!$C:$C,CONFIG_PALETES!$A:$A,"GERAL",CONFIG_PALETES!$B:$B,$C59&amp;" ml")&gt;0,SUMIFS(CONFIG_PALETES!$C:$C,CONFIG_PALETES!$A:$A,"GERAL",CONFIG_PALETES!$B:$B,$C59&amp;" ml"),"")))</f>
        <v>125</v>
      </c>
      <c r="G59" s="106">
        <f t="shared" si="6"/>
        <v>3</v>
      </c>
      <c r="H59" s="105">
        <v>251</v>
      </c>
      <c r="I59" s="104">
        <f>IF(H59="","",H59*IF(SUMIFS(CONFIG_PALETES!$D:$D,CONFIG_PALETES!$A:$A,IF(ISNUMBER(SEARCH("ESPUMA",$B59)),"ESPUMA",IF(OR(ISNUMBER(SEARCH("OLEO DE COCO",$B59)),ISNUMBER(SEARCH("ÓLEO DE COCO",$B59)),ISNUMBER(SEARCH("COPRA",$B59))),"ÓLEO DE COCO",IF(ISNUMBER(SEARCH("CORANTE",$B59)),"CORANTE",TRIM($B59)))),CONFIG_PALETES!$B:$B,$C59&amp;" ml")&gt;0,SUMIFS(CONFIG_PALETES!$D:$D,CONFIG_PALETES!$A:$A,IF(ISNUMBER(SEARCH("ESPUMA",$B59)),"ESPUMA",IF(OR(ISNUMBER(SEARCH("OLEO DE COCO",$B59)),ISNUMBER(SEARCH("ÓLEO DE COCO",$B59)),ISNUMBER(SEARCH("COPRA",$B59))),"ÓLEO DE COCO",IF(ISNUMBER(SEARCH("CORANTE",$B59)),"CORANTE",TRIM($B59)))),CONFIG_PALETES!$B:$B,$C59&amp;" ml"),IF(SUMIFS(CONFIG_PALETES!$D:$D,CONFIG_PALETES!$A:$A,"GERAL",CONFIG_PALETES!$B:$B,$C59&amp;" ml")&gt;0,SUMIFS(CONFIG_PALETES!$D:$D,CONFIG_PALETES!$A:$A,"GERAL",CONFIG_PALETES!$B:$B,$C59&amp;" ml"),12)))</f>
        <v>3012</v>
      </c>
      <c r="J59" s="82"/>
      <c r="L59" s="81"/>
      <c r="N59"/>
      <c r="O59"/>
      <c r="P59" s="589"/>
      <c r="Q59" s="591"/>
      <c r="AA59" t="s">
        <v>1202</v>
      </c>
      <c r="AB59" t="s">
        <v>1422</v>
      </c>
    </row>
    <row r="60" spans="1:28" ht="21" customHeight="1" x14ac:dyDescent="0.3">
      <c r="A60" s="110"/>
      <c r="B60" s="109" t="s">
        <v>403</v>
      </c>
      <c r="C60" s="108">
        <v>400</v>
      </c>
      <c r="D60" s="104">
        <v>252</v>
      </c>
      <c r="E60" s="107" t="s">
        <v>184</v>
      </c>
      <c r="F60" s="871">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125</v>
      </c>
      <c r="G60" s="106">
        <f t="shared" si="6"/>
        <v>3</v>
      </c>
      <c r="H60" s="105">
        <v>252</v>
      </c>
      <c r="I60" s="104">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3024</v>
      </c>
      <c r="J60" s="85"/>
      <c r="L60" s="84"/>
      <c r="N60"/>
      <c r="O60"/>
      <c r="P60" s="589"/>
      <c r="Q60" s="591"/>
      <c r="AA60" t="s">
        <v>577</v>
      </c>
      <c r="AB60" t="s">
        <v>1422</v>
      </c>
    </row>
    <row r="61" spans="1:28" ht="21" customHeight="1" x14ac:dyDescent="0.3">
      <c r="A61" s="110"/>
      <c r="B61" s="109" t="s">
        <v>35</v>
      </c>
      <c r="C61" s="108">
        <v>400</v>
      </c>
      <c r="D61" s="104">
        <v>1575</v>
      </c>
      <c r="E61" s="107" t="s">
        <v>184</v>
      </c>
      <c r="F61" s="871">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125</v>
      </c>
      <c r="G61" s="106">
        <f t="shared" si="6"/>
        <v>13</v>
      </c>
      <c r="H61" s="105">
        <v>69</v>
      </c>
      <c r="I61" s="104">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828</v>
      </c>
      <c r="J61" s="98"/>
      <c r="K61" s="67"/>
      <c r="L61" s="97"/>
      <c r="M61" s="67"/>
      <c r="N61"/>
      <c r="O61"/>
      <c r="P61" s="589"/>
      <c r="Q61" s="591"/>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 t="shared" si="6"/>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N62"/>
      <c r="O62"/>
      <c r="P62" s="589"/>
      <c r="Q62" s="591"/>
      <c r="AA62" t="s">
        <v>587</v>
      </c>
      <c r="AB62" t="s">
        <v>1422</v>
      </c>
    </row>
    <row r="63" spans="1:28" ht="21" customHeight="1" x14ac:dyDescent="0.3">
      <c r="A63" s="817"/>
      <c r="B63" s="818"/>
      <c r="C63" s="819"/>
      <c r="D63" s="820"/>
      <c r="E63" s="821" t="s">
        <v>184</v>
      </c>
      <c r="F63" s="872"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822" t="str">
        <f t="shared" si="6"/>
        <v/>
      </c>
      <c r="H63" s="823"/>
      <c r="I63" s="820"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J63" s="72"/>
      <c r="K63" s="72"/>
      <c r="L63" s="87"/>
      <c r="M63" s="72"/>
      <c r="N63"/>
      <c r="O63"/>
      <c r="P63" s="589"/>
      <c r="Q63" s="591"/>
      <c r="AA63" t="s">
        <v>1413</v>
      </c>
      <c r="AB63" t="s">
        <v>1422</v>
      </c>
    </row>
    <row r="64" spans="1:28" ht="15" customHeight="1" x14ac:dyDescent="0.3">
      <c r="A64" s="899"/>
      <c r="B64" s="846" t="s">
        <v>186</v>
      </c>
      <c r="C64" s="847"/>
      <c r="D64" s="848">
        <f>SUM(D57:D63)</f>
        <v>2604</v>
      </c>
      <c r="E64" s="849"/>
      <c r="F64" s="856" t="s">
        <v>1400</v>
      </c>
      <c r="G64" s="850">
        <f>SUM(G57:G63)</f>
        <v>24</v>
      </c>
      <c r="H64" s="848">
        <f>SUM(H57:H63)</f>
        <v>1098</v>
      </c>
      <c r="I64" s="848">
        <f>SUM(I57:I63)</f>
        <v>13176</v>
      </c>
      <c r="J64" s="85">
        <f>SUM(D58:D63)</f>
        <v>2604</v>
      </c>
      <c r="K64" s="1">
        <f>SUM(G58:G63)</f>
        <v>24</v>
      </c>
      <c r="L64" s="84">
        <f>SUM(H58:H63)</f>
        <v>1098</v>
      </c>
      <c r="M64" s="1">
        <f>SUM(I58:I63)</f>
        <v>13176</v>
      </c>
      <c r="N64"/>
      <c r="O64"/>
      <c r="P64" s="586" cm="1">
        <f t="array" ref="P64">IF(H64=0,"",SUMPRODUCT(IFERROR(INT(H58:H63/F58:F63),0)))</f>
        <v>8</v>
      </c>
      <c r="Q64" s="769">
        <f>IF(P64="","",MAX(0,G64-P64))</f>
        <v>16</v>
      </c>
      <c r="R64" s="584"/>
      <c r="S64" s="585"/>
      <c r="AA64" t="s">
        <v>1403</v>
      </c>
      <c r="AB64" t="s">
        <v>1422</v>
      </c>
    </row>
    <row r="65" spans="1:28" ht="6" customHeight="1" x14ac:dyDescent="0.3">
      <c r="C65" s="65"/>
      <c r="J65" s="82"/>
      <c r="L65" s="81"/>
      <c r="M65" s="70"/>
      <c r="N65"/>
      <c r="O65"/>
      <c r="P65" s="589"/>
      <c r="Q65" s="591"/>
      <c r="AA65" t="s">
        <v>114</v>
      </c>
      <c r="AB65" t="s">
        <v>1422</v>
      </c>
    </row>
    <row r="66" spans="1:28" ht="15" customHeight="1" x14ac:dyDescent="0.3">
      <c r="A66" s="75">
        <v>46092</v>
      </c>
      <c r="B66" s="113" t="s">
        <v>49</v>
      </c>
      <c r="C66" s="112" t="s">
        <v>176</v>
      </c>
      <c r="D66" s="111" t="s">
        <v>177</v>
      </c>
      <c r="E66" s="111" t="s">
        <v>178</v>
      </c>
      <c r="F66" s="860" t="s">
        <v>179</v>
      </c>
      <c r="G66" s="111" t="s">
        <v>180</v>
      </c>
      <c r="H66" s="111" t="s">
        <v>181</v>
      </c>
      <c r="I66" s="111" t="s">
        <v>182</v>
      </c>
      <c r="J66" s="85"/>
      <c r="L66" s="84"/>
      <c r="M66" s="70"/>
      <c r="N66" s="83"/>
      <c r="AA66" t="s">
        <v>487</v>
      </c>
      <c r="AB66" t="s">
        <v>1422</v>
      </c>
    </row>
    <row r="67" spans="1:28" ht="21" customHeight="1" x14ac:dyDescent="0.3">
      <c r="A67" s="110"/>
      <c r="B67" s="109" t="s">
        <v>35</v>
      </c>
      <c r="C67" s="108">
        <v>400</v>
      </c>
      <c r="D67" s="104">
        <f>D60-J60</f>
        <v>252</v>
      </c>
      <c r="E67" s="107" t="s">
        <v>184</v>
      </c>
      <c r="F67" s="871">
        <f>IF($B67="","",IF(SUMIFS(CONFIG_PALETES!$C:$C,CONFIG_PALETES!$A:$A,TRIM($B67),CONFIG_PALETES!$B:$B,$C67&amp;" ml")&gt;0,SUMIFS(CONFIG_PALETES!$C:$C,CONFIG_PALETES!$A:$A,TRIM($B67),CONFIG_PALETES!$B:$B,$C67&amp;" ml"),IF(SUMIFS(CONFIG_PALETES!$C:$C,CONFIG_PALETES!$A:$A,"GERAL",CONFIG_PALETES!$B:$B,$C67&amp;" ml")&gt;0,SUMIFS(CONFIG_PALETES!$C:$C,CONFIG_PALETES!$A:$A,"GERAL",CONFIG_PALETES!$B:$B,$C67&amp;" ml"),"")))</f>
        <v>125</v>
      </c>
      <c r="G67" s="106">
        <f t="shared" ref="G67:G72" si="7">IFERROR(ROUNDUP(D67/F67,0),"")</f>
        <v>3</v>
      </c>
      <c r="H67" s="105">
        <v>1144</v>
      </c>
      <c r="I67" s="104">
        <f>IF(H67="","",H67*IF(SUMIFS(CONFIG_PALETES!$D:$D,CONFIG_PALETES!$A:$A,IF(ISNUMBER(SEARCH("ESPUMA",$B67)),"ESPUMA",IF(OR(ISNUMBER(SEARCH("OLEO DE COCO",$B67)),ISNUMBER(SEARCH("ÓLEO DE COCO",$B67)),ISNUMBER(SEARCH("COPRA",$B67))),"ÓLEO DE COCO",IF(ISNUMBER(SEARCH("CORANTE",$B67)),"CORANTE",TRIM($B67)))),CONFIG_PALETES!$B:$B,$C67&amp;" ml")&gt;0,SUMIFS(CONFIG_PALETES!$D:$D,CONFIG_PALETES!$A:$A,IF(ISNUMBER(SEARCH("ESPUMA",$B67)),"ESPUMA",IF(OR(ISNUMBER(SEARCH("OLEO DE COCO",$B67)),ISNUMBER(SEARCH("ÓLEO DE COCO",$B67)),ISNUMBER(SEARCH("COPRA",$B67))),"ÓLEO DE COCO",IF(ISNUMBER(SEARCH("CORANTE",$B67)),"CORANTE",TRIM($B67)))),CONFIG_PALETES!$B:$B,$C67&amp;" ml"),IF(SUMIFS(CONFIG_PALETES!$D:$D,CONFIG_PALETES!$A:$A,"GERAL",CONFIG_PALETES!$B:$B,$C67&amp;" ml")&gt;0,SUMIFS(CONFIG_PALETES!$D:$D,CONFIG_PALETES!$A:$A,"GERAL",CONFIG_PALETES!$B:$B,$C67&amp;" ml"),12)))</f>
        <v>13728</v>
      </c>
      <c r="J67" s="82"/>
      <c r="L67" s="81"/>
      <c r="N67" s="80"/>
      <c r="AA67" t="s">
        <v>488</v>
      </c>
      <c r="AB67" t="s">
        <v>1422</v>
      </c>
    </row>
    <row r="68" spans="1:28" ht="21" customHeight="1" x14ac:dyDescent="0.3">
      <c r="A68" s="110"/>
      <c r="B68" s="109"/>
      <c r="C68" s="108"/>
      <c r="D68" s="104"/>
      <c r="E68" s="107" t="s">
        <v>184</v>
      </c>
      <c r="F68" s="871"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06" t="str">
        <f t="shared" si="7"/>
        <v/>
      </c>
      <c r="H68" s="105"/>
      <c r="I68" s="104"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J68" s="85"/>
      <c r="L68" s="84"/>
      <c r="N68" s="83"/>
      <c r="AA68" t="s">
        <v>477</v>
      </c>
      <c r="AB68" t="s">
        <v>1422</v>
      </c>
    </row>
    <row r="69" spans="1:28" ht="21" customHeight="1" x14ac:dyDescent="0.3">
      <c r="A69" s="110"/>
      <c r="B69" s="109"/>
      <c r="C69" s="108"/>
      <c r="D69" s="104"/>
      <c r="E69" s="107" t="s">
        <v>184</v>
      </c>
      <c r="F69" s="871"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06" t="str">
        <f t="shared" si="7"/>
        <v/>
      </c>
      <c r="H69" s="105"/>
      <c r="I69" s="104"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J69" s="98"/>
      <c r="K69" s="67"/>
      <c r="L69" s="97"/>
      <c r="M69" s="67"/>
      <c r="N69" s="96"/>
      <c r="AA69" t="s">
        <v>1189</v>
      </c>
      <c r="AB69" t="s">
        <v>1422</v>
      </c>
    </row>
    <row r="70" spans="1:28" ht="21" customHeight="1" x14ac:dyDescent="0.3">
      <c r="A70" s="11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 t="shared" si="7"/>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 t="shared" si="7"/>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J71" s="72"/>
      <c r="K71" s="72"/>
      <c r="L71" s="87"/>
      <c r="M71" s="72"/>
      <c r="N71" s="87"/>
      <c r="AA71" t="s">
        <v>476</v>
      </c>
      <c r="AB71" t="s">
        <v>1422</v>
      </c>
    </row>
    <row r="72" spans="1:28" ht="21" customHeight="1" x14ac:dyDescent="0.3">
      <c r="A72" s="817"/>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 t="shared" si="7"/>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J72" s="85"/>
      <c r="L72" s="84"/>
      <c r="N72" s="83"/>
      <c r="AA72" t="s">
        <v>1190</v>
      </c>
      <c r="AB72" t="s">
        <v>1422</v>
      </c>
    </row>
    <row r="73" spans="1:28" ht="15" customHeight="1" x14ac:dyDescent="0.3">
      <c r="A73" s="899"/>
      <c r="B73" s="846" t="s">
        <v>186</v>
      </c>
      <c r="C73" s="847"/>
      <c r="D73" s="848">
        <f>SUM(D66:D72)</f>
        <v>252</v>
      </c>
      <c r="E73" s="849"/>
      <c r="F73" s="856" t="s">
        <v>1400</v>
      </c>
      <c r="G73" s="850">
        <f>SUM(G66:G72)</f>
        <v>3</v>
      </c>
      <c r="H73" s="848">
        <f>SUM(H66:H72)</f>
        <v>1144</v>
      </c>
      <c r="I73" s="848">
        <f>SUM(I66:I72)</f>
        <v>13728</v>
      </c>
      <c r="J73" s="82">
        <f>SUM(D67:D72)</f>
        <v>252</v>
      </c>
      <c r="K73" s="1">
        <f>SUM(G67:G72)</f>
        <v>3</v>
      </c>
      <c r="L73" s="81">
        <f>SUM(H67:H72)</f>
        <v>1144</v>
      </c>
      <c r="M73" s="70">
        <f>SUM(I67:I72)</f>
        <v>13728</v>
      </c>
      <c r="N73" s="80"/>
      <c r="P73" s="587" cm="1">
        <f t="array" ref="P73">IF(H73=0,"",SUMPRODUCT(IFERROR(INT(H67:H72/F67:F72),0)))</f>
        <v>9</v>
      </c>
      <c r="Q73" s="770">
        <f>IF(P73="","",MAX(0,G73-P73))</f>
        <v>0</v>
      </c>
      <c r="R73" s="584"/>
      <c r="S73" s="585"/>
      <c r="AA73" t="s">
        <v>1191</v>
      </c>
      <c r="AB73" t="s">
        <v>1422</v>
      </c>
    </row>
    <row r="74" spans="1:28" ht="6" customHeight="1" x14ac:dyDescent="0.3">
      <c r="C74" s="65"/>
      <c r="J74" s="85"/>
      <c r="L74" s="84"/>
      <c r="M74" s="70"/>
      <c r="N74" s="83"/>
      <c r="AA74" t="s">
        <v>481</v>
      </c>
      <c r="AB74" t="s">
        <v>1422</v>
      </c>
    </row>
    <row r="75" spans="1:28" ht="15" customHeight="1" x14ac:dyDescent="0.3">
      <c r="A75" s="75">
        <v>46093</v>
      </c>
      <c r="B75" s="113" t="s">
        <v>49</v>
      </c>
      <c r="C75" s="112" t="s">
        <v>176</v>
      </c>
      <c r="D75" s="111" t="s">
        <v>177</v>
      </c>
      <c r="E75" s="111" t="s">
        <v>178</v>
      </c>
      <c r="F75" s="860" t="s">
        <v>179</v>
      </c>
      <c r="G75" s="111" t="s">
        <v>180</v>
      </c>
      <c r="H75" s="111" t="s">
        <v>181</v>
      </c>
      <c r="I75" s="111" t="s">
        <v>182</v>
      </c>
      <c r="J75" s="82"/>
      <c r="L75" s="81"/>
      <c r="N75"/>
      <c r="O75"/>
      <c r="P75" s="589"/>
      <c r="Q75" s="591"/>
      <c r="AA75" t="s">
        <v>482</v>
      </c>
      <c r="AB75" t="s">
        <v>1422</v>
      </c>
    </row>
    <row r="76" spans="1:28" ht="21" customHeight="1" x14ac:dyDescent="0.3">
      <c r="A76" s="110"/>
      <c r="B76" s="109" t="s">
        <v>35</v>
      </c>
      <c r="C76" s="108">
        <v>400</v>
      </c>
      <c r="D76" s="104">
        <f>D67-J67</f>
        <v>252</v>
      </c>
      <c r="E76" s="107" t="s">
        <v>184</v>
      </c>
      <c r="F76" s="871">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125</v>
      </c>
      <c r="G76" s="106">
        <f t="shared" ref="G76:G81" si="8">IFERROR(ROUNDUP(D76/F76,0),"")</f>
        <v>3</v>
      </c>
      <c r="H76" s="105">
        <v>362</v>
      </c>
      <c r="I76" s="104">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4344</v>
      </c>
      <c r="J76" s="85"/>
      <c r="L76" s="84"/>
      <c r="N76"/>
      <c r="O76"/>
      <c r="P76" s="589"/>
      <c r="Q76" s="591"/>
      <c r="AA76" t="s">
        <v>1192</v>
      </c>
      <c r="AB76" t="s">
        <v>1422</v>
      </c>
    </row>
    <row r="77" spans="1:28" ht="21" customHeight="1" x14ac:dyDescent="0.3">
      <c r="A77" s="110"/>
      <c r="B77" s="109" t="s">
        <v>195</v>
      </c>
      <c r="C77" s="108">
        <v>400</v>
      </c>
      <c r="D77" s="104">
        <v>3500</v>
      </c>
      <c r="E77" s="107" t="s">
        <v>184</v>
      </c>
      <c r="F77" s="871">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125</v>
      </c>
      <c r="G77" s="106">
        <f t="shared" si="8"/>
        <v>28</v>
      </c>
      <c r="H77" s="105">
        <v>463</v>
      </c>
      <c r="I77" s="104">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5556</v>
      </c>
      <c r="J77" s="98"/>
      <c r="K77" s="67"/>
      <c r="L77" s="97"/>
      <c r="M77" s="67"/>
      <c r="N77"/>
      <c r="O77"/>
      <c r="P77" s="589"/>
      <c r="Q77" s="591"/>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 t="shared" si="8"/>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N78"/>
      <c r="O78"/>
      <c r="P78" s="589"/>
      <c r="Q78" s="591"/>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 t="shared" si="8"/>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J79" s="72"/>
      <c r="K79" s="72"/>
      <c r="L79" s="87"/>
      <c r="M79" s="72"/>
      <c r="N79"/>
      <c r="O79"/>
      <c r="P79" s="589"/>
      <c r="Q79" s="591"/>
      <c r="AA79" t="s">
        <v>582</v>
      </c>
      <c r="AB79" t="s">
        <v>1422</v>
      </c>
    </row>
    <row r="80" spans="1:28" ht="21" customHeight="1" x14ac:dyDescent="0.3">
      <c r="A80" s="110"/>
      <c r="B80" s="109"/>
      <c r="C80" s="108"/>
      <c r="D80" s="104"/>
      <c r="E80" s="107" t="s">
        <v>184</v>
      </c>
      <c r="F80" s="871"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106" t="str">
        <f t="shared" si="8"/>
        <v/>
      </c>
      <c r="H80" s="105"/>
      <c r="I80" s="104"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J80" s="85"/>
      <c r="L80" s="84"/>
      <c r="N80"/>
      <c r="O80"/>
      <c r="P80" s="589"/>
      <c r="Q80" s="591"/>
      <c r="AA80" t="s">
        <v>1207</v>
      </c>
      <c r="AB80" t="s">
        <v>1422</v>
      </c>
    </row>
    <row r="81" spans="1:28" ht="21" customHeight="1" x14ac:dyDescent="0.3">
      <c r="A81" s="817"/>
      <c r="B81" s="818"/>
      <c r="C81" s="819"/>
      <c r="D81" s="820"/>
      <c r="E81" s="821" t="s">
        <v>184</v>
      </c>
      <c r="F81" s="872" t="str">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
      </c>
      <c r="G81" s="822" t="str">
        <f t="shared" si="8"/>
        <v/>
      </c>
      <c r="H81" s="823"/>
      <c r="I81" s="820" t="str">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
      </c>
      <c r="J81" s="82"/>
      <c r="L81" s="81"/>
      <c r="M81" s="70"/>
      <c r="N81"/>
      <c r="O81"/>
      <c r="P81" s="589"/>
      <c r="Q81" s="591"/>
      <c r="AA81" t="s">
        <v>486</v>
      </c>
      <c r="AB81" t="s">
        <v>1422</v>
      </c>
    </row>
    <row r="82" spans="1:28" ht="15" customHeight="1" x14ac:dyDescent="0.3">
      <c r="A82" s="899"/>
      <c r="B82" s="846" t="s">
        <v>186</v>
      </c>
      <c r="C82" s="847"/>
      <c r="D82" s="848">
        <f>SUM(D75:D81)</f>
        <v>3752</v>
      </c>
      <c r="E82" s="849"/>
      <c r="F82" s="856" t="s">
        <v>1400</v>
      </c>
      <c r="G82" s="850">
        <f>SUM(G75:G81)</f>
        <v>31</v>
      </c>
      <c r="H82" s="848">
        <f>SUM(H75:H81)</f>
        <v>825</v>
      </c>
      <c r="I82" s="848">
        <f>SUM(I75:I81)</f>
        <v>9900</v>
      </c>
      <c r="J82" s="85">
        <f>SUM(D76:D81)</f>
        <v>3752</v>
      </c>
      <c r="K82" s="1">
        <f>SUM(G76:G81)</f>
        <v>31</v>
      </c>
      <c r="L82" s="84">
        <f>SUM(H76:H81)</f>
        <v>825</v>
      </c>
      <c r="M82" s="70">
        <f>SUM(I76:I81)</f>
        <v>9900</v>
      </c>
      <c r="N82"/>
      <c r="O82"/>
      <c r="P82" s="586" cm="1">
        <f t="array" ref="P82">IF(H82=0,"",SUMPRODUCT(IFERROR(INT(H76:H81/F76:F81),0)))</f>
        <v>5</v>
      </c>
      <c r="Q82" s="769">
        <f>IF(P82="","",MAX(0,G82-P82))</f>
        <v>26</v>
      </c>
      <c r="R82" s="584"/>
      <c r="S82" s="585"/>
      <c r="AA82" t="s">
        <v>485</v>
      </c>
      <c r="AB82" t="s">
        <v>1422</v>
      </c>
    </row>
    <row r="83" spans="1:28" ht="6" customHeight="1" x14ac:dyDescent="0.3">
      <c r="C83" s="65"/>
      <c r="J83" s="82"/>
      <c r="L83" s="81"/>
      <c r="N83"/>
      <c r="O83"/>
      <c r="P83" s="589"/>
      <c r="Q83" s="591"/>
      <c r="AA83" t="s">
        <v>583</v>
      </c>
      <c r="AB83" t="s">
        <v>1422</v>
      </c>
    </row>
    <row r="84" spans="1:28" ht="15" customHeight="1" x14ac:dyDescent="0.3">
      <c r="A84" s="75">
        <v>46094</v>
      </c>
      <c r="B84" s="113" t="s">
        <v>49</v>
      </c>
      <c r="C84" s="112" t="s">
        <v>176</v>
      </c>
      <c r="D84" s="111" t="s">
        <v>177</v>
      </c>
      <c r="E84" s="111" t="s">
        <v>178</v>
      </c>
      <c r="F84" s="860" t="s">
        <v>179</v>
      </c>
      <c r="G84" s="111" t="s">
        <v>180</v>
      </c>
      <c r="H84" s="111" t="s">
        <v>181</v>
      </c>
      <c r="I84" s="111" t="s">
        <v>182</v>
      </c>
      <c r="J84" s="85"/>
      <c r="L84" s="84"/>
      <c r="N84" s="83"/>
      <c r="AA84" t="s">
        <v>584</v>
      </c>
      <c r="AB84" t="s">
        <v>1422</v>
      </c>
    </row>
    <row r="85" spans="1:28" ht="21" customHeight="1" x14ac:dyDescent="0.3">
      <c r="A85" s="110"/>
      <c r="B85" s="109" t="s">
        <v>195</v>
      </c>
      <c r="C85" s="108">
        <v>400</v>
      </c>
      <c r="D85" s="104">
        <f>D77-J77</f>
        <v>3500</v>
      </c>
      <c r="E85" s="107" t="s">
        <v>184</v>
      </c>
      <c r="F85" s="871">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125</v>
      </c>
      <c r="G85" s="106">
        <f t="shared" ref="G85:G90" si="9">IFERROR(ROUNDUP(D85/F85,0),"")</f>
        <v>28</v>
      </c>
      <c r="H85" s="105">
        <v>1121</v>
      </c>
      <c r="I85" s="104">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13452</v>
      </c>
      <c r="J85" s="82"/>
      <c r="L85" s="81"/>
      <c r="N85" s="80"/>
      <c r="AA85" t="s">
        <v>579</v>
      </c>
      <c r="AB85" t="s">
        <v>1422</v>
      </c>
    </row>
    <row r="86" spans="1:28" ht="21" customHeight="1" x14ac:dyDescent="0.3">
      <c r="A86" s="110"/>
      <c r="B86" s="109"/>
      <c r="C86" s="108"/>
      <c r="D86" s="104"/>
      <c r="E86" s="107" t="s">
        <v>184</v>
      </c>
      <c r="F86" s="871"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06" t="str">
        <f t="shared" si="9"/>
        <v/>
      </c>
      <c r="H86" s="105"/>
      <c r="I86" s="104"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L86" s="70"/>
      <c r="N86" s="69"/>
      <c r="AA86" t="s">
        <v>484</v>
      </c>
      <c r="AB86" t="s">
        <v>1422</v>
      </c>
    </row>
    <row r="87" spans="1:28" ht="21" customHeight="1" x14ac:dyDescent="0.3">
      <c r="A87" s="110"/>
      <c r="B87" s="109"/>
      <c r="C87" s="108"/>
      <c r="D87" s="104"/>
      <c r="E87" s="107" t="s">
        <v>184</v>
      </c>
      <c r="F87" s="871"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06" t="str">
        <f t="shared" si="9"/>
        <v/>
      </c>
      <c r="H87" s="105"/>
      <c r="I87" s="104"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L87" s="70"/>
      <c r="N87" s="69"/>
      <c r="AA87" t="s">
        <v>580</v>
      </c>
      <c r="AB87" t="s">
        <v>1422</v>
      </c>
    </row>
    <row r="88" spans="1:28" ht="21" customHeight="1" x14ac:dyDescent="0.3">
      <c r="A88" s="110"/>
      <c r="B88" s="109"/>
      <c r="C88" s="108"/>
      <c r="D88" s="104"/>
      <c r="E88" s="107" t="s">
        <v>184</v>
      </c>
      <c r="F88" s="871"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106" t="str">
        <f t="shared" si="9"/>
        <v/>
      </c>
      <c r="H88" s="105"/>
      <c r="I88" s="104"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L88" s="70"/>
      <c r="N88" s="69"/>
      <c r="AA88" t="s">
        <v>585</v>
      </c>
      <c r="AB88" t="s">
        <v>1422</v>
      </c>
    </row>
    <row r="89" spans="1:28" ht="21" customHeight="1" x14ac:dyDescent="0.3">
      <c r="A89" s="110"/>
      <c r="B89" s="109"/>
      <c r="C89" s="108"/>
      <c r="D89" s="104"/>
      <c r="E89" s="107" t="s">
        <v>184</v>
      </c>
      <c r="F89" s="871" t="str">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
      </c>
      <c r="G89" s="106" t="str">
        <f t="shared" si="9"/>
        <v/>
      </c>
      <c r="H89" s="105"/>
      <c r="I89" s="104" t="str">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
      </c>
      <c r="J89" s="67"/>
      <c r="K89" s="67"/>
      <c r="L89" s="89"/>
      <c r="M89" s="67"/>
      <c r="N89" s="88"/>
      <c r="AA89" t="s">
        <v>586</v>
      </c>
      <c r="AB89" t="s">
        <v>1422</v>
      </c>
    </row>
    <row r="90" spans="1:28" ht="21" customHeight="1" x14ac:dyDescent="0.3">
      <c r="A90" s="817"/>
      <c r="B90" s="818"/>
      <c r="C90" s="819"/>
      <c r="D90" s="820"/>
      <c r="E90" s="821" t="s">
        <v>184</v>
      </c>
      <c r="F90" s="872" t="str">
        <f>IF($B90="","",IF(SUMIFS(CONFIG_PALETES!$C:$C,CONFIG_PALETES!$A:$A,TRIM($B90),CONFIG_PALETES!$B:$B,$C90&amp;" ml")&gt;0,SUMIFS(CONFIG_PALETES!$C:$C,CONFIG_PALETES!$A:$A,TRIM($B90),CONFIG_PALETES!$B:$B,$C90&amp;" ml"),IF(SUMIFS(CONFIG_PALETES!$C:$C,CONFIG_PALETES!$A:$A,"GERAL",CONFIG_PALETES!$B:$B,$C90&amp;" ml")&gt;0,SUMIFS(CONFIG_PALETES!$C:$C,CONFIG_PALETES!$A:$A,"GERAL",CONFIG_PALETES!$B:$B,$C90&amp;" ml"),"")))</f>
        <v/>
      </c>
      <c r="G90" s="822" t="str">
        <f t="shared" si="9"/>
        <v/>
      </c>
      <c r="H90" s="823"/>
      <c r="I90" s="820" t="str">
        <f>IF(H90="","",H90*IF(SUMIFS(CONFIG_PALETES!$D:$D,CONFIG_PALETES!$A:$A,IF(ISNUMBER(SEARCH("ESPUMA",$B90)),"ESPUMA",IF(OR(ISNUMBER(SEARCH("OLEO DE COCO",$B90)),ISNUMBER(SEARCH("ÓLEO DE COCO",$B90)),ISNUMBER(SEARCH("COPRA",$B90))),"ÓLEO DE COCO",IF(ISNUMBER(SEARCH("CORANTE",$B90)),"CORANTE",TRIM($B90)))),CONFIG_PALETES!$B:$B,$C90&amp;" ml")&gt;0,SUMIFS(CONFIG_PALETES!$D:$D,CONFIG_PALETES!$A:$A,IF(ISNUMBER(SEARCH("ESPUMA",$B90)),"ESPUMA",IF(OR(ISNUMBER(SEARCH("OLEO DE COCO",$B90)),ISNUMBER(SEARCH("ÓLEO DE COCO",$B90)),ISNUMBER(SEARCH("COPRA",$B90))),"ÓLEO DE COCO",IF(ISNUMBER(SEARCH("CORANTE",$B90)),"CORANTE",TRIM($B90)))),CONFIG_PALETES!$B:$B,$C90&amp;" ml"),IF(SUMIFS(CONFIG_PALETES!$D:$D,CONFIG_PALETES!$A:$A,"GERAL",CONFIG_PALETES!$B:$B,$C90&amp;" ml")&gt;0,SUMIFS(CONFIG_PALETES!$D:$D,CONFIG_PALETES!$A:$A,"GERAL",CONFIG_PALETES!$B:$B,$C90&amp;" ml"),12)))</f>
        <v/>
      </c>
      <c r="AA90" t="s">
        <v>194</v>
      </c>
      <c r="AB90" t="s">
        <v>1422</v>
      </c>
    </row>
    <row r="91" spans="1:28" ht="15" customHeight="1" x14ac:dyDescent="0.3">
      <c r="A91" s="899"/>
      <c r="B91" s="846" t="s">
        <v>186</v>
      </c>
      <c r="C91" s="847"/>
      <c r="D91" s="848">
        <f>SUM(D84:D90)</f>
        <v>3500</v>
      </c>
      <c r="E91" s="849"/>
      <c r="F91" s="856" t="s">
        <v>1400</v>
      </c>
      <c r="G91" s="850">
        <f>SUM(G84:G90)</f>
        <v>28</v>
      </c>
      <c r="H91" s="848">
        <f>SUM(H84:H90)</f>
        <v>1121</v>
      </c>
      <c r="I91" s="848">
        <f>SUM(I84:I90)</f>
        <v>13452</v>
      </c>
      <c r="J91" s="72">
        <f>SUM(D85:D90)</f>
        <v>3500</v>
      </c>
      <c r="K91" s="72">
        <f>SUM(G85:G90)</f>
        <v>28</v>
      </c>
      <c r="L91" s="87">
        <f>SUM(H85:H90)</f>
        <v>1121</v>
      </c>
      <c r="M91" s="72">
        <f>SUM(I85:I90)</f>
        <v>13452</v>
      </c>
      <c r="N91" s="87"/>
      <c r="P91" s="587" cm="1">
        <f t="array" ref="P91">IF(H91=0,"",SUMPRODUCT(IFERROR(INT(H85:H90/F85:F90),0)))</f>
        <v>8</v>
      </c>
      <c r="Q91" s="770">
        <f>IF(P91="","",MAX(0,G91-P91))</f>
        <v>20</v>
      </c>
      <c r="R91" s="584"/>
      <c r="S91" s="585"/>
      <c r="AA91" t="s">
        <v>35</v>
      </c>
      <c r="AB91" t="s">
        <v>1425</v>
      </c>
    </row>
    <row r="92" spans="1:28" ht="6" customHeight="1" x14ac:dyDescent="0.3">
      <c r="C92" s="65"/>
      <c r="J92" s="85"/>
      <c r="L92" s="84"/>
      <c r="N92" s="83"/>
      <c r="AA92" t="s">
        <v>597</v>
      </c>
      <c r="AB92" t="s">
        <v>1425</v>
      </c>
    </row>
    <row r="93" spans="1:28" ht="15" customHeight="1" x14ac:dyDescent="0.3">
      <c r="A93" s="75">
        <v>46097</v>
      </c>
      <c r="B93" s="113" t="s">
        <v>49</v>
      </c>
      <c r="C93" s="112" t="s">
        <v>176</v>
      </c>
      <c r="D93" s="111" t="s">
        <v>177</v>
      </c>
      <c r="E93" s="111" t="s">
        <v>178</v>
      </c>
      <c r="F93" s="860" t="s">
        <v>179</v>
      </c>
      <c r="G93" s="111" t="s">
        <v>180</v>
      </c>
      <c r="H93" s="111" t="s">
        <v>181</v>
      </c>
      <c r="I93" s="111" t="s">
        <v>182</v>
      </c>
      <c r="J93" s="82"/>
      <c r="L93" s="81"/>
      <c r="N93" s="80"/>
      <c r="P93" s="593"/>
      <c r="AA93" t="s">
        <v>196</v>
      </c>
      <c r="AB93" t="s">
        <v>1429</v>
      </c>
    </row>
    <row r="94" spans="1:28" ht="21" customHeight="1" x14ac:dyDescent="0.3">
      <c r="A94" s="110"/>
      <c r="B94" s="109" t="s">
        <v>195</v>
      </c>
      <c r="C94" s="108">
        <v>400</v>
      </c>
      <c r="D94" s="104">
        <f>D86-J86</f>
        <v>0</v>
      </c>
      <c r="E94" s="107" t="s">
        <v>184</v>
      </c>
      <c r="F94" s="871">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125</v>
      </c>
      <c r="G94" s="106">
        <f t="shared" ref="G94:G99" si="10">IFERROR(ROUNDUP(D94/F94,0),"")</f>
        <v>0</v>
      </c>
      <c r="H94" s="105">
        <v>1206</v>
      </c>
      <c r="I94" s="104">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14472</v>
      </c>
      <c r="J94" s="85"/>
      <c r="L94" s="84"/>
      <c r="N94" s="83"/>
      <c r="AA94" t="s">
        <v>298</v>
      </c>
      <c r="AB94" t="s">
        <v>1422</v>
      </c>
    </row>
    <row r="95" spans="1:28" ht="21" customHeight="1" x14ac:dyDescent="0.3">
      <c r="A95" s="110"/>
      <c r="B95" s="109" t="s">
        <v>29</v>
      </c>
      <c r="C95" s="108">
        <v>400</v>
      </c>
      <c r="D95" s="104">
        <v>2310</v>
      </c>
      <c r="E95" s="107" t="s">
        <v>184</v>
      </c>
      <c r="F95" s="871">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110</v>
      </c>
      <c r="G95" s="106">
        <f t="shared" si="10"/>
        <v>21</v>
      </c>
      <c r="H95" s="105">
        <v>171</v>
      </c>
      <c r="I95" s="104">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2052</v>
      </c>
      <c r="J95" s="82"/>
      <c r="L95" s="81"/>
      <c r="N95" s="80"/>
      <c r="AA95" t="s">
        <v>191</v>
      </c>
      <c r="AB95" t="s">
        <v>1422</v>
      </c>
    </row>
    <row r="96" spans="1:28" ht="21" customHeight="1" x14ac:dyDescent="0.3">
      <c r="A96" s="110"/>
      <c r="B96" s="109"/>
      <c r="C96" s="108"/>
      <c r="D96" s="104"/>
      <c r="E96" s="107" t="s">
        <v>184</v>
      </c>
      <c r="F96" s="871"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106" t="str">
        <f t="shared" si="10"/>
        <v/>
      </c>
      <c r="H96" s="105"/>
      <c r="I96" s="104"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J96" s="85"/>
      <c r="L96" s="84"/>
      <c r="M96" s="70"/>
      <c r="N96" s="83"/>
      <c r="AA96" t="s">
        <v>190</v>
      </c>
      <c r="AB96" t="s">
        <v>1422</v>
      </c>
    </row>
    <row r="97" spans="1:28" ht="21" customHeight="1" x14ac:dyDescent="0.3">
      <c r="A97" s="110"/>
      <c r="B97" s="109"/>
      <c r="C97" s="108"/>
      <c r="D97" s="104"/>
      <c r="E97" s="107" t="s">
        <v>184</v>
      </c>
      <c r="F97" s="871" t="str">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
      </c>
      <c r="G97" s="106" t="str">
        <f t="shared" si="10"/>
        <v/>
      </c>
      <c r="H97" s="105"/>
      <c r="I97" s="104" t="str">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
      </c>
      <c r="J97" s="82"/>
      <c r="L97" s="81"/>
      <c r="N97" s="80"/>
      <c r="AA97" t="s">
        <v>594</v>
      </c>
      <c r="AB97" t="s">
        <v>1424</v>
      </c>
    </row>
    <row r="98" spans="1:28" ht="21" customHeight="1" x14ac:dyDescent="0.3">
      <c r="A98" s="110"/>
      <c r="B98" s="109"/>
      <c r="C98" s="108"/>
      <c r="D98" s="104"/>
      <c r="E98" s="107" t="s">
        <v>184</v>
      </c>
      <c r="F98" s="871" t="str">
        <f>IF($B98="","",IF(SUMIFS(CONFIG_PALETES!$C:$C,CONFIG_PALETES!$A:$A,TRIM($B98),CONFIG_PALETES!$B:$B,$C98&amp;" ml")&gt;0,SUMIFS(CONFIG_PALETES!$C:$C,CONFIG_PALETES!$A:$A,TRIM($B98),CONFIG_PALETES!$B:$B,$C98&amp;" ml"),IF(SUMIFS(CONFIG_PALETES!$C:$C,CONFIG_PALETES!$A:$A,"GERAL",CONFIG_PALETES!$B:$B,$C98&amp;" ml")&gt;0,SUMIFS(CONFIG_PALETES!$C:$C,CONFIG_PALETES!$A:$A,"GERAL",CONFIG_PALETES!$B:$B,$C98&amp;" ml"),"")))</f>
        <v/>
      </c>
      <c r="G98" s="106" t="str">
        <f t="shared" si="10"/>
        <v/>
      </c>
      <c r="H98" s="105"/>
      <c r="I98" s="104" t="str">
        <f>IF(H98="","",H98*IF(SUMIFS(CONFIG_PALETES!$D:$D,CONFIG_PALETES!$A:$A,IF(ISNUMBER(SEARCH("ESPUMA",$B98)),"ESPUMA",IF(OR(ISNUMBER(SEARCH("OLEO DE COCO",$B98)),ISNUMBER(SEARCH("ÓLEO DE COCO",$B98)),ISNUMBER(SEARCH("COPRA",$B98))),"ÓLEO DE COCO",IF(ISNUMBER(SEARCH("CORANTE",$B98)),"CORANTE",TRIM($B98)))),CONFIG_PALETES!$B:$B,$C98&amp;" ml")&gt;0,SUMIFS(CONFIG_PALETES!$D:$D,CONFIG_PALETES!$A:$A,IF(ISNUMBER(SEARCH("ESPUMA",$B98)),"ESPUMA",IF(OR(ISNUMBER(SEARCH("OLEO DE COCO",$B98)),ISNUMBER(SEARCH("ÓLEO DE COCO",$B98)),ISNUMBER(SEARCH("COPRA",$B98))),"ÓLEO DE COCO",IF(ISNUMBER(SEARCH("CORANTE",$B98)),"CORANTE",TRIM($B98)))),CONFIG_PALETES!$B:$B,$C98&amp;" ml"),IF(SUMIFS(CONFIG_PALETES!$D:$D,CONFIG_PALETES!$A:$A,"GERAL",CONFIG_PALETES!$B:$B,$C98&amp;" ml")&gt;0,SUMIFS(CONFIG_PALETES!$D:$D,CONFIG_PALETES!$A:$A,"GERAL",CONFIG_PALETES!$B:$B,$C98&amp;" ml"),12)))</f>
        <v/>
      </c>
      <c r="L98" s="70"/>
      <c r="N98" s="69"/>
      <c r="AA98" t="s">
        <v>1061</v>
      </c>
      <c r="AB98" t="s">
        <v>1429</v>
      </c>
    </row>
    <row r="99" spans="1:28" ht="21" customHeight="1" x14ac:dyDescent="0.3">
      <c r="A99" s="817"/>
      <c r="B99" s="818"/>
      <c r="C99" s="819"/>
      <c r="D99" s="820"/>
      <c r="E99" s="821" t="s">
        <v>184</v>
      </c>
      <c r="F99" s="872" t="str">
        <f>IF($B99="","",IF(SUMIFS(CONFIG_PALETES!$C:$C,CONFIG_PALETES!$A:$A,TRIM($B99),CONFIG_PALETES!$B:$B,$C99&amp;" ml")&gt;0,SUMIFS(CONFIG_PALETES!$C:$C,CONFIG_PALETES!$A:$A,TRIM($B99),CONFIG_PALETES!$B:$B,$C99&amp;" ml"),IF(SUMIFS(CONFIG_PALETES!$C:$C,CONFIG_PALETES!$A:$A,"GERAL",CONFIG_PALETES!$B:$B,$C99&amp;" ml")&gt;0,SUMIFS(CONFIG_PALETES!$C:$C,CONFIG_PALETES!$A:$A,"GERAL",CONFIG_PALETES!$B:$B,$C99&amp;" ml"),"")))</f>
        <v/>
      </c>
      <c r="G99" s="822" t="str">
        <f t="shared" si="10"/>
        <v/>
      </c>
      <c r="H99" s="823"/>
      <c r="I99" s="820" t="str">
        <f>IF(H99="","",H99*IF(SUMIFS(CONFIG_PALETES!$D:$D,CONFIG_PALETES!$A:$A,IF(ISNUMBER(SEARCH("ESPUMA",$B99)),"ESPUMA",IF(OR(ISNUMBER(SEARCH("OLEO DE COCO",$B99)),ISNUMBER(SEARCH("ÓLEO DE COCO",$B99)),ISNUMBER(SEARCH("COPRA",$B99))),"ÓLEO DE COCO",IF(ISNUMBER(SEARCH("CORANTE",$B99)),"CORANTE",TRIM($B99)))),CONFIG_PALETES!$B:$B,$C99&amp;" ml")&gt;0,SUMIFS(CONFIG_PALETES!$D:$D,CONFIG_PALETES!$A:$A,IF(ISNUMBER(SEARCH("ESPUMA",$B99)),"ESPUMA",IF(OR(ISNUMBER(SEARCH("OLEO DE COCO",$B99)),ISNUMBER(SEARCH("ÓLEO DE COCO",$B99)),ISNUMBER(SEARCH("COPRA",$B99))),"ÓLEO DE COCO",IF(ISNUMBER(SEARCH("CORANTE",$B99)),"CORANTE",TRIM($B99)))),CONFIG_PALETES!$B:$B,$C99&amp;" ml"),IF(SUMIFS(CONFIG_PALETES!$D:$D,CONFIG_PALETES!$A:$A,"GERAL",CONFIG_PALETES!$B:$B,$C99&amp;" ml")&gt;0,SUMIFS(CONFIG_PALETES!$D:$D,CONFIG_PALETES!$A:$A,"GERAL",CONFIG_PALETES!$B:$B,$C99&amp;" ml"),12)))</f>
        <v/>
      </c>
      <c r="J99" s="67"/>
      <c r="K99" s="67"/>
      <c r="L99" s="89"/>
      <c r="M99" s="67"/>
      <c r="N99" s="88"/>
      <c r="AA99" t="s">
        <v>149</v>
      </c>
      <c r="AB99" t="s">
        <v>1425</v>
      </c>
    </row>
    <row r="100" spans="1:28" ht="15" customHeight="1" x14ac:dyDescent="0.3">
      <c r="A100" s="899"/>
      <c r="B100" s="846" t="s">
        <v>186</v>
      </c>
      <c r="C100" s="847"/>
      <c r="D100" s="848">
        <f>SUM(D93:D99)</f>
        <v>2310</v>
      </c>
      <c r="E100" s="849"/>
      <c r="F100" s="856" t="s">
        <v>1400</v>
      </c>
      <c r="G100" s="850">
        <f>SUM(G93:G99)</f>
        <v>21</v>
      </c>
      <c r="H100" s="848">
        <f>SUM(H93:H99)</f>
        <v>1377</v>
      </c>
      <c r="I100" s="848">
        <f>SUM(I93:I99)</f>
        <v>16524</v>
      </c>
      <c r="J100" s="1">
        <f>SUM(D94:D99)</f>
        <v>2310</v>
      </c>
      <c r="K100" s="1">
        <f>SUM(G94:G99)</f>
        <v>21</v>
      </c>
      <c r="L100" s="1">
        <f>SUM(H94:H99)</f>
        <v>1377</v>
      </c>
      <c r="M100" s="1">
        <f>SUM(I94:I99)</f>
        <v>16524</v>
      </c>
      <c r="P100" s="587" cm="1">
        <f t="array" ref="P100">IF(H100=0,"",SUMPRODUCT(IFERROR(INT(H94:H99/F94:F99),0)))</f>
        <v>10</v>
      </c>
      <c r="Q100" s="770">
        <f>IF(P100="","",MAX(0,G100-P100))</f>
        <v>11</v>
      </c>
      <c r="R100" s="584"/>
      <c r="S100" s="585"/>
      <c r="AA100" t="s">
        <v>29</v>
      </c>
      <c r="AB100" t="s">
        <v>1425</v>
      </c>
    </row>
    <row r="101" spans="1:28" ht="6" customHeight="1" x14ac:dyDescent="0.3">
      <c r="C101" s="65"/>
      <c r="J101" s="72"/>
      <c r="K101" s="72"/>
      <c r="L101" s="87"/>
      <c r="M101" s="72"/>
      <c r="N101" s="87"/>
      <c r="AA101" t="s">
        <v>62</v>
      </c>
      <c r="AB101" t="s">
        <v>1423</v>
      </c>
    </row>
    <row r="102" spans="1:28" ht="15" customHeight="1" x14ac:dyDescent="0.3">
      <c r="A102" s="75">
        <v>46098</v>
      </c>
      <c r="B102" s="113" t="s">
        <v>49</v>
      </c>
      <c r="C102" s="112" t="s">
        <v>176</v>
      </c>
      <c r="D102" s="111" t="s">
        <v>177</v>
      </c>
      <c r="E102" s="111" t="s">
        <v>178</v>
      </c>
      <c r="F102" s="860" t="s">
        <v>179</v>
      </c>
      <c r="G102" s="111" t="s">
        <v>180</v>
      </c>
      <c r="H102" s="111" t="s">
        <v>181</v>
      </c>
      <c r="I102" s="111" t="s">
        <v>182</v>
      </c>
      <c r="J102" s="85"/>
      <c r="L102" s="84"/>
      <c r="N102" s="83"/>
      <c r="AA102" t="s">
        <v>649</v>
      </c>
      <c r="AB102" t="s">
        <v>1423</v>
      </c>
    </row>
    <row r="103" spans="1:28" ht="21" customHeight="1" x14ac:dyDescent="0.3">
      <c r="A103" s="110"/>
      <c r="B103" s="109" t="s">
        <v>29</v>
      </c>
      <c r="C103" s="108">
        <v>400</v>
      </c>
      <c r="D103" s="104">
        <f>D96-J96</f>
        <v>0</v>
      </c>
      <c r="E103" s="107" t="s">
        <v>184</v>
      </c>
      <c r="F103" s="871">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110</v>
      </c>
      <c r="G103" s="106">
        <f t="shared" ref="G103:G108" si="11">IFERROR(ROUNDUP(D103/F103,0),"")</f>
        <v>0</v>
      </c>
      <c r="H103" s="105">
        <v>1482</v>
      </c>
      <c r="I103" s="104">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17784</v>
      </c>
      <c r="J103" s="82"/>
      <c r="L103" s="81"/>
      <c r="M103" s="70"/>
      <c r="N103" s="80"/>
      <c r="AA103" t="s">
        <v>188</v>
      </c>
      <c r="AB103" t="s">
        <v>1423</v>
      </c>
    </row>
    <row r="104" spans="1:28" ht="21" customHeight="1" x14ac:dyDescent="0.3">
      <c r="A104" s="110"/>
      <c r="B104" s="109"/>
      <c r="C104" s="108"/>
      <c r="D104" s="104"/>
      <c r="E104" s="107" t="s">
        <v>184</v>
      </c>
      <c r="F104" s="871"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106" t="str">
        <f t="shared" si="11"/>
        <v/>
      </c>
      <c r="H104" s="105"/>
      <c r="I104" s="104"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J104" s="85"/>
      <c r="L104" s="84"/>
      <c r="M104" s="70"/>
      <c r="N104" s="83"/>
      <c r="AA104" t="s">
        <v>1164</v>
      </c>
      <c r="AB104" t="s">
        <v>1423</v>
      </c>
    </row>
    <row r="105" spans="1:28" ht="21" customHeight="1" x14ac:dyDescent="0.3">
      <c r="A105" s="110"/>
      <c r="B105" s="109"/>
      <c r="C105" s="108"/>
      <c r="D105" s="104"/>
      <c r="E105" s="107" t="s">
        <v>184</v>
      </c>
      <c r="F105" s="871" t="str">
        <f>IF($B105="","",IF(SUMIFS(CONFIG_PALETES!$C:$C,CONFIG_PALETES!$A:$A,TRIM($B105),CONFIG_PALETES!$B:$B,$C105&amp;" ml")&gt;0,SUMIFS(CONFIG_PALETES!$C:$C,CONFIG_PALETES!$A:$A,TRIM($B105),CONFIG_PALETES!$B:$B,$C105&amp;" ml"),IF(SUMIFS(CONFIG_PALETES!$C:$C,CONFIG_PALETES!$A:$A,"GERAL",CONFIG_PALETES!$B:$B,$C105&amp;" ml")&gt;0,SUMIFS(CONFIG_PALETES!$C:$C,CONFIG_PALETES!$A:$A,"GERAL",CONFIG_PALETES!$B:$B,$C105&amp;" ml"),"")))</f>
        <v/>
      </c>
      <c r="G105" s="106" t="str">
        <f t="shared" si="11"/>
        <v/>
      </c>
      <c r="H105" s="105"/>
      <c r="I105" s="104" t="str">
        <f>IF(H105="","",H105*IF(SUMIFS(CONFIG_PALETES!$D:$D,CONFIG_PALETES!$A:$A,IF(ISNUMBER(SEARCH("ESPUMA",$B105)),"ESPUMA",IF(OR(ISNUMBER(SEARCH("OLEO DE COCO",$B105)),ISNUMBER(SEARCH("ÓLEO DE COCO",$B105)),ISNUMBER(SEARCH("COPRA",$B105))),"ÓLEO DE COCO",IF(ISNUMBER(SEARCH("CORANTE",$B105)),"CORANTE",TRIM($B105)))),CONFIG_PALETES!$B:$B,$C105&amp;" ml")&gt;0,SUMIFS(CONFIG_PALETES!$D:$D,CONFIG_PALETES!$A:$A,IF(ISNUMBER(SEARCH("ESPUMA",$B105)),"ESPUMA",IF(OR(ISNUMBER(SEARCH("OLEO DE COCO",$B105)),ISNUMBER(SEARCH("ÓLEO DE COCO",$B105)),ISNUMBER(SEARCH("COPRA",$B105))),"ÓLEO DE COCO",IF(ISNUMBER(SEARCH("CORANTE",$B105)),"CORANTE",TRIM($B105)))),CONFIG_PALETES!$B:$B,$C105&amp;" ml"),IF(SUMIFS(CONFIG_PALETES!$D:$D,CONFIG_PALETES!$A:$A,"GERAL",CONFIG_PALETES!$B:$B,$C105&amp;" ml")&gt;0,SUMIFS(CONFIG_PALETES!$D:$D,CONFIG_PALETES!$A:$A,"GERAL",CONFIG_PALETES!$B:$B,$C105&amp;" ml"),12)))</f>
        <v/>
      </c>
      <c r="J105" s="82"/>
      <c r="L105" s="81"/>
      <c r="N105" s="80"/>
      <c r="AA105" t="s">
        <v>131</v>
      </c>
      <c r="AB105" t="s">
        <v>1423</v>
      </c>
    </row>
    <row r="106" spans="1:28" ht="21" customHeight="1" x14ac:dyDescent="0.3">
      <c r="A106" s="110"/>
      <c r="B106" s="109"/>
      <c r="C106" s="108"/>
      <c r="D106" s="104"/>
      <c r="E106" s="107" t="s">
        <v>184</v>
      </c>
      <c r="F106" s="871" t="str">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
      </c>
      <c r="G106" s="106" t="str">
        <f t="shared" si="11"/>
        <v/>
      </c>
      <c r="H106" s="105"/>
      <c r="I106" s="104" t="str">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f>
        <v/>
      </c>
      <c r="J106" s="85"/>
      <c r="L106" s="84"/>
      <c r="M106" s="70"/>
      <c r="N106" s="83"/>
      <c r="AA106" t="s">
        <v>1225</v>
      </c>
      <c r="AB106" t="s">
        <v>1426</v>
      </c>
    </row>
    <row r="107" spans="1:28" ht="21" customHeight="1" x14ac:dyDescent="0.3">
      <c r="A107" s="110"/>
      <c r="B107" s="109"/>
      <c r="C107" s="108"/>
      <c r="D107" s="104"/>
      <c r="E107" s="107" t="s">
        <v>184</v>
      </c>
      <c r="F107" s="871" t="str">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
      </c>
      <c r="G107" s="106" t="str">
        <f t="shared" si="11"/>
        <v/>
      </c>
      <c r="H107" s="105"/>
      <c r="I107" s="104" t="str">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
      </c>
      <c r="J107" s="82"/>
      <c r="L107" s="81"/>
      <c r="N107" s="80"/>
      <c r="AA107" t="s">
        <v>198</v>
      </c>
      <c r="AB107" t="s">
        <v>1425</v>
      </c>
    </row>
    <row r="108" spans="1:28" ht="21" customHeight="1" x14ac:dyDescent="0.3">
      <c r="A108" s="817"/>
      <c r="B108" s="818"/>
      <c r="C108" s="819"/>
      <c r="D108" s="820"/>
      <c r="E108" s="821" t="s">
        <v>184</v>
      </c>
      <c r="F108" s="872"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822" t="str">
        <f t="shared" si="11"/>
        <v/>
      </c>
      <c r="H108" s="823"/>
      <c r="I108" s="820"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L108" s="70"/>
      <c r="N108" s="69"/>
      <c r="AA108" t="s">
        <v>1226</v>
      </c>
      <c r="AB108" t="s">
        <v>1426</v>
      </c>
    </row>
    <row r="109" spans="1:28" ht="15" customHeight="1" x14ac:dyDescent="0.3">
      <c r="A109" s="899"/>
      <c r="B109" s="846" t="s">
        <v>186</v>
      </c>
      <c r="C109" s="847"/>
      <c r="D109" s="848">
        <f>SUM(D102:D108)</f>
        <v>0</v>
      </c>
      <c r="E109" s="849"/>
      <c r="F109" s="856" t="s">
        <v>1400</v>
      </c>
      <c r="G109" s="850">
        <f>SUM(G102:G108)</f>
        <v>0</v>
      </c>
      <c r="H109" s="848">
        <f>SUM(H102:H108)</f>
        <v>1482</v>
      </c>
      <c r="I109" s="848">
        <f>SUM(I102:I108)</f>
        <v>17784</v>
      </c>
      <c r="J109" s="67">
        <f>SUM(D103:D108)</f>
        <v>0</v>
      </c>
      <c r="K109" s="67">
        <f>SUM(G103:G108)</f>
        <v>0</v>
      </c>
      <c r="L109" s="89">
        <f>SUM(H103:H108)</f>
        <v>1482</v>
      </c>
      <c r="M109" s="67">
        <f>SUM(I103:I108)</f>
        <v>17784</v>
      </c>
      <c r="N109" s="88"/>
      <c r="P109" s="587" cm="1">
        <f t="array" ref="P109">IF(H109=0,"",SUMPRODUCT(IFERROR(INT(H103:H108/F103:F108),0)))</f>
        <v>13</v>
      </c>
      <c r="Q109" s="770">
        <f>IF(P109="","",MAX(0,G109-P109))</f>
        <v>0</v>
      </c>
      <c r="R109" s="584"/>
      <c r="S109" s="585"/>
      <c r="AA109" t="s">
        <v>192</v>
      </c>
      <c r="AB109" t="s">
        <v>1422</v>
      </c>
    </row>
    <row r="110" spans="1:28" ht="6" customHeight="1" x14ac:dyDescent="0.3">
      <c r="C110" s="65"/>
      <c r="AA110" t="s">
        <v>1163</v>
      </c>
      <c r="AB110" t="s">
        <v>1423</v>
      </c>
    </row>
    <row r="111" spans="1:28" ht="15" customHeight="1" x14ac:dyDescent="0.3">
      <c r="A111" s="75">
        <v>46099</v>
      </c>
      <c r="B111" s="113" t="s">
        <v>49</v>
      </c>
      <c r="C111" s="112" t="s">
        <v>176</v>
      </c>
      <c r="D111" s="111" t="s">
        <v>177</v>
      </c>
      <c r="E111" s="111" t="s">
        <v>178</v>
      </c>
      <c r="F111" s="860" t="s">
        <v>179</v>
      </c>
      <c r="G111" s="111" t="s">
        <v>180</v>
      </c>
      <c r="H111" s="111" t="s">
        <v>181</v>
      </c>
      <c r="I111" s="111" t="s">
        <v>182</v>
      </c>
      <c r="J111" s="72"/>
      <c r="K111" s="72"/>
      <c r="L111" s="87"/>
      <c r="M111" s="72"/>
      <c r="N111" s="87"/>
      <c r="AA111" t="s">
        <v>41</v>
      </c>
      <c r="AB111" t="s">
        <v>1423</v>
      </c>
    </row>
    <row r="112" spans="1:28" ht="21" customHeight="1" x14ac:dyDescent="0.3">
      <c r="A112" s="110"/>
      <c r="B112" s="109" t="s">
        <v>29</v>
      </c>
      <c r="C112" s="108">
        <v>400</v>
      </c>
      <c r="D112" s="104">
        <f>D104-J104</f>
        <v>0</v>
      </c>
      <c r="E112" s="107" t="s">
        <v>184</v>
      </c>
      <c r="F112" s="871">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110</v>
      </c>
      <c r="G112" s="106">
        <f t="shared" ref="G112:G117" si="12">IFERROR(ROUNDUP(D112/F112,0),"")</f>
        <v>0</v>
      </c>
      <c r="H112" s="105">
        <v>657</v>
      </c>
      <c r="I112" s="104">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7884</v>
      </c>
      <c r="J112" s="85"/>
      <c r="L112" s="84"/>
      <c r="N112" s="83"/>
      <c r="AA112" t="s">
        <v>399</v>
      </c>
      <c r="AB112" t="s">
        <v>1430</v>
      </c>
    </row>
    <row r="113" spans="1:28" ht="21" customHeight="1" x14ac:dyDescent="0.3">
      <c r="A113" s="110"/>
      <c r="B113" s="109" t="s">
        <v>43</v>
      </c>
      <c r="C113" s="108">
        <v>400</v>
      </c>
      <c r="D113" s="104">
        <v>750</v>
      </c>
      <c r="E113" s="107" t="s">
        <v>184</v>
      </c>
      <c r="F113" s="871">
        <f>IF($B113="","",IF(SUMIFS(CONFIG_PALETES!$C:$C,CONFIG_PALETES!$A:$A,TRIM($B113),CONFIG_PALETES!$B:$B,$C113&amp;" ml")&gt;0,SUMIFS(CONFIG_PALETES!$C:$C,CONFIG_PALETES!$A:$A,TRIM($B113),CONFIG_PALETES!$B:$B,$C113&amp;" ml"),IF(SUMIFS(CONFIG_PALETES!$C:$C,CONFIG_PALETES!$A:$A,"GERAL",CONFIG_PALETES!$B:$B,$C113&amp;" ml")&gt;0,SUMIFS(CONFIG_PALETES!$C:$C,CONFIG_PALETES!$A:$A,"GERAL",CONFIG_PALETES!$B:$B,$C113&amp;" ml"),"")))</f>
        <v>125</v>
      </c>
      <c r="G113" s="106">
        <f t="shared" si="12"/>
        <v>6</v>
      </c>
      <c r="H113" s="105">
        <v>644</v>
      </c>
      <c r="I113" s="104">
        <f>IF(H113="","",H113*IF(SUMIFS(CONFIG_PALETES!$D:$D,CONFIG_PALETES!$A:$A,IF(ISNUMBER(SEARCH("ESPUMA",$B113)),"ESPUMA",IF(OR(ISNUMBER(SEARCH("OLEO DE COCO",$B113)),ISNUMBER(SEARCH("ÓLEO DE COCO",$B113)),ISNUMBER(SEARCH("COPRA",$B113))),"ÓLEO DE COCO",IF(ISNUMBER(SEARCH("CORANTE",$B113)),"CORANTE",TRIM($B113)))),CONFIG_PALETES!$B:$B,$C113&amp;" ml")&gt;0,SUMIFS(CONFIG_PALETES!$D:$D,CONFIG_PALETES!$A:$A,IF(ISNUMBER(SEARCH("ESPUMA",$B113)),"ESPUMA",IF(OR(ISNUMBER(SEARCH("OLEO DE COCO",$B113)),ISNUMBER(SEARCH("ÓLEO DE COCO",$B113)),ISNUMBER(SEARCH("COPRA",$B113))),"ÓLEO DE COCO",IF(ISNUMBER(SEARCH("CORANTE",$B113)),"CORANTE",TRIM($B113)))),CONFIG_PALETES!$B:$B,$C113&amp;" ml"),IF(SUMIFS(CONFIG_PALETES!$D:$D,CONFIG_PALETES!$A:$A,"GERAL",CONFIG_PALETES!$B:$B,$C113&amp;" ml")&gt;0,SUMIFS(CONFIG_PALETES!$D:$D,CONFIG_PALETES!$A:$A,"GERAL",CONFIG_PALETES!$B:$B,$C113&amp;" ml"),12)))</f>
        <v>7728</v>
      </c>
      <c r="J113" s="82"/>
      <c r="L113" s="81"/>
      <c r="M113" s="70"/>
      <c r="N113" s="80"/>
      <c r="AA113" t="s">
        <v>494</v>
      </c>
      <c r="AB113" t="s">
        <v>1426</v>
      </c>
    </row>
    <row r="114" spans="1:28" ht="21" customHeight="1" x14ac:dyDescent="0.3">
      <c r="A114" s="110"/>
      <c r="B114" s="109"/>
      <c r="C114" s="108"/>
      <c r="D114" s="104"/>
      <c r="E114" s="107" t="s">
        <v>184</v>
      </c>
      <c r="F114" s="871" t="str">
        <f>IF($B114="","",IF(SUMIFS(CONFIG_PALETES!$C:$C,CONFIG_PALETES!$A:$A,TRIM($B114),CONFIG_PALETES!$B:$B,$C114&amp;" ml")&gt;0,SUMIFS(CONFIG_PALETES!$C:$C,CONFIG_PALETES!$A:$A,TRIM($B114),CONFIG_PALETES!$B:$B,$C114&amp;" ml"),IF(SUMIFS(CONFIG_PALETES!$C:$C,CONFIG_PALETES!$A:$A,"GERAL",CONFIG_PALETES!$B:$B,$C114&amp;" ml")&gt;0,SUMIFS(CONFIG_PALETES!$C:$C,CONFIG_PALETES!$A:$A,"GERAL",CONFIG_PALETES!$B:$B,$C114&amp;" ml"),"")))</f>
        <v/>
      </c>
      <c r="G114" s="106" t="str">
        <f t="shared" si="12"/>
        <v/>
      </c>
      <c r="H114" s="105"/>
      <c r="I114" s="104" t="str">
        <f>IF(H114="","",H114*IF(SUMIFS(CONFIG_PALETES!$D:$D,CONFIG_PALETES!$A:$A,IF(ISNUMBER(SEARCH("ESPUMA",$B114)),"ESPUMA",IF(OR(ISNUMBER(SEARCH("OLEO DE COCO",$B114)),ISNUMBER(SEARCH("ÓLEO DE COCO",$B114)),ISNUMBER(SEARCH("COPRA",$B114))),"ÓLEO DE COCO",IF(ISNUMBER(SEARCH("CORANTE",$B114)),"CORANTE",TRIM($B114)))),CONFIG_PALETES!$B:$B,$C114&amp;" ml")&gt;0,SUMIFS(CONFIG_PALETES!$D:$D,CONFIG_PALETES!$A:$A,IF(ISNUMBER(SEARCH("ESPUMA",$B114)),"ESPUMA",IF(OR(ISNUMBER(SEARCH("OLEO DE COCO",$B114)),ISNUMBER(SEARCH("ÓLEO DE COCO",$B114)),ISNUMBER(SEARCH("COPRA",$B114))),"ÓLEO DE COCO",IF(ISNUMBER(SEARCH("CORANTE",$B114)),"CORANTE",TRIM($B114)))),CONFIG_PALETES!$B:$B,$C114&amp;" ml"),IF(SUMIFS(CONFIG_PALETES!$D:$D,CONFIG_PALETES!$A:$A,"GERAL",CONFIG_PALETES!$B:$B,$C114&amp;" ml")&gt;0,SUMIFS(CONFIG_PALETES!$D:$D,CONFIG_PALETES!$A:$A,"GERAL",CONFIG_PALETES!$B:$B,$C114&amp;" ml"),12)))</f>
        <v/>
      </c>
      <c r="J114" s="85"/>
      <c r="L114" s="84"/>
      <c r="M114" s="70"/>
      <c r="N114" s="83"/>
      <c r="AA114" t="s">
        <v>404</v>
      </c>
      <c r="AB114" t="s">
        <v>1422</v>
      </c>
    </row>
    <row r="115" spans="1:28" ht="21" customHeight="1" x14ac:dyDescent="0.3">
      <c r="A115" s="110"/>
      <c r="B115" s="109"/>
      <c r="C115" s="108"/>
      <c r="D115" s="104"/>
      <c r="E115" s="107" t="s">
        <v>184</v>
      </c>
      <c r="F115" s="871" t="str">
        <f>IF($B115="","",IF(SUMIFS(CONFIG_PALETES!$C:$C,CONFIG_PALETES!$A:$A,TRIM($B115),CONFIG_PALETES!$B:$B,$C115&amp;" ml")&gt;0,SUMIFS(CONFIG_PALETES!$C:$C,CONFIG_PALETES!$A:$A,TRIM($B115),CONFIG_PALETES!$B:$B,$C115&amp;" ml"),IF(SUMIFS(CONFIG_PALETES!$C:$C,CONFIG_PALETES!$A:$A,"GERAL",CONFIG_PALETES!$B:$B,$C115&amp;" ml")&gt;0,SUMIFS(CONFIG_PALETES!$C:$C,CONFIG_PALETES!$A:$A,"GERAL",CONFIG_PALETES!$B:$B,$C115&amp;" ml"),"")))</f>
        <v/>
      </c>
      <c r="G115" s="106" t="str">
        <f t="shared" si="12"/>
        <v/>
      </c>
      <c r="H115" s="105"/>
      <c r="I115" s="104" t="str">
        <f>IF(H115="","",H115*IF(SUMIFS(CONFIG_PALETES!$D:$D,CONFIG_PALETES!$A:$A,IF(ISNUMBER(SEARCH("ESPUMA",$B115)),"ESPUMA",IF(OR(ISNUMBER(SEARCH("OLEO DE COCO",$B115)),ISNUMBER(SEARCH("ÓLEO DE COCO",$B115)),ISNUMBER(SEARCH("COPRA",$B115))),"ÓLEO DE COCO",IF(ISNUMBER(SEARCH("CORANTE",$B115)),"CORANTE",TRIM($B115)))),CONFIG_PALETES!$B:$B,$C115&amp;" ml")&gt;0,SUMIFS(CONFIG_PALETES!$D:$D,CONFIG_PALETES!$A:$A,IF(ISNUMBER(SEARCH("ESPUMA",$B115)),"ESPUMA",IF(OR(ISNUMBER(SEARCH("OLEO DE COCO",$B115)),ISNUMBER(SEARCH("ÓLEO DE COCO",$B115)),ISNUMBER(SEARCH("COPRA",$B115))),"ÓLEO DE COCO",IF(ISNUMBER(SEARCH("CORANTE",$B115)),"CORANTE",TRIM($B115)))),CONFIG_PALETES!$B:$B,$C115&amp;" ml"),IF(SUMIFS(CONFIG_PALETES!$D:$D,CONFIG_PALETES!$A:$A,"GERAL",CONFIG_PALETES!$B:$B,$C115&amp;" ml")&gt;0,SUMIFS(CONFIG_PALETES!$D:$D,CONFIG_PALETES!$A:$A,"GERAL",CONFIG_PALETES!$B:$B,$C115&amp;" ml"),12)))</f>
        <v/>
      </c>
      <c r="J115" s="82"/>
      <c r="L115" s="81"/>
      <c r="N115" s="80"/>
      <c r="AA115" t="s">
        <v>493</v>
      </c>
      <c r="AB115" t="s">
        <v>1431</v>
      </c>
    </row>
    <row r="116" spans="1:28" ht="21" customHeight="1" x14ac:dyDescent="0.3">
      <c r="A116" s="110"/>
      <c r="B116" s="109"/>
      <c r="C116" s="108"/>
      <c r="D116" s="104"/>
      <c r="E116" s="107" t="s">
        <v>184</v>
      </c>
      <c r="F116" s="871"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06" t="str">
        <f t="shared" si="12"/>
        <v/>
      </c>
      <c r="H116" s="105"/>
      <c r="I116" s="104"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J116" s="85"/>
      <c r="L116" s="84"/>
      <c r="N116" s="83"/>
      <c r="AA116" t="s">
        <v>400</v>
      </c>
      <c r="AB116" t="s">
        <v>1430</v>
      </c>
    </row>
    <row r="117" spans="1:28" ht="21" customHeight="1" x14ac:dyDescent="0.3">
      <c r="A117" s="817"/>
      <c r="B117" s="818"/>
      <c r="C117" s="819"/>
      <c r="D117" s="820"/>
      <c r="E117" s="821" t="s">
        <v>184</v>
      </c>
      <c r="F117" s="872"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822" t="str">
        <f t="shared" si="12"/>
        <v/>
      </c>
      <c r="H117" s="823"/>
      <c r="I117" s="820"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J117" s="82"/>
      <c r="L117" s="81"/>
      <c r="N117" s="80"/>
      <c r="AA117" t="s">
        <v>492</v>
      </c>
      <c r="AB117" t="s">
        <v>1435</v>
      </c>
    </row>
    <row r="118" spans="1:28" ht="15" customHeight="1" x14ac:dyDescent="0.3">
      <c r="A118" s="899"/>
      <c r="B118" s="846" t="s">
        <v>186</v>
      </c>
      <c r="C118" s="847"/>
      <c r="D118" s="848">
        <f>SUM(D111:D117)</f>
        <v>750</v>
      </c>
      <c r="E118" s="849"/>
      <c r="F118" s="856" t="s">
        <v>1400</v>
      </c>
      <c r="G118" s="850">
        <f>SUM(G111:G117)</f>
        <v>6</v>
      </c>
      <c r="H118" s="848">
        <f>SUM(H111:H117)</f>
        <v>1301</v>
      </c>
      <c r="I118" s="848">
        <f>SUM(I111:I117)</f>
        <v>15612</v>
      </c>
      <c r="J118" s="67">
        <f>SUM(D112:D117)</f>
        <v>750</v>
      </c>
      <c r="K118" s="67">
        <f>SUM(G112:G117)</f>
        <v>6</v>
      </c>
      <c r="L118" s="89">
        <f>SUM(H112:H117)</f>
        <v>1301</v>
      </c>
      <c r="M118" s="67">
        <f>SUM(I112:I117)</f>
        <v>15612</v>
      </c>
      <c r="N118" s="88"/>
      <c r="P118" s="587" cm="1">
        <f t="array" ref="P118">IF(H118=0,"",SUMPRODUCT(IFERROR(INT(H112:H117/F112:F117),0)))</f>
        <v>10</v>
      </c>
      <c r="Q118" s="770">
        <f>IF(P118="","",MAX(0,G118-P118))</f>
        <v>0</v>
      </c>
      <c r="R118" s="584"/>
      <c r="S118" s="585"/>
      <c r="AA118" t="s">
        <v>498</v>
      </c>
      <c r="AB118" t="s">
        <v>1423</v>
      </c>
    </row>
    <row r="119" spans="1:28" ht="6" customHeight="1" x14ac:dyDescent="0.3">
      <c r="C119" s="65"/>
      <c r="AA119" t="s">
        <v>995</v>
      </c>
      <c r="AB119" t="s">
        <v>1426</v>
      </c>
    </row>
    <row r="120" spans="1:28" ht="15" customHeight="1" x14ac:dyDescent="0.3">
      <c r="A120" s="75">
        <v>46100</v>
      </c>
      <c r="B120" s="113" t="s">
        <v>49</v>
      </c>
      <c r="C120" s="112" t="s">
        <v>176</v>
      </c>
      <c r="D120" s="111" t="s">
        <v>177</v>
      </c>
      <c r="E120" s="111" t="s">
        <v>178</v>
      </c>
      <c r="F120" s="860" t="s">
        <v>179</v>
      </c>
      <c r="G120" s="111" t="s">
        <v>180</v>
      </c>
      <c r="H120" s="111" t="s">
        <v>181</v>
      </c>
      <c r="I120" s="111" t="s">
        <v>182</v>
      </c>
      <c r="J120" s="72"/>
      <c r="K120" s="72"/>
      <c r="L120" s="87"/>
      <c r="M120" s="72"/>
      <c r="N120" s="87"/>
      <c r="AA120" t="s">
        <v>286</v>
      </c>
      <c r="AB120" t="s">
        <v>1426</v>
      </c>
    </row>
    <row r="121" spans="1:28" ht="21" customHeight="1" x14ac:dyDescent="0.3">
      <c r="A121" s="110"/>
      <c r="B121" s="109" t="s">
        <v>43</v>
      </c>
      <c r="C121" s="108">
        <v>400</v>
      </c>
      <c r="D121" s="104">
        <f>D113-J113</f>
        <v>750</v>
      </c>
      <c r="E121" s="107" t="s">
        <v>184</v>
      </c>
      <c r="F121" s="871">
        <f>IF($B121="","",IF(SUMIFS(CONFIG_PALETES!$C:$C,CONFIG_PALETES!$A:$A,TRIM($B121),CONFIG_PALETES!$B:$B,$C121&amp;" ml")&gt;0,SUMIFS(CONFIG_PALETES!$C:$C,CONFIG_PALETES!$A:$A,TRIM($B121),CONFIG_PALETES!$B:$B,$C121&amp;" ml"),IF(SUMIFS(CONFIG_PALETES!$C:$C,CONFIG_PALETES!$A:$A,"GERAL",CONFIG_PALETES!$B:$B,$C121&amp;" ml")&gt;0,SUMIFS(CONFIG_PALETES!$C:$C,CONFIG_PALETES!$A:$A,"GERAL",CONFIG_PALETES!$B:$B,$C121&amp;" ml"),"")))</f>
        <v>125</v>
      </c>
      <c r="G121" s="106">
        <f t="shared" ref="G121:G126" si="13">IFERROR(ROUNDUP(D121/F121,0),"")</f>
        <v>6</v>
      </c>
      <c r="H121" s="105">
        <v>106</v>
      </c>
      <c r="I121" s="104">
        <f>IF(H121="","",H121*IF(SUMIFS(CONFIG_PALETES!$D:$D,CONFIG_PALETES!$A:$A,IF(ISNUMBER(SEARCH("ESPUMA",$B121)),"ESPUMA",IF(OR(ISNUMBER(SEARCH("OLEO DE COCO",$B121)),ISNUMBER(SEARCH("ÓLEO DE COCO",$B121)),ISNUMBER(SEARCH("COPRA",$B121))),"ÓLEO DE COCO",IF(ISNUMBER(SEARCH("CORANTE",$B121)),"CORANTE",TRIM($B121)))),CONFIG_PALETES!$B:$B,$C121&amp;" ml")&gt;0,SUMIFS(CONFIG_PALETES!$D:$D,CONFIG_PALETES!$A:$A,IF(ISNUMBER(SEARCH("ESPUMA",$B121)),"ESPUMA",IF(OR(ISNUMBER(SEARCH("OLEO DE COCO",$B121)),ISNUMBER(SEARCH("ÓLEO DE COCO",$B121)),ISNUMBER(SEARCH("COPRA",$B121))),"ÓLEO DE COCO",IF(ISNUMBER(SEARCH("CORANTE",$B121)),"CORANTE",TRIM($B121)))),CONFIG_PALETES!$B:$B,$C121&amp;" ml"),IF(SUMIFS(CONFIG_PALETES!$D:$D,CONFIG_PALETES!$A:$A,"GERAL",CONFIG_PALETES!$B:$B,$C121&amp;" ml")&gt;0,SUMIFS(CONFIG_PALETES!$D:$D,CONFIG_PALETES!$A:$A,"GERAL",CONFIG_PALETES!$B:$B,$C121&amp;" ml"),12)))</f>
        <v>1272</v>
      </c>
      <c r="J121" s="82"/>
      <c r="L121" s="81"/>
      <c r="N121" s="80"/>
      <c r="AA121" t="s">
        <v>285</v>
      </c>
      <c r="AB121" t="s">
        <v>1426</v>
      </c>
    </row>
    <row r="122" spans="1:28" ht="21" customHeight="1" x14ac:dyDescent="0.3">
      <c r="A122" s="110"/>
      <c r="B122" s="109" t="s">
        <v>139</v>
      </c>
      <c r="C122" s="108">
        <v>400</v>
      </c>
      <c r="D122" s="104">
        <v>200</v>
      </c>
      <c r="E122" s="107" t="s">
        <v>184</v>
      </c>
      <c r="F122" s="871">
        <f>IF($B122="","",IF(SUMIFS(CONFIG_PALETES!$C:$C,CONFIG_PALETES!$A:$A,TRIM($B122),CONFIG_PALETES!$B:$B,$C122&amp;" ml")&gt;0,SUMIFS(CONFIG_PALETES!$C:$C,CONFIG_PALETES!$A:$A,TRIM($B122),CONFIG_PALETES!$B:$B,$C122&amp;" ml"),IF(SUMIFS(CONFIG_PALETES!$C:$C,CONFIG_PALETES!$A:$A,"GERAL",CONFIG_PALETES!$B:$B,$C122&amp;" ml")&gt;0,SUMIFS(CONFIG_PALETES!$C:$C,CONFIG_PALETES!$A:$A,"GERAL",CONFIG_PALETES!$B:$B,$C122&amp;" ml"),"")))</f>
        <v>125</v>
      </c>
      <c r="G122" s="106">
        <f t="shared" si="13"/>
        <v>2</v>
      </c>
      <c r="H122" s="105">
        <v>202</v>
      </c>
      <c r="I122" s="104">
        <f>IF(H122="","",H122*IF(SUMIFS(CONFIG_PALETES!$D:$D,CONFIG_PALETES!$A:$A,IF(ISNUMBER(SEARCH("ESPUMA",$B122)),"ESPUMA",IF(OR(ISNUMBER(SEARCH("OLEO DE COCO",$B122)),ISNUMBER(SEARCH("ÓLEO DE COCO",$B122)),ISNUMBER(SEARCH("COPRA",$B122))),"ÓLEO DE COCO",IF(ISNUMBER(SEARCH("CORANTE",$B122)),"CORANTE",TRIM($B122)))),CONFIG_PALETES!$B:$B,$C122&amp;" ml")&gt;0,SUMIFS(CONFIG_PALETES!$D:$D,CONFIG_PALETES!$A:$A,IF(ISNUMBER(SEARCH("ESPUMA",$B122)),"ESPUMA",IF(OR(ISNUMBER(SEARCH("OLEO DE COCO",$B122)),ISNUMBER(SEARCH("ÓLEO DE COCO",$B122)),ISNUMBER(SEARCH("COPRA",$B122))),"ÓLEO DE COCO",IF(ISNUMBER(SEARCH("CORANTE",$B122)),"CORANTE",TRIM($B122)))),CONFIG_PALETES!$B:$B,$C122&amp;" ml"),IF(SUMIFS(CONFIG_PALETES!$D:$D,CONFIG_PALETES!$A:$A,"GERAL",CONFIG_PALETES!$B:$B,$C122&amp;" ml")&gt;0,SUMIFS(CONFIG_PALETES!$D:$D,CONFIG_PALETES!$A:$A,"GERAL",CONFIG_PALETES!$B:$B,$C122&amp;" ml"),12)))</f>
        <v>2424</v>
      </c>
      <c r="J122" s="85"/>
      <c r="L122" s="84"/>
      <c r="M122" s="70"/>
      <c r="N122" s="83"/>
      <c r="AA122" t="s">
        <v>103</v>
      </c>
      <c r="AB122" t="s">
        <v>1425</v>
      </c>
    </row>
    <row r="123" spans="1:28" ht="21" customHeight="1" x14ac:dyDescent="0.3">
      <c r="A123" s="110"/>
      <c r="B123" s="109" t="s">
        <v>404</v>
      </c>
      <c r="C123" s="108">
        <v>200</v>
      </c>
      <c r="D123" s="104">
        <v>990</v>
      </c>
      <c r="E123" s="107" t="s">
        <v>184</v>
      </c>
      <c r="F123" s="871">
        <f>IF($B123="","",IF(SUMIFS(CONFIG_PALETES!$C:$C,CONFIG_PALETES!$A:$A,TRIM($B123),CONFIG_PALETES!$B:$B,$C123&amp;" ml")&gt;0,SUMIFS(CONFIG_PALETES!$C:$C,CONFIG_PALETES!$A:$A,TRIM($B123),CONFIG_PALETES!$B:$B,$C123&amp;" ml"),IF(SUMIFS(CONFIG_PALETES!$C:$C,CONFIG_PALETES!$A:$A,"GERAL",CONFIG_PALETES!$B:$B,$C123&amp;" ml")&gt;0,SUMIFS(CONFIG_PALETES!$C:$C,CONFIG_PALETES!$A:$A,"GERAL",CONFIG_PALETES!$B:$B,$C123&amp;" ml"),"")))</f>
        <v>330</v>
      </c>
      <c r="G123" s="106">
        <f t="shared" si="13"/>
        <v>3</v>
      </c>
      <c r="H123" s="105">
        <v>994</v>
      </c>
      <c r="I123" s="104">
        <f>IF(H123="","",H123*IF(SUMIFS(CONFIG_PALETES!$D:$D,CONFIG_PALETES!$A:$A,IF(ISNUMBER(SEARCH("ESPUMA",$B123)),"ESPUMA",IF(OR(ISNUMBER(SEARCH("OLEO DE COCO",$B123)),ISNUMBER(SEARCH("ÓLEO DE COCO",$B123)),ISNUMBER(SEARCH("COPRA",$B123))),"ÓLEO DE COCO",IF(ISNUMBER(SEARCH("CORANTE",$B123)),"CORANTE",TRIM($B123)))),CONFIG_PALETES!$B:$B,$C123&amp;" ml")&gt;0,SUMIFS(CONFIG_PALETES!$D:$D,CONFIG_PALETES!$A:$A,IF(ISNUMBER(SEARCH("ESPUMA",$B123)),"ESPUMA",IF(OR(ISNUMBER(SEARCH("OLEO DE COCO",$B123)),ISNUMBER(SEARCH("ÓLEO DE COCO",$B123)),ISNUMBER(SEARCH("COPRA",$B123))),"ÓLEO DE COCO",IF(ISNUMBER(SEARCH("CORANTE",$B123)),"CORANTE",TRIM($B123)))),CONFIG_PALETES!$B:$B,$C123&amp;" ml"),IF(SUMIFS(CONFIG_PALETES!$D:$D,CONFIG_PALETES!$A:$A,"GERAL",CONFIG_PALETES!$B:$B,$C123&amp;" ml")&gt;0,SUMIFS(CONFIG_PALETES!$D:$D,CONFIG_PALETES!$A:$A,"GERAL",CONFIG_PALETES!$B:$B,$C123&amp;" ml"),12)))</f>
        <v>5964</v>
      </c>
      <c r="J123" s="82"/>
      <c r="L123" s="81"/>
      <c r="M123" s="70"/>
      <c r="N123" s="80"/>
      <c r="AA123" t="s">
        <v>282</v>
      </c>
      <c r="AB123" t="s">
        <v>1425</v>
      </c>
    </row>
    <row r="124" spans="1:28" ht="21" customHeight="1" x14ac:dyDescent="0.3">
      <c r="A124" s="110"/>
      <c r="B124" s="109" t="s">
        <v>41</v>
      </c>
      <c r="C124" s="108">
        <v>600</v>
      </c>
      <c r="D124" s="104">
        <v>1140</v>
      </c>
      <c r="E124" s="107" t="s">
        <v>184</v>
      </c>
      <c r="F124" s="871">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95</v>
      </c>
      <c r="G124" s="106">
        <f t="shared" si="13"/>
        <v>12</v>
      </c>
      <c r="H124" s="105">
        <v>74</v>
      </c>
      <c r="I124" s="104">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888</v>
      </c>
      <c r="J124" s="85"/>
      <c r="L124" s="84"/>
      <c r="N124" s="83"/>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 t="shared" si="13"/>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J125" s="82"/>
      <c r="L125" s="81"/>
      <c r="N125" s="80"/>
      <c r="AA125" t="s">
        <v>135</v>
      </c>
      <c r="AB125" t="s">
        <v>1425</v>
      </c>
    </row>
    <row r="126" spans="1:28" ht="21" customHeight="1" x14ac:dyDescent="0.3">
      <c r="A126" s="817"/>
      <c r="B126" s="818"/>
      <c r="C126" s="819"/>
      <c r="D126" s="820"/>
      <c r="E126" s="821" t="s">
        <v>184</v>
      </c>
      <c r="F126" s="872"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822" t="str">
        <f t="shared" si="13"/>
        <v/>
      </c>
      <c r="H126" s="823"/>
      <c r="I126" s="820"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J126" s="79"/>
      <c r="K126" s="67"/>
      <c r="L126" s="78"/>
      <c r="M126" s="67"/>
      <c r="N126" s="77"/>
      <c r="AA126" t="s">
        <v>402</v>
      </c>
      <c r="AB126" t="s">
        <v>1425</v>
      </c>
    </row>
    <row r="127" spans="1:28" ht="15" customHeight="1" x14ac:dyDescent="0.3">
      <c r="A127" s="899"/>
      <c r="B127" s="846" t="s">
        <v>186</v>
      </c>
      <c r="C127" s="847"/>
      <c r="D127" s="848">
        <f>SUM(D120:D126)</f>
        <v>3080</v>
      </c>
      <c r="E127" s="849"/>
      <c r="F127" s="856" t="s">
        <v>1400</v>
      </c>
      <c r="G127" s="850">
        <f>SUM(G120:G126)</f>
        <v>23</v>
      </c>
      <c r="H127" s="848">
        <f>SUM(H120:H126)</f>
        <v>1376</v>
      </c>
      <c r="I127" s="848">
        <f>SUM(I120:I126)</f>
        <v>10548</v>
      </c>
      <c r="J127" s="1">
        <f>SUM(D121:D126)</f>
        <v>3080</v>
      </c>
      <c r="K127" s="1">
        <f>SUM(G121:G126)</f>
        <v>23</v>
      </c>
      <c r="L127" s="1">
        <f>SUM(H121:H126)</f>
        <v>1376</v>
      </c>
      <c r="M127" s="1">
        <f>SUM(I121:I126)</f>
        <v>10548</v>
      </c>
      <c r="P127" s="587" cm="1">
        <f t="array" ref="P127">IF(H127=0,"",SUMPRODUCT(IFERROR(INT(H121:H126/F121:F126),0)))</f>
        <v>4</v>
      </c>
      <c r="Q127" s="770">
        <f>IF(P127="","",MAX(0,G127-P127))</f>
        <v>19</v>
      </c>
      <c r="R127" s="584"/>
      <c r="S127" s="585"/>
      <c r="AA127" t="s">
        <v>290</v>
      </c>
      <c r="AB127" t="s">
        <v>1426</v>
      </c>
    </row>
    <row r="128" spans="1:28" ht="6" customHeight="1" x14ac:dyDescent="0.3">
      <c r="C128" s="65"/>
      <c r="J128" s="72"/>
      <c r="K128" s="72"/>
      <c r="L128" s="87"/>
      <c r="M128" s="72"/>
      <c r="N128" s="87"/>
      <c r="AA128" t="s">
        <v>289</v>
      </c>
      <c r="AB128" t="s">
        <v>1426</v>
      </c>
    </row>
    <row r="129" spans="1:28" ht="15" customHeight="1" x14ac:dyDescent="0.3">
      <c r="A129" s="75">
        <v>46101</v>
      </c>
      <c r="B129" s="113" t="s">
        <v>49</v>
      </c>
      <c r="C129" s="112" t="s">
        <v>176</v>
      </c>
      <c r="D129" s="111" t="s">
        <v>177</v>
      </c>
      <c r="E129" s="111" t="s">
        <v>178</v>
      </c>
      <c r="F129" s="860" t="s">
        <v>179</v>
      </c>
      <c r="G129" s="111" t="s">
        <v>180</v>
      </c>
      <c r="H129" s="111" t="s">
        <v>181</v>
      </c>
      <c r="I129" s="111" t="s">
        <v>182</v>
      </c>
      <c r="J129" s="82"/>
      <c r="L129" s="81"/>
      <c r="N129" s="80"/>
      <c r="AA129" t="s">
        <v>72</v>
      </c>
      <c r="AB129" t="s">
        <v>1432</v>
      </c>
    </row>
    <row r="130" spans="1:28" ht="21" customHeight="1" x14ac:dyDescent="0.3">
      <c r="A130" s="110"/>
      <c r="B130" s="109" t="s">
        <v>41</v>
      </c>
      <c r="C130" s="108">
        <v>600</v>
      </c>
      <c r="D130" s="104">
        <v>1140</v>
      </c>
      <c r="E130" s="107" t="s">
        <v>184</v>
      </c>
      <c r="F130" s="871">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95</v>
      </c>
      <c r="G130" s="106">
        <f t="shared" ref="G130:G135" si="14">IFERROR(ROUNDUP(D130/F130,0),"")</f>
        <v>12</v>
      </c>
      <c r="H130" s="105">
        <v>431</v>
      </c>
      <c r="I130" s="104">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5172</v>
      </c>
      <c r="J130" s="85"/>
      <c r="L130" s="84"/>
      <c r="M130" s="70"/>
      <c r="N130" s="83"/>
      <c r="AA130" t="s">
        <v>395</v>
      </c>
      <c r="AB130" t="s">
        <v>1423</v>
      </c>
    </row>
    <row r="131" spans="1:28" ht="21" customHeight="1" x14ac:dyDescent="0.3">
      <c r="A131" s="110"/>
      <c r="B131" s="109" t="s">
        <v>31</v>
      </c>
      <c r="C131" s="108">
        <v>600</v>
      </c>
      <c r="D131" s="104">
        <v>665</v>
      </c>
      <c r="E131" s="107" t="s">
        <v>184</v>
      </c>
      <c r="F131" s="871">
        <f>IF($B131="","",IF(SUMIFS(CONFIG_PALETES!$C:$C,CONFIG_PALETES!$A:$A,TRIM($B131),CONFIG_PALETES!$B:$B,$C131&amp;" ml")&gt;0,SUMIFS(CONFIG_PALETES!$C:$C,CONFIG_PALETES!$A:$A,TRIM($B131),CONFIG_PALETES!$B:$B,$C131&amp;" ml"),IF(SUMIFS(CONFIG_PALETES!$C:$C,CONFIG_PALETES!$A:$A,"GERAL",CONFIG_PALETES!$B:$B,$C131&amp;" ml")&gt;0,SUMIFS(CONFIG_PALETES!$C:$C,CONFIG_PALETES!$A:$A,"GERAL",CONFIG_PALETES!$B:$B,$C131&amp;" ml"),"")))</f>
        <v>95</v>
      </c>
      <c r="G131" s="106">
        <f t="shared" si="14"/>
        <v>7</v>
      </c>
      <c r="H131" s="105"/>
      <c r="I131" s="104" t="str">
        <f>IF(H131="","",H131*IF(SUMIFS(CONFIG_PALETES!$D:$D,CONFIG_PALETES!$A:$A,IF(ISNUMBER(SEARCH("ESPUMA",$B131)),"ESPUMA",IF(OR(ISNUMBER(SEARCH("OLEO DE COCO",$B131)),ISNUMBER(SEARCH("ÓLEO DE COCO",$B131)),ISNUMBER(SEARCH("COPRA",$B131))),"ÓLEO DE COCO",IF(ISNUMBER(SEARCH("CORANTE",$B131)),"CORANTE",TRIM($B131)))),CONFIG_PALETES!$B:$B,$C131&amp;" ml")&gt;0,SUMIFS(CONFIG_PALETES!$D:$D,CONFIG_PALETES!$A:$A,IF(ISNUMBER(SEARCH("ESPUMA",$B131)),"ESPUMA",IF(OR(ISNUMBER(SEARCH("OLEO DE COCO",$B131)),ISNUMBER(SEARCH("ÓLEO DE COCO",$B131)),ISNUMBER(SEARCH("COPRA",$B131))),"ÓLEO DE COCO",IF(ISNUMBER(SEARCH("CORANTE",$B131)),"CORANTE",TRIM($B131)))),CONFIG_PALETES!$B:$B,$C131&amp;" ml"),IF(SUMIFS(CONFIG_PALETES!$D:$D,CONFIG_PALETES!$A:$A,"GERAL",CONFIG_PALETES!$B:$B,$C131&amp;" ml")&gt;0,SUMIFS(CONFIG_PALETES!$D:$D,CONFIG_PALETES!$A:$A,"GERAL",CONFIG_PALETES!$B:$B,$C131&amp;" ml"),12)))</f>
        <v/>
      </c>
      <c r="J131" s="82"/>
      <c r="L131" s="81"/>
      <c r="M131" s="70"/>
      <c r="N131" s="80"/>
      <c r="AA131" t="s">
        <v>25</v>
      </c>
      <c r="AB131" t="s">
        <v>1433</v>
      </c>
    </row>
    <row r="132" spans="1:28" ht="21" customHeight="1" x14ac:dyDescent="0.3">
      <c r="A132" s="110"/>
      <c r="B132" s="109"/>
      <c r="C132" s="108"/>
      <c r="D132" s="104"/>
      <c r="E132" s="107" t="s">
        <v>184</v>
      </c>
      <c r="F132" s="871"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06" t="str">
        <f t="shared" si="14"/>
        <v/>
      </c>
      <c r="H132" s="105"/>
      <c r="I132" s="104"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J132" s="85"/>
      <c r="L132" s="84"/>
      <c r="N132" s="83"/>
      <c r="AA132" t="s">
        <v>398</v>
      </c>
      <c r="AB132" t="s">
        <v>1424</v>
      </c>
    </row>
    <row r="133" spans="1:28" ht="21" customHeight="1" x14ac:dyDescent="0.3">
      <c r="A133" s="110"/>
      <c r="B133" s="109"/>
      <c r="C133" s="108"/>
      <c r="D133" s="104"/>
      <c r="E133" s="107" t="s">
        <v>184</v>
      </c>
      <c r="F133" s="871"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06" t="str">
        <f t="shared" si="14"/>
        <v/>
      </c>
      <c r="H133" s="105"/>
      <c r="I133" s="104"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J133" s="82"/>
      <c r="L133" s="81"/>
      <c r="N133" s="80"/>
      <c r="AA133" t="s">
        <v>396</v>
      </c>
      <c r="AB133" t="s">
        <v>1432</v>
      </c>
    </row>
    <row r="134" spans="1:28" ht="21" customHeight="1" x14ac:dyDescent="0.3">
      <c r="A134" s="110"/>
      <c r="B134" s="109"/>
      <c r="C134" s="108"/>
      <c r="D134" s="104"/>
      <c r="E134" s="107" t="s">
        <v>184</v>
      </c>
      <c r="F134" s="871"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06" t="str">
        <f t="shared" si="14"/>
        <v/>
      </c>
      <c r="H134" s="105"/>
      <c r="I134" s="104"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J134" s="85"/>
      <c r="L134" s="84"/>
      <c r="N134" s="83"/>
      <c r="AA134" t="s">
        <v>490</v>
      </c>
      <c r="AB134" t="s">
        <v>1425</v>
      </c>
    </row>
    <row r="135" spans="1:28" ht="21" customHeight="1" x14ac:dyDescent="0.3">
      <c r="A135" s="817"/>
      <c r="B135" s="818"/>
      <c r="C135" s="819"/>
      <c r="D135" s="820"/>
      <c r="E135" s="821" t="s">
        <v>184</v>
      </c>
      <c r="F135" s="872"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822" t="str">
        <f t="shared" si="14"/>
        <v/>
      </c>
      <c r="H135" s="823"/>
      <c r="I135" s="820"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J135" s="67"/>
      <c r="K135" s="67"/>
      <c r="L135" s="89"/>
      <c r="M135" s="67"/>
      <c r="N135" s="88"/>
      <c r="AA135" t="s">
        <v>1082</v>
      </c>
      <c r="AB135" t="s">
        <v>1424</v>
      </c>
    </row>
    <row r="136" spans="1:28" ht="15" customHeight="1" x14ac:dyDescent="0.3">
      <c r="A136" s="899"/>
      <c r="B136" s="846" t="s">
        <v>186</v>
      </c>
      <c r="C136" s="847"/>
      <c r="D136" s="848">
        <f>SUM(D129:D135)</f>
        <v>1805</v>
      </c>
      <c r="E136" s="849"/>
      <c r="F136" s="856" t="s">
        <v>1400</v>
      </c>
      <c r="G136" s="850">
        <f>SUM(G129:G135)</f>
        <v>19</v>
      </c>
      <c r="H136" s="848">
        <f>SUM(H129:H135)</f>
        <v>431</v>
      </c>
      <c r="I136" s="848">
        <f>SUM(I129:I135)</f>
        <v>5172</v>
      </c>
      <c r="J136" s="1">
        <f>SUM(D130:D135)</f>
        <v>1805</v>
      </c>
      <c r="K136" s="1">
        <f>SUM(G130:G135)</f>
        <v>19</v>
      </c>
      <c r="L136" s="1">
        <f>SUM(H130:H135)</f>
        <v>431</v>
      </c>
      <c r="M136" s="1">
        <f>SUM(I130:I135)</f>
        <v>5172</v>
      </c>
      <c r="P136" s="587" cm="1">
        <f t="array" ref="P136">IF(H136=0,"",SUMPRODUCT(IFERROR(INT(H130:H135/F130:F135),0)))</f>
        <v>4</v>
      </c>
      <c r="Q136" s="770">
        <f>IF(P136="","",MAX(0,G136-P136))</f>
        <v>15</v>
      </c>
      <c r="R136" s="584"/>
      <c r="S136" s="585"/>
      <c r="AA136" t="s">
        <v>598</v>
      </c>
      <c r="AB136" t="s">
        <v>1432</v>
      </c>
    </row>
    <row r="137" spans="1:28" ht="6" customHeight="1" x14ac:dyDescent="0.3">
      <c r="C137" s="65"/>
      <c r="J137" s="72"/>
      <c r="K137" s="72"/>
      <c r="L137" s="87"/>
      <c r="M137" s="72"/>
      <c r="N137" s="87"/>
      <c r="AA137" t="s">
        <v>397</v>
      </c>
      <c r="AB137" t="s">
        <v>1424</v>
      </c>
    </row>
    <row r="138" spans="1:28" ht="15" customHeight="1" x14ac:dyDescent="0.3">
      <c r="A138" s="75">
        <v>46104</v>
      </c>
      <c r="B138" s="113" t="s">
        <v>49</v>
      </c>
      <c r="C138" s="112" t="s">
        <v>176</v>
      </c>
      <c r="D138" s="111" t="s">
        <v>177</v>
      </c>
      <c r="E138" s="111" t="s">
        <v>178</v>
      </c>
      <c r="F138" s="860" t="s">
        <v>179</v>
      </c>
      <c r="G138" s="111" t="s">
        <v>180</v>
      </c>
      <c r="H138" s="111" t="s">
        <v>181</v>
      </c>
      <c r="I138" s="111" t="s">
        <v>182</v>
      </c>
      <c r="J138" s="85"/>
      <c r="L138" s="84"/>
      <c r="N138" s="83"/>
      <c r="AA138" t="s">
        <v>163</v>
      </c>
      <c r="AB138" t="s">
        <v>1423</v>
      </c>
    </row>
    <row r="139" spans="1:28" ht="21" customHeight="1" x14ac:dyDescent="0.3">
      <c r="A139" s="110"/>
      <c r="B139" s="109" t="s">
        <v>41</v>
      </c>
      <c r="C139" s="108">
        <v>600</v>
      </c>
      <c r="D139" s="104">
        <v>1140</v>
      </c>
      <c r="E139" s="107" t="s">
        <v>184</v>
      </c>
      <c r="F139" s="871">
        <f>IF($B139="","",IF(SUMIFS(CONFIG_PALETES!$C:$C,CONFIG_PALETES!$A:$A,TRIM($B139),CONFIG_PALETES!$B:$B,$C139&amp;" ml")&gt;0,SUMIFS(CONFIG_PALETES!$C:$C,CONFIG_PALETES!$A:$A,TRIM($B139),CONFIG_PALETES!$B:$B,$C139&amp;" ml"),IF(SUMIFS(CONFIG_PALETES!$C:$C,CONFIG_PALETES!$A:$A,"GERAL",CONFIG_PALETES!$B:$B,$C139&amp;" ml")&gt;0,SUMIFS(CONFIG_PALETES!$C:$C,CONFIG_PALETES!$A:$A,"GERAL",CONFIG_PALETES!$B:$B,$C139&amp;" ml"),"")))</f>
        <v>95</v>
      </c>
      <c r="G139" s="106">
        <f t="shared" ref="G139:G144" si="15">IFERROR(ROUNDUP(D139/F139,0),"")</f>
        <v>12</v>
      </c>
      <c r="H139" s="105">
        <v>635</v>
      </c>
      <c r="I139" s="104">
        <f>IF(H139="","",H139*IF(SUMIFS(CONFIG_PALETES!$D:$D,CONFIG_PALETES!$A:$A,IF(ISNUMBER(SEARCH("ESPUMA",$B139)),"ESPUMA",IF(OR(ISNUMBER(SEARCH("OLEO DE COCO",$B139)),ISNUMBER(SEARCH("ÓLEO DE COCO",$B139)),ISNUMBER(SEARCH("COPRA",$B139))),"ÓLEO DE COCO",IF(ISNUMBER(SEARCH("CORANTE",$B139)),"CORANTE",TRIM($B139)))),CONFIG_PALETES!$B:$B,$C139&amp;" ml")&gt;0,SUMIFS(CONFIG_PALETES!$D:$D,CONFIG_PALETES!$A:$A,IF(ISNUMBER(SEARCH("ESPUMA",$B139)),"ESPUMA",IF(OR(ISNUMBER(SEARCH("OLEO DE COCO",$B139)),ISNUMBER(SEARCH("ÓLEO DE COCO",$B139)),ISNUMBER(SEARCH("COPRA",$B139))),"ÓLEO DE COCO",IF(ISNUMBER(SEARCH("CORANTE",$B139)),"CORANTE",TRIM($B139)))),CONFIG_PALETES!$B:$B,$C139&amp;" ml"),IF(SUMIFS(CONFIG_PALETES!$D:$D,CONFIG_PALETES!$A:$A,"GERAL",CONFIG_PALETES!$B:$B,$C139&amp;" ml")&gt;0,SUMIFS(CONFIG_PALETES!$D:$D,CONFIG_PALETES!$A:$A,"GERAL",CONFIG_PALETES!$B:$B,$C139&amp;" ml"),12)))</f>
        <v>7620</v>
      </c>
      <c r="J139" s="82"/>
      <c r="L139" s="81"/>
      <c r="M139" s="70"/>
      <c r="N139" s="80"/>
      <c r="AA139" t="s">
        <v>1361</v>
      </c>
      <c r="AB139" t="s">
        <v>1436</v>
      </c>
    </row>
    <row r="140" spans="1:28" ht="21" customHeight="1" x14ac:dyDescent="0.3">
      <c r="A140" s="110"/>
      <c r="B140" s="109" t="s">
        <v>31</v>
      </c>
      <c r="C140" s="108">
        <v>600</v>
      </c>
      <c r="D140" s="104">
        <v>665</v>
      </c>
      <c r="E140" s="107" t="s">
        <v>184</v>
      </c>
      <c r="F140" s="871">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95</v>
      </c>
      <c r="G140" s="106">
        <f t="shared" si="15"/>
        <v>7</v>
      </c>
      <c r="H140" s="105">
        <v>86</v>
      </c>
      <c r="I140" s="104">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1032</v>
      </c>
      <c r="J140" s="85"/>
      <c r="L140" s="84"/>
      <c r="M140" s="70"/>
      <c r="N140" s="83"/>
    </row>
    <row r="141" spans="1:28" ht="21" customHeight="1" x14ac:dyDescent="0.3">
      <c r="A141" s="110"/>
      <c r="B141" s="109"/>
      <c r="C141" s="108"/>
      <c r="D141" s="104"/>
      <c r="E141" s="107" t="s">
        <v>184</v>
      </c>
      <c r="F141" s="871"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06" t="str">
        <f t="shared" si="15"/>
        <v/>
      </c>
      <c r="H141" s="105"/>
      <c r="I141" s="104"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c r="J141" s="82"/>
      <c r="L141" s="81"/>
      <c r="N141" s="80"/>
    </row>
    <row r="142" spans="1:28" ht="21" customHeight="1" x14ac:dyDescent="0.3">
      <c r="A142" s="110"/>
      <c r="B142" s="109"/>
      <c r="C142" s="108"/>
      <c r="D142" s="104"/>
      <c r="E142" s="107" t="s">
        <v>184</v>
      </c>
      <c r="F142" s="871"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06" t="str">
        <f t="shared" si="15"/>
        <v/>
      </c>
      <c r="H142" s="105"/>
      <c r="I142" s="104"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c r="J142" s="85"/>
      <c r="L142" s="84"/>
      <c r="N142" s="83"/>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 t="shared" si="15"/>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c r="J143" s="82"/>
      <c r="L143" s="81"/>
      <c r="N143" s="80"/>
    </row>
    <row r="144" spans="1:28" ht="21" customHeight="1" x14ac:dyDescent="0.3">
      <c r="A144" s="817"/>
      <c r="B144" s="818"/>
      <c r="C144" s="819"/>
      <c r="D144" s="820"/>
      <c r="E144" s="821" t="s">
        <v>184</v>
      </c>
      <c r="F144" s="872"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22" t="str">
        <f t="shared" si="15"/>
        <v/>
      </c>
      <c r="H144" s="823"/>
      <c r="I144" s="820"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c r="J144" s="92"/>
      <c r="L144" s="91"/>
      <c r="N144" s="90"/>
    </row>
    <row r="145" spans="1:19" ht="15" customHeight="1" x14ac:dyDescent="0.3">
      <c r="A145" s="899"/>
      <c r="B145" s="846" t="s">
        <v>186</v>
      </c>
      <c r="C145" s="847"/>
      <c r="D145" s="848">
        <f>SUM(D138:D144)</f>
        <v>1805</v>
      </c>
      <c r="E145" s="849"/>
      <c r="F145" s="856" t="s">
        <v>1400</v>
      </c>
      <c r="G145" s="850">
        <f>SUM(G138:G144)</f>
        <v>19</v>
      </c>
      <c r="H145" s="848">
        <f>SUM(H138:H144)</f>
        <v>721</v>
      </c>
      <c r="I145" s="848">
        <f>SUM(I138:I144)</f>
        <v>8652</v>
      </c>
      <c r="J145" s="82">
        <f>SUM(D139:D144)</f>
        <v>1805</v>
      </c>
      <c r="K145" s="1">
        <f>SUM(G139:G144)</f>
        <v>19</v>
      </c>
      <c r="L145" s="70">
        <f>SUM(H139:H144)</f>
        <v>721</v>
      </c>
      <c r="M145" s="1">
        <f>SUM(I139:I144)</f>
        <v>8652</v>
      </c>
      <c r="N145" s="90"/>
      <c r="P145" s="587" cm="1">
        <f t="array" ref="P145">IF(H145=0,"",SUMPRODUCT(IFERROR(INT(H139:H144/F139:F144),0)))</f>
        <v>6</v>
      </c>
      <c r="Q145" s="770">
        <f>IF(P145="","",MAX(0,G145-P145))</f>
        <v>13</v>
      </c>
      <c r="R145" s="584"/>
      <c r="S145" s="585"/>
    </row>
    <row r="146" spans="1:19" ht="6" customHeight="1" x14ac:dyDescent="0.3">
      <c r="C146" s="65"/>
      <c r="L146" s="70"/>
      <c r="N146" s="69"/>
    </row>
    <row r="147" spans="1:19" ht="15" customHeight="1" x14ac:dyDescent="0.3">
      <c r="A147" s="75">
        <v>46105</v>
      </c>
      <c r="B147" s="113" t="s">
        <v>49</v>
      </c>
      <c r="C147" s="112" t="s">
        <v>176</v>
      </c>
      <c r="D147" s="111" t="s">
        <v>177</v>
      </c>
      <c r="E147" s="111" t="s">
        <v>178</v>
      </c>
      <c r="F147" s="860" t="s">
        <v>179</v>
      </c>
      <c r="G147" s="111" t="s">
        <v>180</v>
      </c>
      <c r="H147" s="111" t="s">
        <v>181</v>
      </c>
      <c r="I147" s="111" t="s">
        <v>182</v>
      </c>
      <c r="J147" s="67"/>
      <c r="K147" s="67"/>
      <c r="L147" s="89"/>
      <c r="M147" s="67"/>
      <c r="N147" s="88"/>
    </row>
    <row r="148" spans="1:19" ht="21" customHeight="1" x14ac:dyDescent="0.3">
      <c r="A148" s="110"/>
      <c r="B148" s="109" t="s">
        <v>31</v>
      </c>
      <c r="C148" s="108">
        <v>600</v>
      </c>
      <c r="D148" s="104">
        <v>579</v>
      </c>
      <c r="E148" s="107" t="s">
        <v>184</v>
      </c>
      <c r="F148" s="871">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95</v>
      </c>
      <c r="G148" s="106">
        <f t="shared" ref="G148:G153" si="16">IFERROR(ROUNDUP(D148/F148,0),"")</f>
        <v>7</v>
      </c>
      <c r="H148" s="105">
        <v>466</v>
      </c>
      <c r="I148" s="104">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5592</v>
      </c>
    </row>
    <row r="149" spans="1:19" ht="21" customHeight="1" x14ac:dyDescent="0.3">
      <c r="A149" s="110"/>
      <c r="B149" s="109" t="s">
        <v>37</v>
      </c>
      <c r="C149" s="108">
        <v>600</v>
      </c>
      <c r="D149" s="104">
        <v>384</v>
      </c>
      <c r="E149" s="107" t="s">
        <v>184</v>
      </c>
      <c r="F149" s="871">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95</v>
      </c>
      <c r="G149" s="106">
        <f t="shared" si="16"/>
        <v>5</v>
      </c>
      <c r="H149" s="105"/>
      <c r="I149" s="104"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c r="J149" s="72"/>
      <c r="K149" s="72"/>
      <c r="L149" s="87"/>
      <c r="M149" s="72"/>
      <c r="N149" s="87"/>
    </row>
    <row r="150" spans="1:19" ht="21" customHeight="1" x14ac:dyDescent="0.3">
      <c r="A150" s="110"/>
      <c r="B150" s="109"/>
      <c r="C150" s="108"/>
      <c r="D150" s="104"/>
      <c r="E150" s="107" t="s">
        <v>184</v>
      </c>
      <c r="F150" s="871"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06" t="str">
        <f t="shared" si="16"/>
        <v/>
      </c>
      <c r="H150" s="105"/>
      <c r="I150" s="104"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c r="J150" s="85"/>
      <c r="L150" s="84"/>
      <c r="N150" s="83"/>
    </row>
    <row r="151" spans="1:19" ht="21" customHeight="1" x14ac:dyDescent="0.3">
      <c r="A151" s="110"/>
      <c r="B151" s="109"/>
      <c r="C151" s="108"/>
      <c r="D151" s="104"/>
      <c r="E151" s="107" t="s">
        <v>184</v>
      </c>
      <c r="F151" s="871"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06" t="str">
        <f t="shared" si="16"/>
        <v/>
      </c>
      <c r="H151" s="105"/>
      <c r="I151" s="104"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c r="J151" s="82"/>
      <c r="L151" s="81"/>
      <c r="M151" s="70"/>
      <c r="N151" s="80"/>
    </row>
    <row r="152" spans="1:19" ht="21" customHeight="1" x14ac:dyDescent="0.3">
      <c r="A152" s="110"/>
      <c r="B152" s="109"/>
      <c r="C152" s="108"/>
      <c r="D152" s="104"/>
      <c r="E152" s="107" t="s">
        <v>184</v>
      </c>
      <c r="F152" s="871"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106" t="str">
        <f t="shared" si="16"/>
        <v/>
      </c>
      <c r="H152" s="105"/>
      <c r="I152" s="104"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c r="J152" s="85"/>
      <c r="L152" s="84"/>
      <c r="M152" s="70"/>
      <c r="N152" s="83"/>
    </row>
    <row r="153" spans="1:19" ht="21" customHeight="1" x14ac:dyDescent="0.3">
      <c r="A153" s="817"/>
      <c r="B153" s="818"/>
      <c r="C153" s="819"/>
      <c r="D153" s="820"/>
      <c r="E153" s="821" t="s">
        <v>184</v>
      </c>
      <c r="F153" s="872" t="str">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
      </c>
      <c r="G153" s="822" t="str">
        <f t="shared" si="16"/>
        <v/>
      </c>
      <c r="H153" s="823"/>
      <c r="I153" s="820" t="str">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
      </c>
      <c r="J153" s="82"/>
      <c r="L153" s="81"/>
      <c r="N153" s="80"/>
    </row>
    <row r="154" spans="1:19" ht="15" customHeight="1" x14ac:dyDescent="0.3">
      <c r="A154" s="899"/>
      <c r="B154" s="846" t="s">
        <v>186</v>
      </c>
      <c r="C154" s="847"/>
      <c r="D154" s="848">
        <f>SUM(D147:D153)</f>
        <v>963</v>
      </c>
      <c r="E154" s="849"/>
      <c r="F154" s="856" t="s">
        <v>1400</v>
      </c>
      <c r="G154" s="850">
        <f>SUM(G147:G153)</f>
        <v>12</v>
      </c>
      <c r="H154" s="848">
        <f>SUM(H147:H153)</f>
        <v>466</v>
      </c>
      <c r="I154" s="848">
        <f>SUM(I147:I153)</f>
        <v>5592</v>
      </c>
      <c r="J154" s="85">
        <f>SUM(D148:D153)</f>
        <v>963</v>
      </c>
      <c r="K154" s="1">
        <f>SUM(G148:G153)</f>
        <v>12</v>
      </c>
      <c r="L154" s="84">
        <f>SUM(H148:H153)</f>
        <v>466</v>
      </c>
      <c r="M154" s="1">
        <f>SUM(I148:I153)</f>
        <v>5592</v>
      </c>
      <c r="N154" s="83"/>
      <c r="P154" s="587" cm="1">
        <f t="array" ref="P154">IF(H154=0,"",SUMPRODUCT(IFERROR(INT(H148:H153/F148:F153),0)))</f>
        <v>4</v>
      </c>
      <c r="Q154" s="770">
        <f>IF(P154="","",MAX(0,G154-P154))</f>
        <v>8</v>
      </c>
      <c r="R154" s="584"/>
      <c r="S154" s="585"/>
    </row>
    <row r="155" spans="1:19" ht="6" customHeight="1" x14ac:dyDescent="0.3">
      <c r="C155" s="65"/>
      <c r="J155" s="82"/>
      <c r="L155" s="81"/>
      <c r="N155" s="80"/>
    </row>
    <row r="156" spans="1:19" ht="15" customHeight="1" x14ac:dyDescent="0.3">
      <c r="A156" s="75">
        <v>46106</v>
      </c>
      <c r="B156" s="113" t="s">
        <v>49</v>
      </c>
      <c r="C156" s="112" t="s">
        <v>176</v>
      </c>
      <c r="D156" s="111" t="s">
        <v>177</v>
      </c>
      <c r="E156" s="111" t="s">
        <v>178</v>
      </c>
      <c r="F156" s="860" t="s">
        <v>179</v>
      </c>
      <c r="G156" s="111" t="s">
        <v>180</v>
      </c>
      <c r="H156" s="111" t="s">
        <v>181</v>
      </c>
      <c r="I156" s="111" t="s">
        <v>182</v>
      </c>
      <c r="J156" s="67"/>
      <c r="K156" s="67"/>
      <c r="L156" s="89"/>
      <c r="M156" s="67"/>
      <c r="N156" s="88"/>
    </row>
    <row r="157" spans="1:19" ht="21" customHeight="1" x14ac:dyDescent="0.3">
      <c r="A157" s="110"/>
      <c r="B157" s="109" t="s">
        <v>31</v>
      </c>
      <c r="C157" s="108">
        <v>600</v>
      </c>
      <c r="D157" s="104">
        <v>113</v>
      </c>
      <c r="E157" s="107" t="s">
        <v>184</v>
      </c>
      <c r="F157" s="871">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95</v>
      </c>
      <c r="G157" s="106">
        <f t="shared" ref="G157:G162" si="17">IFERROR(ROUNDUP(D157/F157,0),"")</f>
        <v>2</v>
      </c>
      <c r="H157" s="105">
        <v>120</v>
      </c>
      <c r="I157" s="104">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1440</v>
      </c>
    </row>
    <row r="158" spans="1:19" ht="21" customHeight="1" x14ac:dyDescent="0.3">
      <c r="A158" s="110"/>
      <c r="B158" s="109" t="s">
        <v>37</v>
      </c>
      <c r="C158" s="108">
        <v>600</v>
      </c>
      <c r="D158" s="104">
        <v>384</v>
      </c>
      <c r="E158" s="107" t="s">
        <v>184</v>
      </c>
      <c r="F158" s="871">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95</v>
      </c>
      <c r="G158" s="106">
        <f t="shared" si="17"/>
        <v>5</v>
      </c>
      <c r="H158" s="105">
        <v>384</v>
      </c>
      <c r="I158" s="104">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4608</v>
      </c>
      <c r="J158" s="72"/>
      <c r="K158" s="72"/>
      <c r="L158" s="87"/>
      <c r="M158" s="72"/>
      <c r="N158" s="87"/>
    </row>
    <row r="159" spans="1:19" ht="21" customHeight="1" x14ac:dyDescent="0.3">
      <c r="A159" s="110"/>
      <c r="B159" s="109" t="s">
        <v>405</v>
      </c>
      <c r="C159" s="108">
        <v>100</v>
      </c>
      <c r="D159" s="104">
        <v>875</v>
      </c>
      <c r="E159" s="107" t="s">
        <v>184</v>
      </c>
      <c r="F159" s="871">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240</v>
      </c>
      <c r="G159" s="106">
        <f t="shared" si="17"/>
        <v>4</v>
      </c>
      <c r="H159" s="105">
        <v>251</v>
      </c>
      <c r="I159" s="104">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3012</v>
      </c>
      <c r="J159" s="82"/>
      <c r="L159" s="81"/>
      <c r="N159" s="80"/>
    </row>
    <row r="160" spans="1:19" ht="21" customHeight="1" x14ac:dyDescent="0.3">
      <c r="A160" s="110"/>
      <c r="B160" s="109"/>
      <c r="C160" s="108"/>
      <c r="D160" s="104"/>
      <c r="E160" s="107" t="s">
        <v>184</v>
      </c>
      <c r="F160" s="871"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106" t="str">
        <f t="shared" si="17"/>
        <v/>
      </c>
      <c r="H160" s="105"/>
      <c r="I160" s="104"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c r="J160" s="85"/>
      <c r="L160" s="84"/>
      <c r="M160" s="70"/>
      <c r="N160" s="83"/>
    </row>
    <row r="161" spans="1:19" ht="21" customHeight="1" x14ac:dyDescent="0.3">
      <c r="A161" s="110"/>
      <c r="B161" s="109"/>
      <c r="C161" s="108"/>
      <c r="D161" s="104"/>
      <c r="E161" s="107" t="s">
        <v>184</v>
      </c>
      <c r="F161" s="871" t="str">
        <f>IF($B161="","",IF(SUMIFS(CONFIG_PALETES!$C:$C,CONFIG_PALETES!$A:$A,TRIM($B161),CONFIG_PALETES!$B:$B,$C161&amp;" ml")&gt;0,SUMIFS(CONFIG_PALETES!$C:$C,CONFIG_PALETES!$A:$A,TRIM($B161),CONFIG_PALETES!$B:$B,$C161&amp;" ml"),IF(SUMIFS(CONFIG_PALETES!$C:$C,CONFIG_PALETES!$A:$A,"GERAL",CONFIG_PALETES!$B:$B,$C161&amp;" ml")&gt;0,SUMIFS(CONFIG_PALETES!$C:$C,CONFIG_PALETES!$A:$A,"GERAL",CONFIG_PALETES!$B:$B,$C161&amp;" ml"),"")))</f>
        <v/>
      </c>
      <c r="G161" s="106" t="str">
        <f t="shared" si="17"/>
        <v/>
      </c>
      <c r="H161" s="105"/>
      <c r="I161" s="104" t="str">
        <f>IF(H161="","",H161*IF(SUMIFS(CONFIG_PALETES!$D:$D,CONFIG_PALETES!$A:$A,IF(ISNUMBER(SEARCH("ESPUMA",$B161)),"ESPUMA",IF(OR(ISNUMBER(SEARCH("OLEO DE COCO",$B161)),ISNUMBER(SEARCH("ÓLEO DE COCO",$B161)),ISNUMBER(SEARCH("COPRA",$B161))),"ÓLEO DE COCO",IF(ISNUMBER(SEARCH("CORANTE",$B161)),"CORANTE",TRIM($B161)))),CONFIG_PALETES!$B:$B,$C161&amp;" ml")&gt;0,SUMIFS(CONFIG_PALETES!$D:$D,CONFIG_PALETES!$A:$A,IF(ISNUMBER(SEARCH("ESPUMA",$B161)),"ESPUMA",IF(OR(ISNUMBER(SEARCH("OLEO DE COCO",$B161)),ISNUMBER(SEARCH("ÓLEO DE COCO",$B161)),ISNUMBER(SEARCH("COPRA",$B161))),"ÓLEO DE COCO",IF(ISNUMBER(SEARCH("CORANTE",$B161)),"CORANTE",TRIM($B161)))),CONFIG_PALETES!$B:$B,$C161&amp;" ml"),IF(SUMIFS(CONFIG_PALETES!$D:$D,CONFIG_PALETES!$A:$A,"GERAL",CONFIG_PALETES!$B:$B,$C161&amp;" ml")&gt;0,SUMIFS(CONFIG_PALETES!$D:$D,CONFIG_PALETES!$A:$A,"GERAL",CONFIG_PALETES!$B:$B,$C161&amp;" ml"),12)))</f>
        <v/>
      </c>
      <c r="J161" s="82"/>
      <c r="L161" s="81"/>
      <c r="M161" s="70"/>
      <c r="N161" s="80"/>
    </row>
    <row r="162" spans="1:19" ht="21" customHeight="1" x14ac:dyDescent="0.3">
      <c r="A162" s="817"/>
      <c r="B162" s="818"/>
      <c r="C162" s="819"/>
      <c r="D162" s="820"/>
      <c r="E162" s="821" t="s">
        <v>184</v>
      </c>
      <c r="F162" s="872" t="str">
        <f>IF($B162="","",IF(SUMIFS(CONFIG_PALETES!$C:$C,CONFIG_PALETES!$A:$A,TRIM($B162),CONFIG_PALETES!$B:$B,$C162&amp;" ml")&gt;0,SUMIFS(CONFIG_PALETES!$C:$C,CONFIG_PALETES!$A:$A,TRIM($B162),CONFIG_PALETES!$B:$B,$C162&amp;" ml"),IF(SUMIFS(CONFIG_PALETES!$C:$C,CONFIG_PALETES!$A:$A,"GERAL",CONFIG_PALETES!$B:$B,$C162&amp;" ml")&gt;0,SUMIFS(CONFIG_PALETES!$C:$C,CONFIG_PALETES!$A:$A,"GERAL",CONFIG_PALETES!$B:$B,$C162&amp;" ml"),"")))</f>
        <v/>
      </c>
      <c r="G162" s="822" t="str">
        <f t="shared" si="17"/>
        <v/>
      </c>
      <c r="H162" s="823"/>
      <c r="I162" s="820" t="str">
        <f>IF(H162="","",H162*IF(SUMIFS(CONFIG_PALETES!$D:$D,CONFIG_PALETES!$A:$A,IF(ISNUMBER(SEARCH("ESPUMA",$B162)),"ESPUMA",IF(OR(ISNUMBER(SEARCH("OLEO DE COCO",$B162)),ISNUMBER(SEARCH("ÓLEO DE COCO",$B162)),ISNUMBER(SEARCH("COPRA",$B162))),"ÓLEO DE COCO",IF(ISNUMBER(SEARCH("CORANTE",$B162)),"CORANTE",TRIM($B162)))),CONFIG_PALETES!$B:$B,$C162&amp;" ml")&gt;0,SUMIFS(CONFIG_PALETES!$D:$D,CONFIG_PALETES!$A:$A,IF(ISNUMBER(SEARCH("ESPUMA",$B162)),"ESPUMA",IF(OR(ISNUMBER(SEARCH("OLEO DE COCO",$B162)),ISNUMBER(SEARCH("ÓLEO DE COCO",$B162)),ISNUMBER(SEARCH("COPRA",$B162))),"ÓLEO DE COCO",IF(ISNUMBER(SEARCH("CORANTE",$B162)),"CORANTE",TRIM($B162)))),CONFIG_PALETES!$B:$B,$C162&amp;" ml"),IF(SUMIFS(CONFIG_PALETES!$D:$D,CONFIG_PALETES!$A:$A,"GERAL",CONFIG_PALETES!$B:$B,$C162&amp;" ml")&gt;0,SUMIFS(CONFIG_PALETES!$D:$D,CONFIG_PALETES!$A:$A,"GERAL",CONFIG_PALETES!$B:$B,$C162&amp;" ml"),12)))</f>
        <v/>
      </c>
      <c r="J162" s="85"/>
      <c r="L162" s="84"/>
      <c r="N162" s="83"/>
    </row>
    <row r="163" spans="1:19" ht="15" customHeight="1" x14ac:dyDescent="0.3">
      <c r="A163" s="899"/>
      <c r="B163" s="846" t="s">
        <v>186</v>
      </c>
      <c r="C163" s="847"/>
      <c r="D163" s="848">
        <f>SUM(D156:D162)</f>
        <v>1372</v>
      </c>
      <c r="E163" s="849"/>
      <c r="F163" s="856" t="s">
        <v>1400</v>
      </c>
      <c r="G163" s="850">
        <f>SUM(G156:G162)</f>
        <v>11</v>
      </c>
      <c r="H163" s="848">
        <f>SUM(H156:H162)</f>
        <v>755</v>
      </c>
      <c r="I163" s="848">
        <f>SUM(I156:I162)</f>
        <v>9060</v>
      </c>
      <c r="J163" s="82">
        <f>SUM(D157:D162)</f>
        <v>1372</v>
      </c>
      <c r="K163" s="1">
        <f>SUM(G157:G162)</f>
        <v>11</v>
      </c>
      <c r="L163" s="81">
        <f>SUM(H157:H162)</f>
        <v>755</v>
      </c>
      <c r="M163" s="1">
        <f>SUM(I157:I162)</f>
        <v>9060</v>
      </c>
      <c r="N163" s="80"/>
      <c r="P163" s="587" cm="1">
        <f t="array" ref="P163">IF(H163=0,"",SUMPRODUCT(IFERROR(INT(H157:H162/F157:F162),0)))</f>
        <v>6</v>
      </c>
      <c r="Q163" s="770">
        <f>IF(P163="","",MAX(0,G163-P163))</f>
        <v>5</v>
      </c>
      <c r="R163" s="584"/>
      <c r="S163" s="585"/>
    </row>
    <row r="164" spans="1:19" ht="6" customHeight="1" x14ac:dyDescent="0.3">
      <c r="C164" s="65"/>
      <c r="J164" s="79"/>
      <c r="K164" s="67"/>
      <c r="L164" s="78"/>
      <c r="M164" s="67"/>
      <c r="N164" s="77"/>
    </row>
    <row r="165" spans="1:19" ht="15" customHeight="1" x14ac:dyDescent="0.3">
      <c r="A165" s="75">
        <v>46107</v>
      </c>
      <c r="B165" s="113" t="s">
        <v>49</v>
      </c>
      <c r="C165" s="112" t="s">
        <v>176</v>
      </c>
      <c r="D165" s="111" t="s">
        <v>177</v>
      </c>
      <c r="E165" s="111" t="s">
        <v>178</v>
      </c>
      <c r="F165" s="860" t="s">
        <v>179</v>
      </c>
      <c r="G165" s="111" t="s">
        <v>180</v>
      </c>
      <c r="H165" s="111" t="s">
        <v>181</v>
      </c>
      <c r="I165" s="111" t="s">
        <v>182</v>
      </c>
    </row>
    <row r="166" spans="1:19" ht="21" customHeight="1" x14ac:dyDescent="0.3">
      <c r="A166" s="110"/>
      <c r="B166" s="109" t="s">
        <v>405</v>
      </c>
      <c r="C166" s="108">
        <v>100</v>
      </c>
      <c r="D166" s="104">
        <v>624</v>
      </c>
      <c r="E166" s="107" t="s">
        <v>184</v>
      </c>
      <c r="F166" s="871">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240</v>
      </c>
      <c r="G166" s="106">
        <f t="shared" ref="G166:G171" si="18">IFERROR(ROUNDUP(D166/F166,0),"")</f>
        <v>3</v>
      </c>
      <c r="H166" s="105">
        <v>1488</v>
      </c>
      <c r="I166" s="104">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17856</v>
      </c>
      <c r="J166" s="74"/>
      <c r="K166" s="72"/>
      <c r="L166" s="73"/>
      <c r="M166" s="72"/>
      <c r="N166" s="71"/>
    </row>
    <row r="167" spans="1:19"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 t="shared" si="18"/>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c r="L167" s="70"/>
      <c r="N167" s="69"/>
    </row>
    <row r="168" spans="1:19" ht="21" customHeight="1" x14ac:dyDescent="0.3">
      <c r="A168" s="110"/>
      <c r="B168" s="109"/>
      <c r="C168" s="108"/>
      <c r="D168" s="104"/>
      <c r="E168" s="107" t="s">
        <v>184</v>
      </c>
      <c r="F168" s="871"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106" t="str">
        <f t="shared" si="18"/>
        <v/>
      </c>
      <c r="H168" s="105"/>
      <c r="I168" s="10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c r="L168" s="70"/>
      <c r="M168" s="70"/>
      <c r="N168" s="69"/>
    </row>
    <row r="169" spans="1:19" ht="21" customHeight="1" x14ac:dyDescent="0.3">
      <c r="A169" s="110"/>
      <c r="B169" s="109"/>
      <c r="C169" s="108"/>
      <c r="D169" s="104"/>
      <c r="E169" s="107" t="s">
        <v>184</v>
      </c>
      <c r="F169" s="871"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106" t="str">
        <f t="shared" si="18"/>
        <v/>
      </c>
      <c r="H169" s="105"/>
      <c r="I169" s="104"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c r="L169" s="70"/>
      <c r="M169" s="70"/>
      <c r="N169" s="69"/>
    </row>
    <row r="170" spans="1:19" ht="21" customHeight="1" x14ac:dyDescent="0.3">
      <c r="A170" s="110"/>
      <c r="B170" s="109"/>
      <c r="C170" s="108"/>
      <c r="D170" s="104"/>
      <c r="E170" s="107" t="s">
        <v>184</v>
      </c>
      <c r="F170" s="871" t="str">
        <f>IF($B170="","",IF(SUMIFS(CONFIG_PALETES!$C:$C,CONFIG_PALETES!$A:$A,TRIM($B170),CONFIG_PALETES!$B:$B,$C170&amp;" ml")&gt;0,SUMIFS(CONFIG_PALETES!$C:$C,CONFIG_PALETES!$A:$A,TRIM($B170),CONFIG_PALETES!$B:$B,$C170&amp;" ml"),IF(SUMIFS(CONFIG_PALETES!$C:$C,CONFIG_PALETES!$A:$A,"GERAL",CONFIG_PALETES!$B:$B,$C170&amp;" ml")&gt;0,SUMIFS(CONFIG_PALETES!$C:$C,CONFIG_PALETES!$A:$A,"GERAL",CONFIG_PALETES!$B:$B,$C170&amp;" ml"),"")))</f>
        <v/>
      </c>
      <c r="G170" s="106" t="str">
        <f t="shared" si="18"/>
        <v/>
      </c>
      <c r="H170" s="105"/>
      <c r="I170" s="104" t="str">
        <f>IF(H170="","",H170*IF(SUMIFS(CONFIG_PALETES!$D:$D,CONFIG_PALETES!$A:$A,IF(ISNUMBER(SEARCH("ESPUMA",$B170)),"ESPUMA",IF(OR(ISNUMBER(SEARCH("OLEO DE COCO",$B170)),ISNUMBER(SEARCH("ÓLEO DE COCO",$B170)),ISNUMBER(SEARCH("COPRA",$B170))),"ÓLEO DE COCO",IF(ISNUMBER(SEARCH("CORANTE",$B170)),"CORANTE",TRIM($B170)))),CONFIG_PALETES!$B:$B,$C170&amp;" ml")&gt;0,SUMIFS(CONFIG_PALETES!$D:$D,CONFIG_PALETES!$A:$A,IF(ISNUMBER(SEARCH("ESPUMA",$B170)),"ESPUMA",IF(OR(ISNUMBER(SEARCH("OLEO DE COCO",$B170)),ISNUMBER(SEARCH("ÓLEO DE COCO",$B170)),ISNUMBER(SEARCH("COPRA",$B170))),"ÓLEO DE COCO",IF(ISNUMBER(SEARCH("CORANTE",$B170)),"CORANTE",TRIM($B170)))),CONFIG_PALETES!$B:$B,$C170&amp;" ml"),IF(SUMIFS(CONFIG_PALETES!$D:$D,CONFIG_PALETES!$A:$A,"GERAL",CONFIG_PALETES!$B:$B,$C170&amp;" ml")&gt;0,SUMIFS(CONFIG_PALETES!$D:$D,CONFIG_PALETES!$A:$A,"GERAL",CONFIG_PALETES!$B:$B,$C170&amp;" ml"),12)))</f>
        <v/>
      </c>
      <c r="L170" s="70"/>
      <c r="N170" s="69"/>
    </row>
    <row r="171" spans="1:19" ht="21" customHeight="1" x14ac:dyDescent="0.3">
      <c r="A171" s="817"/>
      <c r="B171" s="818"/>
      <c r="C171" s="819"/>
      <c r="D171" s="820"/>
      <c r="E171" s="821" t="s">
        <v>184</v>
      </c>
      <c r="F171" s="872" t="str">
        <f>IF($B171="","",IF(SUMIFS(CONFIG_PALETES!$C:$C,CONFIG_PALETES!$A:$A,TRIM($B171),CONFIG_PALETES!$B:$B,$C171&amp;" ml")&gt;0,SUMIFS(CONFIG_PALETES!$C:$C,CONFIG_PALETES!$A:$A,TRIM($B171),CONFIG_PALETES!$B:$B,$C171&amp;" ml"),IF(SUMIFS(CONFIG_PALETES!$C:$C,CONFIG_PALETES!$A:$A,"GERAL",CONFIG_PALETES!$B:$B,$C171&amp;" ml")&gt;0,SUMIFS(CONFIG_PALETES!$C:$C,CONFIG_PALETES!$A:$A,"GERAL",CONFIG_PALETES!$B:$B,$C171&amp;" ml"),"")))</f>
        <v/>
      </c>
      <c r="G171" s="822" t="str">
        <f t="shared" si="18"/>
        <v/>
      </c>
      <c r="H171" s="823"/>
      <c r="I171" s="820" t="str">
        <f>IF(H171="","",H171*IF(SUMIFS(CONFIG_PALETES!$D:$D,CONFIG_PALETES!$A:$A,IF(ISNUMBER(SEARCH("ESPUMA",$B171)),"ESPUMA",IF(OR(ISNUMBER(SEARCH("OLEO DE COCO",$B171)),ISNUMBER(SEARCH("ÓLEO DE COCO",$B171)),ISNUMBER(SEARCH("COPRA",$B171))),"ÓLEO DE COCO",IF(ISNUMBER(SEARCH("CORANTE",$B171)),"CORANTE",TRIM($B171)))),CONFIG_PALETES!$B:$B,$C171&amp;" ml")&gt;0,SUMIFS(CONFIG_PALETES!$D:$D,CONFIG_PALETES!$A:$A,IF(ISNUMBER(SEARCH("ESPUMA",$B171)),"ESPUMA",IF(OR(ISNUMBER(SEARCH("OLEO DE COCO",$B171)),ISNUMBER(SEARCH("ÓLEO DE COCO",$B171)),ISNUMBER(SEARCH("COPRA",$B171))),"ÓLEO DE COCO",IF(ISNUMBER(SEARCH("CORANTE",$B171)),"CORANTE",TRIM($B171)))),CONFIG_PALETES!$B:$B,$C171&amp;" ml"),IF(SUMIFS(CONFIG_PALETES!$D:$D,CONFIG_PALETES!$A:$A,"GERAL",CONFIG_PALETES!$B:$B,$C171&amp;" ml")&gt;0,SUMIFS(CONFIG_PALETES!$D:$D,CONFIG_PALETES!$A:$A,"GERAL",CONFIG_PALETES!$B:$B,$C171&amp;" ml"),12)))</f>
        <v/>
      </c>
      <c r="L171" s="70"/>
      <c r="N171" s="69"/>
    </row>
    <row r="172" spans="1:19" ht="15" customHeight="1" x14ac:dyDescent="0.3">
      <c r="A172" s="899"/>
      <c r="B172" s="846" t="s">
        <v>186</v>
      </c>
      <c r="C172" s="847"/>
      <c r="D172" s="848">
        <f>SUM(D165:D171)</f>
        <v>624</v>
      </c>
      <c r="E172" s="849"/>
      <c r="F172" s="856" t="s">
        <v>1400</v>
      </c>
      <c r="G172" s="850">
        <f>SUM(G165:G171)</f>
        <v>3</v>
      </c>
      <c r="H172" s="848">
        <f>SUM(H165:H171)</f>
        <v>1488</v>
      </c>
      <c r="I172" s="848">
        <f>SUM(I165:I171)</f>
        <v>17856</v>
      </c>
      <c r="J172" s="67">
        <f>SUM(D166:D171)</f>
        <v>624</v>
      </c>
      <c r="K172" s="67">
        <f>SUM(G166:G171)</f>
        <v>3</v>
      </c>
      <c r="L172" s="68">
        <f>SUM(H166:H171)</f>
        <v>1488</v>
      </c>
      <c r="M172" s="67">
        <f>SUM(I166:I171)</f>
        <v>17856</v>
      </c>
      <c r="N172" s="66"/>
      <c r="P172" s="587" cm="1">
        <f t="array" ref="P172">IF(H172=0,"",SUMPRODUCT(IFERROR(INT(H166:H171/F166:F171),0)))</f>
        <v>6</v>
      </c>
      <c r="Q172" s="770">
        <f>IF(P172="","",MAX(0,G172-P172))</f>
        <v>0</v>
      </c>
      <c r="R172" s="584"/>
      <c r="S172" s="585"/>
    </row>
    <row r="173" spans="1:19" ht="6" customHeight="1" x14ac:dyDescent="0.3">
      <c r="C173" s="65"/>
    </row>
    <row r="174" spans="1:19" ht="15" customHeight="1" x14ac:dyDescent="0.3">
      <c r="A174" s="75">
        <v>46108</v>
      </c>
      <c r="B174" s="113" t="s">
        <v>49</v>
      </c>
      <c r="C174" s="112" t="s">
        <v>176</v>
      </c>
      <c r="D174" s="111" t="s">
        <v>177</v>
      </c>
      <c r="E174" s="111" t="s">
        <v>178</v>
      </c>
      <c r="F174" s="860" t="s">
        <v>179</v>
      </c>
      <c r="G174" s="111" t="s">
        <v>180</v>
      </c>
      <c r="H174" s="111" t="s">
        <v>181</v>
      </c>
      <c r="I174" s="111" t="s">
        <v>182</v>
      </c>
      <c r="J174" s="74"/>
      <c r="K174" s="72"/>
      <c r="L174" s="73"/>
      <c r="M174" s="72"/>
      <c r="N174" s="71"/>
    </row>
    <row r="175" spans="1:19" ht="21" customHeight="1" x14ac:dyDescent="0.3">
      <c r="A175" s="110"/>
      <c r="B175" s="109" t="s">
        <v>288</v>
      </c>
      <c r="C175" s="108">
        <v>100</v>
      </c>
      <c r="D175" s="104">
        <v>546</v>
      </c>
      <c r="E175" s="107" t="s">
        <v>184</v>
      </c>
      <c r="F175" s="871">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240</v>
      </c>
      <c r="G175" s="106">
        <f t="shared" ref="G175:G180" si="19">IFERROR(ROUNDUP(D175/F175,0),"")</f>
        <v>3</v>
      </c>
      <c r="H175" s="105">
        <v>780</v>
      </c>
      <c r="I175" s="104">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9360</v>
      </c>
      <c r="L175" s="70"/>
      <c r="N175" s="69"/>
    </row>
    <row r="176" spans="1:19" ht="21" customHeight="1" x14ac:dyDescent="0.3">
      <c r="A176" s="110"/>
      <c r="B176" s="109" t="s">
        <v>287</v>
      </c>
      <c r="C176" s="108">
        <v>100</v>
      </c>
      <c r="D176" s="104">
        <v>835</v>
      </c>
      <c r="E176" s="107" t="s">
        <v>184</v>
      </c>
      <c r="F176" s="871">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240</v>
      </c>
      <c r="G176" s="106">
        <f t="shared" si="19"/>
        <v>4</v>
      </c>
      <c r="H176" s="105">
        <v>255</v>
      </c>
      <c r="I176" s="104">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3060</v>
      </c>
      <c r="L176" s="70"/>
      <c r="M176" s="70"/>
      <c r="N176" s="69"/>
    </row>
    <row r="177" spans="1:19" ht="21" customHeight="1" x14ac:dyDescent="0.3">
      <c r="A177" s="110"/>
      <c r="B177" s="109"/>
      <c r="C177" s="108"/>
      <c r="D177" s="104"/>
      <c r="E177" s="107" t="s">
        <v>184</v>
      </c>
      <c r="F177" s="871" t="str">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
      </c>
      <c r="G177" s="106" t="str">
        <f t="shared" si="19"/>
        <v/>
      </c>
      <c r="H177" s="105"/>
      <c r="I177" s="104" t="str">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
      </c>
      <c r="L177" s="70"/>
      <c r="M177" s="70"/>
      <c r="N177" s="69"/>
    </row>
    <row r="178" spans="1:19" ht="21" customHeight="1" x14ac:dyDescent="0.3">
      <c r="A178" s="110"/>
      <c r="B178" s="109"/>
      <c r="C178" s="108"/>
      <c r="D178" s="104"/>
      <c r="E178" s="107" t="s">
        <v>184</v>
      </c>
      <c r="F178" s="871"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106" t="str">
        <f t="shared" si="19"/>
        <v/>
      </c>
      <c r="H178" s="105"/>
      <c r="I178" s="104"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c r="L178" s="70"/>
      <c r="N178" s="69"/>
    </row>
    <row r="179" spans="1:19" ht="21" customHeight="1" x14ac:dyDescent="0.3">
      <c r="A179" s="110"/>
      <c r="B179" s="109"/>
      <c r="C179" s="108"/>
      <c r="D179" s="104"/>
      <c r="E179" s="107" t="s">
        <v>184</v>
      </c>
      <c r="F179" s="871" t="str">
        <f>IF($B179="","",IF(SUMIFS(CONFIG_PALETES!$C:$C,CONFIG_PALETES!$A:$A,TRIM($B179),CONFIG_PALETES!$B:$B,$C179&amp;" ml")&gt;0,SUMIFS(CONFIG_PALETES!$C:$C,CONFIG_PALETES!$A:$A,TRIM($B179),CONFIG_PALETES!$B:$B,$C179&amp;" ml"),IF(SUMIFS(CONFIG_PALETES!$C:$C,CONFIG_PALETES!$A:$A,"GERAL",CONFIG_PALETES!$B:$B,$C179&amp;" ml")&gt;0,SUMIFS(CONFIG_PALETES!$C:$C,CONFIG_PALETES!$A:$A,"GERAL",CONFIG_PALETES!$B:$B,$C179&amp;" ml"),"")))</f>
        <v/>
      </c>
      <c r="G179" s="106" t="str">
        <f t="shared" si="19"/>
        <v/>
      </c>
      <c r="H179" s="105"/>
      <c r="I179" s="104" t="str">
        <f>IF(H179="","",H179*IF(SUMIFS(CONFIG_PALETES!$D:$D,CONFIG_PALETES!$A:$A,IF(ISNUMBER(SEARCH("ESPUMA",$B179)),"ESPUMA",IF(OR(ISNUMBER(SEARCH("OLEO DE COCO",$B179)),ISNUMBER(SEARCH("ÓLEO DE COCO",$B179)),ISNUMBER(SEARCH("COPRA",$B179))),"ÓLEO DE COCO",IF(ISNUMBER(SEARCH("CORANTE",$B179)),"CORANTE",TRIM($B179)))),CONFIG_PALETES!$B:$B,$C179&amp;" ml")&gt;0,SUMIFS(CONFIG_PALETES!$D:$D,CONFIG_PALETES!$A:$A,IF(ISNUMBER(SEARCH("ESPUMA",$B179)),"ESPUMA",IF(OR(ISNUMBER(SEARCH("OLEO DE COCO",$B179)),ISNUMBER(SEARCH("ÓLEO DE COCO",$B179)),ISNUMBER(SEARCH("COPRA",$B179))),"ÓLEO DE COCO",IF(ISNUMBER(SEARCH("CORANTE",$B179)),"CORANTE",TRIM($B179)))),CONFIG_PALETES!$B:$B,$C179&amp;" ml"),IF(SUMIFS(CONFIG_PALETES!$D:$D,CONFIG_PALETES!$A:$A,"GERAL",CONFIG_PALETES!$B:$B,$C179&amp;" ml")&gt;0,SUMIFS(CONFIG_PALETES!$D:$D,CONFIG_PALETES!$A:$A,"GERAL",CONFIG_PALETES!$B:$B,$C179&amp;" ml"),12)))</f>
        <v/>
      </c>
      <c r="L179" s="70"/>
      <c r="N179" s="69"/>
    </row>
    <row r="180" spans="1:19" ht="21" customHeight="1" x14ac:dyDescent="0.3">
      <c r="A180" s="817"/>
      <c r="B180" s="818"/>
      <c r="C180" s="819"/>
      <c r="D180" s="820"/>
      <c r="E180" s="821" t="s">
        <v>184</v>
      </c>
      <c r="F180" s="872"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822" t="str">
        <f t="shared" si="19"/>
        <v/>
      </c>
      <c r="H180" s="823"/>
      <c r="I180" s="820"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c r="J180" s="67"/>
      <c r="K180" s="67"/>
      <c r="L180" s="68"/>
      <c r="M180" s="67"/>
      <c r="N180" s="66"/>
    </row>
    <row r="181" spans="1:19" ht="15" customHeight="1" x14ac:dyDescent="0.3">
      <c r="A181" s="899"/>
      <c r="B181" s="846" t="s">
        <v>186</v>
      </c>
      <c r="C181" s="847"/>
      <c r="D181" s="848">
        <f>SUM(D174:D180)</f>
        <v>1381</v>
      </c>
      <c r="E181" s="849"/>
      <c r="F181" s="856" t="s">
        <v>1400</v>
      </c>
      <c r="G181" s="850">
        <f>SUM(G174:G180)</f>
        <v>7</v>
      </c>
      <c r="H181" s="848">
        <f>SUM(H174:H180)</f>
        <v>1035</v>
      </c>
      <c r="I181" s="848">
        <f>SUM(I174:I180)</f>
        <v>12420</v>
      </c>
      <c r="J181" s="1">
        <f>SUM(D175:D180)</f>
        <v>1381</v>
      </c>
      <c r="K181" s="1">
        <f>SUM(G175:G180)</f>
        <v>7</v>
      </c>
      <c r="L181" s="1">
        <f>SUM(H175:H180)</f>
        <v>1035</v>
      </c>
      <c r="M181" s="1">
        <f>SUM(I175:I180)</f>
        <v>12420</v>
      </c>
      <c r="P181" s="587" cm="1">
        <f t="array" ref="P181">IF(H181=0,"",SUMPRODUCT(IFERROR(INT(H175:H180/F175:F180),0)))</f>
        <v>4</v>
      </c>
      <c r="Q181" s="770">
        <f>IF(P181="","",MAX(0,G181-P181))</f>
        <v>3</v>
      </c>
      <c r="R181" s="584"/>
      <c r="S181" s="585"/>
    </row>
    <row r="182" spans="1:19" ht="6" customHeight="1" x14ac:dyDescent="0.3">
      <c r="C182" s="65"/>
    </row>
    <row r="183" spans="1:19" ht="15" customHeight="1" x14ac:dyDescent="0.3">
      <c r="A183" s="75">
        <v>46111</v>
      </c>
      <c r="B183" s="113" t="s">
        <v>49</v>
      </c>
      <c r="C183" s="112" t="s">
        <v>176</v>
      </c>
      <c r="D183" s="111" t="s">
        <v>177</v>
      </c>
      <c r="E183" s="111" t="s">
        <v>178</v>
      </c>
      <c r="F183" s="860" t="s">
        <v>179</v>
      </c>
      <c r="G183" s="111" t="s">
        <v>180</v>
      </c>
      <c r="H183" s="111" t="s">
        <v>181</v>
      </c>
      <c r="I183" s="111" t="s">
        <v>182</v>
      </c>
    </row>
    <row r="184" spans="1:19" ht="21" customHeight="1" x14ac:dyDescent="0.3">
      <c r="A184" s="110"/>
      <c r="B184" s="109" t="s">
        <v>287</v>
      </c>
      <c r="C184" s="108">
        <v>100</v>
      </c>
      <c r="D184" s="104">
        <v>580</v>
      </c>
      <c r="E184" s="107" t="s">
        <v>184</v>
      </c>
      <c r="F184" s="871">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240</v>
      </c>
      <c r="G184" s="106">
        <f t="shared" ref="G184:G189" si="20">IFERROR(ROUNDUP(D184/F184,0),"")</f>
        <v>3</v>
      </c>
      <c r="H184" s="105">
        <v>571</v>
      </c>
      <c r="I184" s="104">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6852</v>
      </c>
    </row>
    <row r="185" spans="1:19" ht="21" customHeight="1" x14ac:dyDescent="0.3">
      <c r="A185" s="110"/>
      <c r="B185" s="109" t="s">
        <v>25</v>
      </c>
      <c r="C185" s="108">
        <v>180</v>
      </c>
      <c r="D185" s="104">
        <v>1200</v>
      </c>
      <c r="E185" s="107" t="s">
        <v>184</v>
      </c>
      <c r="F185" s="871">
        <f>IF($B185="","",IF(SUMIFS(CONFIG_PALETES!$C:$C,CONFIG_PALETES!$A:$A,TRIM($B185),CONFIG_PALETES!$B:$B,$C185&amp;" ml")&gt;0,SUMIFS(CONFIG_PALETES!$C:$C,CONFIG_PALETES!$A:$A,TRIM($B185),CONFIG_PALETES!$B:$B,$C185&amp;" ml"),IF(SUMIFS(CONFIG_PALETES!$C:$C,CONFIG_PALETES!$A:$A,"GERAL",CONFIG_PALETES!$B:$B,$C185&amp;" ml")&gt;0,SUMIFS(CONFIG_PALETES!$C:$C,CONFIG_PALETES!$A:$A,"GERAL",CONFIG_PALETES!$B:$B,$C185&amp;" ml"),"")))</f>
        <v>240</v>
      </c>
      <c r="G185" s="106">
        <f t="shared" si="20"/>
        <v>5</v>
      </c>
      <c r="H185" s="105">
        <v>896</v>
      </c>
      <c r="I185" s="104">
        <f>IF(H185="","",H185*IF(SUMIFS(CONFIG_PALETES!$D:$D,CONFIG_PALETES!$A:$A,IF(ISNUMBER(SEARCH("ESPUMA",$B185)),"ESPUMA",IF(OR(ISNUMBER(SEARCH("OLEO DE COCO",$B185)),ISNUMBER(SEARCH("ÓLEO DE COCO",$B185)),ISNUMBER(SEARCH("COPRA",$B185))),"ÓLEO DE COCO",IF(ISNUMBER(SEARCH("CORANTE",$B185)),"CORANTE",TRIM($B185)))),CONFIG_PALETES!$B:$B,$C185&amp;" ml")&gt;0,SUMIFS(CONFIG_PALETES!$D:$D,CONFIG_PALETES!$A:$A,IF(ISNUMBER(SEARCH("ESPUMA",$B185)),"ESPUMA",IF(OR(ISNUMBER(SEARCH("OLEO DE COCO",$B185)),ISNUMBER(SEARCH("ÓLEO DE COCO",$B185)),ISNUMBER(SEARCH("COPRA",$B185))),"ÓLEO DE COCO",IF(ISNUMBER(SEARCH("CORANTE",$B185)),"CORANTE",TRIM($B185)))),CONFIG_PALETES!$B:$B,$C185&amp;" ml"),IF(SUMIFS(CONFIG_PALETES!$D:$D,CONFIG_PALETES!$A:$A,"GERAL",CONFIG_PALETES!$B:$B,$C185&amp;" ml")&gt;0,SUMIFS(CONFIG_PALETES!$D:$D,CONFIG_PALETES!$A:$A,"GERAL",CONFIG_PALETES!$B:$B,$C185&amp;" ml"),12)))</f>
        <v>10752</v>
      </c>
    </row>
    <row r="186" spans="1:19" ht="21" customHeight="1" x14ac:dyDescent="0.3">
      <c r="A186" s="110"/>
      <c r="B186" s="109"/>
      <c r="C186" s="108"/>
      <c r="D186" s="104"/>
      <c r="E186" s="107" t="s">
        <v>184</v>
      </c>
      <c r="F186" s="871" t="str">
        <f>IF($B186="","",IF(SUMIFS(CONFIG_PALETES!$C:$C,CONFIG_PALETES!$A:$A,TRIM($B186),CONFIG_PALETES!$B:$B,$C186&amp;" ml")&gt;0,SUMIFS(CONFIG_PALETES!$C:$C,CONFIG_PALETES!$A:$A,TRIM($B186),CONFIG_PALETES!$B:$B,$C186&amp;" ml"),IF(SUMIFS(CONFIG_PALETES!$C:$C,CONFIG_PALETES!$A:$A,"GERAL",CONFIG_PALETES!$B:$B,$C186&amp;" ml")&gt;0,SUMIFS(CONFIG_PALETES!$C:$C,CONFIG_PALETES!$A:$A,"GERAL",CONFIG_PALETES!$B:$B,$C186&amp;" ml"),"")))</f>
        <v/>
      </c>
      <c r="G186" s="106" t="str">
        <f t="shared" si="20"/>
        <v/>
      </c>
      <c r="H186" s="105"/>
      <c r="I186" s="104" t="str">
        <f>IF(H186="","",H186*IF(SUMIFS(CONFIG_PALETES!$D:$D,CONFIG_PALETES!$A:$A,IF(ISNUMBER(SEARCH("ESPUMA",$B186)),"ESPUMA",IF(OR(ISNUMBER(SEARCH("OLEO DE COCO",$B186)),ISNUMBER(SEARCH("ÓLEO DE COCO",$B186)),ISNUMBER(SEARCH("COPRA",$B186))),"ÓLEO DE COCO",IF(ISNUMBER(SEARCH("CORANTE",$B186)),"CORANTE",TRIM($B186)))),CONFIG_PALETES!$B:$B,$C186&amp;" ml")&gt;0,SUMIFS(CONFIG_PALETES!$D:$D,CONFIG_PALETES!$A:$A,IF(ISNUMBER(SEARCH("ESPUMA",$B186)),"ESPUMA",IF(OR(ISNUMBER(SEARCH("OLEO DE COCO",$B186)),ISNUMBER(SEARCH("ÓLEO DE COCO",$B186)),ISNUMBER(SEARCH("COPRA",$B186))),"ÓLEO DE COCO",IF(ISNUMBER(SEARCH("CORANTE",$B186)),"CORANTE",TRIM($B186)))),CONFIG_PALETES!$B:$B,$C186&amp;" ml"),IF(SUMIFS(CONFIG_PALETES!$D:$D,CONFIG_PALETES!$A:$A,"GERAL",CONFIG_PALETES!$B:$B,$C186&amp;" ml")&gt;0,SUMIFS(CONFIG_PALETES!$D:$D,CONFIG_PALETES!$A:$A,"GERAL",CONFIG_PALETES!$B:$B,$C186&amp;" ml"),12)))</f>
        <v/>
      </c>
    </row>
    <row r="187" spans="1:19" ht="21" customHeight="1" x14ac:dyDescent="0.3">
      <c r="A187" s="110"/>
      <c r="B187" s="109"/>
      <c r="C187" s="108"/>
      <c r="D187" s="104"/>
      <c r="E187" s="107" t="s">
        <v>184</v>
      </c>
      <c r="F187" s="871" t="str">
        <f>IF($B187="","",IF(SUMIFS(CONFIG_PALETES!$C:$C,CONFIG_PALETES!$A:$A,TRIM($B187),CONFIG_PALETES!$B:$B,$C187&amp;" ml")&gt;0,SUMIFS(CONFIG_PALETES!$C:$C,CONFIG_PALETES!$A:$A,TRIM($B187),CONFIG_PALETES!$B:$B,$C187&amp;" ml"),IF(SUMIFS(CONFIG_PALETES!$C:$C,CONFIG_PALETES!$A:$A,"GERAL",CONFIG_PALETES!$B:$B,$C187&amp;" ml")&gt;0,SUMIFS(CONFIG_PALETES!$C:$C,CONFIG_PALETES!$A:$A,"GERAL",CONFIG_PALETES!$B:$B,$C187&amp;" ml"),"")))</f>
        <v/>
      </c>
      <c r="G187" s="106" t="str">
        <f t="shared" si="20"/>
        <v/>
      </c>
      <c r="H187" s="105"/>
      <c r="I187" s="104" t="str">
        <f>IF(H187="","",H187*IF(SUMIFS(CONFIG_PALETES!$D:$D,CONFIG_PALETES!$A:$A,IF(ISNUMBER(SEARCH("ESPUMA",$B187)),"ESPUMA",IF(OR(ISNUMBER(SEARCH("OLEO DE COCO",$B187)),ISNUMBER(SEARCH("ÓLEO DE COCO",$B187)),ISNUMBER(SEARCH("COPRA",$B187))),"ÓLEO DE COCO",IF(ISNUMBER(SEARCH("CORANTE",$B187)),"CORANTE",TRIM($B187)))),CONFIG_PALETES!$B:$B,$C187&amp;" ml")&gt;0,SUMIFS(CONFIG_PALETES!$D:$D,CONFIG_PALETES!$A:$A,IF(ISNUMBER(SEARCH("ESPUMA",$B187)),"ESPUMA",IF(OR(ISNUMBER(SEARCH("OLEO DE COCO",$B187)),ISNUMBER(SEARCH("ÓLEO DE COCO",$B187)),ISNUMBER(SEARCH("COPRA",$B187))),"ÓLEO DE COCO",IF(ISNUMBER(SEARCH("CORANTE",$B187)),"CORANTE",TRIM($B187)))),CONFIG_PALETES!$B:$B,$C187&amp;" ml"),IF(SUMIFS(CONFIG_PALETES!$D:$D,CONFIG_PALETES!$A:$A,"GERAL",CONFIG_PALETES!$B:$B,$C187&amp;" ml")&gt;0,SUMIFS(CONFIG_PALETES!$D:$D,CONFIG_PALETES!$A:$A,"GERAL",CONFIG_PALETES!$B:$B,$C187&amp;" ml"),12)))</f>
        <v/>
      </c>
    </row>
    <row r="188" spans="1:19" ht="21" customHeight="1" x14ac:dyDescent="0.3">
      <c r="A188" s="11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 t="shared" si="20"/>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9" ht="21" customHeight="1" x14ac:dyDescent="0.3">
      <c r="A189" s="817"/>
      <c r="B189" s="818"/>
      <c r="C189" s="819"/>
      <c r="D189" s="820"/>
      <c r="E189" s="821" t="s">
        <v>184</v>
      </c>
      <c r="F189" s="872"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822" t="str">
        <f t="shared" si="20"/>
        <v/>
      </c>
      <c r="H189" s="823"/>
      <c r="I189" s="820"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9" ht="15" customHeight="1" x14ac:dyDescent="0.3">
      <c r="A190" s="899"/>
      <c r="B190" s="846" t="s">
        <v>186</v>
      </c>
      <c r="C190" s="847"/>
      <c r="D190" s="848">
        <f>SUM(D183:D189)</f>
        <v>1780</v>
      </c>
      <c r="E190" s="849"/>
      <c r="F190" s="856" t="s">
        <v>1400</v>
      </c>
      <c r="G190" s="850">
        <f>SUM(G183:G189)</f>
        <v>8</v>
      </c>
      <c r="H190" s="848">
        <f>SUM(H183:H189)</f>
        <v>1467</v>
      </c>
      <c r="I190" s="848">
        <f>SUM(I183:I189)</f>
        <v>17604</v>
      </c>
      <c r="J190" s="1">
        <f>SUM(D184:D189)</f>
        <v>1780</v>
      </c>
      <c r="K190" s="1">
        <f>SUM(G184:G189)</f>
        <v>8</v>
      </c>
      <c r="L190" s="1">
        <f>SUM(H184:H189)</f>
        <v>1467</v>
      </c>
      <c r="M190" s="1">
        <f>SUM(I184:I189)</f>
        <v>17604</v>
      </c>
      <c r="P190" s="587" cm="1">
        <f t="array" ref="P190">IF(H190=0,"",SUMPRODUCT(IFERROR(INT(H184:H189/F184:F189),0)))</f>
        <v>5</v>
      </c>
      <c r="Q190" s="770">
        <f>IF(P190="","",MAX(0,G190-P190))</f>
        <v>3</v>
      </c>
      <c r="R190" s="584"/>
      <c r="S190" s="585"/>
    </row>
    <row r="191" spans="1:19" ht="6" customHeight="1" x14ac:dyDescent="0.3">
      <c r="C191" s="65"/>
    </row>
    <row r="192" spans="1:19" ht="15" customHeight="1" x14ac:dyDescent="0.3">
      <c r="A192" s="75">
        <v>46112</v>
      </c>
      <c r="B192" s="113" t="s">
        <v>49</v>
      </c>
      <c r="C192" s="112" t="s">
        <v>176</v>
      </c>
      <c r="D192" s="111" t="s">
        <v>177</v>
      </c>
      <c r="E192" s="111" t="s">
        <v>178</v>
      </c>
      <c r="F192" s="860" t="s">
        <v>179</v>
      </c>
      <c r="G192" s="111" t="s">
        <v>180</v>
      </c>
      <c r="H192" s="111" t="s">
        <v>181</v>
      </c>
      <c r="I192" s="111" t="s">
        <v>182</v>
      </c>
    </row>
    <row r="193" spans="1:19" ht="21" customHeight="1" x14ac:dyDescent="0.3">
      <c r="A193" s="110"/>
      <c r="B193" s="109" t="s">
        <v>25</v>
      </c>
      <c r="C193" s="108">
        <v>180</v>
      </c>
      <c r="D193" s="104">
        <v>304</v>
      </c>
      <c r="E193" s="107" t="s">
        <v>184</v>
      </c>
      <c r="F193" s="871">
        <f>IF($B193="","",IF(SUMIFS(CONFIG_PALETES!$C:$C,CONFIG_PALETES!$A:$A,TRIM($B193),CONFIG_PALETES!$B:$B,$C193&amp;" ml")&gt;0,SUMIFS(CONFIG_PALETES!$C:$C,CONFIG_PALETES!$A:$A,TRIM($B193),CONFIG_PALETES!$B:$B,$C193&amp;" ml"),IF(SUMIFS(CONFIG_PALETES!$C:$C,CONFIG_PALETES!$A:$A,"GERAL",CONFIG_PALETES!$B:$B,$C193&amp;" ml")&gt;0,SUMIFS(CONFIG_PALETES!$C:$C,CONFIG_PALETES!$A:$A,"GERAL",CONFIG_PALETES!$B:$B,$C193&amp;" ml"),"")))</f>
        <v>240</v>
      </c>
      <c r="G193" s="106">
        <f t="shared" ref="G193:G198" si="21">IFERROR(ROUNDUP(D193/F193,0),"")</f>
        <v>2</v>
      </c>
      <c r="H193" s="105">
        <v>306</v>
      </c>
      <c r="I193" s="104">
        <f>IF(H193="","",H193*IF(SUMIFS(CONFIG_PALETES!$D:$D,CONFIG_PALETES!$A:$A,IF(ISNUMBER(SEARCH("ESPUMA",$B193)),"ESPUMA",IF(OR(ISNUMBER(SEARCH("OLEO DE COCO",$B193)),ISNUMBER(SEARCH("ÓLEO DE COCO",$B193)),ISNUMBER(SEARCH("COPRA",$B193))),"ÓLEO DE COCO",IF(ISNUMBER(SEARCH("CORANTE",$B193)),"CORANTE",TRIM($B193)))),CONFIG_PALETES!$B:$B,$C193&amp;" ml")&gt;0,SUMIFS(CONFIG_PALETES!$D:$D,CONFIG_PALETES!$A:$A,IF(ISNUMBER(SEARCH("ESPUMA",$B193)),"ESPUMA",IF(OR(ISNUMBER(SEARCH("OLEO DE COCO",$B193)),ISNUMBER(SEARCH("ÓLEO DE COCO",$B193)),ISNUMBER(SEARCH("COPRA",$B193))),"ÓLEO DE COCO",IF(ISNUMBER(SEARCH("CORANTE",$B193)),"CORANTE",TRIM($B193)))),CONFIG_PALETES!$B:$B,$C193&amp;" ml"),IF(SUMIFS(CONFIG_PALETES!$D:$D,CONFIG_PALETES!$A:$A,"GERAL",CONFIG_PALETES!$B:$B,$C193&amp;" ml")&gt;0,SUMIFS(CONFIG_PALETES!$D:$D,CONFIG_PALETES!$A:$A,"GERAL",CONFIG_PALETES!$B:$B,$C193&amp;" ml"),12)))</f>
        <v>3672</v>
      </c>
    </row>
    <row r="194" spans="1:19" ht="21" customHeight="1" x14ac:dyDescent="0.3">
      <c r="A194" s="110"/>
      <c r="B194" s="109" t="s">
        <v>254</v>
      </c>
      <c r="C194" s="108">
        <v>180</v>
      </c>
      <c r="D194" s="104">
        <v>480</v>
      </c>
      <c r="E194" s="107" t="s">
        <v>184</v>
      </c>
      <c r="F194" s="871">
        <f>IF($B194="","",IF(SUMIFS(CONFIG_PALETES!$C:$C,CONFIG_PALETES!$A:$A,TRIM($B194),CONFIG_PALETES!$B:$B,$C194&amp;" ml")&gt;0,SUMIFS(CONFIG_PALETES!$C:$C,CONFIG_PALETES!$A:$A,TRIM($B194),CONFIG_PALETES!$B:$B,$C194&amp;" ml"),IF(SUMIFS(CONFIG_PALETES!$C:$C,CONFIG_PALETES!$A:$A,"GERAL",CONFIG_PALETES!$B:$B,$C194&amp;" ml")&gt;0,SUMIFS(CONFIG_PALETES!$C:$C,CONFIG_PALETES!$A:$A,"GERAL",CONFIG_PALETES!$B:$B,$C194&amp;" ml"),"")))</f>
        <v>240</v>
      </c>
      <c r="G194" s="106">
        <f t="shared" si="21"/>
        <v>2</v>
      </c>
      <c r="H194" s="105">
        <v>480</v>
      </c>
      <c r="I194" s="104">
        <f>IF(H194="","",H194*IF(SUMIFS(CONFIG_PALETES!$D:$D,CONFIG_PALETES!$A:$A,IF(ISNUMBER(SEARCH("ESPUMA",$B194)),"ESPUMA",IF(OR(ISNUMBER(SEARCH("OLEO DE COCO",$B194)),ISNUMBER(SEARCH("ÓLEO DE COCO",$B194)),ISNUMBER(SEARCH("COPRA",$B194))),"ÓLEO DE COCO",IF(ISNUMBER(SEARCH("CORANTE",$B194)),"CORANTE",TRIM($B194)))),CONFIG_PALETES!$B:$B,$C194&amp;" ml")&gt;0,SUMIFS(CONFIG_PALETES!$D:$D,CONFIG_PALETES!$A:$A,IF(ISNUMBER(SEARCH("ESPUMA",$B194)),"ESPUMA",IF(OR(ISNUMBER(SEARCH("OLEO DE COCO",$B194)),ISNUMBER(SEARCH("ÓLEO DE COCO",$B194)),ISNUMBER(SEARCH("COPRA",$B194))),"ÓLEO DE COCO",IF(ISNUMBER(SEARCH("CORANTE",$B194)),"CORANTE",TRIM($B194)))),CONFIG_PALETES!$B:$B,$C194&amp;" ml"),IF(SUMIFS(CONFIG_PALETES!$D:$D,CONFIG_PALETES!$A:$A,"GERAL",CONFIG_PALETES!$B:$B,$C194&amp;" ml")&gt;0,SUMIFS(CONFIG_PALETES!$D:$D,CONFIG_PALETES!$A:$A,"GERAL",CONFIG_PALETES!$B:$B,$C194&amp;" ml"),12)))</f>
        <v>5760</v>
      </c>
    </row>
    <row r="195" spans="1:19" ht="21" customHeight="1" x14ac:dyDescent="0.3">
      <c r="A195" s="110"/>
      <c r="B195" s="109" t="s">
        <v>406</v>
      </c>
      <c r="C195" s="108">
        <v>70</v>
      </c>
      <c r="D195" s="104">
        <v>240</v>
      </c>
      <c r="E195" s="107" t="s">
        <v>184</v>
      </c>
      <c r="F195" s="871">
        <f>IF($B195="","",IF(SUMIFS(CONFIG_PALETES!$C:$C,CONFIG_PALETES!$A:$A,TRIM($B195),CONFIG_PALETES!$B:$B,$C195&amp;" ml")&gt;0,SUMIFS(CONFIG_PALETES!$C:$C,CONFIG_PALETES!$A:$A,TRIM($B195),CONFIG_PALETES!$B:$B,$C195&amp;" ml"),IF(SUMIFS(CONFIG_PALETES!$C:$C,CONFIG_PALETES!$A:$A,"GERAL",CONFIG_PALETES!$B:$B,$C195&amp;" ml")&gt;0,SUMIFS(CONFIG_PALETES!$C:$C,CONFIG_PALETES!$A:$A,"GERAL",CONFIG_PALETES!$B:$B,$C195&amp;" ml"),"")))</f>
        <v>240</v>
      </c>
      <c r="G195" s="106">
        <f t="shared" si="21"/>
        <v>1</v>
      </c>
      <c r="H195" s="105">
        <v>243</v>
      </c>
      <c r="I195" s="104">
        <f>IF(H195="","",H195*IF(SUMIFS(CONFIG_PALETES!$D:$D,CONFIG_PALETES!$A:$A,IF(ISNUMBER(SEARCH("ESPUMA",$B195)),"ESPUMA",IF(OR(ISNUMBER(SEARCH("OLEO DE COCO",$B195)),ISNUMBER(SEARCH("ÓLEO DE COCO",$B195)),ISNUMBER(SEARCH("COPRA",$B195))),"ÓLEO DE COCO",IF(ISNUMBER(SEARCH("CORANTE",$B195)),"CORANTE",TRIM($B195)))),CONFIG_PALETES!$B:$B,$C195&amp;" ml")&gt;0,SUMIFS(CONFIG_PALETES!$D:$D,CONFIG_PALETES!$A:$A,IF(ISNUMBER(SEARCH("ESPUMA",$B195)),"ESPUMA",IF(OR(ISNUMBER(SEARCH("OLEO DE COCO",$B195)),ISNUMBER(SEARCH("ÓLEO DE COCO",$B195)),ISNUMBER(SEARCH("COPRA",$B195))),"ÓLEO DE COCO",IF(ISNUMBER(SEARCH("CORANTE",$B195)),"CORANTE",TRIM($B195)))),CONFIG_PALETES!$B:$B,$C195&amp;" ml"),IF(SUMIFS(CONFIG_PALETES!$D:$D,CONFIG_PALETES!$A:$A,"GERAL",CONFIG_PALETES!$B:$B,$C195&amp;" ml")&gt;0,SUMIFS(CONFIG_PALETES!$D:$D,CONFIG_PALETES!$A:$A,"GERAL",CONFIG_PALETES!$B:$B,$C195&amp;" ml"),12)))</f>
        <v>2916</v>
      </c>
    </row>
    <row r="196" spans="1:19" ht="21" customHeight="1" x14ac:dyDescent="0.3">
      <c r="A196" s="110"/>
      <c r="B196" s="109" t="s">
        <v>407</v>
      </c>
      <c r="C196" s="108">
        <v>70</v>
      </c>
      <c r="D196" s="104">
        <v>240</v>
      </c>
      <c r="E196" s="107" t="s">
        <v>184</v>
      </c>
      <c r="F196" s="871">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240</v>
      </c>
      <c r="G196" s="106">
        <f t="shared" si="21"/>
        <v>1</v>
      </c>
      <c r="H196" s="105">
        <v>162</v>
      </c>
      <c r="I196" s="104">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1944</v>
      </c>
    </row>
    <row r="197" spans="1:19" ht="21" customHeight="1" x14ac:dyDescent="0.3">
      <c r="A197" s="86"/>
      <c r="B197" s="109"/>
      <c r="C197" s="108"/>
      <c r="D197" s="104"/>
      <c r="E197" s="107" t="s">
        <v>184</v>
      </c>
      <c r="F197" s="873"/>
      <c r="G197" s="106" t="str">
        <f t="shared" si="21"/>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c r="L197" s="63"/>
      <c r="N197" s="63"/>
    </row>
    <row r="198" spans="1:19" ht="21" customHeight="1" x14ac:dyDescent="0.3">
      <c r="A198" s="86"/>
      <c r="B198" s="818"/>
      <c r="C198" s="819"/>
      <c r="D198" s="820"/>
      <c r="E198" s="821" t="s">
        <v>184</v>
      </c>
      <c r="F198" s="873"/>
      <c r="G198" s="822" t="str">
        <f t="shared" si="21"/>
        <v/>
      </c>
      <c r="H198" s="823"/>
      <c r="I198" s="820"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c r="L198" s="63"/>
      <c r="N198" s="63"/>
    </row>
    <row r="199" spans="1:19" ht="15" customHeight="1" x14ac:dyDescent="0.3">
      <c r="A199" s="899"/>
      <c r="B199" s="846" t="s">
        <v>186</v>
      </c>
      <c r="C199" s="847"/>
      <c r="D199" s="848">
        <f>SUM(D192:D198)</f>
        <v>1264</v>
      </c>
      <c r="E199" s="849"/>
      <c r="F199" s="856" t="s">
        <v>1400</v>
      </c>
      <c r="G199" s="850">
        <f>SUM(G192:G198)</f>
        <v>6</v>
      </c>
      <c r="H199" s="848">
        <f>SUM(H192:H198)</f>
        <v>1191</v>
      </c>
      <c r="I199" s="848">
        <f>SUM(I192:I198)</f>
        <v>14292</v>
      </c>
      <c r="J199" s="1">
        <f>SUM(D193:D198)</f>
        <v>1264</v>
      </c>
      <c r="K199" s="1">
        <f>SUM(G193:G198)</f>
        <v>6</v>
      </c>
      <c r="L199" s="1">
        <f>SUM(H193:H198)</f>
        <v>1191</v>
      </c>
      <c r="M199" s="1">
        <f>SUM(I193:I198)</f>
        <v>14292</v>
      </c>
      <c r="P199" s="587" cm="1">
        <f t="array" ref="P199">IF(H199=0,"",SUMPRODUCT(IFERROR(INT(H193:H198/F193:F198),0)))</f>
        <v>4</v>
      </c>
      <c r="Q199" s="770">
        <f>IF(P199="","",MAX(0,G199-P199))</f>
        <v>2</v>
      </c>
      <c r="R199" s="584"/>
      <c r="S199" s="585"/>
    </row>
    <row r="200" spans="1:19" ht="6" customHeight="1" x14ac:dyDescent="0.3"/>
  </sheetData>
  <mergeCells count="4">
    <mergeCell ref="A1:I1"/>
    <mergeCell ref="A2:F2"/>
    <mergeCell ref="G2:I2"/>
    <mergeCell ref="N40:Q43"/>
  </mergeCells>
  <dataValidations count="133">
    <dataValidation type="list" allowBlank="1" errorTitle="Embalagem inválida" error="Escolha uma embalagem compatível com o produto." promptTitle="Selecione a embalagem" prompt="As opções mudam conforme o produto escolhido." sqref="C1:C3 C10:C12 C19:C21 C28:C30 C37:C39 C46:C48 C55:C57 C64:C66 C73:C75 C82:C84 C91:C93 C100:C102 C109:C111 C118:C120 C127:C129 C136:C138 C145:C147 C154:C156 C163:C165 C172:C174 C181:C183 C190:C192 C199:C1199" xr:uid="{00000000-0002-0000-0A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EAA2E886-DA47-4519-862A-73AD505A3C8B}">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F2A23D6F-C5DB-4F86-9B64-424AF0B17771}">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9B4AEEE2-F102-4E85-B5B3-3245A3CE0721}">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85E65731-6A49-49BA-8E77-B77EAE3C2FA1}">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D333937C-67D9-442F-BBE6-DB28800F50B1}">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9" xr:uid="{1A13BE1F-1838-4504-9C7D-1D1D1DB65CA3}">
      <formula1>INDIRECT(IF(OR(ISNUMBER(SEARCH("ICEBERG ICE",UPPER(TRIM($B9)))),ISNUMBER(SEARCH("ICE ICEBERG",UPPER(TRIM($B9)))),ISNUMBER(SEARCH("GELINHO ICEBERG",UPPER(TRIM($B9))))),"$AJ$2:$AJ$2",IF(ISNUMBER(SEARCH("ESPUMA",$B9)),"$AI$2:$AI$2",IF(ISNUMBER(SEARCH("CORANTE",$B9)),"$AN$2:$AN$2",IFERROR(INDEX($AB$2:$AB$139,MATCH(UPPER(TRIM($B9)),$AA$2:$AA$139,0)),"$AO$2:$AO$9")))))</formula1>
    </dataValidation>
    <dataValidation type="list" allowBlank="1" errorTitle="Embalagem inválida" error="Escolha uma embalagem compatível com o produto." promptTitle="Selecione a embalagem" prompt="As opções mudam conforme o produto digitado." sqref="C13" xr:uid="{00898965-335E-41C7-B6B8-735C32B05855}">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8CCB9AF1-D3DC-429F-BAEF-72114F16175D}">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8C38164F-9457-4166-B6E3-EDFFAD6E4999}">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3255C5D6-3ECA-4A80-BAF5-383BF395552E}">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17" xr:uid="{8E72A8E0-FAB2-4671-BD37-5CD8BF8B2B06}">
      <formula1>INDIRECT(IF(OR(ISNUMBER(SEARCH("ICEBERG ICE",UPPER(TRIM($B17)))),ISNUMBER(SEARCH("ICE ICEBERG",UPPER(TRIM($B17)))),ISNUMBER(SEARCH("GELINHO ICEBERG",UPPER(TRIM($B17))))),"$AJ$2:$AJ$2",IF(ISNUMBER(SEARCH("ESPUMA",$B17)),"$AI$2:$AI$2",IF(ISNUMBER(SEARCH("CORANTE",$B17)),"$AN$2:$AN$2",IFERROR(INDEX($AB$2:$AB$139,MATCH(UPPER(TRIM($B17)),$AA$2:$AA$139,0)),"$AO$2:$AO$9")))))</formula1>
    </dataValidation>
    <dataValidation type="list" allowBlank="1" errorTitle="Embalagem inválida" error="Escolha uma embalagem compatível com o produto." promptTitle="Selecione a embalagem" prompt="As opções mudam conforme o produto digitado." sqref="C18" xr:uid="{D9BC8523-CC3A-4335-A85D-E0ACD6793069}">
      <formula1>INDIRECT(IF(OR(ISNUMBER(SEARCH("ICEBERG ICE",UPPER(TRIM($B18)))),ISNUMBER(SEARCH("ICE ICEBERG",UPPER(TRIM($B18)))),ISNUMBER(SEARCH("GELINHO ICEBERG",UPPER(TRIM($B18))))),"$AJ$2:$AJ$2",IF(ISNUMBER(SEARCH("ESPUMA",$B18)),"$AI$2:$AI$2",IF(ISNUMBER(SEARCH("CORANTE",$B18)),"$AN$2:$AN$2",IFERROR(INDEX($AB$2:$AB$139,MATCH(UPPER(TRIM($B18)),$AA$2:$AA$139,0)),"$AO$2:$AO$9")))))</formula1>
    </dataValidation>
    <dataValidation type="list" allowBlank="1" errorTitle="Embalagem inválida" error="Escolha uma embalagem compatível com o produto." promptTitle="Selecione a embalagem" prompt="As opções mudam conforme o produto digitado." sqref="C22" xr:uid="{59990AC4-E813-49FA-9B45-E7AD17719F64}">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FDE7C9BF-FDFE-4F0E-9473-A50AE6644212}">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3DC8FE20-38F3-4EB0-915A-D5C23C15A280}">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5" xr:uid="{D3A20EBC-53D5-475E-ADBE-AB7D4E226CCA}">
      <formula1>INDIRECT(IF(OR(ISNUMBER(SEARCH("ICEBERG ICE",UPPER(TRIM($B25)))),ISNUMBER(SEARCH("ICE ICEBERG",UPPER(TRIM($B25)))),ISNUMBER(SEARCH("GELINHO ICEBERG",UPPER(TRIM($B25))))),"$AJ$2:$AJ$2",IF(ISNUMBER(SEARCH("ESPUMA",$B25)),"$AI$2:$AI$2",IF(ISNUMBER(SEARCH("CORANTE",$B25)),"$AN$2:$AN$2",IFERROR(INDEX($AB$2:$AB$139,MATCH(UPPER(TRIM($B25)),$AA$2:$AA$139,0)),"$AO$2:$AO$9")))))</formula1>
    </dataValidation>
    <dataValidation type="list" allowBlank="1" errorTitle="Embalagem inválida" error="Escolha uma embalagem compatível com o produto." promptTitle="Selecione a embalagem" prompt="As opções mudam conforme o produto digitado." sqref="C26" xr:uid="{0D37E39B-1EB1-414E-BD3D-D54CD8709ACD}">
      <formula1>INDIRECT(IF(OR(ISNUMBER(SEARCH("ICEBERG ICE",UPPER(TRIM($B26)))),ISNUMBER(SEARCH("ICE ICEBERG",UPPER(TRIM($B26)))),ISNUMBER(SEARCH("GELINHO ICEBERG",UPPER(TRIM($B26))))),"$AJ$2:$AJ$2",IF(ISNUMBER(SEARCH("ESPUMA",$B26)),"$AI$2:$AI$2",IF(ISNUMBER(SEARCH("CORANTE",$B26)),"$AN$2:$AN$2",IFERROR(INDEX($AB$2:$AB$139,MATCH(UPPER(TRIM($B26)),$AA$2:$AA$139,0)),"$AO$2:$AO$9")))))</formula1>
    </dataValidation>
    <dataValidation type="list" allowBlank="1" errorTitle="Embalagem inválida" error="Escolha uma embalagem compatível com o produto." promptTitle="Selecione a embalagem" prompt="As opções mudam conforme o produto digitado." sqref="C27" xr:uid="{F05B674E-D5D6-424A-A26E-A910CF282888}">
      <formula1>INDIRECT(IF(OR(ISNUMBER(SEARCH("ICEBERG ICE",UPPER(TRIM($B27)))),ISNUMBER(SEARCH("ICE ICEBERG",UPPER(TRIM($B27)))),ISNUMBER(SEARCH("GELINHO ICEBERG",UPPER(TRIM($B27))))),"$AJ$2:$AJ$2",IF(ISNUMBER(SEARCH("ESPUMA",$B27)),"$AI$2:$AI$2",IF(ISNUMBER(SEARCH("CORANTE",$B27)),"$AN$2:$AN$2",IFERROR(INDEX($AB$2:$AB$139,MATCH(UPPER(TRIM($B27)),$AA$2:$AA$139,0)),"$AO$2:$AO$9")))))</formula1>
    </dataValidation>
    <dataValidation type="list" allowBlank="1" errorTitle="Embalagem inválida" error="Escolha uma embalagem compatível com o produto." promptTitle="Selecione a embalagem" prompt="As opções mudam conforme o produto digitado." sqref="C31" xr:uid="{36018315-9916-456E-A67F-A6B9F56B113C}">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7A518D10-E007-45A0-B0E6-5680FA0F9F6B}">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3" xr:uid="{C563CDEB-624A-45C5-A532-38B518DF31FC}">
      <formula1>INDIRECT(IF(OR(ISNUMBER(SEARCH("ICEBERG ICE",UPPER(TRIM($B33)))),ISNUMBER(SEARCH("ICE ICEBERG",UPPER(TRIM($B33)))),ISNUMBER(SEARCH("GELINHO ICEBERG",UPPER(TRIM($B33))))),"$AJ$2:$AJ$2",IF(ISNUMBER(SEARCH("ESPUMA",$B33)),"$AI$2:$AI$2",IF(ISNUMBER(SEARCH("CORANTE",$B33)),"$AN$2:$AN$2",IFERROR(INDEX($AB$2:$AB$139,MATCH(UPPER(TRIM($B33)),$AA$2:$AA$139,0)),"$AO$2:$AO$9")))))</formula1>
    </dataValidation>
    <dataValidation type="list" allowBlank="1" errorTitle="Embalagem inválida" error="Escolha uma embalagem compatível com o produto." promptTitle="Selecione a embalagem" prompt="As opções mudam conforme o produto digitado." sqref="C34" xr:uid="{06DA95A0-E3A6-453B-B02B-07FF6871D799}">
      <formula1>INDIRECT(IF(OR(ISNUMBER(SEARCH("ICEBERG ICE",UPPER(TRIM($B34)))),ISNUMBER(SEARCH("ICE ICEBERG",UPPER(TRIM($B34)))),ISNUMBER(SEARCH("GELINHO ICEBERG",UPPER(TRIM($B34))))),"$AJ$2:$AJ$2",IF(ISNUMBER(SEARCH("ESPUMA",$B34)),"$AI$2:$AI$2",IF(ISNUMBER(SEARCH("CORANTE",$B34)),"$AN$2:$AN$2",IFERROR(INDEX($AB$2:$AB$139,MATCH(UPPER(TRIM($B34)),$AA$2:$AA$139,0)),"$AO$2:$AO$9")))))</formula1>
    </dataValidation>
    <dataValidation type="list" allowBlank="1" errorTitle="Embalagem inválida" error="Escolha uma embalagem compatível com o produto." promptTitle="Selecione a embalagem" prompt="As opções mudam conforme o produto digitado." sqref="C35" xr:uid="{3C10C2DE-5E63-4C4A-8B7E-EF852C5A7856}">
      <formula1>INDIRECT(IF(OR(ISNUMBER(SEARCH("ICEBERG ICE",UPPER(TRIM($B35)))),ISNUMBER(SEARCH("ICE ICEBERG",UPPER(TRIM($B35)))),ISNUMBER(SEARCH("GELINHO ICEBERG",UPPER(TRIM($B35))))),"$AJ$2:$AJ$2",IF(ISNUMBER(SEARCH("ESPUMA",$B35)),"$AI$2:$AI$2",IF(ISNUMBER(SEARCH("CORANTE",$B35)),"$AN$2:$AN$2",IFERROR(INDEX($AB$2:$AB$139,MATCH(UPPER(TRIM($B35)),$AA$2:$AA$139,0)),"$AO$2:$AO$9")))))</formula1>
    </dataValidation>
    <dataValidation type="list" allowBlank="1" errorTitle="Embalagem inválida" error="Escolha uma embalagem compatível com o produto." promptTitle="Selecione a embalagem" prompt="As opções mudam conforme o produto digitado." sqref="C36" xr:uid="{C1EFC3C5-535D-494E-BF11-602F0B867F98}">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40" xr:uid="{4B8DDC67-11C0-4FB0-82C6-C558D110BFEC}">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1" xr:uid="{106D0914-F385-4AF1-A67B-A2260F51374F}">
      <formula1>INDIRECT(IF(OR(ISNUMBER(SEARCH("ICEBERG ICE",UPPER(TRIM($B41)))),ISNUMBER(SEARCH("ICE ICEBERG",UPPER(TRIM($B41)))),ISNUMBER(SEARCH("GELINHO ICEBERG",UPPER(TRIM($B41))))),"$AJ$2:$AJ$2",IF(ISNUMBER(SEARCH("ESPUMA",$B41)),"$AI$2:$AI$2",IF(ISNUMBER(SEARCH("CORANTE",$B41)),"$AN$2:$AN$2",IFERROR(INDEX($AB$2:$AB$139,MATCH(UPPER(TRIM($B41)),$AA$2:$AA$139,0)),"$AO$2:$AO$9")))))</formula1>
    </dataValidation>
    <dataValidation type="list" allowBlank="1" errorTitle="Embalagem inválida" error="Escolha uma embalagem compatível com o produto." promptTitle="Selecione a embalagem" prompt="As opções mudam conforme o produto digitado." sqref="C42" xr:uid="{83763ECE-0ECF-49CE-9C4E-204729AFE24B}">
      <formula1>INDIRECT(IF(OR(ISNUMBER(SEARCH("ICEBERG ICE",UPPER(TRIM($B42)))),ISNUMBER(SEARCH("ICE ICEBERG",UPPER(TRIM($B42)))),ISNUMBER(SEARCH("GELINHO ICEBERG",UPPER(TRIM($B42))))),"$AJ$2:$AJ$2",IF(ISNUMBER(SEARCH("ESPUMA",$B42)),"$AI$2:$AI$2",IF(ISNUMBER(SEARCH("CORANTE",$B42)),"$AN$2:$AN$2",IFERROR(INDEX($AB$2:$AB$139,MATCH(UPPER(TRIM($B42)),$AA$2:$AA$139,0)),"$AO$2:$AO$9")))))</formula1>
    </dataValidation>
    <dataValidation type="list" allowBlank="1" errorTitle="Embalagem inválida" error="Escolha uma embalagem compatível com o produto." promptTitle="Selecione a embalagem" prompt="As opções mudam conforme o produto digitado." sqref="C43" xr:uid="{6972AE1C-E93D-43C7-884F-3DBAFDCCF216}">
      <formula1>INDIRECT(IF(OR(ISNUMBER(SEARCH("ICEBERG ICE",UPPER(TRIM($B43)))),ISNUMBER(SEARCH("ICE ICEBERG",UPPER(TRIM($B43)))),ISNUMBER(SEARCH("GELINHO ICEBERG",UPPER(TRIM($B43))))),"$AJ$2:$AJ$2",IF(ISNUMBER(SEARCH("ESPUMA",$B43)),"$AI$2:$AI$2",IF(ISNUMBER(SEARCH("CORANTE",$B43)),"$AN$2:$AN$2",IFERROR(INDEX($AB$2:$AB$139,MATCH(UPPER(TRIM($B43)),$AA$2:$AA$139,0)),"$AO$2:$AO$9")))))</formula1>
    </dataValidation>
    <dataValidation type="list" allowBlank="1" errorTitle="Embalagem inválida" error="Escolha uma embalagem compatível com o produto." promptTitle="Selecione a embalagem" prompt="As opções mudam conforme o produto digitado." sqref="C44" xr:uid="{5E758EA3-3A83-4CFA-BCCB-88AE6E2ED67A}">
      <formula1>INDIRECT(IF(OR(ISNUMBER(SEARCH("ICEBERG ICE",UPPER(TRIM($B44)))),ISNUMBER(SEARCH("ICE ICEBERG",UPPER(TRIM($B44)))),ISNUMBER(SEARCH("GELINHO ICEBERG",UPPER(TRIM($B44))))),"$AJ$2:$AJ$2",IF(ISNUMBER(SEARCH("ESPUMA",$B44)),"$AI$2:$AI$2",IF(ISNUMBER(SEARCH("CORANTE",$B44)),"$AN$2:$AN$2",IFERROR(INDEX($AB$2:$AB$139,MATCH(UPPER(TRIM($B44)),$AA$2:$AA$139,0)),"$AO$2:$AO$9")))))</formula1>
    </dataValidation>
    <dataValidation type="list" allowBlank="1" errorTitle="Embalagem inválida" error="Escolha uma embalagem compatível com o produto." promptTitle="Selecione a embalagem" prompt="As opções mudam conforme o produto digitado." sqref="C45" xr:uid="{E11B1AA1-601D-4AA8-B859-1F5F0E7B1A2B}">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9" xr:uid="{7E0BCE52-1678-4D76-8C64-E000005A0F26}">
      <formula1>INDIRECT(IF(OR(ISNUMBER(SEARCH("ICEBERG ICE",UPPER(TRIM($B49)))),ISNUMBER(SEARCH("ICE ICEBERG",UPPER(TRIM($B49)))),ISNUMBER(SEARCH("GELINHO ICEBERG",UPPER(TRIM($B49))))),"$AJ$2:$AJ$2",IF(ISNUMBER(SEARCH("ESPUMA",$B49)),"$AI$2:$AI$2",IF(ISNUMBER(SEARCH("CORANTE",$B49)),"$AN$2:$AN$2",IFERROR(INDEX($AB$2:$AB$139,MATCH(UPPER(TRIM($B49)),$AA$2:$AA$139,0)),"$AO$2:$AO$9")))))</formula1>
    </dataValidation>
    <dataValidation type="list" allowBlank="1" errorTitle="Embalagem inválida" error="Escolha uma embalagem compatível com o produto." promptTitle="Selecione a embalagem" prompt="As opções mudam conforme o produto digitado." sqref="C50" xr:uid="{13A9055A-3E4C-40E0-A46E-F72484C780A3}">
      <formula1>INDIRECT(IF(OR(ISNUMBER(SEARCH("ICEBERG ICE",UPPER(TRIM($B50)))),ISNUMBER(SEARCH("ICE ICEBERG",UPPER(TRIM($B50)))),ISNUMBER(SEARCH("GELINHO ICEBERG",UPPER(TRIM($B50))))),"$AJ$2:$AJ$2",IF(ISNUMBER(SEARCH("ESPUMA",$B50)),"$AI$2:$AI$2",IF(ISNUMBER(SEARCH("CORANTE",$B50)),"$AN$2:$AN$2",IFERROR(INDEX($AB$2:$AB$139,MATCH(UPPER(TRIM($B50)),$AA$2:$AA$139,0)),"$AO$2:$AO$9")))))</formula1>
    </dataValidation>
    <dataValidation type="list" allowBlank="1" errorTitle="Embalagem inválida" error="Escolha uma embalagem compatível com o produto." promptTitle="Selecione a embalagem" prompt="As opções mudam conforme o produto digitado." sqref="C51" xr:uid="{4CB95441-7094-41F0-B411-CA9A6191FDDA}">
      <formula1>INDIRECT(IF(OR(ISNUMBER(SEARCH("ICEBERG ICE",UPPER(TRIM($B51)))),ISNUMBER(SEARCH("ICE ICEBERG",UPPER(TRIM($B51)))),ISNUMBER(SEARCH("GELINHO ICEBERG",UPPER(TRIM($B51))))),"$AJ$2:$AJ$2",IF(ISNUMBER(SEARCH("ESPUMA",$B51)),"$AI$2:$AI$2",IF(ISNUMBER(SEARCH("CORANTE",$B51)),"$AN$2:$AN$2",IFERROR(INDEX($AB$2:$AB$139,MATCH(UPPER(TRIM($B51)),$AA$2:$AA$139,0)),"$AO$2:$AO$9")))))</formula1>
    </dataValidation>
    <dataValidation type="list" allowBlank="1" errorTitle="Embalagem inválida" error="Escolha uma embalagem compatível com o produto." promptTitle="Selecione a embalagem" prompt="As opções mudam conforme o produto digitado." sqref="C52" xr:uid="{2F8AAC0D-C42B-4DF7-B9A8-4DF5CCFC5CBA}">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FAE2209E-E549-479D-83F6-260EFB46CD3D}">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5AEB0B94-64F3-468A-BA97-20D764D2A58F}">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8" xr:uid="{BBB0A69D-6CAF-4742-A821-E556D956C514}">
      <formula1>INDIRECT(IF(OR(ISNUMBER(SEARCH("ICEBERG ICE",UPPER(TRIM($B58)))),ISNUMBER(SEARCH("ICE ICEBERG",UPPER(TRIM($B58)))),ISNUMBER(SEARCH("GELINHO ICEBERG",UPPER(TRIM($B58))))),"$AJ$2:$AJ$2",IF(ISNUMBER(SEARCH("ESPUMA",$B58)),"$AI$2:$AI$2",IF(ISNUMBER(SEARCH("CORANTE",$B58)),"$AN$2:$AN$2",IFERROR(INDEX($AB$2:$AB$139,MATCH(UPPER(TRIM($B58)),$AA$2:$AA$139,0)),"$AO$2:$AO$9")))))</formula1>
    </dataValidation>
    <dataValidation type="list" allowBlank="1" errorTitle="Embalagem inválida" error="Escolha uma embalagem compatível com o produto." promptTitle="Selecione a embalagem" prompt="As opções mudam conforme o produto digitado." sqref="C59" xr:uid="{49D88CE1-8CD1-47B2-A031-3D3318EBD8F7}">
      <formula1>INDIRECT(IF(OR(ISNUMBER(SEARCH("ICEBERG ICE",UPPER(TRIM($B59)))),ISNUMBER(SEARCH("ICE ICEBERG",UPPER(TRIM($B59)))),ISNUMBER(SEARCH("GELINHO ICEBERG",UPPER(TRIM($B59))))),"$AJ$2:$AJ$2",IF(ISNUMBER(SEARCH("ESPUMA",$B59)),"$AI$2:$AI$2",IF(ISNUMBER(SEARCH("CORANTE",$B59)),"$AN$2:$AN$2",IFERROR(INDEX($AB$2:$AB$139,MATCH(UPPER(TRIM($B59)),$AA$2:$AA$139,0)),"$AO$2:$AO$9")))))</formula1>
    </dataValidation>
    <dataValidation type="list" allowBlank="1" errorTitle="Embalagem inválida" error="Escolha uma embalagem compatível com o produto." promptTitle="Selecione a embalagem" prompt="As opções mudam conforme o produto digitado." sqref="C60" xr:uid="{C3F55F14-B6E3-4AA6-8EC8-F8FF9AFA5EE2}">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791CEF31-23AF-45E8-920E-192C6B32CCD0}">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D1B12EC4-AD05-40CD-9E3C-056B9462BCFF}">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9918F648-5173-4ED0-8906-2AB5B631D7F6}">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7" xr:uid="{F63D43DD-E2BB-4F9C-BA71-83DE0DF6F113}">
      <formula1>INDIRECT(IF(OR(ISNUMBER(SEARCH("ICEBERG ICE",UPPER(TRIM($B67)))),ISNUMBER(SEARCH("ICE ICEBERG",UPPER(TRIM($B67)))),ISNUMBER(SEARCH("GELINHO ICEBERG",UPPER(TRIM($B67))))),"$AJ$2:$AJ$2",IF(ISNUMBER(SEARCH("ESPUMA",$B67)),"$AI$2:$AI$2",IF(ISNUMBER(SEARCH("CORANTE",$B67)),"$AN$2:$AN$2",IFERROR(INDEX($AB$2:$AB$139,MATCH(UPPER(TRIM($B67)),$AA$2:$AA$139,0)),"$AO$2:$AO$9")))))</formula1>
    </dataValidation>
    <dataValidation type="list" allowBlank="1" errorTitle="Embalagem inválida" error="Escolha uma embalagem compatível com o produto." promptTitle="Selecione a embalagem" prompt="As opções mudam conforme o produto digitado." sqref="C68" xr:uid="{887FF422-8AE4-457E-B16C-56B2359E7D8A}">
      <formula1>INDIRECT(IF(OR(ISNUMBER(SEARCH("ICEBERG ICE",UPPER(TRIM($B68)))),ISNUMBER(SEARCH("ICE ICEBERG",UPPER(TRIM($B68)))),ISNUMBER(SEARCH("GELINHO ICEBERG",UPPER(TRIM($B68))))),"$AJ$2:$AJ$2",IF(ISNUMBER(SEARCH("ESPUMA",$B68)),"$AI$2:$AI$2",IF(ISNUMBER(SEARCH("CORANTE",$B68)),"$AN$2:$AN$2",IFERROR(INDEX($AB$2:$AB$139,MATCH(UPPER(TRIM($B68)),$AA$2:$AA$139,0)),"$AO$2:$AO$9")))))</formula1>
    </dataValidation>
    <dataValidation type="list" allowBlank="1" errorTitle="Embalagem inválida" error="Escolha uma embalagem compatível com o produto." promptTitle="Selecione a embalagem" prompt="As opções mudam conforme o produto digitado." sqref="C69" xr:uid="{AD997C48-437E-4713-B61A-016907F3CE13}">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3E775F82-DA1B-4396-8231-E5147D88C624}">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E1E00416-71C7-4A27-B8F2-094F196A1C98}">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48248972-C2B8-42B6-A797-0833086A0EA4}">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6" xr:uid="{FA1FE079-D334-4949-9A86-C2AA4190906C}">
      <formula1>INDIRECT(IF(OR(ISNUMBER(SEARCH("ICEBERG ICE",UPPER(TRIM($B76)))),ISNUMBER(SEARCH("ICE ICEBERG",UPPER(TRIM($B76)))),ISNUMBER(SEARCH("GELINHO ICEBERG",UPPER(TRIM($B76))))),"$AJ$2:$AJ$2",IF(ISNUMBER(SEARCH("ESPUMA",$B76)),"$AI$2:$AI$2",IF(ISNUMBER(SEARCH("CORANTE",$B76)),"$AN$2:$AN$2",IFERROR(INDEX($AB$2:$AB$139,MATCH(UPPER(TRIM($B76)),$AA$2:$AA$139,0)),"$AO$2:$AO$9")))))</formula1>
    </dataValidation>
    <dataValidation type="list" allowBlank="1" errorTitle="Embalagem inválida" error="Escolha uma embalagem compatível com o produto." promptTitle="Selecione a embalagem" prompt="As opções mudam conforme o produto digitado." sqref="C77" xr:uid="{A0E733BF-5697-4671-BFC2-47E05672D6D8}">
      <formula1>INDIRECT(IF(OR(ISNUMBER(SEARCH("ICEBERG ICE",UPPER(TRIM($B77)))),ISNUMBER(SEARCH("ICE ICEBERG",UPPER(TRIM($B77)))),ISNUMBER(SEARCH("GELINHO ICEBERG",UPPER(TRIM($B77))))),"$AJ$2:$AJ$2",IF(ISNUMBER(SEARCH("ESPUMA",$B77)),"$AI$2:$AI$2",IF(ISNUMBER(SEARCH("CORANTE",$B77)),"$AN$2:$AN$2",IFERROR(INDEX($AB$2:$AB$139,MATCH(UPPER(TRIM($B77)),$AA$2:$AA$139,0)),"$AO$2:$AO$9")))))</formula1>
    </dataValidation>
    <dataValidation type="list" allowBlank="1" errorTitle="Embalagem inválida" error="Escolha uma embalagem compatível com o produto." promptTitle="Selecione a embalagem" prompt="As opções mudam conforme o produto digitado." sqref="C78" xr:uid="{94B68B65-4465-4425-A44F-8D9C9EBD889E}">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569D7521-437B-4011-8049-3F638D31ADD1}">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0075CF44-FBFA-4BF6-A552-65EC52D18C9C}">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1" xr:uid="{65788D64-7C57-410C-99ED-4A99D3112BAF}">
      <formula1>INDIRECT(IF(OR(ISNUMBER(SEARCH("ICEBERG ICE",UPPER(TRIM($B81)))),ISNUMBER(SEARCH("ICE ICEBERG",UPPER(TRIM($B81)))),ISNUMBER(SEARCH("GELINHO ICEBERG",UPPER(TRIM($B81))))),"$AJ$2:$AJ$2",IF(ISNUMBER(SEARCH("ESPUMA",$B81)),"$AI$2:$AI$2",IF(ISNUMBER(SEARCH("CORANTE",$B81)),"$AN$2:$AN$2",IFERROR(INDEX($AB$2:$AB$139,MATCH(UPPER(TRIM($B81)),$AA$2:$AA$139,0)),"$AO$2:$AO$9")))))</formula1>
    </dataValidation>
    <dataValidation type="list" allowBlank="1" errorTitle="Embalagem inválida" error="Escolha uma embalagem compatível com o produto." promptTitle="Selecione a embalagem" prompt="As opções mudam conforme o produto digitado." sqref="C85" xr:uid="{381EE31F-E44A-40BE-A704-11535A756327}">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92982C62-2A5E-420F-81D7-AA7D4333143B}">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55F9D411-5711-470C-A676-0374BAAE36A6}">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96003B2C-5F82-445F-95A9-74D07C6CD045}">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89" xr:uid="{62E8A24D-5FB0-4158-85B3-5E8F1D4A0F5D}">
      <formula1>INDIRECT(IF(OR(ISNUMBER(SEARCH("ICEBERG ICE",UPPER(TRIM($B89)))),ISNUMBER(SEARCH("ICE ICEBERG",UPPER(TRIM($B89)))),ISNUMBER(SEARCH("GELINHO ICEBERG",UPPER(TRIM($B89))))),"$AJ$2:$AJ$2",IF(ISNUMBER(SEARCH("ESPUMA",$B89)),"$AI$2:$AI$2",IF(ISNUMBER(SEARCH("CORANTE",$B89)),"$AN$2:$AN$2",IFERROR(INDEX($AB$2:$AB$139,MATCH(UPPER(TRIM($B89)),$AA$2:$AA$139,0)),"$AO$2:$AO$9")))))</formula1>
    </dataValidation>
    <dataValidation type="list" allowBlank="1" errorTitle="Embalagem inválida" error="Escolha uma embalagem compatível com o produto." promptTitle="Selecione a embalagem" prompt="As opções mudam conforme o produto digitado." sqref="C90" xr:uid="{F5F5FCEE-59D9-4655-AE91-EDF4A849C5DA}">
      <formula1>INDIRECT(IF(OR(ISNUMBER(SEARCH("ICEBERG ICE",UPPER(TRIM($B90)))),ISNUMBER(SEARCH("ICE ICEBERG",UPPER(TRIM($B90)))),ISNUMBER(SEARCH("GELINHO ICEBERG",UPPER(TRIM($B90))))),"$AJ$2:$AJ$2",IF(ISNUMBER(SEARCH("ESPUMA",$B90)),"$AI$2:$AI$2",IF(ISNUMBER(SEARCH("CORANTE",$B90)),"$AN$2:$AN$2",IFERROR(INDEX($AB$2:$AB$139,MATCH(UPPER(TRIM($B90)),$AA$2:$AA$139,0)),"$AO$2:$AO$9")))))</formula1>
    </dataValidation>
    <dataValidation type="list" allowBlank="1" errorTitle="Embalagem inválida" error="Escolha uma embalagem compatível com o produto." promptTitle="Selecione a embalagem" prompt="As opções mudam conforme o produto digitado." sqref="C94" xr:uid="{6C6661BC-6280-4F5D-9FE8-F85DAF66C40E}">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08763461-CA31-4B4F-B1FB-30AF97D5DCFD}">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D847072C-F2CC-4E9F-995C-0BC34D01C987}">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81574C67-5FAA-438D-BED1-AC894960D060}">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98" xr:uid="{BF6E801D-2773-4550-A0FD-E034FB945524}">
      <formula1>INDIRECT(IF(OR(ISNUMBER(SEARCH("ICEBERG ICE",UPPER(TRIM($B98)))),ISNUMBER(SEARCH("ICE ICEBERG",UPPER(TRIM($B98)))),ISNUMBER(SEARCH("GELINHO ICEBERG",UPPER(TRIM($B98))))),"$AJ$2:$AJ$2",IF(ISNUMBER(SEARCH("ESPUMA",$B98)),"$AI$2:$AI$2",IF(ISNUMBER(SEARCH("CORANTE",$B98)),"$AN$2:$AN$2",IFERROR(INDEX($AB$2:$AB$139,MATCH(UPPER(TRIM($B98)),$AA$2:$AA$139,0)),"$AO$2:$AO$9")))))</formula1>
    </dataValidation>
    <dataValidation type="list" allowBlank="1" errorTitle="Embalagem inválida" error="Escolha uma embalagem compatível com o produto." promptTitle="Selecione a embalagem" prompt="As opções mudam conforme o produto digitado." sqref="C99" xr:uid="{CEAAA63B-5012-4B16-9DF7-E2F5345A2D1F}">
      <formula1>INDIRECT(IF(OR(ISNUMBER(SEARCH("ICEBERG ICE",UPPER(TRIM($B99)))),ISNUMBER(SEARCH("ICE ICEBERG",UPPER(TRIM($B99)))),ISNUMBER(SEARCH("GELINHO ICEBERG",UPPER(TRIM($B99))))),"$AJ$2:$AJ$2",IF(ISNUMBER(SEARCH("ESPUMA",$B99)),"$AI$2:$AI$2",IF(ISNUMBER(SEARCH("CORANTE",$B99)),"$AN$2:$AN$2",IFERROR(INDEX($AB$2:$AB$139,MATCH(UPPER(TRIM($B99)),$AA$2:$AA$139,0)),"$AO$2:$AO$9")))))</formula1>
    </dataValidation>
    <dataValidation type="list" allowBlank="1" errorTitle="Embalagem inválida" error="Escolha uma embalagem compatível com o produto." promptTitle="Selecione a embalagem" prompt="As opções mudam conforme o produto digitado." sqref="C103" xr:uid="{B2C0F1D5-38AC-42E5-AB18-C286043503EE}">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1A5877E8-9663-4CC9-A9C9-4229EC6C1F73}">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5" xr:uid="{3EFE1C84-2E0E-4D22-806C-604B22BF340E}">
      <formula1>INDIRECT(IF(OR(ISNUMBER(SEARCH("ICEBERG ICE",UPPER(TRIM($B105)))),ISNUMBER(SEARCH("ICE ICEBERG",UPPER(TRIM($B105)))),ISNUMBER(SEARCH("GELINHO ICEBERG",UPPER(TRIM($B105))))),"$AJ$2:$AJ$2",IF(ISNUMBER(SEARCH("ESPUMA",$B105)),"$AI$2:$AI$2",IF(ISNUMBER(SEARCH("CORANTE",$B105)),"$AN$2:$AN$2",IFERROR(INDEX($AB$2:$AB$139,MATCH(UPPER(TRIM($B105)),$AA$2:$AA$139,0)),"$AO$2:$AO$9")))))</formula1>
    </dataValidation>
    <dataValidation type="list" allowBlank="1" errorTitle="Embalagem inválida" error="Escolha uma embalagem compatível com o produto." promptTitle="Selecione a embalagem" prompt="As opções mudam conforme o produto digitado." sqref="C106" xr:uid="{DDB16FC6-7E0E-4BD5-BFF2-3C3261684F6A}">
      <formula1>INDIRECT(IF(OR(ISNUMBER(SEARCH("ICEBERG ICE",UPPER(TRIM($B106)))),ISNUMBER(SEARCH("ICE ICEBERG",UPPER(TRIM($B106)))),ISNUMBER(SEARCH("GELINHO ICEBERG",UPPER(TRIM($B106))))),"$AJ$2:$AJ$2",IF(ISNUMBER(SEARCH("ESPUMA",$B106)),"$AI$2:$AI$2",IF(ISNUMBER(SEARCH("CORANTE",$B106)),"$AN$2:$AN$2",IFERROR(INDEX($AB$2:$AB$139,MATCH(UPPER(TRIM($B106)),$AA$2:$AA$139,0)),"$AO$2:$AO$9")))))</formula1>
    </dataValidation>
    <dataValidation type="list" allowBlank="1" errorTitle="Embalagem inválida" error="Escolha uma embalagem compatível com o produto." promptTitle="Selecione a embalagem" prompt="As opções mudam conforme o produto digitado." sqref="C107" xr:uid="{4EC9B9BD-F501-4B2A-9149-C2736592B8B2}">
      <formula1>INDIRECT(IF(OR(ISNUMBER(SEARCH("ICEBERG ICE",UPPER(TRIM($B107)))),ISNUMBER(SEARCH("ICE ICEBERG",UPPER(TRIM($B107)))),ISNUMBER(SEARCH("GELINHO ICEBERG",UPPER(TRIM($B107))))),"$AJ$2:$AJ$2",IF(ISNUMBER(SEARCH("ESPUMA",$B107)),"$AI$2:$AI$2",IF(ISNUMBER(SEARCH("CORANTE",$B107)),"$AN$2:$AN$2",IFERROR(INDEX($AB$2:$AB$139,MATCH(UPPER(TRIM($B107)),$AA$2:$AA$139,0)),"$AO$2:$AO$9")))))</formula1>
    </dataValidation>
    <dataValidation type="list" allowBlank="1" errorTitle="Embalagem inválida" error="Escolha uma embalagem compatível com o produto." promptTitle="Selecione a embalagem" prompt="As opções mudam conforme o produto digitado." sqref="C108" xr:uid="{5F02A496-2A26-4156-9537-9BD77457C930}">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12" xr:uid="{B60477E6-7DAF-47BC-B6E7-117E92920F1B}">
      <formula1>INDIRECT(IF(OR(ISNUMBER(SEARCH("ICEBERG ICE",UPPER(TRIM($B112)))),ISNUMBER(SEARCH("ICE ICEBERG",UPPER(TRIM($B112)))),ISNUMBER(SEARCH("GELINHO ICEBERG",UPPER(TRIM($B112))))),"$AJ$2:$AJ$2",IF(ISNUMBER(SEARCH("ESPUMA",$B112)),"$AI$2:$AI$2",IF(ISNUMBER(SEARCH("CORANTE",$B112)),"$AN$2:$AN$2",IFERROR(INDEX($AB$2:$AB$139,MATCH(UPPER(TRIM($B112)),$AA$2:$AA$139,0)),"$AO$2:$AO$9")))))</formula1>
    </dataValidation>
    <dataValidation type="list" allowBlank="1" errorTitle="Embalagem inválida" error="Escolha uma embalagem compatível com o produto." promptTitle="Selecione a embalagem" prompt="As opções mudam conforme o produto digitado." sqref="C113" xr:uid="{FD72395E-DA94-47BF-8D6C-060A475C68E7}">
      <formula1>INDIRECT(IF(OR(ISNUMBER(SEARCH("ICEBERG ICE",UPPER(TRIM($B113)))),ISNUMBER(SEARCH("ICE ICEBERG",UPPER(TRIM($B113)))),ISNUMBER(SEARCH("GELINHO ICEBERG",UPPER(TRIM($B113))))),"$AJ$2:$AJ$2",IF(ISNUMBER(SEARCH("ESPUMA",$B113)),"$AI$2:$AI$2",IF(ISNUMBER(SEARCH("CORANTE",$B113)),"$AN$2:$AN$2",IFERROR(INDEX($AB$2:$AB$139,MATCH(UPPER(TRIM($B113)),$AA$2:$AA$139,0)),"$AO$2:$AO$9")))))</formula1>
    </dataValidation>
    <dataValidation type="list" allowBlank="1" errorTitle="Embalagem inválida" error="Escolha uma embalagem compatível com o produto." promptTitle="Selecione a embalagem" prompt="As opções mudam conforme o produto digitado." sqref="C114" xr:uid="{C6F2B77B-35D6-4126-9ABD-30670262B368}">
      <formula1>INDIRECT(IF(OR(ISNUMBER(SEARCH("ICEBERG ICE",UPPER(TRIM($B114)))),ISNUMBER(SEARCH("ICE ICEBERG",UPPER(TRIM($B114)))),ISNUMBER(SEARCH("GELINHO ICEBERG",UPPER(TRIM($B114))))),"$AJ$2:$AJ$2",IF(ISNUMBER(SEARCH("ESPUMA",$B114)),"$AI$2:$AI$2",IF(ISNUMBER(SEARCH("CORANTE",$B114)),"$AN$2:$AN$2",IFERROR(INDEX($AB$2:$AB$139,MATCH(UPPER(TRIM($B114)),$AA$2:$AA$139,0)),"$AO$2:$AO$9")))))</formula1>
    </dataValidation>
    <dataValidation type="list" allowBlank="1" errorTitle="Embalagem inválida" error="Escolha uma embalagem compatível com o produto." promptTitle="Selecione a embalagem" prompt="As opções mudam conforme o produto digitado." sqref="C115" xr:uid="{87032BD3-DBE6-4406-B0EC-35F405B62A22}">
      <formula1>INDIRECT(IF(OR(ISNUMBER(SEARCH("ICEBERG ICE",UPPER(TRIM($B115)))),ISNUMBER(SEARCH("ICE ICEBERG",UPPER(TRIM($B115)))),ISNUMBER(SEARCH("GELINHO ICEBERG",UPPER(TRIM($B115))))),"$AJ$2:$AJ$2",IF(ISNUMBER(SEARCH("ESPUMA",$B115)),"$AI$2:$AI$2",IF(ISNUMBER(SEARCH("CORANTE",$B115)),"$AN$2:$AN$2",IFERROR(INDEX($AB$2:$AB$139,MATCH(UPPER(TRIM($B115)),$AA$2:$AA$139,0)),"$AO$2:$AO$9")))))</formula1>
    </dataValidation>
    <dataValidation type="list" allowBlank="1" errorTitle="Embalagem inválida" error="Escolha uma embalagem compatível com o produto." promptTitle="Selecione a embalagem" prompt="As opções mudam conforme o produto digitado." sqref="C116" xr:uid="{418EDF75-810F-411D-BBCF-58C4AD962A6A}">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17" xr:uid="{E7C33521-A4D5-44C2-96A2-A6DA7CA5D513}">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21" xr:uid="{38583236-2887-4EF1-B64D-338DCCD4F430}">
      <formula1>INDIRECT(IF(OR(ISNUMBER(SEARCH("ICEBERG ICE",UPPER(TRIM($B121)))),ISNUMBER(SEARCH("ICE ICEBERG",UPPER(TRIM($B121)))),ISNUMBER(SEARCH("GELINHO ICEBERG",UPPER(TRIM($B121))))),"$AJ$2:$AJ$2",IF(ISNUMBER(SEARCH("ESPUMA",$B121)),"$AI$2:$AI$2",IF(ISNUMBER(SEARCH("CORANTE",$B121)),"$AN$2:$AN$2",IFERROR(INDEX($AB$2:$AB$139,MATCH(UPPER(TRIM($B121)),$AA$2:$AA$139,0)),"$AO$2:$AO$9")))))</formula1>
    </dataValidation>
    <dataValidation type="list" allowBlank="1" errorTitle="Embalagem inválida" error="Escolha uma embalagem compatível com o produto." promptTitle="Selecione a embalagem" prompt="As opções mudam conforme o produto digitado." sqref="C122" xr:uid="{C9BE3041-9F23-45F7-9045-89020E4D6C42}">
      <formula1>INDIRECT(IF(OR(ISNUMBER(SEARCH("ICEBERG ICE",UPPER(TRIM($B122)))),ISNUMBER(SEARCH("ICE ICEBERG",UPPER(TRIM($B122)))),ISNUMBER(SEARCH("GELINHO ICEBERG",UPPER(TRIM($B122))))),"$AJ$2:$AJ$2",IF(ISNUMBER(SEARCH("ESPUMA",$B122)),"$AI$2:$AI$2",IF(ISNUMBER(SEARCH("CORANTE",$B122)),"$AN$2:$AN$2",IFERROR(INDEX($AB$2:$AB$139,MATCH(UPPER(TRIM($B122)),$AA$2:$AA$139,0)),"$AO$2:$AO$9")))))</formula1>
    </dataValidation>
    <dataValidation type="list" allowBlank="1" errorTitle="Embalagem inválida" error="Escolha uma embalagem compatível com o produto." promptTitle="Selecione a embalagem" prompt="As opções mudam conforme o produto digitado." sqref="C123" xr:uid="{B3863609-BFA3-41A9-8911-2582820A07EA}">
      <formula1>INDIRECT(IF(OR(ISNUMBER(SEARCH("ICEBERG ICE",UPPER(TRIM($B123)))),ISNUMBER(SEARCH("ICE ICEBERG",UPPER(TRIM($B123)))),ISNUMBER(SEARCH("GELINHO ICEBERG",UPPER(TRIM($B123))))),"$AJ$2:$AJ$2",IF(ISNUMBER(SEARCH("ESPUMA",$B123)),"$AI$2:$AI$2",IF(ISNUMBER(SEARCH("CORANTE",$B123)),"$AN$2:$AN$2",IFERROR(INDEX($AB$2:$AB$139,MATCH(UPPER(TRIM($B123)),$AA$2:$AA$139,0)),"$AO$2:$AO$9")))))</formula1>
    </dataValidation>
    <dataValidation type="list" allowBlank="1" errorTitle="Embalagem inválida" error="Escolha uma embalagem compatível com o produto." promptTitle="Selecione a embalagem" prompt="As opções mudam conforme o produto digitado." sqref="C124" xr:uid="{65892F6D-91CE-4CF2-A6D3-21E270CDF92D}">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25" xr:uid="{AE2131AC-41F0-41E9-85F8-BAAB98A6913B}">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274F3EF2-0FAD-4219-B679-2466A62F6F74}">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30" xr:uid="{6A9864AD-FF7C-43AB-A059-9681D5B374BB}">
      <formula1>INDIRECT(IF(OR(ISNUMBER(SEARCH("ICEBERG ICE",UPPER(TRIM($B130)))),ISNUMBER(SEARCH("ICE ICEBERG",UPPER(TRIM($B130)))),ISNUMBER(SEARCH("GELINHO ICEBERG",UPPER(TRIM($B130))))),"$AJ$2:$AJ$2",IF(ISNUMBER(SEARCH("ESPUMA",$B130)),"$AI$2:$AI$2",IF(ISNUMBER(SEARCH("CORANTE",$B130)),"$AN$2:$AN$2",IFERROR(INDEX($AB$2:$AB$139,MATCH(UPPER(TRIM($B130)),$AA$2:$AA$139,0)),"$AO$2:$AO$9")))))</formula1>
    </dataValidation>
    <dataValidation type="list" allowBlank="1" errorTitle="Embalagem inválida" error="Escolha uma embalagem compatível com o produto." promptTitle="Selecione a embalagem" prompt="As opções mudam conforme o produto digitado." sqref="C131" xr:uid="{583A5C0A-B7A8-4DF0-93A3-3B3F30FD3198}">
      <formula1>INDIRECT(IF(OR(ISNUMBER(SEARCH("ICEBERG ICE",UPPER(TRIM($B131)))),ISNUMBER(SEARCH("ICE ICEBERG",UPPER(TRIM($B131)))),ISNUMBER(SEARCH("GELINHO ICEBERG",UPPER(TRIM($B131))))),"$AJ$2:$AJ$2",IF(ISNUMBER(SEARCH("ESPUMA",$B131)),"$AI$2:$AI$2",IF(ISNUMBER(SEARCH("CORANTE",$B131)),"$AN$2:$AN$2",IFERROR(INDEX($AB$2:$AB$139,MATCH(UPPER(TRIM($B131)),$AA$2:$AA$139,0)),"$AO$2:$AO$9")))))</formula1>
    </dataValidation>
    <dataValidation type="list" allowBlank="1" errorTitle="Embalagem inválida" error="Escolha uma embalagem compatível com o produto." promptTitle="Selecione a embalagem" prompt="As opções mudam conforme o produto digitado." sqref="C132" xr:uid="{A0C0A733-A763-4FFA-A8FA-FA8CF0B4CF69}">
      <formula1>INDIRECT(IF(OR(ISNUMBER(SEARCH("ICEBERG ICE",UPPER(TRIM($B132)))),ISNUMBER(SEARCH("ICE ICEBERG",UPPER(TRIM($B132)))),ISNUMBER(SEARCH("GELINHO ICEBERG",UPPER(TRIM($B132))))),"$AJ$2:$AJ$2",IF(ISNUMBER(SEARCH("ESPUMA",$B132)),"$AI$2:$AI$2",IF(ISNUMBER(SEARCH("CORANTE",$B132)),"$AN$2:$AN$2",IFERROR(INDEX($AB$2:$AB$139,MATCH(UPPER(TRIM($B132)),$AA$2:$AA$139,0)),"$AO$2:$AO$9")))))</formula1>
    </dataValidation>
    <dataValidation type="list" allowBlank="1" errorTitle="Embalagem inválida" error="Escolha uma embalagem compatível com o produto." promptTitle="Selecione a embalagem" prompt="As opções mudam conforme o produto digitado." sqref="C133" xr:uid="{EB03FDA0-0640-43ED-894A-B6DD39F6A4A7}">
      <formula1>INDIRECT(IF(OR(ISNUMBER(SEARCH("ICEBERG ICE",UPPER(TRIM($B133)))),ISNUMBER(SEARCH("ICE ICEBERG",UPPER(TRIM($B133)))),ISNUMBER(SEARCH("GELINHO ICEBERG",UPPER(TRIM($B133))))),"$AJ$2:$AJ$2",IF(ISNUMBER(SEARCH("ESPUMA",$B133)),"$AI$2:$AI$2",IF(ISNUMBER(SEARCH("CORANTE",$B133)),"$AN$2:$AN$2",IFERROR(INDEX($AB$2:$AB$139,MATCH(UPPER(TRIM($B133)),$AA$2:$AA$139,0)),"$AO$2:$AO$9")))))</formula1>
    </dataValidation>
    <dataValidation type="list" allowBlank="1" errorTitle="Embalagem inválida" error="Escolha uma embalagem compatível com o produto." promptTitle="Selecione a embalagem" prompt="As opções mudam conforme o produto digitado." sqref="C134" xr:uid="{8CEB1980-DDA3-40BF-8F8A-2A96AC8091D8}">
      <formula1>INDIRECT(IF(OR(ISNUMBER(SEARCH("ICEBERG ICE",UPPER(TRIM($B134)))),ISNUMBER(SEARCH("ICE ICEBERG",UPPER(TRIM($B134)))),ISNUMBER(SEARCH("GELINHO ICEBERG",UPPER(TRIM($B134))))),"$AJ$2:$AJ$2",IF(ISNUMBER(SEARCH("ESPUMA",$B134)),"$AI$2:$AI$2",IF(ISNUMBER(SEARCH("CORANTE",$B134)),"$AN$2:$AN$2",IFERROR(INDEX($AB$2:$AB$139,MATCH(UPPER(TRIM($B134)),$AA$2:$AA$139,0)),"$AO$2:$AO$9")))))</formula1>
    </dataValidation>
    <dataValidation type="list" allowBlank="1" errorTitle="Embalagem inválida" error="Escolha uma embalagem compatível com o produto." promptTitle="Selecione a embalagem" prompt="As opções mudam conforme o produto digitado." sqref="C135" xr:uid="{F6A849E3-CC3B-4145-9C38-5A5BFD5554E4}">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9" xr:uid="{9C9B9284-E385-4936-B676-0CDF9BC6A1AC}">
      <formula1>INDIRECT(IF(OR(ISNUMBER(SEARCH("ICEBERG ICE",UPPER(TRIM($B139)))),ISNUMBER(SEARCH("ICE ICEBERG",UPPER(TRIM($B139)))),ISNUMBER(SEARCH("GELINHO ICEBERG",UPPER(TRIM($B139))))),"$AJ$2:$AJ$2",IF(ISNUMBER(SEARCH("ESPUMA",$B139)),"$AI$2:$AI$2",IF(ISNUMBER(SEARCH("CORANTE",$B139)),"$AN$2:$AN$2",IFERROR(INDEX($AB$2:$AB$139,MATCH(UPPER(TRIM($B139)),$AA$2:$AA$139,0)),"$AO$2:$AO$9")))))</formula1>
    </dataValidation>
    <dataValidation type="list" allowBlank="1" errorTitle="Embalagem inválida" error="Escolha uma embalagem compatível com o produto." promptTitle="Selecione a embalagem" prompt="As opções mudam conforme o produto digitado." sqref="C140" xr:uid="{087DC5DC-3939-4E61-AF61-A5AF260EB4D0}">
      <formula1>INDIRECT(IF(OR(ISNUMBER(SEARCH("ICEBERG ICE",UPPER(TRIM($B140)))),ISNUMBER(SEARCH("ICE ICEBERG",UPPER(TRIM($B140)))),ISNUMBER(SEARCH("GELINHO ICEBERG",UPPER(TRIM($B140))))),"$AJ$2:$AJ$2",IF(ISNUMBER(SEARCH("ESPUMA",$B140)),"$AI$2:$AI$2",IF(ISNUMBER(SEARCH("CORANTE",$B140)),"$AN$2:$AN$2",IFERROR(INDEX($AB$2:$AB$139,MATCH(UPPER(TRIM($B140)),$AA$2:$AA$139,0)),"$AO$2:$AO$9")))))</formula1>
    </dataValidation>
    <dataValidation type="list" allowBlank="1" errorTitle="Embalagem inválida" error="Escolha uma embalagem compatível com o produto." promptTitle="Selecione a embalagem" prompt="As opções mudam conforme o produto digitado." sqref="C141" xr:uid="{6E1C5EC8-0176-44B6-BCCE-FE656B129B92}">
      <formula1>INDIRECT(IF(OR(ISNUMBER(SEARCH("ICEBERG ICE",UPPER(TRIM($B141)))),ISNUMBER(SEARCH("ICE ICEBERG",UPPER(TRIM($B141)))),ISNUMBER(SEARCH("GELINHO ICEBERG",UPPER(TRIM($B141))))),"$AJ$2:$AJ$2",IF(ISNUMBER(SEARCH("ESPUMA",$B141)),"$AI$2:$AI$2",IF(ISNUMBER(SEARCH("CORANTE",$B141)),"$AN$2:$AN$2",IFERROR(INDEX($AB$2:$AB$139,MATCH(UPPER(TRIM($B141)),$AA$2:$AA$139,0)),"$AO$2:$AO$9")))))</formula1>
    </dataValidation>
    <dataValidation type="list" allowBlank="1" errorTitle="Embalagem inválida" error="Escolha uma embalagem compatível com o produto." promptTitle="Selecione a embalagem" prompt="As opções mudam conforme o produto digitado." sqref="C142" xr:uid="{1694BDD7-E5F4-4682-85BC-C0DF19A5CF05}">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8E1A1993-AF57-484E-9E5E-59F9F7B69279}">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BE856A45-C898-4BC0-AEAE-1AE97EA2306E}">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8" xr:uid="{B01FE224-B8BF-471C-B707-EA8F5E9A1D21}">
      <formula1>INDIRECT(IF(OR(ISNUMBER(SEARCH("ICEBERG ICE",UPPER(TRIM($B148)))),ISNUMBER(SEARCH("ICE ICEBERG",UPPER(TRIM($B148)))),ISNUMBER(SEARCH("GELINHO ICEBERG",UPPER(TRIM($B148))))),"$AJ$2:$AJ$2",IF(ISNUMBER(SEARCH("ESPUMA",$B148)),"$AI$2:$AI$2",IF(ISNUMBER(SEARCH("CORANTE",$B148)),"$AN$2:$AN$2",IFERROR(INDEX($AB$2:$AB$139,MATCH(UPPER(TRIM($B148)),$AA$2:$AA$139,0)),"$AO$2:$AO$9")))))</formula1>
    </dataValidation>
    <dataValidation type="list" allowBlank="1" errorTitle="Embalagem inválida" error="Escolha uma embalagem compatível com o produto." promptTitle="Selecione a embalagem" prompt="As opções mudam conforme o produto digitado." sqref="C149" xr:uid="{94027393-07F8-4413-8984-41DFF42EE1A3}">
      <formula1>INDIRECT(IF(OR(ISNUMBER(SEARCH("ICEBERG ICE",UPPER(TRIM($B149)))),ISNUMBER(SEARCH("ICE ICEBERG",UPPER(TRIM($B149)))),ISNUMBER(SEARCH("GELINHO ICEBERG",UPPER(TRIM($B149))))),"$AJ$2:$AJ$2",IF(ISNUMBER(SEARCH("ESPUMA",$B149)),"$AI$2:$AI$2",IF(ISNUMBER(SEARCH("CORANTE",$B149)),"$AN$2:$AN$2",IFERROR(INDEX($AB$2:$AB$139,MATCH(UPPER(TRIM($B149)),$AA$2:$AA$139,0)),"$AO$2:$AO$9")))))</formula1>
    </dataValidation>
    <dataValidation type="list" allowBlank="1" errorTitle="Embalagem inválida" error="Escolha uma embalagem compatível com o produto." promptTitle="Selecione a embalagem" prompt="As opções mudam conforme o produto digitado." sqref="C150" xr:uid="{586EE467-129F-4C32-B8D8-8FCCEB0CB2F3}">
      <formula1>INDIRECT(IF(OR(ISNUMBER(SEARCH("ICEBERG ICE",UPPER(TRIM($B150)))),ISNUMBER(SEARCH("ICE ICEBERG",UPPER(TRIM($B150)))),ISNUMBER(SEARCH("GELINHO ICEBERG",UPPER(TRIM($B150))))),"$AJ$2:$AJ$2",IF(ISNUMBER(SEARCH("ESPUMA",$B150)),"$AI$2:$AI$2",IF(ISNUMBER(SEARCH("CORANTE",$B150)),"$AN$2:$AN$2",IFERROR(INDEX($AB$2:$AB$139,MATCH(UPPER(TRIM($B150)),$AA$2:$AA$139,0)),"$AO$2:$AO$9")))))</formula1>
    </dataValidation>
    <dataValidation type="list" allowBlank="1" errorTitle="Embalagem inválida" error="Escolha uma embalagem compatível com o produto." promptTitle="Selecione a embalagem" prompt="As opções mudam conforme o produto digitado." sqref="C151" xr:uid="{D674A509-11FC-4D0C-B731-4FA6DA70F636}">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1FCF7664-CED4-4BE7-BF5E-F26ADF076F17}">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3" xr:uid="{A0C4D093-AFF2-46AC-A9A5-50BC98707D23}">
      <formula1>INDIRECT(IF(OR(ISNUMBER(SEARCH("ICEBERG ICE",UPPER(TRIM($B153)))),ISNUMBER(SEARCH("ICE ICEBERG",UPPER(TRIM($B153)))),ISNUMBER(SEARCH("GELINHO ICEBERG",UPPER(TRIM($B153))))),"$AJ$2:$AJ$2",IF(ISNUMBER(SEARCH("ESPUMA",$B153)),"$AI$2:$AI$2",IF(ISNUMBER(SEARCH("CORANTE",$B153)),"$AN$2:$AN$2",IFERROR(INDEX($AB$2:$AB$139,MATCH(UPPER(TRIM($B153)),$AA$2:$AA$139,0)),"$AO$2:$AO$9")))))</formula1>
    </dataValidation>
    <dataValidation type="list" allowBlank="1" errorTitle="Embalagem inválida" error="Escolha uma embalagem compatível com o produto." promptTitle="Selecione a embalagem" prompt="As opções mudam conforme o produto digitado." sqref="C157" xr:uid="{D0499C80-B4A2-42C9-828F-E168B84EE28D}">
      <formula1>INDIRECT(IF(OR(ISNUMBER(SEARCH("ICEBERG ICE",UPPER(TRIM($B157)))),ISNUMBER(SEARCH("ICE ICEBERG",UPPER(TRIM($B157)))),ISNUMBER(SEARCH("GELINHO ICEBERG",UPPER(TRIM($B157))))),"$AJ$2:$AJ$2",IF(ISNUMBER(SEARCH("ESPUMA",$B157)),"$AI$2:$AI$2",IF(ISNUMBER(SEARCH("CORANTE",$B157)),"$AN$2:$AN$2",IFERROR(INDEX($AB$2:$AB$139,MATCH(UPPER(TRIM($B157)),$AA$2:$AA$139,0)),"$AO$2:$AO$9")))))</formula1>
    </dataValidation>
    <dataValidation type="list" allowBlank="1" errorTitle="Embalagem inválida" error="Escolha uma embalagem compatível com o produto." promptTitle="Selecione a embalagem" prompt="As opções mudam conforme o produto digitado." sqref="C158" xr:uid="{59FD942F-DEFB-49B4-B5F7-E23663516206}">
      <formula1>INDIRECT(IF(OR(ISNUMBER(SEARCH("ICEBERG ICE",UPPER(TRIM($B158)))),ISNUMBER(SEARCH("ICE ICEBERG",UPPER(TRIM($B158)))),ISNUMBER(SEARCH("GELINHO ICEBERG",UPPER(TRIM($B158))))),"$AJ$2:$AJ$2",IF(ISNUMBER(SEARCH("ESPUMA",$B158)),"$AI$2:$AI$2",IF(ISNUMBER(SEARCH("CORANTE",$B158)),"$AN$2:$AN$2",IFERROR(INDEX($AB$2:$AB$139,MATCH(UPPER(TRIM($B158)),$AA$2:$AA$139,0)),"$AO$2:$AO$9")))))</formula1>
    </dataValidation>
    <dataValidation type="list" allowBlank="1" errorTitle="Embalagem inválida" error="Escolha uma embalagem compatível com o produto." promptTitle="Selecione a embalagem" prompt="As opções mudam conforme o produto digitado." sqref="C159" xr:uid="{0996B5CD-9E49-4455-A072-16CFADC66DDB}">
      <formula1>INDIRECT(IF(OR(ISNUMBER(SEARCH("ICEBERG ICE",UPPER(TRIM($B159)))),ISNUMBER(SEARCH("ICE ICEBERG",UPPER(TRIM($B159)))),ISNUMBER(SEARCH("GELINHO ICEBERG",UPPER(TRIM($B159))))),"$AJ$2:$AJ$2",IF(ISNUMBER(SEARCH("ESPUMA",$B159)),"$AI$2:$AI$2",IF(ISNUMBER(SEARCH("CORANTE",$B159)),"$AN$2:$AN$2",IFERROR(INDEX($AB$2:$AB$139,MATCH(UPPER(TRIM($B159)),$AA$2:$AA$139,0)),"$AO$2:$AO$9")))))</formula1>
    </dataValidation>
    <dataValidation type="list" allowBlank="1" errorTitle="Embalagem inválida" error="Escolha uma embalagem compatível com o produto." promptTitle="Selecione a embalagem" prompt="As opções mudam conforme o produto digitado." sqref="C160" xr:uid="{0BEE2BBE-8D06-4F8C-80A5-1538BE2E1F0F}">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1" xr:uid="{49CAF29D-F040-46A6-A847-CDCEDE5F16C8}">
      <formula1>INDIRECT(IF(OR(ISNUMBER(SEARCH("ICEBERG ICE",UPPER(TRIM($B161)))),ISNUMBER(SEARCH("ICE ICEBERG",UPPER(TRIM($B161)))),ISNUMBER(SEARCH("GELINHO ICEBERG",UPPER(TRIM($B161))))),"$AJ$2:$AJ$2",IF(ISNUMBER(SEARCH("ESPUMA",$B161)),"$AI$2:$AI$2",IF(ISNUMBER(SEARCH("CORANTE",$B161)),"$AN$2:$AN$2",IFERROR(INDEX($AB$2:$AB$139,MATCH(UPPER(TRIM($B161)),$AA$2:$AA$139,0)),"$AO$2:$AO$9")))))</formula1>
    </dataValidation>
    <dataValidation type="list" allowBlank="1" errorTitle="Embalagem inválida" error="Escolha uma embalagem compatível com o produto." promptTitle="Selecione a embalagem" prompt="As opções mudam conforme o produto digitado." sqref="C162" xr:uid="{D18CDECA-41FF-41FE-96BB-8F8E8BD059EF}">
      <formula1>INDIRECT(IF(OR(ISNUMBER(SEARCH("ICEBERG ICE",UPPER(TRIM($B162)))),ISNUMBER(SEARCH("ICE ICEBERG",UPPER(TRIM($B162)))),ISNUMBER(SEARCH("GELINHO ICEBERG",UPPER(TRIM($B162))))),"$AJ$2:$AJ$2",IF(ISNUMBER(SEARCH("ESPUMA",$B162)),"$AI$2:$AI$2",IF(ISNUMBER(SEARCH("CORANTE",$B162)),"$AN$2:$AN$2",IFERROR(INDEX($AB$2:$AB$139,MATCH(UPPER(TRIM($B162)),$AA$2:$AA$139,0)),"$AO$2:$AO$9")))))</formula1>
    </dataValidation>
    <dataValidation type="list" allowBlank="1" errorTitle="Embalagem inválida" error="Escolha uma embalagem compatível com o produto." promptTitle="Selecione a embalagem" prompt="As opções mudam conforme o produto digitado." sqref="C166" xr:uid="{6C2C61B8-80F8-46E5-81AB-010B36081E86}">
      <formula1>INDIRECT(IF(OR(ISNUMBER(SEARCH("ICEBERG ICE",UPPER(TRIM($B166)))),ISNUMBER(SEARCH("ICE ICEBERG",UPPER(TRIM($B166)))),ISNUMBER(SEARCH("GELINHO ICEBERG",UPPER(TRIM($B166))))),"$AJ$2:$AJ$2",IF(ISNUMBER(SEARCH("ESPUMA",$B166)),"$AI$2:$AI$2",IF(ISNUMBER(SEARCH("CORANTE",$B166)),"$AN$2:$AN$2",IFERROR(INDEX($AB$2:$AB$139,MATCH(UPPER(TRIM($B166)),$AA$2:$AA$139,0)),"$AO$2:$AO$9")))))</formula1>
    </dataValidation>
    <dataValidation type="list" allowBlank="1" errorTitle="Embalagem inválida" error="Escolha uma embalagem compatível com o produto." promptTitle="Selecione a embalagem" prompt="As opções mudam conforme o produto digitado." sqref="C167" xr:uid="{A201C4E8-8F9E-4F1D-A100-34B8A9C6F2E5}">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2CD7D873-BD4A-4FF9-A971-34E40322519A}">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69" xr:uid="{4F06F63D-438E-4992-84D9-BAD262D0F3DA}">
      <formula1>INDIRECT(IF(OR(ISNUMBER(SEARCH("ICEBERG ICE",UPPER(TRIM($B169)))),ISNUMBER(SEARCH("ICE ICEBERG",UPPER(TRIM($B169)))),ISNUMBER(SEARCH("GELINHO ICEBERG",UPPER(TRIM($B169))))),"$AJ$2:$AJ$2",IF(ISNUMBER(SEARCH("ESPUMA",$B169)),"$AI$2:$AI$2",IF(ISNUMBER(SEARCH("CORANTE",$B169)),"$AN$2:$AN$2",IFERROR(INDEX($AB$2:$AB$139,MATCH(UPPER(TRIM($B169)),$AA$2:$AA$139,0)),"$AO$2:$AO$9")))))</formula1>
    </dataValidation>
    <dataValidation type="list" allowBlank="1" errorTitle="Embalagem inválida" error="Escolha uma embalagem compatível com o produto." promptTitle="Selecione a embalagem" prompt="As opções mudam conforme o produto digitado." sqref="C170" xr:uid="{0902B380-04CE-479F-B658-3C792B5B408D}">
      <formula1>INDIRECT(IF(OR(ISNUMBER(SEARCH("ICEBERG ICE",UPPER(TRIM($B170)))),ISNUMBER(SEARCH("ICE ICEBERG",UPPER(TRIM($B170)))),ISNUMBER(SEARCH("GELINHO ICEBERG",UPPER(TRIM($B170))))),"$AJ$2:$AJ$2",IF(ISNUMBER(SEARCH("ESPUMA",$B170)),"$AI$2:$AI$2",IF(ISNUMBER(SEARCH("CORANTE",$B170)),"$AN$2:$AN$2",IFERROR(INDEX($AB$2:$AB$139,MATCH(UPPER(TRIM($B170)),$AA$2:$AA$139,0)),"$AO$2:$AO$9")))))</formula1>
    </dataValidation>
    <dataValidation type="list" allowBlank="1" errorTitle="Embalagem inválida" error="Escolha uma embalagem compatível com o produto." promptTitle="Selecione a embalagem" prompt="As opções mudam conforme o produto digitado." sqref="C171" xr:uid="{696A9C15-6FB1-46E3-811E-59471BFA03F2}">
      <formula1>INDIRECT(IF(OR(ISNUMBER(SEARCH("ICEBERG ICE",UPPER(TRIM($B171)))),ISNUMBER(SEARCH("ICE ICEBERG",UPPER(TRIM($B171)))),ISNUMBER(SEARCH("GELINHO ICEBERG",UPPER(TRIM($B171))))),"$AJ$2:$AJ$2",IF(ISNUMBER(SEARCH("ESPUMA",$B171)),"$AI$2:$AI$2",IF(ISNUMBER(SEARCH("CORANTE",$B171)),"$AN$2:$AN$2",IFERROR(INDEX($AB$2:$AB$139,MATCH(UPPER(TRIM($B171)),$AA$2:$AA$139,0)),"$AO$2:$AO$9")))))</formula1>
    </dataValidation>
    <dataValidation type="list" allowBlank="1" errorTitle="Embalagem inválida" error="Escolha uma embalagem compatível com o produto." promptTitle="Selecione a embalagem" prompt="As opções mudam conforme o produto digitado." sqref="C175" xr:uid="{1B0BD983-5D3D-44C6-A55A-38F2A0C3F287}">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B7D3D2B0-7235-4433-9D19-16587D09594B}">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77" xr:uid="{72F0EEBC-56B7-4552-8940-435B95EFCB3C}">
      <formula1>INDIRECT(IF(OR(ISNUMBER(SEARCH("ICEBERG ICE",UPPER(TRIM($B177)))),ISNUMBER(SEARCH("ICE ICEBERG",UPPER(TRIM($B177)))),ISNUMBER(SEARCH("GELINHO ICEBERG",UPPER(TRIM($B177))))),"$AJ$2:$AJ$2",IF(ISNUMBER(SEARCH("ESPUMA",$B177)),"$AI$2:$AI$2",IF(ISNUMBER(SEARCH("CORANTE",$B177)),"$AN$2:$AN$2",IFERROR(INDEX($AB$2:$AB$139,MATCH(UPPER(TRIM($B177)),$AA$2:$AA$139,0)),"$AO$2:$AO$9")))))</formula1>
    </dataValidation>
    <dataValidation type="list" allowBlank="1" errorTitle="Embalagem inválida" error="Escolha uma embalagem compatível com o produto." promptTitle="Selecione a embalagem" prompt="As opções mudam conforme o produto digitado." sqref="C178" xr:uid="{9CC67EB4-29D8-48F3-BDB4-9F2284CCBDC9}">
      <formula1>INDIRECT(IF(OR(ISNUMBER(SEARCH("ICEBERG ICE",UPPER(TRIM($B178)))),ISNUMBER(SEARCH("ICE ICEBERG",UPPER(TRIM($B178)))),ISNUMBER(SEARCH("GELINHO ICEBERG",UPPER(TRIM($B178))))),"$AJ$2:$AJ$2",IF(ISNUMBER(SEARCH("ESPUMA",$B178)),"$AI$2:$AI$2",IF(ISNUMBER(SEARCH("CORANTE",$B178)),"$AN$2:$AN$2",IFERROR(INDEX($AB$2:$AB$139,MATCH(UPPER(TRIM($B178)),$AA$2:$AA$139,0)),"$AO$2:$AO$9")))))</formula1>
    </dataValidation>
    <dataValidation type="list" allowBlank="1" errorTitle="Embalagem inválida" error="Escolha uma embalagem compatível com o produto." promptTitle="Selecione a embalagem" prompt="As opções mudam conforme o produto digitado." sqref="C179" xr:uid="{6970DD2F-4971-49D2-B4EE-BB67081C2EF6}">
      <formula1>INDIRECT(IF(OR(ISNUMBER(SEARCH("ICEBERG ICE",UPPER(TRIM($B179)))),ISNUMBER(SEARCH("ICE ICEBERG",UPPER(TRIM($B179)))),ISNUMBER(SEARCH("GELINHO ICEBERG",UPPER(TRIM($B179))))),"$AJ$2:$AJ$2",IF(ISNUMBER(SEARCH("ESPUMA",$B179)),"$AI$2:$AI$2",IF(ISNUMBER(SEARCH("CORANTE",$B179)),"$AN$2:$AN$2",IFERROR(INDEX($AB$2:$AB$139,MATCH(UPPER(TRIM($B179)),$AA$2:$AA$139,0)),"$AO$2:$AO$9")))))</formula1>
    </dataValidation>
    <dataValidation type="list" allowBlank="1" errorTitle="Embalagem inválida" error="Escolha uma embalagem compatível com o produto." promptTitle="Selecione a embalagem" prompt="As opções mudam conforme o produto digitado." sqref="C180" xr:uid="{8BEBBF5B-8C24-41A7-98F3-CEB50072985D}">
      <formula1>INDIRECT(IF(OR(ISNUMBER(SEARCH("ICEBERG ICE",UPPER(TRIM($B180)))),ISNUMBER(SEARCH("ICE ICEBERG",UPPER(TRIM($B180)))),ISNUMBER(SEARCH("GELINHO ICEBERG",UPPER(TRIM($B180))))),"$AJ$2:$AJ$2",IF(ISNUMBER(SEARCH("ESPUMA",$B180)),"$AI$2:$AI$2",IF(ISNUMBER(SEARCH("CORANTE",$B180)),"$AN$2:$AN$2",IFERROR(INDEX($AB$2:$AB$139,MATCH(UPPER(TRIM($B180)),$AA$2:$AA$139,0)),"$AO$2:$AO$9")))))</formula1>
    </dataValidation>
    <dataValidation type="list" allowBlank="1" errorTitle="Embalagem inválida" error="Escolha uma embalagem compatível com o produto." promptTitle="Selecione a embalagem" prompt="As opções mudam conforme o produto digitado." sqref="C184" xr:uid="{5BE62815-2FB2-4418-9430-565F5D790F0E}">
      <formula1>INDIRECT(IF(OR(ISNUMBER(SEARCH("ICEBERG ICE",UPPER(TRIM($B184)))),ISNUMBER(SEARCH("ICE ICEBERG",UPPER(TRIM($B184)))),ISNUMBER(SEARCH("GELINHO ICEBERG",UPPER(TRIM($B184))))),"$AJ$2:$AJ$2",IF(ISNUMBER(SEARCH("ESPUMA",$B184)),"$AI$2:$AI$2",IF(ISNUMBER(SEARCH("CORANTE",$B184)),"$AN$2:$AN$2",IFERROR(INDEX($AB$2:$AB$139,MATCH(UPPER(TRIM($B184)),$AA$2:$AA$139,0)),"$AO$2:$AO$9")))))</formula1>
    </dataValidation>
    <dataValidation type="list" allowBlank="1" errorTitle="Embalagem inválida" error="Escolha uma embalagem compatível com o produto." promptTitle="Selecione a embalagem" prompt="As opções mudam conforme o produto digitado." sqref="C185" xr:uid="{411D1F81-8486-4165-BEE5-8CBE7C14A87C}">
      <formula1>INDIRECT(IF(OR(ISNUMBER(SEARCH("ICEBERG ICE",UPPER(TRIM($B185)))),ISNUMBER(SEARCH("ICE ICEBERG",UPPER(TRIM($B185)))),ISNUMBER(SEARCH("GELINHO ICEBERG",UPPER(TRIM($B185))))),"$AJ$2:$AJ$2",IF(ISNUMBER(SEARCH("ESPUMA",$B185)),"$AI$2:$AI$2",IF(ISNUMBER(SEARCH("CORANTE",$B185)),"$AN$2:$AN$2",IFERROR(INDEX($AB$2:$AB$139,MATCH(UPPER(TRIM($B185)),$AA$2:$AA$139,0)),"$AO$2:$AO$9")))))</formula1>
    </dataValidation>
    <dataValidation type="list" allowBlank="1" errorTitle="Embalagem inválida" error="Escolha uma embalagem compatível com o produto." promptTitle="Selecione a embalagem" prompt="As opções mudam conforme o produto digitado." sqref="C186" xr:uid="{20D23799-E124-435A-B6CB-B57CE6F1871E}">
      <formula1>INDIRECT(IF(OR(ISNUMBER(SEARCH("ICEBERG ICE",UPPER(TRIM($B186)))),ISNUMBER(SEARCH("ICE ICEBERG",UPPER(TRIM($B186)))),ISNUMBER(SEARCH("GELINHO ICEBERG",UPPER(TRIM($B186))))),"$AJ$2:$AJ$2",IF(ISNUMBER(SEARCH("ESPUMA",$B186)),"$AI$2:$AI$2",IF(ISNUMBER(SEARCH("CORANTE",$B186)),"$AN$2:$AN$2",IFERROR(INDEX($AB$2:$AB$139,MATCH(UPPER(TRIM($B186)),$AA$2:$AA$139,0)),"$AO$2:$AO$9")))))</formula1>
    </dataValidation>
    <dataValidation type="list" allowBlank="1" errorTitle="Embalagem inválida" error="Escolha uma embalagem compatível com o produto." promptTitle="Selecione a embalagem" prompt="As opções mudam conforme o produto digitado." sqref="C187" xr:uid="{4DA03E9A-AEBA-4027-AD94-717B09FB4119}">
      <formula1>INDIRECT(IF(OR(ISNUMBER(SEARCH("ICEBERG ICE",UPPER(TRIM($B187)))),ISNUMBER(SEARCH("ICE ICEBERG",UPPER(TRIM($B187)))),ISNUMBER(SEARCH("GELINHO ICEBERG",UPPER(TRIM($B187))))),"$AJ$2:$AJ$2",IF(ISNUMBER(SEARCH("ESPUMA",$B187)),"$AI$2:$AI$2",IF(ISNUMBER(SEARCH("CORANTE",$B187)),"$AN$2:$AN$2",IFERROR(INDEX($AB$2:$AB$139,MATCH(UPPER(TRIM($B187)),$AA$2:$AA$139,0)),"$AO$2:$AO$9")))))</formula1>
    </dataValidation>
    <dataValidation type="list" allowBlank="1" errorTitle="Embalagem inválida" error="Escolha uma embalagem compatível com o produto." promptTitle="Selecione a embalagem" prompt="As opções mudam conforme o produto digitado." sqref="C188" xr:uid="{A2F5AA96-942F-4B41-BD66-BCBC542F4E78}">
      <formula1>INDIRECT(IF(OR(ISNUMBER(SEARCH("ICEBERG ICE",UPPER(TRIM($B188)))),ISNUMBER(SEARCH("ICE ICEBERG",UPPER(TRIM($B188)))),ISNUMBER(SEARCH("GELINHO ICEBERG",UPPER(TRIM($B188))))),"$AJ$2:$AJ$2",IF(ISNUMBER(SEARCH("ESPUMA",$B188)),"$AI$2:$AI$2",IF(ISNUMBER(SEARCH("CORANTE",$B188)),"$AN$2:$AN$2",IFERROR(INDEX($AB$2:$AB$139,MATCH(UPPER(TRIM($B188)),$AA$2:$AA$139,0)),"$AO$2:$AO$9")))))</formula1>
    </dataValidation>
    <dataValidation type="list" allowBlank="1" errorTitle="Embalagem inválida" error="Escolha uma embalagem compatível com o produto." promptTitle="Selecione a embalagem" prompt="As opções mudam conforme o produto digitado." sqref="C189" xr:uid="{6C1D18E7-6267-41F2-A865-17FBC62ADA05}">
      <formula1>INDIRECT(IF(OR(ISNUMBER(SEARCH("ICEBERG ICE",UPPER(TRIM($B189)))),ISNUMBER(SEARCH("ICE ICEBERG",UPPER(TRIM($B189)))),ISNUMBER(SEARCH("GELINHO ICEBERG",UPPER(TRIM($B189))))),"$AJ$2:$AJ$2",IF(ISNUMBER(SEARCH("ESPUMA",$B189)),"$AI$2:$AI$2",IF(ISNUMBER(SEARCH("CORANTE",$B189)),"$AN$2:$AN$2",IFERROR(INDEX($AB$2:$AB$139,MATCH(UPPER(TRIM($B189)),$AA$2:$AA$139,0)),"$AO$2:$AO$9")))))</formula1>
    </dataValidation>
    <dataValidation type="list" allowBlank="1" errorTitle="Embalagem inválida" error="Escolha uma embalagem compatível com o produto." promptTitle="Selecione a embalagem" prompt="As opções mudam conforme o produto digitado." sqref="C193" xr:uid="{72CA20FA-A651-4109-94BC-656ADD9F409A}">
      <formula1>INDIRECT(IF(OR(ISNUMBER(SEARCH("ICEBERG ICE",UPPER(TRIM($B193)))),ISNUMBER(SEARCH("ICE ICEBERG",UPPER(TRIM($B193)))),ISNUMBER(SEARCH("GELINHO ICEBERG",UPPER(TRIM($B193))))),"$AJ$2:$AJ$2",IF(ISNUMBER(SEARCH("ESPUMA",$B193)),"$AI$2:$AI$2",IF(ISNUMBER(SEARCH("CORANTE",$B193)),"$AN$2:$AN$2",IFERROR(INDEX($AB$2:$AB$139,MATCH(UPPER(TRIM($B193)),$AA$2:$AA$139,0)),"$AO$2:$AO$9")))))</formula1>
    </dataValidation>
    <dataValidation type="list" allowBlank="1" errorTitle="Embalagem inválida" error="Escolha uma embalagem compatível com o produto." promptTitle="Selecione a embalagem" prompt="As opções mudam conforme o produto digitado." sqref="C194" xr:uid="{F9BA421C-B6BA-467E-B635-942F86CA29B3}">
      <formula1>INDIRECT(IF(OR(ISNUMBER(SEARCH("ICEBERG ICE",UPPER(TRIM($B194)))),ISNUMBER(SEARCH("ICE ICEBERG",UPPER(TRIM($B194)))),ISNUMBER(SEARCH("GELINHO ICEBERG",UPPER(TRIM($B194))))),"$AJ$2:$AJ$2",IF(ISNUMBER(SEARCH("ESPUMA",$B194)),"$AI$2:$AI$2",IF(ISNUMBER(SEARCH("CORANTE",$B194)),"$AN$2:$AN$2",IFERROR(INDEX($AB$2:$AB$139,MATCH(UPPER(TRIM($B194)),$AA$2:$AA$139,0)),"$AO$2:$AO$9")))))</formula1>
    </dataValidation>
    <dataValidation type="list" allowBlank="1" errorTitle="Embalagem inválida" error="Escolha uma embalagem compatível com o produto." promptTitle="Selecione a embalagem" prompt="As opções mudam conforme o produto digitado." sqref="C195" xr:uid="{3C8FA750-F726-494B-B05E-A8233244A0EE}">
      <formula1>INDIRECT(IF(OR(ISNUMBER(SEARCH("ICEBERG ICE",UPPER(TRIM($B195)))),ISNUMBER(SEARCH("ICE ICEBERG",UPPER(TRIM($B195)))),ISNUMBER(SEARCH("GELINHO ICEBERG",UPPER(TRIM($B195))))),"$AJ$2:$AJ$2",IF(ISNUMBER(SEARCH("ESPUMA",$B195)),"$AI$2:$AI$2",IF(ISNUMBER(SEARCH("CORANTE",$B195)),"$AN$2:$AN$2",IFERROR(INDEX($AB$2:$AB$139,MATCH(UPPER(TRIM($B195)),$AA$2:$AA$139,0)),"$AO$2:$AO$9")))))</formula1>
    </dataValidation>
    <dataValidation type="list" allowBlank="1" errorTitle="Embalagem inválida" error="Escolha uma embalagem compatível com o produto." promptTitle="Selecione a embalagem" prompt="As opções mudam conforme o produto digitado." sqref="C196" xr:uid="{26C84D70-40D7-4A4B-A1F9-BC2AE503223D}">
      <formula1>INDIRECT(IF(OR(ISNUMBER(SEARCH("ICEBERG ICE",UPPER(TRIM($B196)))),ISNUMBER(SEARCH("ICE ICEBERG",UPPER(TRIM($B196)))),ISNUMBER(SEARCH("GELINHO ICEBERG",UPPER(TRIM($B196))))),"$AJ$2:$AJ$2",IF(ISNUMBER(SEARCH("ESPUMA",$B196)),"$AI$2:$AI$2",IF(ISNUMBER(SEARCH("CORANTE",$B196)),"$AN$2:$AN$2",IFERROR(INDEX($AB$2:$AB$139,MATCH(UPPER(TRIM($B196)),$AA$2:$AA$139,0)),"$AO$2:$AO$9")))))</formula1>
    </dataValidation>
    <dataValidation type="list" allowBlank="1" errorTitle="Embalagem inválida" error="Escolha uma embalagem compatível com o produto." promptTitle="Selecione a embalagem" prompt="As opções mudam conforme o produto digitado." sqref="C197" xr:uid="{831DC1CB-A036-49F1-A352-A759C1A69B73}">
      <formula1>INDIRECT(IF(OR(ISNUMBER(SEARCH("ICEBERG ICE",UPPER(TRIM($B197)))),ISNUMBER(SEARCH("ICE ICEBERG",UPPER(TRIM($B197)))),ISNUMBER(SEARCH("GELINHO ICEBERG",UPPER(TRIM($B197))))),"$AJ$2:$AJ$2",IF(ISNUMBER(SEARCH("ESPUMA",$B197)),"$AI$2:$AI$2",IF(ISNUMBER(SEARCH("CORANTE",$B197)),"$AN$2:$AN$2",IFERROR(INDEX($AB$2:$AB$139,MATCH(UPPER(TRIM($B197)),$AA$2:$AA$139,0)),"$AO$2:$AO$9")))))</formula1>
    </dataValidation>
    <dataValidation type="list" allowBlank="1" errorTitle="Embalagem inválida" error="Escolha uma embalagem compatível com o produto." promptTitle="Selecione a embalagem" prompt="As opções mudam conforme o produto digitado." sqref="C198" xr:uid="{9A22E6B3-7249-4111-A15E-5C92B27D7B43}">
      <formula1>INDIRECT(IF(OR(ISNUMBER(SEARCH("ICEBERG ICE",UPPER(TRIM($B198)))),ISNUMBER(SEARCH("ICE ICEBERG",UPPER(TRIM($B198)))),ISNUMBER(SEARCH("GELINHO ICEBERG",UPPER(TRIM($B198))))),"$AJ$2:$AJ$2",IF(ISNUMBER(SEARCH("ESPUMA",$B198)),"$AI$2:$AI$2",IF(ISNUMBER(SEARCH("CORANTE",$B198)),"$AN$2:$AN$2",IFERROR(INDEX($AB$2:$AB$139,MATCH(UPPER(TRIM($B198)),$AA$2:$AA$139,0)),"$AO$2:$AO$9")))))</formula1>
    </dataValidation>
  </dataValidations>
  <pageMargins left="0.7" right="0.7" top="0.75" bottom="0.75"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7020-70F6-4DF4-9474-6E1EEF1C88BF}">
  <sheetPr>
    <tabColor rgb="FF0F766E"/>
  </sheetPr>
  <dimension ref="A1:Y30"/>
  <sheetViews>
    <sheetView showGridLines="0"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408</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SUM(C9:C30)</f>
        <v>280764</v>
      </c>
      <c r="C4" s="424"/>
      <c r="D4" s="435">
        <f>SUM(D9:D30)</f>
        <v>242000</v>
      </c>
      <c r="E4" s="424"/>
      <c r="F4" s="435">
        <f>IFERROR(SUM(C9:C30)/COUNTIF(C9:C30,"&gt;0"),0)</f>
        <v>12762</v>
      </c>
      <c r="G4" s="424"/>
      <c r="H4" s="435">
        <f>IFERROR(MAX(C9:C30),0)</f>
        <v>17856</v>
      </c>
      <c r="I4" s="424"/>
      <c r="J4" s="436">
        <f>IFERROR(B4/D4,0)</f>
        <v>1.1601818181818182</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38"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46083</v>
      </c>
      <c r="B9" s="414">
        <f>IF(D9&gt;0,COUNTIF($D$9:D9,"&gt;0"),"")</f>
        <v>1</v>
      </c>
      <c r="C9" s="888">
        <f>'SEMANA MARÇO'!$M$10</f>
        <v>11988</v>
      </c>
      <c r="D9" s="888">
        <f>IF(C9&gt;0,CONFIG!$B$3,0)</f>
        <v>11000</v>
      </c>
      <c r="E9" s="889">
        <f t="shared" ref="E9:E30" si="0">IF(C9&gt;0,C9-D9,0)</f>
        <v>988</v>
      </c>
      <c r="F9" s="444"/>
      <c r="G9" s="424"/>
      <c r="H9" s="424"/>
      <c r="I9" s="424"/>
      <c r="J9" s="424"/>
      <c r="K9" s="424"/>
      <c r="L9" s="424"/>
      <c r="M9" s="424"/>
      <c r="N9" s="424"/>
      <c r="O9" s="424"/>
      <c r="P9" s="93">
        <f t="shared" ref="P9:P30" si="1">B9</f>
        <v>1</v>
      </c>
      <c r="Q9" s="1" t="e">
        <f t="shared" ref="Q9:Q30" si="2">IF(AND($C9&gt;0,$C9&lt;$D9),$C9,NA())</f>
        <v>#N/A</v>
      </c>
      <c r="R9" s="1" t="e">
        <f t="shared" ref="R9:R30" si="3">IF(AND($C9&gt;0,$C9=$D9),$C9,NA())</f>
        <v>#N/A</v>
      </c>
      <c r="S9" s="1">
        <f t="shared" ref="S9:S30" si="4">IF(AND($C9&gt;0,$C9&gt;$D9),$C9,NA())</f>
        <v>11988</v>
      </c>
      <c r="X9" s="63">
        <f t="shared" ref="X9:X30" si="5">IF(COUNTIF($F9,"*Feriado*")&gt;0,NA(),$C9)</f>
        <v>11988</v>
      </c>
      <c r="Y9" s="63">
        <f t="shared" ref="Y9:Y30" si="6">IF(COUNTIF($F9,"*Feriado*")&gt;0,NA(),$D9)</f>
        <v>11000</v>
      </c>
    </row>
    <row r="10" spans="1:25" x14ac:dyDescent="0.3">
      <c r="A10" s="413">
        <v>46084</v>
      </c>
      <c r="B10" s="416">
        <f>IF(D10&gt;0,COUNTIF($D$9:D10,"&gt;0"),"")</f>
        <v>2</v>
      </c>
      <c r="C10" s="890">
        <f>'SEMANA MARÇO'!$M$19</f>
        <v>15948</v>
      </c>
      <c r="D10" s="890">
        <f>IF(C10&gt;0,CONFIG!$B$3,0)</f>
        <v>11000</v>
      </c>
      <c r="E10" s="891">
        <f t="shared" si="0"/>
        <v>4948</v>
      </c>
      <c r="F10" s="492" t="s">
        <v>1382</v>
      </c>
      <c r="G10" s="424"/>
      <c r="H10" s="424"/>
      <c r="I10" s="424"/>
      <c r="J10" s="424"/>
      <c r="K10" s="424"/>
      <c r="L10" s="424"/>
      <c r="M10" s="424"/>
      <c r="N10" s="424"/>
      <c r="O10" s="424"/>
      <c r="P10" s="93">
        <f t="shared" si="1"/>
        <v>2</v>
      </c>
      <c r="Q10" s="1" t="e">
        <f t="shared" si="2"/>
        <v>#N/A</v>
      </c>
      <c r="R10" s="1" t="e">
        <f t="shared" si="3"/>
        <v>#N/A</v>
      </c>
      <c r="S10" s="1">
        <f t="shared" si="4"/>
        <v>15948</v>
      </c>
      <c r="X10" s="63">
        <f t="shared" si="5"/>
        <v>15948</v>
      </c>
      <c r="Y10" s="63">
        <f t="shared" si="6"/>
        <v>11000</v>
      </c>
    </row>
    <row r="11" spans="1:25" x14ac:dyDescent="0.3">
      <c r="A11" s="412">
        <v>46085</v>
      </c>
      <c r="B11" s="414">
        <f>IF(D11&gt;0,COUNTIF($D$9:D11,"&gt;0"),"")</f>
        <v>3</v>
      </c>
      <c r="C11" s="888">
        <f>'SEMANA MARÇO'!$M$28</f>
        <v>11472</v>
      </c>
      <c r="D11" s="888">
        <f>IF(C11&gt;0,CONFIG!$B$3,0)</f>
        <v>11000</v>
      </c>
      <c r="E11" s="889">
        <f t="shared" si="0"/>
        <v>472</v>
      </c>
      <c r="F11" s="444"/>
      <c r="G11" s="424"/>
      <c r="H11" s="424"/>
      <c r="I11" s="424"/>
      <c r="J11" s="424"/>
      <c r="K11" s="424"/>
      <c r="L11" s="424"/>
      <c r="M11" s="424"/>
      <c r="N11" s="424"/>
      <c r="O11" s="424"/>
      <c r="P11" s="93">
        <f t="shared" si="1"/>
        <v>3</v>
      </c>
      <c r="Q11" s="1" t="e">
        <f t="shared" si="2"/>
        <v>#N/A</v>
      </c>
      <c r="R11" s="1" t="e">
        <f t="shared" si="3"/>
        <v>#N/A</v>
      </c>
      <c r="S11" s="1">
        <f t="shared" si="4"/>
        <v>11472</v>
      </c>
      <c r="X11" s="63">
        <f t="shared" si="5"/>
        <v>11472</v>
      </c>
      <c r="Y11" s="63">
        <f t="shared" si="6"/>
        <v>11000</v>
      </c>
    </row>
    <row r="12" spans="1:25" x14ac:dyDescent="0.3">
      <c r="A12" s="413">
        <v>46086</v>
      </c>
      <c r="B12" s="416">
        <f>IF(D12&gt;0,COUNTIF($D$9:D12,"&gt;0"),"")</f>
        <v>4</v>
      </c>
      <c r="C12" s="890">
        <f>'SEMANA MARÇO'!$M$37</f>
        <v>13308</v>
      </c>
      <c r="D12" s="890">
        <f>IF(C12&gt;0,CONFIG!$B$3,0)</f>
        <v>11000</v>
      </c>
      <c r="E12" s="891">
        <f t="shared" si="0"/>
        <v>2308</v>
      </c>
      <c r="F12" s="444"/>
      <c r="G12" s="424"/>
      <c r="H12" s="424"/>
      <c r="I12" s="424"/>
      <c r="J12" s="424"/>
      <c r="K12" s="424"/>
      <c r="L12" s="424"/>
      <c r="M12" s="424"/>
      <c r="N12" s="424"/>
      <c r="O12" s="424"/>
      <c r="P12" s="93">
        <f t="shared" si="1"/>
        <v>4</v>
      </c>
      <c r="Q12" s="1" t="e">
        <f t="shared" si="2"/>
        <v>#N/A</v>
      </c>
      <c r="R12" s="1" t="e">
        <f t="shared" si="3"/>
        <v>#N/A</v>
      </c>
      <c r="S12" s="1">
        <f t="shared" si="4"/>
        <v>13308</v>
      </c>
      <c r="X12" s="63">
        <f t="shared" si="5"/>
        <v>13308</v>
      </c>
      <c r="Y12" s="63">
        <f t="shared" si="6"/>
        <v>11000</v>
      </c>
    </row>
    <row r="13" spans="1:25" x14ac:dyDescent="0.3">
      <c r="A13" s="412">
        <v>46087</v>
      </c>
      <c r="B13" s="414">
        <f>IF(D13&gt;0,COUNTIF($D$9:D13,"&gt;0"),"")</f>
        <v>5</v>
      </c>
      <c r="C13" s="888">
        <f>'SEMANA MARÇO'!$M$46</f>
        <v>11340</v>
      </c>
      <c r="D13" s="888">
        <f>IF(C13&gt;0,CONFIG!$B$3,0)</f>
        <v>11000</v>
      </c>
      <c r="E13" s="889">
        <f t="shared" si="0"/>
        <v>340</v>
      </c>
      <c r="F13" s="444"/>
      <c r="G13" s="424"/>
      <c r="H13" s="424"/>
      <c r="I13" s="424"/>
      <c r="J13" s="424"/>
      <c r="K13" s="424"/>
      <c r="L13" s="424"/>
      <c r="M13" s="424"/>
      <c r="N13" s="424"/>
      <c r="O13" s="424"/>
      <c r="P13" s="93">
        <f t="shared" si="1"/>
        <v>5</v>
      </c>
      <c r="Q13" s="1" t="e">
        <f t="shared" si="2"/>
        <v>#N/A</v>
      </c>
      <c r="R13" s="1" t="e">
        <f t="shared" si="3"/>
        <v>#N/A</v>
      </c>
      <c r="S13" s="1">
        <f t="shared" si="4"/>
        <v>11340</v>
      </c>
      <c r="X13" s="63">
        <f t="shared" si="5"/>
        <v>11340</v>
      </c>
      <c r="Y13" s="63">
        <f t="shared" si="6"/>
        <v>11000</v>
      </c>
    </row>
    <row r="14" spans="1:25" x14ac:dyDescent="0.3">
      <c r="A14" s="413">
        <v>46090</v>
      </c>
      <c r="B14" s="416">
        <f>IF(D14&gt;0,COUNTIF($D$9:D14,"&gt;0"),"")</f>
        <v>6</v>
      </c>
      <c r="C14" s="890">
        <f>'SEMANA MARÇO'!$M$55</f>
        <v>15336</v>
      </c>
      <c r="D14" s="890">
        <f>IF(C14&gt;0,CONFIG!$B$3,0)</f>
        <v>11000</v>
      </c>
      <c r="E14" s="891">
        <f t="shared" si="0"/>
        <v>4336</v>
      </c>
      <c r="F14" s="444"/>
      <c r="G14" s="424"/>
      <c r="H14" s="424"/>
      <c r="I14" s="424"/>
      <c r="J14" s="424"/>
      <c r="K14" s="424"/>
      <c r="L14" s="424"/>
      <c r="M14" s="424"/>
      <c r="N14" s="424"/>
      <c r="O14" s="424"/>
      <c r="P14" s="93">
        <f t="shared" si="1"/>
        <v>6</v>
      </c>
      <c r="Q14" s="1" t="e">
        <f t="shared" si="2"/>
        <v>#N/A</v>
      </c>
      <c r="R14" s="1" t="e">
        <f t="shared" si="3"/>
        <v>#N/A</v>
      </c>
      <c r="S14" s="1">
        <f t="shared" si="4"/>
        <v>15336</v>
      </c>
      <c r="X14" s="63">
        <f t="shared" si="5"/>
        <v>15336</v>
      </c>
      <c r="Y14" s="63">
        <f t="shared" si="6"/>
        <v>11000</v>
      </c>
    </row>
    <row r="15" spans="1:25" x14ac:dyDescent="0.3">
      <c r="A15" s="412">
        <v>46091</v>
      </c>
      <c r="B15" s="414">
        <f>IF(D15&gt;0,COUNTIF($D$9:D15,"&gt;0"),"")</f>
        <v>7</v>
      </c>
      <c r="C15" s="888">
        <f>'SEMANA MARÇO'!$M$64</f>
        <v>13176</v>
      </c>
      <c r="D15" s="888">
        <f>IF(C15&gt;0,CONFIG!$B$3,0)</f>
        <v>11000</v>
      </c>
      <c r="E15" s="889">
        <f t="shared" si="0"/>
        <v>2176</v>
      </c>
      <c r="F15" s="492" t="s">
        <v>1383</v>
      </c>
      <c r="G15" s="424"/>
      <c r="H15" s="424"/>
      <c r="I15" s="424"/>
      <c r="J15" s="424"/>
      <c r="K15" s="424"/>
      <c r="L15" s="424"/>
      <c r="M15" s="424"/>
      <c r="N15" s="424"/>
      <c r="O15" s="424"/>
      <c r="P15" s="93">
        <f t="shared" si="1"/>
        <v>7</v>
      </c>
      <c r="Q15" s="1" t="e">
        <f t="shared" si="2"/>
        <v>#N/A</v>
      </c>
      <c r="R15" s="1" t="e">
        <f t="shared" si="3"/>
        <v>#N/A</v>
      </c>
      <c r="S15" s="1">
        <f t="shared" si="4"/>
        <v>13176</v>
      </c>
      <c r="X15" s="63">
        <f t="shared" si="5"/>
        <v>13176</v>
      </c>
      <c r="Y15" s="63">
        <f t="shared" si="6"/>
        <v>11000</v>
      </c>
    </row>
    <row r="16" spans="1:25" x14ac:dyDescent="0.3">
      <c r="A16" s="413">
        <v>46092</v>
      </c>
      <c r="B16" s="416">
        <f>IF(D16&gt;0,COUNTIF($D$9:D16,"&gt;0"),"")</f>
        <v>8</v>
      </c>
      <c r="C16" s="890">
        <f>'SEMANA MARÇO'!$M$73</f>
        <v>13728</v>
      </c>
      <c r="D16" s="890">
        <f>IF(C16&gt;0,CONFIG!$B$3,0)</f>
        <v>11000</v>
      </c>
      <c r="E16" s="891">
        <f t="shared" si="0"/>
        <v>2728</v>
      </c>
      <c r="F16" s="444"/>
      <c r="G16" s="424"/>
      <c r="H16" s="424"/>
      <c r="I16" s="424"/>
      <c r="J16" s="424"/>
      <c r="K16" s="424"/>
      <c r="L16" s="424"/>
      <c r="M16" s="424"/>
      <c r="N16" s="424"/>
      <c r="O16" s="424"/>
      <c r="P16" s="93">
        <f t="shared" si="1"/>
        <v>8</v>
      </c>
      <c r="Q16" s="1" t="e">
        <f t="shared" si="2"/>
        <v>#N/A</v>
      </c>
      <c r="R16" s="1" t="e">
        <f t="shared" si="3"/>
        <v>#N/A</v>
      </c>
      <c r="S16" s="1">
        <f t="shared" si="4"/>
        <v>13728</v>
      </c>
      <c r="X16" s="63">
        <f t="shared" si="5"/>
        <v>13728</v>
      </c>
      <c r="Y16" s="63">
        <f t="shared" si="6"/>
        <v>11000</v>
      </c>
    </row>
    <row r="17" spans="1:25" x14ac:dyDescent="0.3">
      <c r="A17" s="412">
        <v>46093</v>
      </c>
      <c r="B17" s="414">
        <f>IF(D17&gt;0,COUNTIF($D$9:D17,"&gt;0"),"")</f>
        <v>9</v>
      </c>
      <c r="C17" s="888">
        <f>'SEMANA MARÇO'!$M$82</f>
        <v>9900</v>
      </c>
      <c r="D17" s="888">
        <f>IF(C17&gt;0,CONFIG!$B$3,0)</f>
        <v>11000</v>
      </c>
      <c r="E17" s="889">
        <f t="shared" si="0"/>
        <v>-1100</v>
      </c>
      <c r="F17" s="492" t="s">
        <v>1384</v>
      </c>
      <c r="G17" s="424"/>
      <c r="H17" s="424"/>
      <c r="I17" s="424"/>
      <c r="J17" s="424"/>
      <c r="K17" s="424"/>
      <c r="L17" s="424"/>
      <c r="M17" s="424"/>
      <c r="N17" s="424"/>
      <c r="O17" s="424"/>
      <c r="P17" s="93">
        <f t="shared" si="1"/>
        <v>9</v>
      </c>
      <c r="Q17" s="1">
        <f t="shared" si="2"/>
        <v>9900</v>
      </c>
      <c r="R17" s="1" t="e">
        <f t="shared" si="3"/>
        <v>#N/A</v>
      </c>
      <c r="S17" s="1" t="e">
        <f t="shared" si="4"/>
        <v>#N/A</v>
      </c>
      <c r="X17" s="63">
        <f t="shared" si="5"/>
        <v>9900</v>
      </c>
      <c r="Y17" s="63">
        <f t="shared" si="6"/>
        <v>11000</v>
      </c>
    </row>
    <row r="18" spans="1:25" x14ac:dyDescent="0.3">
      <c r="A18" s="413">
        <v>46094</v>
      </c>
      <c r="B18" s="416">
        <f>IF(D18&gt;0,COUNTIF($D$9:D18,"&gt;0"),"")</f>
        <v>10</v>
      </c>
      <c r="C18" s="890">
        <f>'SEMANA MARÇO'!$M$91</f>
        <v>13452</v>
      </c>
      <c r="D18" s="890">
        <f>IF(C18&gt;0,CONFIG!$B$3,0)</f>
        <v>11000</v>
      </c>
      <c r="E18" s="891">
        <f t="shared" si="0"/>
        <v>2452</v>
      </c>
      <c r="F18" s="444"/>
      <c r="G18" s="424"/>
      <c r="H18" s="424"/>
      <c r="I18" s="424"/>
      <c r="J18" s="424"/>
      <c r="K18" s="424"/>
      <c r="L18" s="424"/>
      <c r="M18" s="424"/>
      <c r="N18" s="424"/>
      <c r="O18" s="424"/>
      <c r="P18" s="93">
        <f t="shared" si="1"/>
        <v>10</v>
      </c>
      <c r="Q18" s="1" t="e">
        <f t="shared" si="2"/>
        <v>#N/A</v>
      </c>
      <c r="R18" s="1" t="e">
        <f t="shared" si="3"/>
        <v>#N/A</v>
      </c>
      <c r="S18" s="1">
        <f t="shared" si="4"/>
        <v>13452</v>
      </c>
      <c r="X18" s="63">
        <f t="shared" si="5"/>
        <v>13452</v>
      </c>
      <c r="Y18" s="63">
        <f t="shared" si="6"/>
        <v>11000</v>
      </c>
    </row>
    <row r="19" spans="1:25" x14ac:dyDescent="0.3">
      <c r="A19" s="412">
        <v>46097</v>
      </c>
      <c r="B19" s="414">
        <f>IF(D19&gt;0,COUNTIF($D$9:D19,"&gt;0"),"")</f>
        <v>11</v>
      </c>
      <c r="C19" s="888">
        <f>'SEMANA MARÇO'!$M$100</f>
        <v>16524</v>
      </c>
      <c r="D19" s="888">
        <f>IF(C19&gt;0,CONFIG!$B$3,0)</f>
        <v>11000</v>
      </c>
      <c r="E19" s="889">
        <f t="shared" si="0"/>
        <v>5524</v>
      </c>
      <c r="F19" s="444"/>
      <c r="G19" s="424"/>
      <c r="H19" s="424"/>
      <c r="I19" s="424"/>
      <c r="J19" s="424"/>
      <c r="K19" s="424"/>
      <c r="L19" s="424"/>
      <c r="M19" s="424"/>
      <c r="N19" s="424"/>
      <c r="O19" s="424"/>
      <c r="P19" s="93">
        <f t="shared" si="1"/>
        <v>11</v>
      </c>
      <c r="Q19" s="1" t="e">
        <f t="shared" si="2"/>
        <v>#N/A</v>
      </c>
      <c r="R19" s="1" t="e">
        <f t="shared" si="3"/>
        <v>#N/A</v>
      </c>
      <c r="S19" s="1">
        <f t="shared" si="4"/>
        <v>16524</v>
      </c>
      <c r="X19" s="63">
        <f t="shared" si="5"/>
        <v>16524</v>
      </c>
      <c r="Y19" s="63">
        <f t="shared" si="6"/>
        <v>11000</v>
      </c>
    </row>
    <row r="20" spans="1:25" x14ac:dyDescent="0.3">
      <c r="A20" s="413">
        <v>46098</v>
      </c>
      <c r="B20" s="416">
        <f>IF(D20&gt;0,COUNTIF($D$9:D20,"&gt;0"),"")</f>
        <v>12</v>
      </c>
      <c r="C20" s="890">
        <f>'SEMANA MARÇO'!$M$109</f>
        <v>17784</v>
      </c>
      <c r="D20" s="890">
        <f>IF(C20&gt;0,CONFIG!$B$3,0)</f>
        <v>11000</v>
      </c>
      <c r="E20" s="891">
        <f t="shared" si="0"/>
        <v>6784</v>
      </c>
      <c r="F20" s="444"/>
      <c r="G20" s="424"/>
      <c r="H20" s="424"/>
      <c r="I20" s="424"/>
      <c r="J20" s="424"/>
      <c r="K20" s="424"/>
      <c r="L20" s="424"/>
      <c r="M20" s="424"/>
      <c r="N20" s="424"/>
      <c r="O20" s="424"/>
      <c r="P20" s="93">
        <f t="shared" si="1"/>
        <v>12</v>
      </c>
      <c r="Q20" s="1" t="e">
        <f t="shared" si="2"/>
        <v>#N/A</v>
      </c>
      <c r="R20" s="1" t="e">
        <f t="shared" si="3"/>
        <v>#N/A</v>
      </c>
      <c r="S20" s="1">
        <f t="shared" si="4"/>
        <v>17784</v>
      </c>
      <c r="X20" s="63">
        <f t="shared" si="5"/>
        <v>17784</v>
      </c>
      <c r="Y20" s="63">
        <f t="shared" si="6"/>
        <v>11000</v>
      </c>
    </row>
    <row r="21" spans="1:25" x14ac:dyDescent="0.3">
      <c r="A21" s="412">
        <v>46099</v>
      </c>
      <c r="B21" s="414">
        <f>IF(D21&gt;0,COUNTIF($D$9:D21,"&gt;0"),"")</f>
        <v>13</v>
      </c>
      <c r="C21" s="888">
        <f>'SEMANA MARÇO'!$M$118</f>
        <v>15612</v>
      </c>
      <c r="D21" s="888">
        <f>IF(C21&gt;0,CONFIG!$B$3,0)</f>
        <v>11000</v>
      </c>
      <c r="E21" s="889">
        <f t="shared" si="0"/>
        <v>4612</v>
      </c>
      <c r="F21" s="444"/>
      <c r="G21" s="424"/>
      <c r="H21" s="424"/>
      <c r="I21" s="424"/>
      <c r="J21" s="424"/>
      <c r="K21" s="424"/>
      <c r="L21" s="424"/>
      <c r="M21" s="424"/>
      <c r="N21" s="424"/>
      <c r="O21" s="424"/>
      <c r="P21" s="93">
        <f t="shared" si="1"/>
        <v>13</v>
      </c>
      <c r="Q21" s="1" t="e">
        <f t="shared" si="2"/>
        <v>#N/A</v>
      </c>
      <c r="R21" s="1" t="e">
        <f t="shared" si="3"/>
        <v>#N/A</v>
      </c>
      <c r="S21" s="1">
        <f t="shared" si="4"/>
        <v>15612</v>
      </c>
      <c r="X21" s="63">
        <f t="shared" si="5"/>
        <v>15612</v>
      </c>
      <c r="Y21" s="63">
        <f t="shared" si="6"/>
        <v>11000</v>
      </c>
    </row>
    <row r="22" spans="1:25" x14ac:dyDescent="0.3">
      <c r="A22" s="413">
        <v>46100</v>
      </c>
      <c r="B22" s="416">
        <f>IF(D22&gt;0,COUNTIF($D$9:D22,"&gt;0"),"")</f>
        <v>14</v>
      </c>
      <c r="C22" s="890">
        <f>'SEMANA MARÇO'!$M$127</f>
        <v>10548</v>
      </c>
      <c r="D22" s="890">
        <f>IF(C22&gt;0,CONFIG!$B$3,0)</f>
        <v>11000</v>
      </c>
      <c r="E22" s="891">
        <f t="shared" si="0"/>
        <v>-452</v>
      </c>
      <c r="F22" s="444"/>
      <c r="G22" s="424"/>
      <c r="H22" s="424"/>
      <c r="I22" s="424"/>
      <c r="J22" s="424"/>
      <c r="K22" s="424"/>
      <c r="L22" s="424"/>
      <c r="M22" s="424"/>
      <c r="N22" s="424"/>
      <c r="O22" s="424"/>
      <c r="P22" s="93">
        <f t="shared" si="1"/>
        <v>14</v>
      </c>
      <c r="Q22" s="1">
        <f t="shared" si="2"/>
        <v>10548</v>
      </c>
      <c r="R22" s="1" t="e">
        <f t="shared" si="3"/>
        <v>#N/A</v>
      </c>
      <c r="S22" s="1" t="e">
        <f t="shared" si="4"/>
        <v>#N/A</v>
      </c>
      <c r="X22" s="63">
        <f t="shared" si="5"/>
        <v>10548</v>
      </c>
      <c r="Y22" s="63">
        <f t="shared" si="6"/>
        <v>11000</v>
      </c>
    </row>
    <row r="23" spans="1:25" x14ac:dyDescent="0.3">
      <c r="A23" s="412">
        <v>46101</v>
      </c>
      <c r="B23" s="414">
        <f>IF(D23&gt;0,COUNTIF($D$9:D23,"&gt;0"),"")</f>
        <v>15</v>
      </c>
      <c r="C23" s="888">
        <f>'SEMANA MARÇO'!$M$136</f>
        <v>5172</v>
      </c>
      <c r="D23" s="888">
        <f>IF(C23&gt;0,CONFIG!$B$3,0)</f>
        <v>11000</v>
      </c>
      <c r="E23" s="889">
        <f t="shared" si="0"/>
        <v>-5828</v>
      </c>
      <c r="F23" s="445" t="s">
        <v>409</v>
      </c>
      <c r="G23" s="424"/>
      <c r="H23" s="424"/>
      <c r="I23" s="424"/>
      <c r="J23" s="424"/>
      <c r="K23" s="424"/>
      <c r="L23" s="424"/>
      <c r="M23" s="424"/>
      <c r="N23" s="424"/>
      <c r="O23" s="424"/>
      <c r="P23" s="93">
        <f t="shared" si="1"/>
        <v>15</v>
      </c>
      <c r="Q23" s="1">
        <f t="shared" si="2"/>
        <v>5172</v>
      </c>
      <c r="R23" s="1" t="e">
        <f t="shared" si="3"/>
        <v>#N/A</v>
      </c>
      <c r="S23" s="1" t="e">
        <f t="shared" si="4"/>
        <v>#N/A</v>
      </c>
      <c r="X23" s="63">
        <f t="shared" si="5"/>
        <v>5172</v>
      </c>
      <c r="Y23" s="63">
        <f t="shared" si="6"/>
        <v>11000</v>
      </c>
    </row>
    <row r="24" spans="1:25" ht="27.6" x14ac:dyDescent="0.3">
      <c r="A24" s="413">
        <v>46104</v>
      </c>
      <c r="B24" s="416">
        <f>IF(D24&gt;0,COUNTIF($D$9:D24,"&gt;0"),"")</f>
        <v>16</v>
      </c>
      <c r="C24" s="890">
        <f>'SEMANA MARÇO'!$M$145</f>
        <v>8652</v>
      </c>
      <c r="D24" s="890">
        <f>IF(C24&gt;0,CONFIG!$B$3,0)</f>
        <v>11000</v>
      </c>
      <c r="E24" s="891">
        <f t="shared" si="0"/>
        <v>-2348</v>
      </c>
      <c r="F24" s="445" t="s">
        <v>410</v>
      </c>
      <c r="G24" s="424"/>
      <c r="H24" s="424"/>
      <c r="I24" s="424"/>
      <c r="J24" s="424"/>
      <c r="K24" s="424"/>
      <c r="L24" s="424"/>
      <c r="M24" s="424"/>
      <c r="N24" s="424"/>
      <c r="O24" s="424"/>
      <c r="P24" s="93">
        <f t="shared" si="1"/>
        <v>16</v>
      </c>
      <c r="Q24" s="1">
        <f t="shared" si="2"/>
        <v>8652</v>
      </c>
      <c r="R24" s="1" t="e">
        <f t="shared" si="3"/>
        <v>#N/A</v>
      </c>
      <c r="S24" s="1" t="e">
        <f t="shared" si="4"/>
        <v>#N/A</v>
      </c>
      <c r="X24" s="63">
        <f t="shared" si="5"/>
        <v>8652</v>
      </c>
      <c r="Y24" s="63">
        <f t="shared" si="6"/>
        <v>11000</v>
      </c>
    </row>
    <row r="25" spans="1:25" ht="27.6" x14ac:dyDescent="0.3">
      <c r="A25" s="412">
        <v>46105</v>
      </c>
      <c r="B25" s="414">
        <f>IF(D25&gt;0,COUNTIF($D$9:D25,"&gt;0"),"")</f>
        <v>17</v>
      </c>
      <c r="C25" s="888">
        <f>'SEMANA MARÇO'!$M$154</f>
        <v>5592</v>
      </c>
      <c r="D25" s="888">
        <f>IF(C25&gt;0,CONFIG!$B$3,0)</f>
        <v>11000</v>
      </c>
      <c r="E25" s="889">
        <f t="shared" si="0"/>
        <v>-5408</v>
      </c>
      <c r="F25" s="445" t="s">
        <v>411</v>
      </c>
      <c r="G25" s="424"/>
      <c r="H25" s="424"/>
      <c r="I25" s="424"/>
      <c r="J25" s="424"/>
      <c r="K25" s="424"/>
      <c r="L25" s="424"/>
      <c r="M25" s="424"/>
      <c r="N25" s="424"/>
      <c r="O25" s="424"/>
      <c r="P25" s="93">
        <f t="shared" si="1"/>
        <v>17</v>
      </c>
      <c r="Q25" s="1">
        <f t="shared" si="2"/>
        <v>5592</v>
      </c>
      <c r="R25" s="1" t="e">
        <f t="shared" si="3"/>
        <v>#N/A</v>
      </c>
      <c r="S25" s="1" t="e">
        <f t="shared" si="4"/>
        <v>#N/A</v>
      </c>
      <c r="X25" s="63">
        <f t="shared" si="5"/>
        <v>5592</v>
      </c>
      <c r="Y25" s="63">
        <f t="shared" si="6"/>
        <v>11000</v>
      </c>
    </row>
    <row r="26" spans="1:25" x14ac:dyDescent="0.3">
      <c r="A26" s="413">
        <v>46106</v>
      </c>
      <c r="B26" s="416">
        <f>IF(D26&gt;0,COUNTIF($D$9:D26,"&gt;0"),"")</f>
        <v>18</v>
      </c>
      <c r="C26" s="890">
        <f>'SEMANA MARÇO'!$M$163</f>
        <v>9060</v>
      </c>
      <c r="D26" s="890">
        <f>IF(C26&gt;0,CONFIG!$B$3,0)</f>
        <v>11000</v>
      </c>
      <c r="E26" s="891">
        <f t="shared" si="0"/>
        <v>-1940</v>
      </c>
      <c r="F26" s="444"/>
      <c r="G26" s="424"/>
      <c r="H26" s="424"/>
      <c r="I26" s="424"/>
      <c r="J26" s="424"/>
      <c r="K26" s="424"/>
      <c r="L26" s="424"/>
      <c r="M26" s="424"/>
      <c r="N26" s="424"/>
      <c r="O26" s="424"/>
      <c r="P26" s="93">
        <f t="shared" si="1"/>
        <v>18</v>
      </c>
      <c r="Q26" s="1">
        <f t="shared" si="2"/>
        <v>9060</v>
      </c>
      <c r="R26" s="1" t="e">
        <f t="shared" si="3"/>
        <v>#N/A</v>
      </c>
      <c r="S26" s="1" t="e">
        <f t="shared" si="4"/>
        <v>#N/A</v>
      </c>
      <c r="X26" s="63">
        <f t="shared" si="5"/>
        <v>9060</v>
      </c>
      <c r="Y26" s="63">
        <f t="shared" si="6"/>
        <v>11000</v>
      </c>
    </row>
    <row r="27" spans="1:25" x14ac:dyDescent="0.3">
      <c r="A27" s="412">
        <v>46107</v>
      </c>
      <c r="B27" s="414">
        <f>IF(D27&gt;0,COUNTIF($D$9:D27,"&gt;0"),"")</f>
        <v>19</v>
      </c>
      <c r="C27" s="888">
        <f>'SEMANA MARÇO'!$M$172</f>
        <v>17856</v>
      </c>
      <c r="D27" s="888">
        <f>IF(C27&gt;0,CONFIG!$B$3,0)</f>
        <v>11000</v>
      </c>
      <c r="E27" s="889">
        <f t="shared" si="0"/>
        <v>6856</v>
      </c>
      <c r="F27" s="444"/>
      <c r="G27" s="424"/>
      <c r="H27" s="424"/>
      <c r="I27" s="424"/>
      <c r="J27" s="424"/>
      <c r="K27" s="424"/>
      <c r="L27" s="424"/>
      <c r="M27" s="424"/>
      <c r="N27" s="424"/>
      <c r="O27" s="424"/>
      <c r="P27" s="93">
        <f t="shared" si="1"/>
        <v>19</v>
      </c>
      <c r="Q27" s="1" t="e">
        <f t="shared" si="2"/>
        <v>#N/A</v>
      </c>
      <c r="R27" s="1" t="e">
        <f t="shared" si="3"/>
        <v>#N/A</v>
      </c>
      <c r="S27" s="1">
        <f t="shared" si="4"/>
        <v>17856</v>
      </c>
      <c r="X27" s="63">
        <f t="shared" si="5"/>
        <v>17856</v>
      </c>
      <c r="Y27" s="63">
        <f t="shared" si="6"/>
        <v>11000</v>
      </c>
    </row>
    <row r="28" spans="1:25" x14ac:dyDescent="0.3">
      <c r="A28" s="413">
        <v>46108</v>
      </c>
      <c r="B28" s="416">
        <f>IF(D28&gt;0,COUNTIF($D$9:D28,"&gt;0"),"")</f>
        <v>20</v>
      </c>
      <c r="C28" s="890">
        <f>'SEMANA MARÇO'!$M$181</f>
        <v>12420</v>
      </c>
      <c r="D28" s="890">
        <f>IF(C28&gt;0,CONFIG!$B$3,0)</f>
        <v>11000</v>
      </c>
      <c r="E28" s="891">
        <f t="shared" si="0"/>
        <v>1420</v>
      </c>
      <c r="F28" s="444"/>
      <c r="G28" s="424"/>
      <c r="H28" s="424"/>
      <c r="I28" s="424"/>
      <c r="J28" s="424"/>
      <c r="K28" s="424"/>
      <c r="L28" s="424"/>
      <c r="M28" s="424"/>
      <c r="N28" s="424"/>
      <c r="O28" s="424"/>
      <c r="P28" s="93">
        <f t="shared" si="1"/>
        <v>20</v>
      </c>
      <c r="Q28" s="1" t="e">
        <f t="shared" si="2"/>
        <v>#N/A</v>
      </c>
      <c r="R28" s="1" t="e">
        <f t="shared" si="3"/>
        <v>#N/A</v>
      </c>
      <c r="S28" s="1">
        <f t="shared" si="4"/>
        <v>12420</v>
      </c>
      <c r="X28" s="63">
        <f t="shared" si="5"/>
        <v>12420</v>
      </c>
      <c r="Y28" s="63">
        <f t="shared" si="6"/>
        <v>11000</v>
      </c>
    </row>
    <row r="29" spans="1:25" x14ac:dyDescent="0.3">
      <c r="A29" s="412">
        <v>46111</v>
      </c>
      <c r="B29" s="414">
        <f>IF(D29&gt;0,COUNTIF($D$9:D29,"&gt;0"),"")</f>
        <v>21</v>
      </c>
      <c r="C29" s="888">
        <f>'SEMANA MARÇO'!$M$190</f>
        <v>17604</v>
      </c>
      <c r="D29" s="888">
        <f>IF(C29&gt;0,CONFIG!$B$3,0)</f>
        <v>11000</v>
      </c>
      <c r="E29" s="889">
        <f t="shared" si="0"/>
        <v>6604</v>
      </c>
      <c r="F29" s="444"/>
      <c r="G29" s="424"/>
      <c r="H29" s="424"/>
      <c r="I29" s="424"/>
      <c r="J29" s="424"/>
      <c r="K29" s="424"/>
      <c r="L29" s="424"/>
      <c r="M29" s="424"/>
      <c r="N29" s="424"/>
      <c r="O29" s="424"/>
      <c r="P29" s="93">
        <f t="shared" si="1"/>
        <v>21</v>
      </c>
      <c r="Q29" s="1" t="e">
        <f t="shared" si="2"/>
        <v>#N/A</v>
      </c>
      <c r="R29" s="1" t="e">
        <f t="shared" si="3"/>
        <v>#N/A</v>
      </c>
      <c r="S29" s="1">
        <f t="shared" si="4"/>
        <v>17604</v>
      </c>
      <c r="X29" s="63">
        <f t="shared" si="5"/>
        <v>17604</v>
      </c>
      <c r="Y29" s="63">
        <f t="shared" si="6"/>
        <v>11000</v>
      </c>
    </row>
    <row r="30" spans="1:25" x14ac:dyDescent="0.3">
      <c r="A30" s="413">
        <v>46112</v>
      </c>
      <c r="B30" s="416">
        <f>IF(D30&gt;0,COUNTIF($D$9:D30,"&gt;0"),"")</f>
        <v>22</v>
      </c>
      <c r="C30" s="890">
        <f>'SEMANA MARÇO'!$M$199</f>
        <v>14292</v>
      </c>
      <c r="D30" s="890">
        <f>IF(C30&gt;0,CONFIG!$B$3,0)</f>
        <v>11000</v>
      </c>
      <c r="E30" s="891">
        <f t="shared" si="0"/>
        <v>3292</v>
      </c>
      <c r="F30" s="444"/>
      <c r="G30" s="424"/>
      <c r="H30" s="424"/>
      <c r="I30" s="424"/>
      <c r="J30" s="424"/>
      <c r="K30" s="424"/>
      <c r="L30" s="424"/>
      <c r="M30" s="424"/>
      <c r="N30" s="424"/>
      <c r="O30" s="424"/>
      <c r="P30" s="93">
        <f t="shared" si="1"/>
        <v>22</v>
      </c>
      <c r="Q30" s="1" t="e">
        <f t="shared" si="2"/>
        <v>#N/A</v>
      </c>
      <c r="R30" s="1" t="e">
        <f t="shared" si="3"/>
        <v>#N/A</v>
      </c>
      <c r="S30" s="1">
        <f t="shared" si="4"/>
        <v>14292</v>
      </c>
      <c r="X30" s="63">
        <f t="shared" si="5"/>
        <v>14292</v>
      </c>
      <c r="Y30" s="63">
        <f t="shared" si="6"/>
        <v>11000</v>
      </c>
    </row>
  </sheetData>
  <mergeCells count="1">
    <mergeCell ref="A1:F1"/>
  </mergeCells>
  <conditionalFormatting sqref="E9:E30">
    <cfRule type="cellIs" dxfId="313" priority="1" operator="greaterThan">
      <formula>0</formula>
    </cfRule>
    <cfRule type="cellIs" dxfId="312" priority="2" operator="lessThan">
      <formula>0</formula>
    </cfRule>
    <cfRule type="cellIs" dxfId="311"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0B5B-65AE-4372-BE26-3DFCDF3EA1A5}">
  <sheetPr>
    <tabColor rgb="FFC96B0A"/>
  </sheetPr>
  <dimension ref="B1:Q277"/>
  <sheetViews>
    <sheetView showGridLines="0" zoomScale="90" zoomScaleNormal="90" workbookViewId="0">
      <selection activeCell="R46" sqref="R46"/>
    </sheetView>
  </sheetViews>
  <sheetFormatPr defaultColWidth="8.5546875" defaultRowHeight="15" x14ac:dyDescent="0.25"/>
  <cols>
    <col min="1" max="1" width="2.5546875" style="116" customWidth="1"/>
    <col min="2" max="2" width="13.5546875" style="59" customWidth="1"/>
    <col min="3" max="3" width="7.5546875" style="59" customWidth="1"/>
    <col min="4" max="4" width="12.5546875" style="59" customWidth="1"/>
    <col min="5" max="5" width="9.33203125" style="59" customWidth="1"/>
    <col min="6" max="6" width="13.5546875" style="59" customWidth="1"/>
    <col min="7" max="7" width="6.5546875" style="59" customWidth="1"/>
    <col min="8" max="8" width="8" style="59" customWidth="1"/>
    <col min="9" max="9" width="7.5546875" style="59" customWidth="1"/>
    <col min="10" max="10" width="23" style="59" customWidth="1"/>
    <col min="11" max="11" width="9.33203125" style="59" customWidth="1"/>
    <col min="12" max="12" width="21" style="59" customWidth="1"/>
    <col min="13" max="13" width="18.33203125" style="59" customWidth="1"/>
    <col min="14" max="14" width="17.33203125" style="58" customWidth="1"/>
    <col min="15" max="15" width="10.77734375" style="116" customWidth="1"/>
    <col min="16" max="17" width="12.5546875" style="116" customWidth="1"/>
    <col min="18" max="16384" width="8.5546875" style="116"/>
  </cols>
  <sheetData>
    <row r="1" spans="2:15" ht="21.75" customHeight="1" x14ac:dyDescent="0.25">
      <c r="B1" s="639" t="s">
        <v>412</v>
      </c>
      <c r="C1" s="639"/>
      <c r="D1" s="639"/>
      <c r="E1" s="639"/>
      <c r="F1" s="639"/>
      <c r="G1" s="639"/>
      <c r="H1" s="639"/>
      <c r="I1" s="639"/>
      <c r="J1" s="639"/>
      <c r="K1" s="639"/>
      <c r="L1" s="639"/>
      <c r="M1" s="639"/>
      <c r="N1" s="639"/>
    </row>
    <row r="2" spans="2:15" ht="15" customHeight="1" x14ac:dyDescent="0.25">
      <c r="B2" s="662"/>
      <c r="C2" s="662"/>
      <c r="D2" s="662"/>
      <c r="E2" s="662"/>
      <c r="F2" s="662"/>
      <c r="G2" s="662"/>
      <c r="H2" s="662"/>
      <c r="I2" s="662"/>
      <c r="J2" s="662"/>
      <c r="K2" s="662"/>
      <c r="L2" s="662"/>
      <c r="M2" s="662"/>
      <c r="N2" s="662"/>
    </row>
    <row r="3" spans="2:15" ht="17.25" customHeight="1" x14ac:dyDescent="0.25">
      <c r="B3" s="502" t="s">
        <v>46</v>
      </c>
      <c r="C3" s="656" t="s">
        <v>47</v>
      </c>
      <c r="D3" s="656"/>
      <c r="E3" s="656" t="s">
        <v>48</v>
      </c>
      <c r="F3" s="656"/>
      <c r="G3" s="656" t="s">
        <v>49</v>
      </c>
      <c r="H3" s="656"/>
      <c r="I3" s="656"/>
      <c r="J3" s="656"/>
      <c r="K3" s="656" t="s">
        <v>50</v>
      </c>
      <c r="L3" s="656"/>
      <c r="M3" s="529" t="s">
        <v>51</v>
      </c>
      <c r="N3" s="526" t="s">
        <v>52</v>
      </c>
    </row>
    <row r="4" spans="2:15" ht="17.25" customHeight="1" x14ac:dyDescent="0.25">
      <c r="B4" s="659" t="s">
        <v>413</v>
      </c>
      <c r="C4" s="659">
        <v>26010384</v>
      </c>
      <c r="D4" s="659"/>
      <c r="E4" s="660"/>
      <c r="F4" s="660"/>
      <c r="G4" s="659" t="s">
        <v>75</v>
      </c>
      <c r="H4" s="659"/>
      <c r="I4" s="659"/>
      <c r="J4" s="659"/>
      <c r="K4" s="659" t="s">
        <v>76</v>
      </c>
      <c r="L4" s="659"/>
      <c r="M4" s="504" t="s">
        <v>77</v>
      </c>
      <c r="N4" s="528">
        <v>46120</v>
      </c>
      <c r="O4" s="493"/>
    </row>
    <row r="5" spans="2:15" ht="17.25" customHeight="1" x14ac:dyDescent="0.25">
      <c r="B5" s="659"/>
      <c r="C5" s="659">
        <v>26010385</v>
      </c>
      <c r="D5" s="659"/>
      <c r="E5" s="659"/>
      <c r="F5" s="659"/>
      <c r="G5" s="659" t="s">
        <v>75</v>
      </c>
      <c r="H5" s="659"/>
      <c r="I5" s="659"/>
      <c r="J5" s="659"/>
      <c r="K5" s="659"/>
      <c r="L5" s="659"/>
      <c r="M5" s="504" t="s">
        <v>77</v>
      </c>
      <c r="N5" s="498">
        <v>46120</v>
      </c>
      <c r="O5" s="493"/>
    </row>
    <row r="6" spans="2:15" ht="17.25" customHeight="1" x14ac:dyDescent="0.25">
      <c r="B6" s="659"/>
      <c r="C6" s="659">
        <v>26010386</v>
      </c>
      <c r="D6" s="659"/>
      <c r="E6" s="660"/>
      <c r="F6" s="660"/>
      <c r="G6" s="659" t="s">
        <v>75</v>
      </c>
      <c r="H6" s="659"/>
      <c r="I6" s="659"/>
      <c r="J6" s="659"/>
      <c r="K6" s="659"/>
      <c r="L6" s="659"/>
      <c r="M6" s="504" t="s">
        <v>77</v>
      </c>
      <c r="N6" s="498">
        <v>46121</v>
      </c>
      <c r="O6" s="493"/>
    </row>
    <row r="7" spans="2:15" ht="17.25" customHeight="1" x14ac:dyDescent="0.25">
      <c r="B7" s="659"/>
      <c r="C7" s="659">
        <v>26010387</v>
      </c>
      <c r="D7" s="659"/>
      <c r="E7" s="659"/>
      <c r="F7" s="659"/>
      <c r="G7" s="659" t="s">
        <v>75</v>
      </c>
      <c r="H7" s="659"/>
      <c r="I7" s="659"/>
      <c r="J7" s="659"/>
      <c r="K7" s="659"/>
      <c r="L7" s="659"/>
      <c r="M7" s="504" t="s">
        <v>77</v>
      </c>
      <c r="N7" s="498">
        <v>46121</v>
      </c>
      <c r="O7" s="493"/>
    </row>
    <row r="8" spans="2:15" ht="17.25" customHeight="1" x14ac:dyDescent="0.25">
      <c r="B8" s="659"/>
      <c r="C8" s="659">
        <v>26010388</v>
      </c>
      <c r="D8" s="659"/>
      <c r="E8" s="659"/>
      <c r="F8" s="659"/>
      <c r="G8" s="659" t="s">
        <v>75</v>
      </c>
      <c r="H8" s="659"/>
      <c r="I8" s="659"/>
      <c r="J8" s="659"/>
      <c r="K8" s="659"/>
      <c r="L8" s="659"/>
      <c r="M8" s="504" t="s">
        <v>77</v>
      </c>
      <c r="N8" s="498">
        <v>46121</v>
      </c>
      <c r="O8" s="493"/>
    </row>
    <row r="9" spans="2:15" ht="17.25" customHeight="1" x14ac:dyDescent="0.25">
      <c r="B9" s="659"/>
      <c r="C9" s="659">
        <v>26010389</v>
      </c>
      <c r="D9" s="659"/>
      <c r="E9" s="659"/>
      <c r="F9" s="659"/>
      <c r="G9" s="659" t="s">
        <v>75</v>
      </c>
      <c r="H9" s="659"/>
      <c r="I9" s="659"/>
      <c r="J9" s="659"/>
      <c r="K9" s="659"/>
      <c r="L9" s="659"/>
      <c r="M9" s="504" t="s">
        <v>77</v>
      </c>
      <c r="N9" s="498">
        <v>46121</v>
      </c>
      <c r="O9" s="493"/>
    </row>
    <row r="10" spans="2:15" ht="17.25" customHeight="1" x14ac:dyDescent="0.25">
      <c r="B10" s="659"/>
      <c r="C10" s="659">
        <v>26010390</v>
      </c>
      <c r="D10" s="659"/>
      <c r="E10" s="659"/>
      <c r="F10" s="659"/>
      <c r="G10" s="659" t="s">
        <v>75</v>
      </c>
      <c r="H10" s="659"/>
      <c r="I10" s="659"/>
      <c r="J10" s="659"/>
      <c r="K10" s="659"/>
      <c r="L10" s="659"/>
      <c r="M10" s="504" t="s">
        <v>77</v>
      </c>
      <c r="N10" s="498">
        <v>46121</v>
      </c>
      <c r="O10" s="493"/>
    </row>
    <row r="11" spans="2:15" ht="17.25" customHeight="1" x14ac:dyDescent="0.25">
      <c r="B11" s="659"/>
      <c r="C11" s="659">
        <v>26010391</v>
      </c>
      <c r="D11" s="659"/>
      <c r="E11" s="659"/>
      <c r="F11" s="659"/>
      <c r="G11" s="659" t="s">
        <v>75</v>
      </c>
      <c r="H11" s="659"/>
      <c r="I11" s="659"/>
      <c r="J11" s="659"/>
      <c r="K11" s="659"/>
      <c r="L11" s="659"/>
      <c r="M11" s="504" t="s">
        <v>77</v>
      </c>
      <c r="N11" s="498">
        <v>46121</v>
      </c>
      <c r="O11" s="493"/>
    </row>
    <row r="12" spans="2:15" ht="17.25" customHeight="1" x14ac:dyDescent="0.25">
      <c r="B12" s="659"/>
      <c r="C12" s="659">
        <v>26010392</v>
      </c>
      <c r="D12" s="659"/>
      <c r="E12" s="659"/>
      <c r="F12" s="659"/>
      <c r="G12" s="659" t="s">
        <v>75</v>
      </c>
      <c r="H12" s="659"/>
      <c r="I12" s="659"/>
      <c r="J12" s="659"/>
      <c r="K12" s="659"/>
      <c r="L12" s="659"/>
      <c r="M12" s="504" t="s">
        <v>77</v>
      </c>
      <c r="N12" s="498">
        <v>46121</v>
      </c>
      <c r="O12" s="493"/>
    </row>
    <row r="13" spans="2:15" ht="17.25" customHeight="1" x14ac:dyDescent="0.25">
      <c r="B13" s="659"/>
      <c r="C13" s="659">
        <v>26010393</v>
      </c>
      <c r="D13" s="659"/>
      <c r="E13" s="659"/>
      <c r="F13" s="659"/>
      <c r="G13" s="659" t="s">
        <v>75</v>
      </c>
      <c r="H13" s="659"/>
      <c r="I13" s="659"/>
      <c r="J13" s="659"/>
      <c r="K13" s="659"/>
      <c r="L13" s="659"/>
      <c r="M13" s="504" t="s">
        <v>77</v>
      </c>
      <c r="N13" s="498">
        <v>46122</v>
      </c>
      <c r="O13" s="493"/>
    </row>
    <row r="14" spans="2:15" ht="17.25" customHeight="1" x14ac:dyDescent="0.25">
      <c r="B14" s="659"/>
      <c r="C14" s="659">
        <v>26010394</v>
      </c>
      <c r="D14" s="659"/>
      <c r="E14" s="660"/>
      <c r="F14" s="660"/>
      <c r="G14" s="659" t="s">
        <v>75</v>
      </c>
      <c r="H14" s="659"/>
      <c r="I14" s="659"/>
      <c r="J14" s="659"/>
      <c r="K14" s="659"/>
      <c r="L14" s="659"/>
      <c r="M14" s="504" t="s">
        <v>77</v>
      </c>
      <c r="N14" s="498">
        <v>46122</v>
      </c>
      <c r="O14" s="493"/>
    </row>
    <row r="15" spans="2:15" ht="17.25" customHeight="1" x14ac:dyDescent="0.25">
      <c r="B15" s="659"/>
      <c r="C15" s="659">
        <v>26010395</v>
      </c>
      <c r="D15" s="659"/>
      <c r="E15" s="659"/>
      <c r="F15" s="659"/>
      <c r="G15" s="659" t="s">
        <v>75</v>
      </c>
      <c r="H15" s="659"/>
      <c r="I15" s="659"/>
      <c r="J15" s="659"/>
      <c r="K15" s="659"/>
      <c r="L15" s="659"/>
      <c r="M15" s="504" t="s">
        <v>77</v>
      </c>
      <c r="N15" s="498">
        <v>46122</v>
      </c>
      <c r="O15" s="493"/>
    </row>
    <row r="16" spans="2:15" ht="17.25" customHeight="1" x14ac:dyDescent="0.25">
      <c r="B16" s="659"/>
      <c r="C16" s="659">
        <v>26010396</v>
      </c>
      <c r="D16" s="659"/>
      <c r="E16" s="659"/>
      <c r="F16" s="659"/>
      <c r="G16" s="659" t="s">
        <v>75</v>
      </c>
      <c r="H16" s="659"/>
      <c r="I16" s="659"/>
      <c r="J16" s="659"/>
      <c r="K16" s="659"/>
      <c r="L16" s="659"/>
      <c r="M16" s="504" t="s">
        <v>77</v>
      </c>
      <c r="N16" s="498">
        <v>46122</v>
      </c>
      <c r="O16" s="493"/>
    </row>
    <row r="17" spans="2:15" ht="17.25" customHeight="1" x14ac:dyDescent="0.25">
      <c r="B17" s="659"/>
      <c r="C17" s="659">
        <v>26010397</v>
      </c>
      <c r="D17" s="659"/>
      <c r="E17" s="659"/>
      <c r="F17" s="659"/>
      <c r="G17" s="659" t="s">
        <v>75</v>
      </c>
      <c r="H17" s="659"/>
      <c r="I17" s="659"/>
      <c r="J17" s="659"/>
      <c r="K17" s="659"/>
      <c r="L17" s="659"/>
      <c r="M17" s="504" t="s">
        <v>77</v>
      </c>
      <c r="N17" s="498">
        <v>46125</v>
      </c>
      <c r="O17" s="493"/>
    </row>
    <row r="18" spans="2:15" ht="17.25" customHeight="1" x14ac:dyDescent="0.25">
      <c r="B18" s="659"/>
      <c r="C18" s="659">
        <v>26010398</v>
      </c>
      <c r="D18" s="659"/>
      <c r="E18" s="659"/>
      <c r="F18" s="659"/>
      <c r="G18" s="659" t="s">
        <v>75</v>
      </c>
      <c r="H18" s="659"/>
      <c r="I18" s="659"/>
      <c r="J18" s="659"/>
      <c r="K18" s="659"/>
      <c r="L18" s="659"/>
      <c r="M18" s="504" t="s">
        <v>77</v>
      </c>
      <c r="N18" s="498">
        <v>46125</v>
      </c>
      <c r="O18" s="493"/>
    </row>
    <row r="19" spans="2:15" ht="17.25" customHeight="1" x14ac:dyDescent="0.25">
      <c r="B19" s="659"/>
      <c r="C19" s="659">
        <v>26010399</v>
      </c>
      <c r="D19" s="659"/>
      <c r="E19" s="659"/>
      <c r="F19" s="659"/>
      <c r="G19" s="659" t="s">
        <v>75</v>
      </c>
      <c r="H19" s="659"/>
      <c r="I19" s="659"/>
      <c r="J19" s="659"/>
      <c r="K19" s="659"/>
      <c r="L19" s="659"/>
      <c r="M19" s="504" t="s">
        <v>77</v>
      </c>
      <c r="N19" s="498">
        <v>46125</v>
      </c>
      <c r="O19" s="493"/>
    </row>
    <row r="20" spans="2:15" ht="17.25" customHeight="1" x14ac:dyDescent="0.25">
      <c r="B20" s="659"/>
      <c r="C20" s="659">
        <v>26010400</v>
      </c>
      <c r="D20" s="659"/>
      <c r="E20" s="660"/>
      <c r="F20" s="660"/>
      <c r="G20" s="659" t="s">
        <v>75</v>
      </c>
      <c r="H20" s="659"/>
      <c r="I20" s="659"/>
      <c r="J20" s="659"/>
      <c r="K20" s="659"/>
      <c r="L20" s="659"/>
      <c r="M20" s="504" t="s">
        <v>77</v>
      </c>
      <c r="N20" s="498">
        <v>46125</v>
      </c>
      <c r="O20" s="493"/>
    </row>
    <row r="21" spans="2:15" ht="17.25" customHeight="1" x14ac:dyDescent="0.25">
      <c r="B21" s="659"/>
      <c r="C21" s="659">
        <v>26010401</v>
      </c>
      <c r="D21" s="659"/>
      <c r="E21" s="659"/>
      <c r="F21" s="659"/>
      <c r="G21" s="659" t="s">
        <v>75</v>
      </c>
      <c r="H21" s="659"/>
      <c r="I21" s="659"/>
      <c r="J21" s="659"/>
      <c r="K21" s="659"/>
      <c r="L21" s="659"/>
      <c r="M21" s="504" t="s">
        <v>77</v>
      </c>
      <c r="N21" s="498">
        <v>46126</v>
      </c>
      <c r="O21" s="493"/>
    </row>
    <row r="22" spans="2:15" ht="17.25" customHeight="1" x14ac:dyDescent="0.25">
      <c r="B22" s="659"/>
      <c r="C22" s="659">
        <v>26010402</v>
      </c>
      <c r="D22" s="659"/>
      <c r="E22" s="659"/>
      <c r="F22" s="659"/>
      <c r="G22" s="659" t="s">
        <v>75</v>
      </c>
      <c r="H22" s="659"/>
      <c r="I22" s="659"/>
      <c r="J22" s="659"/>
      <c r="K22" s="659"/>
      <c r="L22" s="659"/>
      <c r="M22" s="504" t="s">
        <v>77</v>
      </c>
      <c r="N22" s="498">
        <v>46126</v>
      </c>
      <c r="O22" s="493"/>
    </row>
    <row r="23" spans="2:15" ht="17.25" customHeight="1" x14ac:dyDescent="0.25">
      <c r="B23" s="659"/>
      <c r="C23" s="659">
        <v>26010403</v>
      </c>
      <c r="D23" s="659"/>
      <c r="E23" s="659"/>
      <c r="F23" s="659"/>
      <c r="G23" s="659" t="s">
        <v>75</v>
      </c>
      <c r="H23" s="659"/>
      <c r="I23" s="659"/>
      <c r="J23" s="659"/>
      <c r="K23" s="659"/>
      <c r="L23" s="659"/>
      <c r="M23" s="504" t="s">
        <v>77</v>
      </c>
      <c r="N23" s="498">
        <v>46126</v>
      </c>
      <c r="O23" s="493"/>
    </row>
    <row r="24" spans="2:15" ht="17.25" customHeight="1" x14ac:dyDescent="0.25">
      <c r="B24" s="659"/>
      <c r="C24" s="659">
        <v>26010404</v>
      </c>
      <c r="D24" s="659"/>
      <c r="E24" s="659"/>
      <c r="F24" s="659"/>
      <c r="G24" s="659" t="s">
        <v>75</v>
      </c>
      <c r="H24" s="659"/>
      <c r="I24" s="659"/>
      <c r="J24" s="659"/>
      <c r="K24" s="659"/>
      <c r="L24" s="659"/>
      <c r="M24" s="504" t="s">
        <v>77</v>
      </c>
      <c r="N24" s="498">
        <v>46126</v>
      </c>
      <c r="O24" s="493"/>
    </row>
    <row r="25" spans="2:15" ht="17.25" customHeight="1" x14ac:dyDescent="0.25">
      <c r="B25" s="659"/>
      <c r="C25" s="659">
        <v>26010405</v>
      </c>
      <c r="D25" s="659"/>
      <c r="E25" s="659"/>
      <c r="F25" s="659"/>
      <c r="G25" s="659" t="s">
        <v>75</v>
      </c>
      <c r="H25" s="659"/>
      <c r="I25" s="659"/>
      <c r="J25" s="659"/>
      <c r="K25" s="659"/>
      <c r="L25" s="659"/>
      <c r="M25" s="504" t="s">
        <v>77</v>
      </c>
      <c r="N25" s="498">
        <v>46126</v>
      </c>
      <c r="O25" s="493"/>
    </row>
    <row r="26" spans="2:15" ht="17.25" customHeight="1" x14ac:dyDescent="0.25">
      <c r="B26" s="659"/>
      <c r="C26" s="659">
        <v>26010406</v>
      </c>
      <c r="D26" s="659"/>
      <c r="E26" s="659"/>
      <c r="F26" s="659"/>
      <c r="G26" s="659" t="s">
        <v>75</v>
      </c>
      <c r="H26" s="659"/>
      <c r="I26" s="659"/>
      <c r="J26" s="659"/>
      <c r="K26" s="659"/>
      <c r="L26" s="659"/>
      <c r="M26" s="504" t="s">
        <v>77</v>
      </c>
      <c r="N26" s="498">
        <v>46126</v>
      </c>
      <c r="O26" s="493"/>
    </row>
    <row r="27" spans="2:15" ht="17.25" customHeight="1" x14ac:dyDescent="0.25">
      <c r="B27" s="659"/>
      <c r="C27" s="659">
        <v>26010407</v>
      </c>
      <c r="D27" s="659"/>
      <c r="E27" s="659"/>
      <c r="F27" s="659"/>
      <c r="G27" s="659" t="s">
        <v>75</v>
      </c>
      <c r="H27" s="659"/>
      <c r="I27" s="659"/>
      <c r="J27" s="659"/>
      <c r="K27" s="659"/>
      <c r="L27" s="659"/>
      <c r="M27" s="504" t="s">
        <v>77</v>
      </c>
      <c r="N27" s="498">
        <v>46126</v>
      </c>
      <c r="O27" s="493"/>
    </row>
    <row r="28" spans="2:15" ht="17.25" customHeight="1" x14ac:dyDescent="0.25">
      <c r="B28" s="659"/>
      <c r="C28" s="659">
        <v>26010408</v>
      </c>
      <c r="D28" s="659"/>
      <c r="E28" s="660"/>
      <c r="F28" s="660"/>
      <c r="G28" s="659" t="s">
        <v>75</v>
      </c>
      <c r="H28" s="659"/>
      <c r="I28" s="659"/>
      <c r="J28" s="659"/>
      <c r="K28" s="659"/>
      <c r="L28" s="659"/>
      <c r="M28" s="504" t="s">
        <v>77</v>
      </c>
      <c r="N28" s="498">
        <v>46127</v>
      </c>
      <c r="O28" s="493"/>
    </row>
    <row r="29" spans="2:15" ht="17.25" customHeight="1" x14ac:dyDescent="0.25">
      <c r="B29" s="504" t="s">
        <v>414</v>
      </c>
      <c r="C29" s="659"/>
      <c r="D29" s="659"/>
      <c r="E29" s="659">
        <v>26020376</v>
      </c>
      <c r="F29" s="659"/>
      <c r="G29" s="659" t="s">
        <v>273</v>
      </c>
      <c r="H29" s="659"/>
      <c r="I29" s="659"/>
      <c r="J29" s="659"/>
      <c r="K29" s="659" t="s">
        <v>120</v>
      </c>
      <c r="L29" s="659"/>
      <c r="M29" s="504" t="s">
        <v>127</v>
      </c>
      <c r="N29" s="498">
        <v>46114</v>
      </c>
      <c r="O29" s="493"/>
    </row>
    <row r="30" spans="2:15" ht="17.25" customHeight="1" x14ac:dyDescent="0.25">
      <c r="B30" s="659" t="s">
        <v>415</v>
      </c>
      <c r="C30" s="659"/>
      <c r="D30" s="659"/>
      <c r="E30" s="659">
        <v>26020376</v>
      </c>
      <c r="F30" s="659"/>
      <c r="G30" s="659" t="s">
        <v>273</v>
      </c>
      <c r="H30" s="659"/>
      <c r="I30" s="659"/>
      <c r="J30" s="659"/>
      <c r="K30" s="659" t="s">
        <v>62</v>
      </c>
      <c r="L30" s="659"/>
      <c r="M30" s="504" t="s">
        <v>416</v>
      </c>
      <c r="N30" s="498">
        <v>46114</v>
      </c>
      <c r="O30" s="493"/>
    </row>
    <row r="31" spans="2:15" ht="17.25" customHeight="1" x14ac:dyDescent="0.25">
      <c r="B31" s="659"/>
      <c r="C31" s="659"/>
      <c r="D31" s="659"/>
      <c r="E31" s="659">
        <v>26020379</v>
      </c>
      <c r="F31" s="659"/>
      <c r="G31" s="659" t="s">
        <v>386</v>
      </c>
      <c r="H31" s="659"/>
      <c r="I31" s="659"/>
      <c r="J31" s="659"/>
      <c r="K31" s="659"/>
      <c r="L31" s="659"/>
      <c r="M31" s="504" t="s">
        <v>417</v>
      </c>
      <c r="N31" s="498">
        <v>46118</v>
      </c>
      <c r="O31" s="493"/>
    </row>
    <row r="32" spans="2:15" ht="17.25" customHeight="1" x14ac:dyDescent="0.25">
      <c r="B32" s="659"/>
      <c r="C32" s="659">
        <v>26020337</v>
      </c>
      <c r="D32" s="659"/>
      <c r="E32" s="659">
        <v>26020377</v>
      </c>
      <c r="F32" s="659"/>
      <c r="G32" s="659" t="s">
        <v>383</v>
      </c>
      <c r="H32" s="659"/>
      <c r="I32" s="659"/>
      <c r="J32" s="659"/>
      <c r="K32" s="659"/>
      <c r="L32" s="659"/>
      <c r="M32" s="504" t="s">
        <v>417</v>
      </c>
      <c r="N32" s="498">
        <v>46118</v>
      </c>
      <c r="O32" s="493"/>
    </row>
    <row r="33" spans="2:15" ht="17.25" customHeight="1" x14ac:dyDescent="0.25">
      <c r="B33" s="659"/>
      <c r="C33" s="659"/>
      <c r="D33" s="659"/>
      <c r="E33" s="659">
        <v>26020381</v>
      </c>
      <c r="F33" s="659"/>
      <c r="G33" s="659" t="s">
        <v>388</v>
      </c>
      <c r="H33" s="659"/>
      <c r="I33" s="659"/>
      <c r="J33" s="659"/>
      <c r="K33" s="659"/>
      <c r="L33" s="659"/>
      <c r="M33" s="504" t="s">
        <v>417</v>
      </c>
      <c r="N33" s="498">
        <v>46118</v>
      </c>
      <c r="O33" s="493"/>
    </row>
    <row r="34" spans="2:15" ht="17.25" customHeight="1" x14ac:dyDescent="0.25">
      <c r="B34" s="659"/>
      <c r="C34" s="659"/>
      <c r="D34" s="659"/>
      <c r="E34" s="659">
        <v>26020382</v>
      </c>
      <c r="F34" s="659"/>
      <c r="G34" s="659" t="s">
        <v>389</v>
      </c>
      <c r="H34" s="659"/>
      <c r="I34" s="659"/>
      <c r="J34" s="659"/>
      <c r="K34" s="659"/>
      <c r="L34" s="659"/>
      <c r="M34" s="504" t="s">
        <v>417</v>
      </c>
      <c r="N34" s="498">
        <v>46119</v>
      </c>
      <c r="O34" s="493"/>
    </row>
    <row r="35" spans="2:15" ht="17.25" customHeight="1" x14ac:dyDescent="0.25">
      <c r="B35" s="659"/>
      <c r="C35" s="659"/>
      <c r="D35" s="659"/>
      <c r="E35" s="659">
        <v>26020383</v>
      </c>
      <c r="F35" s="659"/>
      <c r="G35" s="659" t="s">
        <v>390</v>
      </c>
      <c r="H35" s="659"/>
      <c r="I35" s="659"/>
      <c r="J35" s="659"/>
      <c r="K35" s="659"/>
      <c r="L35" s="659"/>
      <c r="M35" s="504" t="s">
        <v>418</v>
      </c>
      <c r="N35" s="498">
        <v>46119</v>
      </c>
      <c r="O35" s="493"/>
    </row>
    <row r="36" spans="2:15" ht="17.25" customHeight="1" x14ac:dyDescent="0.25">
      <c r="B36" s="659" t="s">
        <v>419</v>
      </c>
      <c r="C36" s="659"/>
      <c r="D36" s="659"/>
      <c r="E36" s="659">
        <v>26020376</v>
      </c>
      <c r="F36" s="659"/>
      <c r="G36" s="659" t="s">
        <v>273</v>
      </c>
      <c r="H36" s="659"/>
      <c r="I36" s="659"/>
      <c r="J36" s="659"/>
      <c r="K36" s="659" t="s">
        <v>126</v>
      </c>
      <c r="L36" s="659"/>
      <c r="M36" s="504" t="s">
        <v>417</v>
      </c>
      <c r="N36" s="498">
        <v>46114</v>
      </c>
      <c r="O36" s="493"/>
    </row>
    <row r="37" spans="2:15" ht="17.25" customHeight="1" x14ac:dyDescent="0.25">
      <c r="B37" s="659"/>
      <c r="C37" s="659"/>
      <c r="D37" s="659"/>
      <c r="E37" s="659">
        <v>26020378</v>
      </c>
      <c r="F37" s="659"/>
      <c r="G37" s="659" t="s">
        <v>385</v>
      </c>
      <c r="H37" s="659"/>
      <c r="I37" s="659"/>
      <c r="J37" s="659"/>
      <c r="K37" s="659"/>
      <c r="L37" s="659"/>
      <c r="M37" s="504" t="s">
        <v>417</v>
      </c>
      <c r="N37" s="498">
        <v>46118</v>
      </c>
      <c r="O37" s="493"/>
    </row>
    <row r="38" spans="2:15" ht="17.25" customHeight="1" x14ac:dyDescent="0.25">
      <c r="B38" s="659"/>
      <c r="C38" s="659"/>
      <c r="D38" s="659"/>
      <c r="E38" s="659">
        <v>26030380</v>
      </c>
      <c r="F38" s="659"/>
      <c r="G38" s="659" t="s">
        <v>387</v>
      </c>
      <c r="H38" s="659"/>
      <c r="I38" s="659"/>
      <c r="J38" s="659"/>
      <c r="K38" s="659"/>
      <c r="L38" s="659"/>
      <c r="M38" s="504" t="s">
        <v>417</v>
      </c>
      <c r="N38" s="498">
        <v>46118</v>
      </c>
      <c r="O38" s="493"/>
    </row>
    <row r="39" spans="2:15" ht="17.25" customHeight="1" x14ac:dyDescent="0.25">
      <c r="B39" s="659"/>
      <c r="C39" s="659"/>
      <c r="D39" s="659"/>
      <c r="E39" s="659">
        <v>26020382</v>
      </c>
      <c r="F39" s="659"/>
      <c r="G39" s="659" t="s">
        <v>389</v>
      </c>
      <c r="H39" s="659"/>
      <c r="I39" s="659"/>
      <c r="J39" s="659"/>
      <c r="K39" s="659"/>
      <c r="L39" s="659"/>
      <c r="M39" s="504" t="s">
        <v>420</v>
      </c>
      <c r="N39" s="498">
        <v>46119</v>
      </c>
      <c r="O39" s="493"/>
    </row>
    <row r="40" spans="2:15" ht="17.25" customHeight="1" x14ac:dyDescent="0.25">
      <c r="B40" s="659"/>
      <c r="C40" s="659"/>
      <c r="D40" s="659"/>
      <c r="E40" s="659">
        <v>26020383</v>
      </c>
      <c r="F40" s="659"/>
      <c r="G40" s="659" t="s">
        <v>390</v>
      </c>
      <c r="H40" s="659"/>
      <c r="I40" s="659"/>
      <c r="J40" s="659"/>
      <c r="K40" s="659"/>
      <c r="L40" s="659"/>
      <c r="M40" s="504" t="s">
        <v>417</v>
      </c>
      <c r="N40" s="498">
        <v>46119</v>
      </c>
      <c r="O40" s="493"/>
    </row>
    <row r="41" spans="2:15" ht="17.25" customHeight="1" x14ac:dyDescent="0.25">
      <c r="B41" s="504" t="s">
        <v>421</v>
      </c>
      <c r="C41" s="659">
        <v>26060409</v>
      </c>
      <c r="D41" s="659"/>
      <c r="E41" s="659"/>
      <c r="F41" s="659"/>
      <c r="G41" s="659" t="s">
        <v>422</v>
      </c>
      <c r="H41" s="659"/>
      <c r="I41" s="659"/>
      <c r="J41" s="659"/>
      <c r="K41" s="659" t="s">
        <v>76</v>
      </c>
      <c r="L41" s="659"/>
      <c r="M41" s="504" t="s">
        <v>423</v>
      </c>
      <c r="N41" s="498">
        <v>46118</v>
      </c>
      <c r="O41" s="493"/>
    </row>
    <row r="42" spans="2:15" ht="17.25" customHeight="1" x14ac:dyDescent="0.25">
      <c r="B42" s="504" t="s">
        <v>424</v>
      </c>
      <c r="C42" s="659">
        <v>26060410</v>
      </c>
      <c r="D42" s="659"/>
      <c r="E42" s="659" t="s">
        <v>425</v>
      </c>
      <c r="F42" s="659"/>
      <c r="G42" s="659" t="s">
        <v>426</v>
      </c>
      <c r="H42" s="659"/>
      <c r="I42" s="659"/>
      <c r="J42" s="659"/>
      <c r="K42" s="659" t="s">
        <v>62</v>
      </c>
      <c r="L42" s="659"/>
      <c r="M42" s="505" t="s">
        <v>427</v>
      </c>
      <c r="N42" s="498">
        <v>46119</v>
      </c>
      <c r="O42" s="493"/>
    </row>
    <row r="43" spans="2:15" ht="17.25" customHeight="1" x14ac:dyDescent="0.25">
      <c r="B43" s="504" t="s">
        <v>428</v>
      </c>
      <c r="C43" s="659">
        <v>26010411</v>
      </c>
      <c r="D43" s="659"/>
      <c r="E43" s="659"/>
      <c r="F43" s="659"/>
      <c r="G43" s="659" t="s">
        <v>145</v>
      </c>
      <c r="H43" s="659"/>
      <c r="I43" s="659"/>
      <c r="J43" s="659"/>
      <c r="K43" s="659" t="s">
        <v>62</v>
      </c>
      <c r="L43" s="659"/>
      <c r="M43" s="504" t="s">
        <v>429</v>
      </c>
      <c r="N43" s="498">
        <v>46121</v>
      </c>
      <c r="O43" s="493"/>
    </row>
    <row r="44" spans="2:15" ht="17.25" customHeight="1" x14ac:dyDescent="0.25">
      <c r="B44" s="659" t="s">
        <v>430</v>
      </c>
      <c r="C44" s="659">
        <v>26010412</v>
      </c>
      <c r="D44" s="659"/>
      <c r="E44" s="660"/>
      <c r="F44" s="660"/>
      <c r="G44" s="659" t="s">
        <v>86</v>
      </c>
      <c r="H44" s="659"/>
      <c r="I44" s="659"/>
      <c r="J44" s="659"/>
      <c r="K44" s="659" t="s">
        <v>27</v>
      </c>
      <c r="L44" s="659"/>
      <c r="M44" s="504" t="s">
        <v>355</v>
      </c>
      <c r="N44" s="498">
        <v>46121</v>
      </c>
      <c r="O44" s="493"/>
    </row>
    <row r="45" spans="2:15" ht="17.25" customHeight="1" x14ac:dyDescent="0.25">
      <c r="B45" s="659"/>
      <c r="C45" s="659">
        <v>26010413</v>
      </c>
      <c r="D45" s="659"/>
      <c r="E45" s="659"/>
      <c r="F45" s="659"/>
      <c r="G45" s="659" t="s">
        <v>86</v>
      </c>
      <c r="H45" s="659"/>
      <c r="I45" s="659"/>
      <c r="J45" s="659"/>
      <c r="K45" s="659"/>
      <c r="L45" s="659"/>
      <c r="M45" s="504" t="s">
        <v>431</v>
      </c>
      <c r="N45" s="498">
        <v>46122</v>
      </c>
      <c r="O45" s="493"/>
    </row>
    <row r="46" spans="2:15" ht="17.25" customHeight="1" x14ac:dyDescent="0.25">
      <c r="B46" s="659"/>
      <c r="C46" s="659">
        <v>26010414</v>
      </c>
      <c r="D46" s="659"/>
      <c r="E46" s="659"/>
      <c r="F46" s="659"/>
      <c r="G46" s="659" t="s">
        <v>86</v>
      </c>
      <c r="H46" s="659"/>
      <c r="I46" s="659"/>
      <c r="J46" s="659"/>
      <c r="K46" s="659"/>
      <c r="L46" s="659"/>
      <c r="M46" s="504" t="s">
        <v>355</v>
      </c>
      <c r="N46" s="498">
        <v>46125</v>
      </c>
      <c r="O46" s="493"/>
    </row>
    <row r="47" spans="2:15" ht="17.25" customHeight="1" x14ac:dyDescent="0.25">
      <c r="B47" s="659"/>
      <c r="C47" s="659">
        <v>26010415</v>
      </c>
      <c r="D47" s="659"/>
      <c r="E47" s="660" t="s">
        <v>364</v>
      </c>
      <c r="F47" s="660"/>
      <c r="G47" s="659" t="s">
        <v>86</v>
      </c>
      <c r="H47" s="659"/>
      <c r="I47" s="659"/>
      <c r="J47" s="659"/>
      <c r="K47" s="659"/>
      <c r="L47" s="659"/>
      <c r="M47" s="505" t="s">
        <v>431</v>
      </c>
      <c r="N47" s="498">
        <v>46126</v>
      </c>
      <c r="O47" s="493"/>
    </row>
    <row r="48" spans="2:15" ht="17.25" customHeight="1" x14ac:dyDescent="0.25">
      <c r="B48" s="659"/>
      <c r="C48" s="659">
        <v>26010416</v>
      </c>
      <c r="D48" s="659"/>
      <c r="E48" s="659"/>
      <c r="F48" s="659"/>
      <c r="G48" s="659" t="s">
        <v>86</v>
      </c>
      <c r="H48" s="659"/>
      <c r="I48" s="659"/>
      <c r="J48" s="659"/>
      <c r="K48" s="659"/>
      <c r="L48" s="659"/>
      <c r="M48" s="504" t="s">
        <v>355</v>
      </c>
      <c r="N48" s="498">
        <v>46161</v>
      </c>
      <c r="O48" s="493"/>
    </row>
    <row r="49" spans="2:17" ht="17.25" customHeight="1" x14ac:dyDescent="0.25">
      <c r="B49" s="504" t="s">
        <v>432</v>
      </c>
      <c r="C49" s="659"/>
      <c r="D49" s="659"/>
      <c r="E49" s="659">
        <v>2633186</v>
      </c>
      <c r="F49" s="659"/>
      <c r="G49" s="659" t="s">
        <v>433</v>
      </c>
      <c r="H49" s="659"/>
      <c r="I49" s="659"/>
      <c r="J49" s="659"/>
      <c r="K49" s="659" t="s">
        <v>149</v>
      </c>
      <c r="L49" s="659"/>
      <c r="M49" s="504" t="s">
        <v>434</v>
      </c>
      <c r="N49" s="498">
        <v>46126</v>
      </c>
      <c r="O49" s="503" t="s">
        <v>435</v>
      </c>
      <c r="P49" s="119"/>
      <c r="Q49" s="119"/>
    </row>
    <row r="50" spans="2:17" ht="17.25" customHeight="1" x14ac:dyDescent="0.25">
      <c r="B50" s="659" t="s">
        <v>436</v>
      </c>
      <c r="C50" s="659">
        <v>26010417</v>
      </c>
      <c r="D50" s="659"/>
      <c r="E50" s="659"/>
      <c r="F50" s="659"/>
      <c r="G50" s="659" t="s">
        <v>68</v>
      </c>
      <c r="H50" s="659"/>
      <c r="I50" s="659"/>
      <c r="J50" s="659"/>
      <c r="K50" s="659" t="s">
        <v>27</v>
      </c>
      <c r="L50" s="659"/>
      <c r="M50" s="504" t="s">
        <v>437</v>
      </c>
      <c r="N50" s="498">
        <v>46126</v>
      </c>
      <c r="O50" s="503" t="s">
        <v>438</v>
      </c>
      <c r="P50" s="118" t="s">
        <v>439</v>
      </c>
      <c r="Q50" s="118" t="s">
        <v>440</v>
      </c>
    </row>
    <row r="51" spans="2:17" ht="17.25" customHeight="1" x14ac:dyDescent="0.25">
      <c r="B51" s="659"/>
      <c r="C51" s="659">
        <v>26010418</v>
      </c>
      <c r="D51" s="659"/>
      <c r="E51" s="659"/>
      <c r="F51" s="659"/>
      <c r="G51" s="659" t="s">
        <v>366</v>
      </c>
      <c r="H51" s="659"/>
      <c r="I51" s="659"/>
      <c r="J51" s="659"/>
      <c r="K51" s="659"/>
      <c r="L51" s="659"/>
      <c r="M51" s="505" t="s">
        <v>63</v>
      </c>
      <c r="N51" s="498">
        <v>46135</v>
      </c>
      <c r="O51" s="493"/>
    </row>
    <row r="52" spans="2:17" ht="17.25" customHeight="1" x14ac:dyDescent="0.25">
      <c r="B52" s="504" t="s">
        <v>441</v>
      </c>
      <c r="C52" s="659">
        <v>26010419</v>
      </c>
      <c r="D52" s="659"/>
      <c r="E52" s="659"/>
      <c r="F52" s="659"/>
      <c r="G52" s="659" t="s">
        <v>130</v>
      </c>
      <c r="H52" s="659"/>
      <c r="I52" s="659"/>
      <c r="J52" s="659"/>
      <c r="K52" s="659" t="s">
        <v>131</v>
      </c>
      <c r="L52" s="659"/>
      <c r="M52" s="504" t="s">
        <v>442</v>
      </c>
      <c r="N52" s="498">
        <v>46127</v>
      </c>
      <c r="O52" s="493"/>
    </row>
    <row r="53" spans="2:17" ht="17.25" customHeight="1" x14ac:dyDescent="0.25">
      <c r="B53" s="504" t="s">
        <v>443</v>
      </c>
      <c r="C53" s="659">
        <v>26040420</v>
      </c>
      <c r="D53" s="659"/>
      <c r="E53" s="659"/>
      <c r="F53" s="659"/>
      <c r="G53" s="659" t="s">
        <v>260</v>
      </c>
      <c r="H53" s="659"/>
      <c r="I53" s="659"/>
      <c r="J53" s="659"/>
      <c r="K53" s="659" t="s">
        <v>444</v>
      </c>
      <c r="L53" s="659"/>
      <c r="M53" s="504" t="s">
        <v>256</v>
      </c>
      <c r="N53" s="498">
        <v>46128</v>
      </c>
      <c r="O53" s="493"/>
    </row>
    <row r="54" spans="2:17" ht="17.25" customHeight="1" x14ac:dyDescent="0.25">
      <c r="B54" s="504" t="s">
        <v>445</v>
      </c>
      <c r="C54" s="659">
        <v>26040421</v>
      </c>
      <c r="D54" s="659"/>
      <c r="E54" s="659"/>
      <c r="F54" s="659"/>
      <c r="G54" s="659" t="s">
        <v>258</v>
      </c>
      <c r="H54" s="659"/>
      <c r="I54" s="659"/>
      <c r="J54" s="659"/>
      <c r="K54" s="659" t="s">
        <v>265</v>
      </c>
      <c r="L54" s="659"/>
      <c r="M54" s="504" t="s">
        <v>266</v>
      </c>
      <c r="N54" s="498">
        <v>46128</v>
      </c>
      <c r="O54" s="493"/>
    </row>
    <row r="55" spans="2:17" ht="17.25" customHeight="1" x14ac:dyDescent="0.25">
      <c r="B55" s="504" t="s">
        <v>446</v>
      </c>
      <c r="C55" s="659">
        <v>26010422</v>
      </c>
      <c r="D55" s="659"/>
      <c r="E55" s="659"/>
      <c r="F55" s="659"/>
      <c r="G55" s="659" t="s">
        <v>57</v>
      </c>
      <c r="H55" s="659"/>
      <c r="I55" s="659"/>
      <c r="J55" s="659"/>
      <c r="K55" s="659" t="s">
        <v>58</v>
      </c>
      <c r="L55" s="659"/>
      <c r="M55" s="504" t="s">
        <v>447</v>
      </c>
      <c r="N55" s="498">
        <v>46130</v>
      </c>
      <c r="O55" s="493"/>
    </row>
    <row r="56" spans="2:17" ht="17.25" customHeight="1" x14ac:dyDescent="0.25">
      <c r="B56" s="504" t="s">
        <v>448</v>
      </c>
      <c r="C56" s="659" t="s">
        <v>449</v>
      </c>
      <c r="D56" s="659"/>
      <c r="E56" s="659"/>
      <c r="F56" s="659"/>
      <c r="G56" s="659" t="s">
        <v>450</v>
      </c>
      <c r="H56" s="659"/>
      <c r="I56" s="659"/>
      <c r="J56" s="659"/>
      <c r="K56" s="659" t="s">
        <v>31</v>
      </c>
      <c r="L56" s="659"/>
      <c r="M56" s="504" t="s">
        <v>55</v>
      </c>
      <c r="N56" s="498">
        <v>46132</v>
      </c>
      <c r="O56" s="493"/>
    </row>
    <row r="57" spans="2:17" ht="17.25" customHeight="1" x14ac:dyDescent="0.25">
      <c r="B57" s="659" t="s">
        <v>451</v>
      </c>
      <c r="C57" s="659">
        <v>26010424</v>
      </c>
      <c r="D57" s="659"/>
      <c r="E57" s="659"/>
      <c r="F57" s="659"/>
      <c r="G57" s="659" t="s">
        <v>75</v>
      </c>
      <c r="H57" s="659"/>
      <c r="I57" s="659"/>
      <c r="J57" s="659"/>
      <c r="K57" s="659" t="s">
        <v>76</v>
      </c>
      <c r="L57" s="659"/>
      <c r="M57" s="504" t="s">
        <v>77</v>
      </c>
      <c r="N57" s="498">
        <v>46127</v>
      </c>
      <c r="O57" s="493"/>
    </row>
    <row r="58" spans="2:17" ht="17.25" customHeight="1" x14ac:dyDescent="0.25">
      <c r="B58" s="659"/>
      <c r="C58" s="659">
        <v>26010425</v>
      </c>
      <c r="D58" s="659"/>
      <c r="E58" s="659"/>
      <c r="F58" s="659"/>
      <c r="G58" s="659" t="s">
        <v>75</v>
      </c>
      <c r="H58" s="659"/>
      <c r="I58" s="659"/>
      <c r="J58" s="659"/>
      <c r="K58" s="659"/>
      <c r="L58" s="659"/>
      <c r="M58" s="504" t="s">
        <v>77</v>
      </c>
      <c r="N58" s="498">
        <v>46127</v>
      </c>
      <c r="O58" s="493"/>
    </row>
    <row r="59" spans="2:17" ht="17.25" customHeight="1" x14ac:dyDescent="0.25">
      <c r="B59" s="659"/>
      <c r="C59" s="659">
        <v>26010426</v>
      </c>
      <c r="D59" s="659"/>
      <c r="E59" s="659"/>
      <c r="F59" s="659"/>
      <c r="G59" s="659" t="s">
        <v>75</v>
      </c>
      <c r="H59" s="659"/>
      <c r="I59" s="659"/>
      <c r="J59" s="659"/>
      <c r="K59" s="659"/>
      <c r="L59" s="659"/>
      <c r="M59" s="504" t="s">
        <v>77</v>
      </c>
      <c r="N59" s="498">
        <v>46127</v>
      </c>
      <c r="O59" s="493"/>
    </row>
    <row r="60" spans="2:17" ht="17.25" customHeight="1" x14ac:dyDescent="0.25">
      <c r="B60" s="659"/>
      <c r="C60" s="659">
        <v>26010427</v>
      </c>
      <c r="D60" s="659"/>
      <c r="E60" s="659"/>
      <c r="F60" s="659"/>
      <c r="G60" s="659" t="s">
        <v>75</v>
      </c>
      <c r="H60" s="659"/>
      <c r="I60" s="659"/>
      <c r="J60" s="659"/>
      <c r="K60" s="659"/>
      <c r="L60" s="659"/>
      <c r="M60" s="504" t="s">
        <v>77</v>
      </c>
      <c r="N60" s="498">
        <v>46127</v>
      </c>
      <c r="O60" s="493"/>
    </row>
    <row r="61" spans="2:17" ht="17.25" customHeight="1" x14ac:dyDescent="0.25">
      <c r="B61" s="659"/>
      <c r="C61" s="659">
        <v>26010428</v>
      </c>
      <c r="D61" s="659"/>
      <c r="E61" s="659"/>
      <c r="F61" s="659"/>
      <c r="G61" s="659" t="s">
        <v>75</v>
      </c>
      <c r="H61" s="659"/>
      <c r="I61" s="659"/>
      <c r="J61" s="659"/>
      <c r="K61" s="659"/>
      <c r="L61" s="659"/>
      <c r="M61" s="504" t="s">
        <v>77</v>
      </c>
      <c r="N61" s="498">
        <v>46128</v>
      </c>
      <c r="O61" s="493"/>
    </row>
    <row r="62" spans="2:17" ht="17.25" customHeight="1" x14ac:dyDescent="0.25">
      <c r="B62" s="659"/>
      <c r="C62" s="659">
        <v>26010429</v>
      </c>
      <c r="D62" s="659"/>
      <c r="E62" s="659"/>
      <c r="F62" s="659"/>
      <c r="G62" s="659" t="s">
        <v>75</v>
      </c>
      <c r="H62" s="659"/>
      <c r="I62" s="659"/>
      <c r="J62" s="659"/>
      <c r="K62" s="659"/>
      <c r="L62" s="659"/>
      <c r="M62" s="504" t="s">
        <v>77</v>
      </c>
      <c r="N62" s="498">
        <v>46128</v>
      </c>
      <c r="O62" s="493"/>
    </row>
    <row r="63" spans="2:17" ht="17.25" customHeight="1" x14ac:dyDescent="0.25">
      <c r="B63" s="659"/>
      <c r="C63" s="659">
        <v>26010430</v>
      </c>
      <c r="D63" s="659"/>
      <c r="E63" s="659"/>
      <c r="F63" s="659"/>
      <c r="G63" s="659" t="s">
        <v>75</v>
      </c>
      <c r="H63" s="659"/>
      <c r="I63" s="659"/>
      <c r="J63" s="659"/>
      <c r="K63" s="659"/>
      <c r="L63" s="659"/>
      <c r="M63" s="504" t="s">
        <v>77</v>
      </c>
      <c r="N63" s="498">
        <v>46128</v>
      </c>
      <c r="O63" s="493"/>
    </row>
    <row r="64" spans="2:17" ht="17.25" customHeight="1" x14ac:dyDescent="0.25">
      <c r="B64" s="659"/>
      <c r="C64" s="659">
        <v>26010431</v>
      </c>
      <c r="D64" s="659"/>
      <c r="E64" s="660"/>
      <c r="F64" s="660"/>
      <c r="G64" s="659" t="s">
        <v>75</v>
      </c>
      <c r="H64" s="659"/>
      <c r="I64" s="659"/>
      <c r="J64" s="659"/>
      <c r="K64" s="659"/>
      <c r="L64" s="659"/>
      <c r="M64" s="504" t="s">
        <v>77</v>
      </c>
      <c r="N64" s="498">
        <v>46128</v>
      </c>
      <c r="O64" s="493"/>
    </row>
    <row r="65" spans="2:15" ht="17.25" customHeight="1" x14ac:dyDescent="0.25">
      <c r="B65" s="659"/>
      <c r="C65" s="659">
        <v>26010432</v>
      </c>
      <c r="D65" s="659"/>
      <c r="E65" s="659"/>
      <c r="F65" s="659"/>
      <c r="G65" s="659" t="s">
        <v>75</v>
      </c>
      <c r="H65" s="659"/>
      <c r="I65" s="659"/>
      <c r="J65" s="659"/>
      <c r="K65" s="659"/>
      <c r="L65" s="659"/>
      <c r="M65" s="504" t="s">
        <v>77</v>
      </c>
      <c r="N65" s="498">
        <v>46128</v>
      </c>
      <c r="O65" s="493"/>
    </row>
    <row r="66" spans="2:15" ht="17.25" customHeight="1" x14ac:dyDescent="0.25">
      <c r="B66" s="659"/>
      <c r="C66" s="659">
        <v>26010433</v>
      </c>
      <c r="D66" s="659"/>
      <c r="E66" s="659"/>
      <c r="F66" s="659"/>
      <c r="G66" s="659" t="s">
        <v>75</v>
      </c>
      <c r="H66" s="659"/>
      <c r="I66" s="659"/>
      <c r="J66" s="659"/>
      <c r="K66" s="659"/>
      <c r="L66" s="659"/>
      <c r="M66" s="504" t="s">
        <v>77</v>
      </c>
      <c r="N66" s="498">
        <v>46128</v>
      </c>
      <c r="O66" s="493"/>
    </row>
    <row r="67" spans="2:15" ht="17.25" customHeight="1" x14ac:dyDescent="0.25">
      <c r="B67" s="659"/>
      <c r="C67" s="659">
        <v>26010434</v>
      </c>
      <c r="D67" s="659"/>
      <c r="E67" s="659"/>
      <c r="F67" s="659"/>
      <c r="G67" s="659" t="s">
        <v>75</v>
      </c>
      <c r="H67" s="659"/>
      <c r="I67" s="659"/>
      <c r="J67" s="659"/>
      <c r="K67" s="659"/>
      <c r="L67" s="659"/>
      <c r="M67" s="504" t="s">
        <v>77</v>
      </c>
      <c r="N67" s="498">
        <v>46130</v>
      </c>
      <c r="O67" s="493"/>
    </row>
    <row r="68" spans="2:15" ht="17.25" customHeight="1" x14ac:dyDescent="0.25">
      <c r="B68" s="659"/>
      <c r="C68" s="659">
        <v>26010435</v>
      </c>
      <c r="D68" s="659"/>
      <c r="E68" s="659"/>
      <c r="F68" s="659"/>
      <c r="G68" s="659" t="s">
        <v>75</v>
      </c>
      <c r="H68" s="659"/>
      <c r="I68" s="659"/>
      <c r="J68" s="659"/>
      <c r="K68" s="659"/>
      <c r="L68" s="659"/>
      <c r="M68" s="504" t="s">
        <v>77</v>
      </c>
      <c r="N68" s="498">
        <v>46130</v>
      </c>
      <c r="O68" s="493"/>
    </row>
    <row r="69" spans="2:15" ht="17.25" customHeight="1" x14ac:dyDescent="0.25">
      <c r="B69" s="659"/>
      <c r="C69" s="659">
        <v>26010436</v>
      </c>
      <c r="D69" s="659"/>
      <c r="E69" s="659"/>
      <c r="F69" s="659"/>
      <c r="G69" s="659" t="s">
        <v>75</v>
      </c>
      <c r="H69" s="659"/>
      <c r="I69" s="659"/>
      <c r="J69" s="659"/>
      <c r="K69" s="659"/>
      <c r="L69" s="659"/>
      <c r="M69" s="504" t="s">
        <v>77</v>
      </c>
      <c r="N69" s="498">
        <v>46130</v>
      </c>
      <c r="O69" s="493"/>
    </row>
    <row r="70" spans="2:15" ht="17.25" customHeight="1" x14ac:dyDescent="0.25">
      <c r="B70" s="659"/>
      <c r="C70" s="659">
        <v>26010437</v>
      </c>
      <c r="D70" s="659"/>
      <c r="E70" s="660"/>
      <c r="F70" s="660"/>
      <c r="G70" s="659" t="s">
        <v>75</v>
      </c>
      <c r="H70" s="659"/>
      <c r="I70" s="659"/>
      <c r="J70" s="659"/>
      <c r="K70" s="659"/>
      <c r="L70" s="659"/>
      <c r="M70" s="504" t="s">
        <v>77</v>
      </c>
      <c r="N70" s="498">
        <v>46130</v>
      </c>
      <c r="O70" s="493"/>
    </row>
    <row r="71" spans="2:15" ht="17.25" customHeight="1" x14ac:dyDescent="0.25">
      <c r="B71" s="659"/>
      <c r="C71" s="659">
        <v>26010438</v>
      </c>
      <c r="D71" s="659"/>
      <c r="E71" s="659"/>
      <c r="F71" s="659"/>
      <c r="G71" s="659" t="s">
        <v>75</v>
      </c>
      <c r="H71" s="659"/>
      <c r="I71" s="659"/>
      <c r="J71" s="659"/>
      <c r="K71" s="659"/>
      <c r="L71" s="659"/>
      <c r="M71" s="504" t="s">
        <v>77</v>
      </c>
      <c r="N71" s="498">
        <v>46130</v>
      </c>
      <c r="O71" s="493"/>
    </row>
    <row r="72" spans="2:15" ht="17.25" customHeight="1" x14ac:dyDescent="0.25">
      <c r="B72" s="659"/>
      <c r="C72" s="659">
        <v>26010439</v>
      </c>
      <c r="D72" s="659"/>
      <c r="E72" s="659"/>
      <c r="F72" s="659"/>
      <c r="G72" s="659" t="s">
        <v>75</v>
      </c>
      <c r="H72" s="659"/>
      <c r="I72" s="659"/>
      <c r="J72" s="659"/>
      <c r="K72" s="659"/>
      <c r="L72" s="659"/>
      <c r="M72" s="504" t="s">
        <v>77</v>
      </c>
      <c r="N72" s="498">
        <v>46132</v>
      </c>
      <c r="O72" s="493"/>
    </row>
    <row r="73" spans="2:15" ht="17.25" customHeight="1" x14ac:dyDescent="0.25">
      <c r="B73" s="659"/>
      <c r="C73" s="659">
        <v>26010440</v>
      </c>
      <c r="D73" s="659"/>
      <c r="E73" s="659"/>
      <c r="F73" s="659"/>
      <c r="G73" s="659" t="s">
        <v>75</v>
      </c>
      <c r="H73" s="659"/>
      <c r="I73" s="659"/>
      <c r="J73" s="659"/>
      <c r="K73" s="659"/>
      <c r="L73" s="659"/>
      <c r="M73" s="504" t="s">
        <v>77</v>
      </c>
      <c r="N73" s="498">
        <v>46132</v>
      </c>
      <c r="O73" s="493"/>
    </row>
    <row r="74" spans="2:15" ht="17.25" customHeight="1" x14ac:dyDescent="0.25">
      <c r="B74" s="659"/>
      <c r="C74" s="659">
        <v>26010441</v>
      </c>
      <c r="D74" s="659"/>
      <c r="E74" s="659"/>
      <c r="F74" s="659"/>
      <c r="G74" s="659" t="s">
        <v>75</v>
      </c>
      <c r="H74" s="659"/>
      <c r="I74" s="659"/>
      <c r="J74" s="659"/>
      <c r="K74" s="659"/>
      <c r="L74" s="659"/>
      <c r="M74" s="504" t="s">
        <v>77</v>
      </c>
      <c r="N74" s="498">
        <v>46132</v>
      </c>
      <c r="O74" s="493"/>
    </row>
    <row r="75" spans="2:15" ht="17.25" customHeight="1" x14ac:dyDescent="0.25">
      <c r="B75" s="659"/>
      <c r="C75" s="659">
        <v>26010442</v>
      </c>
      <c r="D75" s="659"/>
      <c r="E75" s="659"/>
      <c r="F75" s="659"/>
      <c r="G75" s="659" t="s">
        <v>75</v>
      </c>
      <c r="H75" s="659"/>
      <c r="I75" s="659"/>
      <c r="J75" s="659"/>
      <c r="K75" s="659"/>
      <c r="L75" s="659"/>
      <c r="M75" s="504" t="s">
        <v>77</v>
      </c>
      <c r="N75" s="498">
        <v>46132</v>
      </c>
      <c r="O75" s="493"/>
    </row>
    <row r="76" spans="2:15" ht="17.25" customHeight="1" x14ac:dyDescent="0.25">
      <c r="B76" s="659"/>
      <c r="C76" s="659">
        <v>26010443</v>
      </c>
      <c r="D76" s="659"/>
      <c r="E76" s="660"/>
      <c r="F76" s="660"/>
      <c r="G76" s="659" t="s">
        <v>75</v>
      </c>
      <c r="H76" s="659"/>
      <c r="I76" s="659"/>
      <c r="J76" s="659"/>
      <c r="K76" s="659"/>
      <c r="L76" s="659"/>
      <c r="M76" s="504" t="s">
        <v>77</v>
      </c>
      <c r="N76" s="498">
        <v>46132</v>
      </c>
      <c r="O76" s="493"/>
    </row>
    <row r="77" spans="2:15" ht="17.25" customHeight="1" x14ac:dyDescent="0.25">
      <c r="B77" s="659"/>
      <c r="C77" s="659">
        <v>26010444</v>
      </c>
      <c r="D77" s="659"/>
      <c r="E77" s="659"/>
      <c r="F77" s="659"/>
      <c r="G77" s="659" t="s">
        <v>75</v>
      </c>
      <c r="H77" s="659"/>
      <c r="I77" s="659"/>
      <c r="J77" s="659"/>
      <c r="K77" s="659"/>
      <c r="L77" s="659"/>
      <c r="M77" s="504" t="s">
        <v>77</v>
      </c>
      <c r="N77" s="498">
        <v>46132</v>
      </c>
      <c r="O77" s="493"/>
    </row>
    <row r="78" spans="2:15" ht="17.25" customHeight="1" x14ac:dyDescent="0.25">
      <c r="B78" s="659"/>
      <c r="C78" s="659">
        <v>26010445</v>
      </c>
      <c r="D78" s="659"/>
      <c r="E78" s="659"/>
      <c r="F78" s="659"/>
      <c r="G78" s="659" t="s">
        <v>75</v>
      </c>
      <c r="H78" s="659"/>
      <c r="I78" s="659"/>
      <c r="J78" s="659"/>
      <c r="K78" s="659"/>
      <c r="L78" s="659"/>
      <c r="M78" s="504" t="s">
        <v>77</v>
      </c>
      <c r="N78" s="498">
        <v>46133</v>
      </c>
      <c r="O78" s="493"/>
    </row>
    <row r="79" spans="2:15" ht="17.25" customHeight="1" x14ac:dyDescent="0.25">
      <c r="B79" s="659"/>
      <c r="C79" s="659">
        <v>26010446</v>
      </c>
      <c r="D79" s="659"/>
      <c r="E79" s="659"/>
      <c r="F79" s="659"/>
      <c r="G79" s="659" t="s">
        <v>75</v>
      </c>
      <c r="H79" s="659"/>
      <c r="I79" s="659"/>
      <c r="J79" s="659"/>
      <c r="K79" s="659"/>
      <c r="L79" s="659"/>
      <c r="M79" s="504" t="s">
        <v>77</v>
      </c>
      <c r="N79" s="498">
        <v>46133</v>
      </c>
      <c r="O79" s="493"/>
    </row>
    <row r="80" spans="2:15" ht="17.25" customHeight="1" x14ac:dyDescent="0.25">
      <c r="B80" s="659"/>
      <c r="C80" s="659">
        <v>26010447</v>
      </c>
      <c r="D80" s="659"/>
      <c r="E80" s="659"/>
      <c r="F80" s="659"/>
      <c r="G80" s="659" t="s">
        <v>75</v>
      </c>
      <c r="H80" s="659"/>
      <c r="I80" s="659"/>
      <c r="J80" s="659"/>
      <c r="K80" s="659"/>
      <c r="L80" s="659"/>
      <c r="M80" s="504" t="s">
        <v>77</v>
      </c>
      <c r="N80" s="498">
        <v>46133</v>
      </c>
      <c r="O80" s="493"/>
    </row>
    <row r="81" spans="2:15" ht="17.25" customHeight="1" x14ac:dyDescent="0.25">
      <c r="B81" s="659"/>
      <c r="C81" s="659">
        <v>26010448</v>
      </c>
      <c r="D81" s="659"/>
      <c r="E81" s="659"/>
      <c r="F81" s="659"/>
      <c r="G81" s="659" t="s">
        <v>75</v>
      </c>
      <c r="H81" s="659"/>
      <c r="I81" s="659"/>
      <c r="J81" s="659"/>
      <c r="K81" s="659"/>
      <c r="L81" s="659"/>
      <c r="M81" s="504" t="s">
        <v>77</v>
      </c>
      <c r="N81" s="498">
        <v>46133</v>
      </c>
      <c r="O81" s="493"/>
    </row>
    <row r="82" spans="2:15" ht="17.25" customHeight="1" x14ac:dyDescent="0.25">
      <c r="B82" s="504" t="s">
        <v>452</v>
      </c>
      <c r="C82" s="659">
        <v>26010449</v>
      </c>
      <c r="D82" s="659"/>
      <c r="E82" s="659"/>
      <c r="F82" s="659"/>
      <c r="G82" s="659" t="s">
        <v>453</v>
      </c>
      <c r="H82" s="659"/>
      <c r="I82" s="659"/>
      <c r="J82" s="659"/>
      <c r="K82" s="659" t="s">
        <v>58</v>
      </c>
      <c r="L82" s="659"/>
      <c r="M82" s="505" t="s">
        <v>454</v>
      </c>
      <c r="N82" s="498">
        <v>46130</v>
      </c>
      <c r="O82" s="493"/>
    </row>
    <row r="83" spans="2:15" ht="17.25" customHeight="1" x14ac:dyDescent="0.25">
      <c r="B83" s="504" t="s">
        <v>455</v>
      </c>
      <c r="C83" s="659">
        <v>26010450</v>
      </c>
      <c r="D83" s="659"/>
      <c r="E83" s="659"/>
      <c r="F83" s="659"/>
      <c r="G83" s="659" t="s">
        <v>456</v>
      </c>
      <c r="H83" s="659"/>
      <c r="I83" s="659"/>
      <c r="J83" s="659"/>
      <c r="K83" s="659" t="s">
        <v>76</v>
      </c>
      <c r="L83" s="659"/>
      <c r="M83" s="504" t="s">
        <v>457</v>
      </c>
      <c r="N83" s="498">
        <v>46128</v>
      </c>
      <c r="O83" s="493"/>
    </row>
    <row r="84" spans="2:15" ht="17.25" customHeight="1" x14ac:dyDescent="0.25">
      <c r="B84" s="659" t="s">
        <v>458</v>
      </c>
      <c r="C84" s="659">
        <v>26010451</v>
      </c>
      <c r="D84" s="659"/>
      <c r="E84" s="659"/>
      <c r="F84" s="659"/>
      <c r="G84" s="659" t="s">
        <v>75</v>
      </c>
      <c r="H84" s="659"/>
      <c r="I84" s="659"/>
      <c r="J84" s="659"/>
      <c r="K84" s="659" t="s">
        <v>76</v>
      </c>
      <c r="L84" s="659"/>
      <c r="M84" s="504" t="s">
        <v>77</v>
      </c>
      <c r="N84" s="498">
        <v>46133</v>
      </c>
      <c r="O84" s="493"/>
    </row>
    <row r="85" spans="2:15" ht="17.25" customHeight="1" x14ac:dyDescent="0.25">
      <c r="B85" s="659"/>
      <c r="C85" s="659">
        <v>26010452</v>
      </c>
      <c r="D85" s="659"/>
      <c r="E85" s="659"/>
      <c r="F85" s="659"/>
      <c r="G85" s="659" t="s">
        <v>75</v>
      </c>
      <c r="H85" s="659"/>
      <c r="I85" s="659"/>
      <c r="J85" s="659"/>
      <c r="K85" s="659"/>
      <c r="L85" s="659"/>
      <c r="M85" s="505" t="s">
        <v>77</v>
      </c>
      <c r="N85" s="498">
        <v>46133</v>
      </c>
      <c r="O85" s="493"/>
    </row>
    <row r="86" spans="2:15" ht="17.25" customHeight="1" x14ac:dyDescent="0.25">
      <c r="B86" s="659"/>
      <c r="C86" s="659">
        <v>26010453</v>
      </c>
      <c r="D86" s="659"/>
      <c r="E86" s="660"/>
      <c r="F86" s="660"/>
      <c r="G86" s="659" t="s">
        <v>75</v>
      </c>
      <c r="H86" s="659"/>
      <c r="I86" s="659"/>
      <c r="J86" s="659"/>
      <c r="K86" s="659"/>
      <c r="L86" s="659"/>
      <c r="M86" s="504" t="s">
        <v>77</v>
      </c>
      <c r="N86" s="498">
        <v>46133</v>
      </c>
      <c r="O86" s="493"/>
    </row>
    <row r="87" spans="2:15" ht="17.25" customHeight="1" x14ac:dyDescent="0.25">
      <c r="B87" s="659"/>
      <c r="C87" s="659">
        <v>26010454</v>
      </c>
      <c r="D87" s="659"/>
      <c r="E87" s="659"/>
      <c r="F87" s="659"/>
      <c r="G87" s="659" t="s">
        <v>75</v>
      </c>
      <c r="H87" s="659"/>
      <c r="I87" s="659"/>
      <c r="J87" s="659"/>
      <c r="K87" s="659"/>
      <c r="L87" s="659"/>
      <c r="M87" s="504" t="s">
        <v>77</v>
      </c>
      <c r="N87" s="498">
        <v>46134</v>
      </c>
      <c r="O87" s="493"/>
    </row>
    <row r="88" spans="2:15" ht="17.25" customHeight="1" x14ac:dyDescent="0.25">
      <c r="B88" s="659"/>
      <c r="C88" s="659">
        <v>26010455</v>
      </c>
      <c r="D88" s="659"/>
      <c r="E88" s="659"/>
      <c r="F88" s="659"/>
      <c r="G88" s="659" t="s">
        <v>75</v>
      </c>
      <c r="H88" s="659"/>
      <c r="I88" s="659"/>
      <c r="J88" s="659"/>
      <c r="K88" s="659"/>
      <c r="L88" s="659"/>
      <c r="M88" s="504" t="s">
        <v>77</v>
      </c>
      <c r="N88" s="498">
        <v>46134</v>
      </c>
      <c r="O88" s="493"/>
    </row>
    <row r="89" spans="2:15" ht="17.25" customHeight="1" x14ac:dyDescent="0.25">
      <c r="B89" s="659"/>
      <c r="C89" s="659">
        <v>26010456</v>
      </c>
      <c r="D89" s="659"/>
      <c r="E89" s="659"/>
      <c r="F89" s="659"/>
      <c r="G89" s="659" t="s">
        <v>75</v>
      </c>
      <c r="H89" s="659"/>
      <c r="I89" s="659"/>
      <c r="J89" s="659"/>
      <c r="K89" s="659"/>
      <c r="L89" s="659"/>
      <c r="M89" s="505" t="s">
        <v>77</v>
      </c>
      <c r="N89" s="498">
        <v>46134</v>
      </c>
      <c r="O89" s="493"/>
    </row>
    <row r="90" spans="2:15" ht="17.25" customHeight="1" x14ac:dyDescent="0.25">
      <c r="B90" s="659"/>
      <c r="C90" s="659">
        <v>26010457</v>
      </c>
      <c r="D90" s="659"/>
      <c r="E90" s="659"/>
      <c r="F90" s="659"/>
      <c r="G90" s="659" t="s">
        <v>75</v>
      </c>
      <c r="H90" s="659"/>
      <c r="I90" s="659"/>
      <c r="J90" s="659"/>
      <c r="K90" s="659"/>
      <c r="L90" s="659"/>
      <c r="M90" s="504" t="s">
        <v>77</v>
      </c>
      <c r="N90" s="498">
        <v>46134</v>
      </c>
      <c r="O90" s="493"/>
    </row>
    <row r="91" spans="2:15" ht="17.25" customHeight="1" x14ac:dyDescent="0.25">
      <c r="B91" s="659"/>
      <c r="C91" s="659">
        <v>26010458</v>
      </c>
      <c r="D91" s="659"/>
      <c r="E91" s="659"/>
      <c r="F91" s="659"/>
      <c r="G91" s="659" t="s">
        <v>75</v>
      </c>
      <c r="H91" s="659"/>
      <c r="I91" s="659"/>
      <c r="J91" s="659"/>
      <c r="K91" s="659"/>
      <c r="L91" s="659"/>
      <c r="M91" s="505" t="s">
        <v>77</v>
      </c>
      <c r="N91" s="498">
        <v>46134</v>
      </c>
      <c r="O91" s="493"/>
    </row>
    <row r="92" spans="2:15" ht="17.25" customHeight="1" x14ac:dyDescent="0.25">
      <c r="B92" s="659"/>
      <c r="C92" s="659">
        <v>26010459</v>
      </c>
      <c r="D92" s="659"/>
      <c r="E92" s="659"/>
      <c r="F92" s="659"/>
      <c r="G92" s="659" t="s">
        <v>75</v>
      </c>
      <c r="H92" s="659"/>
      <c r="I92" s="659"/>
      <c r="J92" s="659"/>
      <c r="K92" s="659"/>
      <c r="L92" s="659"/>
      <c r="M92" s="504" t="s">
        <v>77</v>
      </c>
      <c r="N92" s="498">
        <v>46134</v>
      </c>
      <c r="O92" s="493"/>
    </row>
    <row r="93" spans="2:15" ht="17.25" customHeight="1" x14ac:dyDescent="0.25">
      <c r="B93" s="659"/>
      <c r="C93" s="659">
        <v>26010460</v>
      </c>
      <c r="D93" s="659"/>
      <c r="E93" s="659"/>
      <c r="F93" s="659"/>
      <c r="G93" s="659" t="s">
        <v>75</v>
      </c>
      <c r="H93" s="659"/>
      <c r="I93" s="659"/>
      <c r="J93" s="659"/>
      <c r="K93" s="659"/>
      <c r="L93" s="659"/>
      <c r="M93" s="505" t="s">
        <v>77</v>
      </c>
      <c r="N93" s="498">
        <v>46135</v>
      </c>
      <c r="O93" s="493"/>
    </row>
    <row r="94" spans="2:15" ht="17.25" customHeight="1" x14ac:dyDescent="0.25">
      <c r="B94" s="659"/>
      <c r="C94" s="659">
        <v>26010461</v>
      </c>
      <c r="D94" s="659"/>
      <c r="E94" s="660"/>
      <c r="F94" s="660"/>
      <c r="G94" s="659" t="s">
        <v>75</v>
      </c>
      <c r="H94" s="659"/>
      <c r="I94" s="659"/>
      <c r="J94" s="659"/>
      <c r="K94" s="659"/>
      <c r="L94" s="659"/>
      <c r="M94" s="504" t="s">
        <v>77</v>
      </c>
      <c r="N94" s="498">
        <v>46135</v>
      </c>
      <c r="O94" s="493"/>
    </row>
    <row r="95" spans="2:15" ht="17.25" customHeight="1" x14ac:dyDescent="0.25">
      <c r="B95" s="659"/>
      <c r="C95" s="659">
        <v>26010462</v>
      </c>
      <c r="D95" s="659"/>
      <c r="E95" s="659"/>
      <c r="F95" s="659"/>
      <c r="G95" s="659" t="s">
        <v>75</v>
      </c>
      <c r="H95" s="659"/>
      <c r="I95" s="659"/>
      <c r="J95" s="659"/>
      <c r="K95" s="659"/>
      <c r="L95" s="659"/>
      <c r="M95" s="505" t="s">
        <v>77</v>
      </c>
      <c r="N95" s="498">
        <v>46135</v>
      </c>
      <c r="O95" s="493"/>
    </row>
    <row r="96" spans="2:15" ht="17.25" customHeight="1" x14ac:dyDescent="0.25">
      <c r="B96" s="659"/>
      <c r="C96" s="659">
        <v>26010463</v>
      </c>
      <c r="D96" s="659"/>
      <c r="E96" s="659"/>
      <c r="F96" s="659"/>
      <c r="G96" s="659" t="s">
        <v>75</v>
      </c>
      <c r="H96" s="659"/>
      <c r="I96" s="659"/>
      <c r="J96" s="659"/>
      <c r="K96" s="659"/>
      <c r="L96" s="659"/>
      <c r="M96" s="504" t="s">
        <v>77</v>
      </c>
      <c r="N96" s="498">
        <v>46135</v>
      </c>
      <c r="O96" s="493"/>
    </row>
    <row r="97" spans="2:15" ht="17.25" customHeight="1" x14ac:dyDescent="0.25">
      <c r="B97" s="659"/>
      <c r="C97" s="659">
        <v>26010464</v>
      </c>
      <c r="D97" s="659"/>
      <c r="E97" s="659"/>
      <c r="F97" s="659"/>
      <c r="G97" s="659" t="s">
        <v>75</v>
      </c>
      <c r="H97" s="659"/>
      <c r="I97" s="659"/>
      <c r="J97" s="659"/>
      <c r="K97" s="659"/>
      <c r="L97" s="659"/>
      <c r="M97" s="505" t="s">
        <v>77</v>
      </c>
      <c r="N97" s="498">
        <v>46135</v>
      </c>
      <c r="O97" s="493"/>
    </row>
    <row r="98" spans="2:15" ht="17.25" customHeight="1" x14ac:dyDescent="0.25">
      <c r="B98" s="659"/>
      <c r="C98" s="659">
        <v>26010465</v>
      </c>
      <c r="D98" s="659"/>
      <c r="E98" s="659"/>
      <c r="F98" s="659"/>
      <c r="G98" s="659" t="s">
        <v>75</v>
      </c>
      <c r="H98" s="659"/>
      <c r="I98" s="659"/>
      <c r="J98" s="659"/>
      <c r="K98" s="659"/>
      <c r="L98" s="659"/>
      <c r="M98" s="504" t="s">
        <v>77</v>
      </c>
      <c r="N98" s="498">
        <v>46135</v>
      </c>
      <c r="O98" s="493"/>
    </row>
    <row r="99" spans="2:15" ht="17.25" customHeight="1" x14ac:dyDescent="0.25">
      <c r="B99" s="659"/>
      <c r="C99" s="659">
        <v>26010466</v>
      </c>
      <c r="D99" s="659"/>
      <c r="E99" s="659"/>
      <c r="F99" s="659"/>
      <c r="G99" s="659" t="s">
        <v>75</v>
      </c>
      <c r="H99" s="659"/>
      <c r="I99" s="659"/>
      <c r="J99" s="659"/>
      <c r="K99" s="659"/>
      <c r="L99" s="659"/>
      <c r="M99" s="505" t="s">
        <v>77</v>
      </c>
      <c r="N99" s="498">
        <v>46135</v>
      </c>
      <c r="O99" s="493"/>
    </row>
    <row r="100" spans="2:15" ht="17.25" customHeight="1" x14ac:dyDescent="0.25">
      <c r="B100" s="659"/>
      <c r="C100" s="659">
        <v>26010467</v>
      </c>
      <c r="D100" s="659"/>
      <c r="E100" s="659"/>
      <c r="F100" s="659"/>
      <c r="G100" s="659" t="s">
        <v>75</v>
      </c>
      <c r="H100" s="659"/>
      <c r="I100" s="659"/>
      <c r="J100" s="659"/>
      <c r="K100" s="659"/>
      <c r="L100" s="659"/>
      <c r="M100" s="504" t="s">
        <v>77</v>
      </c>
      <c r="N100" s="498">
        <v>46135</v>
      </c>
      <c r="O100" s="493"/>
    </row>
    <row r="101" spans="2:15" ht="17.25" customHeight="1" x14ac:dyDescent="0.25">
      <c r="B101" s="659"/>
      <c r="C101" s="659">
        <v>26010468</v>
      </c>
      <c r="D101" s="659"/>
      <c r="E101" s="659"/>
      <c r="F101" s="659"/>
      <c r="G101" s="659" t="s">
        <v>75</v>
      </c>
      <c r="H101" s="659"/>
      <c r="I101" s="659"/>
      <c r="J101" s="659"/>
      <c r="K101" s="659"/>
      <c r="L101" s="659"/>
      <c r="M101" s="505" t="s">
        <v>77</v>
      </c>
      <c r="N101" s="498">
        <v>46135</v>
      </c>
      <c r="O101" s="493"/>
    </row>
    <row r="102" spans="2:15" ht="17.25" customHeight="1" x14ac:dyDescent="0.25">
      <c r="B102" s="659"/>
      <c r="C102" s="659">
        <v>26010469</v>
      </c>
      <c r="D102" s="659"/>
      <c r="E102" s="660"/>
      <c r="F102" s="660"/>
      <c r="G102" s="659" t="s">
        <v>75</v>
      </c>
      <c r="H102" s="659"/>
      <c r="I102" s="659"/>
      <c r="J102" s="659"/>
      <c r="K102" s="659"/>
      <c r="L102" s="659"/>
      <c r="M102" s="504" t="s">
        <v>77</v>
      </c>
      <c r="N102" s="498">
        <v>46136</v>
      </c>
      <c r="O102" s="493"/>
    </row>
    <row r="103" spans="2:15" ht="17.25" customHeight="1" x14ac:dyDescent="0.25">
      <c r="B103" s="659"/>
      <c r="C103" s="659">
        <v>26010470</v>
      </c>
      <c r="D103" s="659"/>
      <c r="E103" s="659"/>
      <c r="F103" s="659"/>
      <c r="G103" s="659" t="s">
        <v>75</v>
      </c>
      <c r="H103" s="659"/>
      <c r="I103" s="659"/>
      <c r="J103" s="659"/>
      <c r="K103" s="659"/>
      <c r="L103" s="659"/>
      <c r="M103" s="505" t="s">
        <v>77</v>
      </c>
      <c r="N103" s="498">
        <v>46136</v>
      </c>
      <c r="O103" s="493"/>
    </row>
    <row r="104" spans="2:15" ht="17.25" customHeight="1" x14ac:dyDescent="0.25">
      <c r="B104" s="659"/>
      <c r="C104" s="659">
        <v>26010471</v>
      </c>
      <c r="D104" s="659"/>
      <c r="E104" s="659"/>
      <c r="F104" s="659"/>
      <c r="G104" s="659" t="s">
        <v>75</v>
      </c>
      <c r="H104" s="659"/>
      <c r="I104" s="659"/>
      <c r="J104" s="659"/>
      <c r="K104" s="659"/>
      <c r="L104" s="659"/>
      <c r="M104" s="504" t="s">
        <v>77</v>
      </c>
      <c r="N104" s="498">
        <v>46140</v>
      </c>
      <c r="O104" s="493"/>
    </row>
    <row r="105" spans="2:15" ht="17.25" customHeight="1" x14ac:dyDescent="0.25">
      <c r="B105" s="659"/>
      <c r="C105" s="659">
        <v>26010472</v>
      </c>
      <c r="D105" s="659"/>
      <c r="E105" s="659"/>
      <c r="F105" s="659"/>
      <c r="G105" s="659" t="s">
        <v>75</v>
      </c>
      <c r="H105" s="659"/>
      <c r="I105" s="659"/>
      <c r="J105" s="659"/>
      <c r="K105" s="659"/>
      <c r="L105" s="659"/>
      <c r="M105" s="505" t="s">
        <v>77</v>
      </c>
      <c r="N105" s="498">
        <v>46140</v>
      </c>
      <c r="O105" s="493"/>
    </row>
    <row r="106" spans="2:15" ht="17.25" customHeight="1" x14ac:dyDescent="0.25">
      <c r="B106" s="659"/>
      <c r="C106" s="659">
        <v>26010473</v>
      </c>
      <c r="D106" s="659"/>
      <c r="E106" s="659"/>
      <c r="F106" s="659"/>
      <c r="G106" s="659" t="s">
        <v>75</v>
      </c>
      <c r="H106" s="659"/>
      <c r="I106" s="659"/>
      <c r="J106" s="659"/>
      <c r="K106" s="659"/>
      <c r="L106" s="659"/>
      <c r="M106" s="504" t="s">
        <v>77</v>
      </c>
      <c r="N106" s="498">
        <v>46140</v>
      </c>
      <c r="O106" s="493"/>
    </row>
    <row r="107" spans="2:15" ht="17.25" customHeight="1" x14ac:dyDescent="0.25">
      <c r="B107" s="659"/>
      <c r="C107" s="659">
        <v>26010474</v>
      </c>
      <c r="D107" s="659"/>
      <c r="E107" s="659"/>
      <c r="F107" s="659"/>
      <c r="G107" s="659" t="s">
        <v>75</v>
      </c>
      <c r="H107" s="659"/>
      <c r="I107" s="659"/>
      <c r="J107" s="659"/>
      <c r="K107" s="659"/>
      <c r="L107" s="659"/>
      <c r="M107" s="505" t="s">
        <v>77</v>
      </c>
      <c r="N107" s="498">
        <v>46140</v>
      </c>
      <c r="O107" s="493"/>
    </row>
    <row r="108" spans="2:15" ht="17.25" customHeight="1" x14ac:dyDescent="0.25">
      <c r="B108" s="659"/>
      <c r="C108" s="659">
        <v>26010475</v>
      </c>
      <c r="D108" s="659"/>
      <c r="E108" s="660"/>
      <c r="F108" s="660"/>
      <c r="G108" s="659" t="s">
        <v>75</v>
      </c>
      <c r="H108" s="659"/>
      <c r="I108" s="659"/>
      <c r="J108" s="659"/>
      <c r="K108" s="659"/>
      <c r="L108" s="659"/>
      <c r="M108" s="504" t="s">
        <v>77</v>
      </c>
      <c r="N108" s="498">
        <v>46140</v>
      </c>
      <c r="O108" s="493"/>
    </row>
    <row r="109" spans="2:15" ht="17.25" customHeight="1" x14ac:dyDescent="0.25">
      <c r="B109" s="659" t="s">
        <v>459</v>
      </c>
      <c r="C109" s="659">
        <v>26040476</v>
      </c>
      <c r="D109" s="659"/>
      <c r="E109" s="659"/>
      <c r="F109" s="659"/>
      <c r="G109" s="659" t="s">
        <v>263</v>
      </c>
      <c r="H109" s="659"/>
      <c r="I109" s="659"/>
      <c r="J109" s="659"/>
      <c r="K109" s="659" t="s">
        <v>265</v>
      </c>
      <c r="L109" s="659"/>
      <c r="M109" s="505" t="s">
        <v>460</v>
      </c>
      <c r="N109" s="498">
        <v>46136</v>
      </c>
      <c r="O109" s="493"/>
    </row>
    <row r="110" spans="2:15" ht="17.25" customHeight="1" x14ac:dyDescent="0.25">
      <c r="B110" s="659"/>
      <c r="C110" s="659">
        <v>26040477</v>
      </c>
      <c r="D110" s="659"/>
      <c r="E110" s="659"/>
      <c r="F110" s="659"/>
      <c r="G110" s="659" t="s">
        <v>260</v>
      </c>
      <c r="H110" s="659"/>
      <c r="I110" s="659"/>
      <c r="J110" s="659"/>
      <c r="K110" s="659"/>
      <c r="L110" s="659"/>
      <c r="M110" s="504" t="s">
        <v>461</v>
      </c>
      <c r="N110" s="498">
        <v>46139</v>
      </c>
      <c r="O110" s="493"/>
    </row>
    <row r="111" spans="2:15" ht="17.25" customHeight="1" x14ac:dyDescent="0.25">
      <c r="B111" s="504" t="s">
        <v>462</v>
      </c>
      <c r="C111" s="659">
        <v>26010478</v>
      </c>
      <c r="D111" s="659"/>
      <c r="E111" s="659"/>
      <c r="F111" s="659"/>
      <c r="G111" s="659" t="s">
        <v>143</v>
      </c>
      <c r="H111" s="659"/>
      <c r="I111" s="659"/>
      <c r="J111" s="659"/>
      <c r="K111" s="659" t="s">
        <v>62</v>
      </c>
      <c r="L111" s="659"/>
      <c r="M111" s="505" t="s">
        <v>463</v>
      </c>
      <c r="N111" s="498">
        <v>46140</v>
      </c>
      <c r="O111" s="503" t="s">
        <v>464</v>
      </c>
    </row>
    <row r="112" spans="2:15" ht="17.25" customHeight="1" x14ac:dyDescent="0.25">
      <c r="B112" s="504" t="s">
        <v>465</v>
      </c>
      <c r="C112" s="659"/>
      <c r="D112" s="659"/>
      <c r="E112" s="659">
        <v>26010417</v>
      </c>
      <c r="F112" s="659"/>
      <c r="G112" s="659" t="s">
        <v>68</v>
      </c>
      <c r="H112" s="659"/>
      <c r="I112" s="659"/>
      <c r="J112" s="659"/>
      <c r="K112" s="659" t="s">
        <v>27</v>
      </c>
      <c r="L112" s="659"/>
      <c r="M112" s="504" t="s">
        <v>466</v>
      </c>
      <c r="N112" s="498">
        <v>46140</v>
      </c>
      <c r="O112" s="493"/>
    </row>
    <row r="113" spans="2:15" ht="17.25" customHeight="1" x14ac:dyDescent="0.25">
      <c r="B113" s="659" t="s">
        <v>467</v>
      </c>
      <c r="C113" s="659">
        <v>26010480</v>
      </c>
      <c r="D113" s="659"/>
      <c r="E113" s="659"/>
      <c r="F113" s="659"/>
      <c r="G113" s="659" t="s">
        <v>75</v>
      </c>
      <c r="H113" s="659"/>
      <c r="I113" s="659"/>
      <c r="J113" s="659"/>
      <c r="K113" s="659" t="s">
        <v>76</v>
      </c>
      <c r="L113" s="659"/>
      <c r="M113" s="504" t="s">
        <v>77</v>
      </c>
      <c r="N113" s="498">
        <v>46141</v>
      </c>
      <c r="O113" s="493"/>
    </row>
    <row r="114" spans="2:15" ht="17.25" customHeight="1" x14ac:dyDescent="0.25">
      <c r="B114" s="659"/>
      <c r="C114" s="659">
        <v>26010481</v>
      </c>
      <c r="D114" s="659"/>
      <c r="E114" s="659"/>
      <c r="F114" s="659"/>
      <c r="G114" s="659" t="s">
        <v>75</v>
      </c>
      <c r="H114" s="659"/>
      <c r="I114" s="659"/>
      <c r="J114" s="659"/>
      <c r="K114" s="659"/>
      <c r="L114" s="659"/>
      <c r="M114" s="504" t="s">
        <v>77</v>
      </c>
      <c r="N114" s="498">
        <v>46141</v>
      </c>
      <c r="O114" s="493"/>
    </row>
    <row r="115" spans="2:15" ht="17.25" customHeight="1" x14ac:dyDescent="0.25">
      <c r="B115" s="659"/>
      <c r="C115" s="659">
        <v>26010482</v>
      </c>
      <c r="D115" s="659"/>
      <c r="E115" s="659"/>
      <c r="F115" s="659"/>
      <c r="G115" s="659" t="s">
        <v>75</v>
      </c>
      <c r="H115" s="659"/>
      <c r="I115" s="659"/>
      <c r="J115" s="659"/>
      <c r="K115" s="659"/>
      <c r="L115" s="659"/>
      <c r="M115" s="504" t="s">
        <v>77</v>
      </c>
      <c r="N115" s="498">
        <v>46141</v>
      </c>
      <c r="O115" s="493"/>
    </row>
    <row r="116" spans="2:15" ht="17.25" customHeight="1" x14ac:dyDescent="0.25">
      <c r="B116" s="659"/>
      <c r="C116" s="659">
        <v>26010483</v>
      </c>
      <c r="D116" s="659"/>
      <c r="E116" s="659"/>
      <c r="F116" s="659"/>
      <c r="G116" s="659" t="s">
        <v>75</v>
      </c>
      <c r="H116" s="659"/>
      <c r="I116" s="659"/>
      <c r="J116" s="659"/>
      <c r="K116" s="659"/>
      <c r="L116" s="659"/>
      <c r="M116" s="504" t="s">
        <v>77</v>
      </c>
      <c r="N116" s="498">
        <v>46141</v>
      </c>
      <c r="O116" s="493"/>
    </row>
    <row r="117" spans="2:15" ht="17.25" customHeight="1" x14ac:dyDescent="0.25">
      <c r="B117" s="659"/>
      <c r="C117" s="659">
        <v>26010484</v>
      </c>
      <c r="D117" s="659"/>
      <c r="E117" s="659"/>
      <c r="F117" s="659"/>
      <c r="G117" s="659" t="s">
        <v>75</v>
      </c>
      <c r="H117" s="659"/>
      <c r="I117" s="659"/>
      <c r="J117" s="659"/>
      <c r="K117" s="659"/>
      <c r="L117" s="659"/>
      <c r="M117" s="504" t="s">
        <v>77</v>
      </c>
      <c r="N117" s="498">
        <v>46141</v>
      </c>
      <c r="O117" s="493"/>
    </row>
    <row r="118" spans="2:15" ht="17.25" customHeight="1" x14ac:dyDescent="0.25">
      <c r="B118" s="659"/>
      <c r="C118" s="659">
        <v>26010485</v>
      </c>
      <c r="D118" s="659"/>
      <c r="E118" s="659"/>
      <c r="F118" s="659"/>
      <c r="G118" s="659" t="s">
        <v>75</v>
      </c>
      <c r="H118" s="659"/>
      <c r="I118" s="659"/>
      <c r="J118" s="659"/>
      <c r="K118" s="659"/>
      <c r="L118" s="659"/>
      <c r="M118" s="504" t="s">
        <v>77</v>
      </c>
      <c r="N118" s="498">
        <v>46141</v>
      </c>
      <c r="O118" s="493"/>
    </row>
    <row r="119" spans="2:15" ht="17.25" customHeight="1" x14ac:dyDescent="0.25">
      <c r="B119" s="659"/>
      <c r="C119" s="659">
        <v>26010486</v>
      </c>
      <c r="D119" s="659"/>
      <c r="E119" s="659"/>
      <c r="F119" s="659"/>
      <c r="G119" s="659" t="s">
        <v>75</v>
      </c>
      <c r="H119" s="659"/>
      <c r="I119" s="659"/>
      <c r="J119" s="659"/>
      <c r="K119" s="659"/>
      <c r="L119" s="659"/>
      <c r="M119" s="504" t="s">
        <v>77</v>
      </c>
      <c r="N119" s="498">
        <v>46141</v>
      </c>
      <c r="O119" s="493"/>
    </row>
    <row r="120" spans="2:15" ht="17.25" customHeight="1" x14ac:dyDescent="0.25">
      <c r="B120" s="659"/>
      <c r="C120" s="659">
        <v>26010487</v>
      </c>
      <c r="D120" s="659"/>
      <c r="E120" s="660"/>
      <c r="F120" s="660"/>
      <c r="G120" s="659" t="s">
        <v>75</v>
      </c>
      <c r="H120" s="659"/>
      <c r="I120" s="659"/>
      <c r="J120" s="659"/>
      <c r="K120" s="659"/>
      <c r="L120" s="659"/>
      <c r="M120" s="504" t="s">
        <v>77</v>
      </c>
      <c r="N120" s="498">
        <v>46142</v>
      </c>
      <c r="O120" s="493"/>
    </row>
    <row r="121" spans="2:15" ht="17.25" customHeight="1" x14ac:dyDescent="0.25">
      <c r="B121" s="659"/>
      <c r="C121" s="659">
        <v>26010488</v>
      </c>
      <c r="D121" s="659"/>
      <c r="E121" s="659"/>
      <c r="F121" s="659"/>
      <c r="G121" s="659" t="s">
        <v>75</v>
      </c>
      <c r="H121" s="659"/>
      <c r="I121" s="659"/>
      <c r="J121" s="659"/>
      <c r="K121" s="659"/>
      <c r="L121" s="659"/>
      <c r="M121" s="504" t="s">
        <v>77</v>
      </c>
      <c r="N121" s="498">
        <v>46142</v>
      </c>
      <c r="O121" s="493"/>
    </row>
    <row r="122" spans="2:15" ht="17.25" customHeight="1" x14ac:dyDescent="0.25">
      <c r="B122" s="659"/>
      <c r="C122" s="659">
        <v>26010489</v>
      </c>
      <c r="D122" s="659"/>
      <c r="E122" s="659"/>
      <c r="F122" s="659"/>
      <c r="G122" s="659" t="s">
        <v>75</v>
      </c>
      <c r="H122" s="659"/>
      <c r="I122" s="659"/>
      <c r="J122" s="659"/>
      <c r="K122" s="659"/>
      <c r="L122" s="659"/>
      <c r="M122" s="504" t="s">
        <v>77</v>
      </c>
      <c r="N122" s="498">
        <v>46142</v>
      </c>
      <c r="O122" s="493"/>
    </row>
    <row r="123" spans="2:15" ht="17.25" customHeight="1" x14ac:dyDescent="0.25">
      <c r="B123" s="659"/>
      <c r="C123" s="659">
        <v>26010490</v>
      </c>
      <c r="D123" s="659"/>
      <c r="E123" s="659"/>
      <c r="F123" s="659"/>
      <c r="G123" s="659" t="s">
        <v>75</v>
      </c>
      <c r="H123" s="659"/>
      <c r="I123" s="659"/>
      <c r="J123" s="659"/>
      <c r="K123" s="659"/>
      <c r="L123" s="659"/>
      <c r="M123" s="504" t="s">
        <v>77</v>
      </c>
      <c r="N123" s="498">
        <v>46142</v>
      </c>
      <c r="O123" s="493"/>
    </row>
    <row r="124" spans="2:15" ht="17.25" customHeight="1" x14ac:dyDescent="0.25">
      <c r="B124" s="659"/>
      <c r="C124" s="659">
        <v>26010491</v>
      </c>
      <c r="D124" s="659"/>
      <c r="E124" s="659"/>
      <c r="F124" s="659"/>
      <c r="G124" s="659" t="s">
        <v>75</v>
      </c>
      <c r="H124" s="659"/>
      <c r="I124" s="659"/>
      <c r="J124" s="659"/>
      <c r="K124" s="659"/>
      <c r="L124" s="659"/>
      <c r="M124" s="504" t="s">
        <v>77</v>
      </c>
      <c r="N124" s="498">
        <v>46142</v>
      </c>
      <c r="O124" s="493"/>
    </row>
    <row r="125" spans="2:15" ht="17.25" customHeight="1" x14ac:dyDescent="0.25">
      <c r="B125" s="659"/>
      <c r="C125" s="659">
        <v>26010492</v>
      </c>
      <c r="D125" s="659"/>
      <c r="E125" s="659"/>
      <c r="F125" s="659"/>
      <c r="G125" s="659" t="s">
        <v>75</v>
      </c>
      <c r="H125" s="659"/>
      <c r="I125" s="659"/>
      <c r="J125" s="659"/>
      <c r="K125" s="659"/>
      <c r="L125" s="659"/>
      <c r="M125" s="504" t="s">
        <v>77</v>
      </c>
      <c r="N125" s="498">
        <v>46142</v>
      </c>
      <c r="O125" s="493"/>
    </row>
    <row r="126" spans="2:15" ht="17.25" customHeight="1" x14ac:dyDescent="0.25">
      <c r="B126" s="659"/>
      <c r="C126" s="659">
        <v>26010493</v>
      </c>
      <c r="D126" s="659"/>
      <c r="E126" s="659"/>
      <c r="F126" s="659"/>
      <c r="G126" s="659" t="s">
        <v>75</v>
      </c>
      <c r="H126" s="659"/>
      <c r="I126" s="659"/>
      <c r="J126" s="659"/>
      <c r="K126" s="659"/>
      <c r="L126" s="659"/>
      <c r="M126" s="504" t="s">
        <v>77</v>
      </c>
      <c r="N126" s="498">
        <v>46142</v>
      </c>
      <c r="O126" s="493"/>
    </row>
    <row r="127" spans="2:15" ht="17.25" customHeight="1" x14ac:dyDescent="0.25">
      <c r="B127" s="659"/>
      <c r="C127" s="659">
        <v>26010494</v>
      </c>
      <c r="D127" s="659"/>
      <c r="E127" s="659"/>
      <c r="F127" s="659"/>
      <c r="G127" s="659" t="s">
        <v>75</v>
      </c>
      <c r="H127" s="659"/>
      <c r="I127" s="659"/>
      <c r="J127" s="659"/>
      <c r="K127" s="659"/>
      <c r="L127" s="659"/>
      <c r="M127" s="504" t="s">
        <v>77</v>
      </c>
      <c r="N127" s="498">
        <v>46143</v>
      </c>
      <c r="O127" s="493"/>
    </row>
    <row r="128" spans="2:15" ht="17.25" customHeight="1" x14ac:dyDescent="0.25">
      <c r="B128" s="659"/>
      <c r="C128" s="659">
        <v>26010495</v>
      </c>
      <c r="D128" s="659"/>
      <c r="E128" s="660"/>
      <c r="F128" s="660"/>
      <c r="G128" s="659" t="s">
        <v>75</v>
      </c>
      <c r="H128" s="659"/>
      <c r="I128" s="659"/>
      <c r="J128" s="659"/>
      <c r="K128" s="659"/>
      <c r="L128" s="659"/>
      <c r="M128" s="504" t="s">
        <v>77</v>
      </c>
      <c r="N128" s="498">
        <v>46143</v>
      </c>
      <c r="O128" s="493"/>
    </row>
    <row r="129" spans="2:15" ht="17.25" customHeight="1" x14ac:dyDescent="0.25">
      <c r="B129" s="659"/>
      <c r="C129" s="659">
        <v>26010496</v>
      </c>
      <c r="D129" s="659"/>
      <c r="E129" s="659"/>
      <c r="F129" s="659"/>
      <c r="G129" s="659" t="s">
        <v>75</v>
      </c>
      <c r="H129" s="659"/>
      <c r="I129" s="659"/>
      <c r="J129" s="659"/>
      <c r="K129" s="659"/>
      <c r="L129" s="659"/>
      <c r="M129" s="504" t="s">
        <v>77</v>
      </c>
      <c r="N129" s="498">
        <v>46143</v>
      </c>
      <c r="O129" s="493"/>
    </row>
    <row r="130" spans="2:15" ht="17.25" customHeight="1" x14ac:dyDescent="0.25">
      <c r="B130" s="659"/>
      <c r="C130" s="659">
        <v>26010497</v>
      </c>
      <c r="D130" s="659"/>
      <c r="E130" s="659"/>
      <c r="F130" s="659"/>
      <c r="G130" s="659" t="s">
        <v>75</v>
      </c>
      <c r="H130" s="659"/>
      <c r="I130" s="659"/>
      <c r="J130" s="659"/>
      <c r="K130" s="659"/>
      <c r="L130" s="659"/>
      <c r="M130" s="504" t="s">
        <v>77</v>
      </c>
      <c r="N130" s="498">
        <v>46143</v>
      </c>
      <c r="O130" s="493"/>
    </row>
    <row r="131" spans="2:15" ht="17.25" customHeight="1" x14ac:dyDescent="0.25">
      <c r="B131" s="659"/>
      <c r="C131" s="659">
        <v>26010498</v>
      </c>
      <c r="D131" s="659"/>
      <c r="E131" s="659"/>
      <c r="F131" s="659"/>
      <c r="G131" s="659" t="s">
        <v>75</v>
      </c>
      <c r="H131" s="659"/>
      <c r="I131" s="659"/>
      <c r="J131" s="659"/>
      <c r="K131" s="659"/>
      <c r="L131" s="659"/>
      <c r="M131" s="504" t="s">
        <v>77</v>
      </c>
      <c r="N131" s="498">
        <v>46143</v>
      </c>
      <c r="O131" s="493"/>
    </row>
    <row r="132" spans="2:15" ht="17.25" customHeight="1" x14ac:dyDescent="0.25">
      <c r="B132" s="659"/>
      <c r="C132" s="659">
        <v>26010499</v>
      </c>
      <c r="D132" s="659"/>
      <c r="E132" s="659"/>
      <c r="F132" s="659"/>
      <c r="G132" s="659" t="s">
        <v>75</v>
      </c>
      <c r="H132" s="659"/>
      <c r="I132" s="659"/>
      <c r="J132" s="659"/>
      <c r="K132" s="659"/>
      <c r="L132" s="659"/>
      <c r="M132" s="504" t="s">
        <v>77</v>
      </c>
      <c r="N132" s="498">
        <v>46143</v>
      </c>
      <c r="O132" s="493"/>
    </row>
    <row r="133" spans="2:15" ht="17.25" customHeight="1" x14ac:dyDescent="0.25">
      <c r="B133" s="659"/>
      <c r="C133" s="659">
        <v>26010500</v>
      </c>
      <c r="D133" s="659"/>
      <c r="E133" s="660"/>
      <c r="F133" s="660"/>
      <c r="G133" s="659" t="s">
        <v>75</v>
      </c>
      <c r="H133" s="659"/>
      <c r="I133" s="659"/>
      <c r="J133" s="659"/>
      <c r="K133" s="659"/>
      <c r="L133" s="659"/>
      <c r="M133" s="504" t="s">
        <v>77</v>
      </c>
      <c r="N133" s="498">
        <v>46144</v>
      </c>
      <c r="O133" s="493"/>
    </row>
    <row r="134" spans="2:15" ht="17.25" customHeight="1" x14ac:dyDescent="0.25">
      <c r="B134" s="659"/>
      <c r="C134" s="659">
        <v>26010501</v>
      </c>
      <c r="D134" s="659"/>
      <c r="E134" s="659"/>
      <c r="F134" s="659"/>
      <c r="G134" s="659" t="s">
        <v>75</v>
      </c>
      <c r="H134" s="659"/>
      <c r="I134" s="659"/>
      <c r="J134" s="659"/>
      <c r="K134" s="659"/>
      <c r="L134" s="659"/>
      <c r="M134" s="504" t="s">
        <v>77</v>
      </c>
      <c r="N134" s="498">
        <v>46144</v>
      </c>
      <c r="O134" s="493"/>
    </row>
    <row r="135" spans="2:15" ht="17.25" customHeight="1" x14ac:dyDescent="0.25">
      <c r="B135" s="659"/>
      <c r="C135" s="659">
        <v>26010502</v>
      </c>
      <c r="D135" s="659"/>
      <c r="E135" s="659"/>
      <c r="F135" s="659"/>
      <c r="G135" s="659" t="s">
        <v>75</v>
      </c>
      <c r="H135" s="659"/>
      <c r="I135" s="659"/>
      <c r="J135" s="659"/>
      <c r="K135" s="659"/>
      <c r="L135" s="659"/>
      <c r="M135" s="504" t="s">
        <v>77</v>
      </c>
      <c r="N135" s="498">
        <v>46144</v>
      </c>
      <c r="O135" s="493"/>
    </row>
    <row r="136" spans="2:15" ht="17.25" customHeight="1" x14ac:dyDescent="0.25">
      <c r="B136" s="659"/>
      <c r="C136" s="659">
        <v>26010503</v>
      </c>
      <c r="D136" s="659"/>
      <c r="E136" s="659"/>
      <c r="F136" s="659"/>
      <c r="G136" s="659" t="s">
        <v>75</v>
      </c>
      <c r="H136" s="659"/>
      <c r="I136" s="659"/>
      <c r="J136" s="659"/>
      <c r="K136" s="659"/>
      <c r="L136" s="659"/>
      <c r="M136" s="504" t="s">
        <v>77</v>
      </c>
      <c r="N136" s="498">
        <v>46144</v>
      </c>
      <c r="O136" s="493"/>
    </row>
    <row r="137" spans="2:15" ht="17.25" customHeight="1" x14ac:dyDescent="0.25">
      <c r="B137" s="659"/>
      <c r="C137" s="659">
        <v>26010504</v>
      </c>
      <c r="D137" s="659"/>
      <c r="E137" s="659"/>
      <c r="F137" s="659"/>
      <c r="G137" s="659" t="s">
        <v>75</v>
      </c>
      <c r="H137" s="659"/>
      <c r="I137" s="659"/>
      <c r="J137" s="659"/>
      <c r="K137" s="659"/>
      <c r="L137" s="659"/>
      <c r="M137" s="504" t="s">
        <v>77</v>
      </c>
      <c r="N137" s="498">
        <v>46144</v>
      </c>
      <c r="O137" s="493"/>
    </row>
    <row r="138" spans="2:15" ht="17.25" customHeight="1" x14ac:dyDescent="0.25">
      <c r="B138" s="659" t="s">
        <v>468</v>
      </c>
      <c r="C138" s="659">
        <v>26030505</v>
      </c>
      <c r="D138" s="659"/>
      <c r="E138" s="659"/>
      <c r="F138" s="659"/>
      <c r="G138" s="659" t="s">
        <v>271</v>
      </c>
      <c r="H138" s="659"/>
      <c r="I138" s="659"/>
      <c r="J138" s="659"/>
      <c r="K138" s="659" t="s">
        <v>76</v>
      </c>
      <c r="L138" s="659"/>
      <c r="M138" s="504" t="s">
        <v>376</v>
      </c>
      <c r="N138" s="498">
        <v>46141</v>
      </c>
      <c r="O138" s="493"/>
    </row>
    <row r="139" spans="2:15" ht="17.25" customHeight="1" x14ac:dyDescent="0.25">
      <c r="B139" s="659"/>
      <c r="C139" s="659">
        <v>26030506</v>
      </c>
      <c r="D139" s="659"/>
      <c r="E139" s="659"/>
      <c r="F139" s="659"/>
      <c r="G139" s="659" t="s">
        <v>269</v>
      </c>
      <c r="H139" s="659"/>
      <c r="I139" s="659"/>
      <c r="J139" s="659"/>
      <c r="K139" s="659"/>
      <c r="L139" s="659"/>
      <c r="M139" s="505" t="s">
        <v>376</v>
      </c>
      <c r="N139" s="498">
        <v>46141</v>
      </c>
      <c r="O139" s="493"/>
    </row>
    <row r="140" spans="2:15" ht="17.25" customHeight="1" x14ac:dyDescent="0.25">
      <c r="B140" s="659"/>
      <c r="C140" s="659">
        <v>26030507</v>
      </c>
      <c r="D140" s="659"/>
      <c r="E140" s="659"/>
      <c r="F140" s="659"/>
      <c r="G140" s="659" t="s">
        <v>97</v>
      </c>
      <c r="H140" s="659"/>
      <c r="I140" s="659"/>
      <c r="J140" s="659"/>
      <c r="K140" s="659"/>
      <c r="L140" s="659"/>
      <c r="M140" s="504" t="s">
        <v>376</v>
      </c>
      <c r="N140" s="498">
        <v>46142</v>
      </c>
      <c r="O140" s="493"/>
    </row>
    <row r="141" spans="2:15" ht="17.25" customHeight="1" x14ac:dyDescent="0.25">
      <c r="B141" s="504" t="s">
        <v>469</v>
      </c>
      <c r="C141" s="659" t="s">
        <v>470</v>
      </c>
      <c r="D141" s="659"/>
      <c r="E141" s="659"/>
      <c r="F141" s="659"/>
      <c r="G141" s="659" t="s">
        <v>450</v>
      </c>
      <c r="H141" s="659"/>
      <c r="I141" s="659"/>
      <c r="J141" s="659"/>
      <c r="K141" s="659" t="s">
        <v>31</v>
      </c>
      <c r="L141" s="659"/>
      <c r="M141" s="505" t="s">
        <v>55</v>
      </c>
      <c r="N141" s="498">
        <v>46142</v>
      </c>
      <c r="O141" s="493"/>
    </row>
    <row r="142" spans="2:15" ht="15" customHeight="1" x14ac:dyDescent="0.25">
      <c r="N142" s="117"/>
    </row>
    <row r="143" spans="2:15" ht="15" customHeight="1" x14ac:dyDescent="0.25">
      <c r="N143" s="117"/>
    </row>
    <row r="144" spans="2:15" ht="15" customHeight="1" x14ac:dyDescent="0.25">
      <c r="N144" s="117"/>
    </row>
    <row r="145" spans="14:14" ht="15" customHeight="1" x14ac:dyDescent="0.25">
      <c r="N145" s="117"/>
    </row>
    <row r="146" spans="14:14" ht="15" customHeight="1" x14ac:dyDescent="0.25">
      <c r="N146" s="117"/>
    </row>
    <row r="147" spans="14:14" ht="15" customHeight="1" x14ac:dyDescent="0.25">
      <c r="N147" s="117"/>
    </row>
    <row r="148" spans="14:14" ht="15" customHeight="1" x14ac:dyDescent="0.25">
      <c r="N148" s="117"/>
    </row>
    <row r="149" spans="14:14" ht="15" customHeight="1" x14ac:dyDescent="0.25">
      <c r="N149" s="117"/>
    </row>
    <row r="150" spans="14:14" ht="15" customHeight="1" x14ac:dyDescent="0.25">
      <c r="N150" s="117"/>
    </row>
    <row r="151" spans="14:14" ht="15" customHeight="1" x14ac:dyDescent="0.25">
      <c r="N151" s="117"/>
    </row>
    <row r="152" spans="14:14" ht="15" customHeight="1" x14ac:dyDescent="0.25">
      <c r="N152" s="117"/>
    </row>
    <row r="153" spans="14:14" ht="15" customHeight="1" x14ac:dyDescent="0.25">
      <c r="N153" s="117"/>
    </row>
    <row r="154" spans="14:14" ht="15" customHeight="1" x14ac:dyDescent="0.25">
      <c r="N154" s="117"/>
    </row>
    <row r="155" spans="14:14" ht="15" customHeight="1" x14ac:dyDescent="0.25">
      <c r="N155" s="117"/>
    </row>
    <row r="156" spans="14:14" ht="15" customHeight="1" x14ac:dyDescent="0.25">
      <c r="N156" s="117"/>
    </row>
    <row r="157" spans="14:14" ht="15" customHeight="1" x14ac:dyDescent="0.25">
      <c r="N157" s="117"/>
    </row>
    <row r="158" spans="14:14" ht="15" customHeight="1" x14ac:dyDescent="0.25">
      <c r="N158" s="117"/>
    </row>
    <row r="159" spans="14:14" ht="15" customHeight="1" x14ac:dyDescent="0.25">
      <c r="N159" s="117"/>
    </row>
    <row r="160" spans="14:14" ht="15" customHeight="1" x14ac:dyDescent="0.25">
      <c r="N160" s="117"/>
    </row>
    <row r="161" spans="14:14" ht="15" customHeight="1" x14ac:dyDescent="0.25">
      <c r="N161" s="117"/>
    </row>
    <row r="162" spans="14:14" ht="15" customHeight="1" x14ac:dyDescent="0.25">
      <c r="N162" s="117"/>
    </row>
    <row r="163" spans="14:14" ht="15" customHeight="1" x14ac:dyDescent="0.25">
      <c r="N163" s="117"/>
    </row>
    <row r="164" spans="14:14" ht="15" customHeight="1" x14ac:dyDescent="0.25">
      <c r="N164" s="117"/>
    </row>
    <row r="165" spans="14:14" ht="15" customHeight="1" x14ac:dyDescent="0.25">
      <c r="N165" s="117"/>
    </row>
    <row r="166" spans="14:14" ht="15" customHeight="1" x14ac:dyDescent="0.25">
      <c r="N166" s="117"/>
    </row>
    <row r="167" spans="14:14" ht="15" customHeight="1" x14ac:dyDescent="0.25">
      <c r="N167" s="117"/>
    </row>
    <row r="168" spans="14:14" ht="15" customHeight="1" x14ac:dyDescent="0.25">
      <c r="N168" s="117"/>
    </row>
    <row r="169" spans="14:14" ht="15" customHeight="1" x14ac:dyDescent="0.25">
      <c r="N169" s="117"/>
    </row>
    <row r="170" spans="14:14" ht="15" customHeight="1" x14ac:dyDescent="0.25">
      <c r="N170" s="117"/>
    </row>
    <row r="171" spans="14:14" ht="15" customHeight="1" x14ac:dyDescent="0.25">
      <c r="N171" s="117"/>
    </row>
    <row r="172" spans="14:14" ht="15" customHeight="1" x14ac:dyDescent="0.25">
      <c r="N172" s="117"/>
    </row>
    <row r="173" spans="14:14" ht="15" customHeight="1" x14ac:dyDescent="0.25">
      <c r="N173" s="117"/>
    </row>
    <row r="174" spans="14:14" ht="15" customHeight="1" x14ac:dyDescent="0.25">
      <c r="N174" s="117"/>
    </row>
    <row r="175" spans="14:14" ht="15" customHeight="1" x14ac:dyDescent="0.25">
      <c r="N175" s="117"/>
    </row>
    <row r="176" spans="14:14" ht="15" customHeight="1" x14ac:dyDescent="0.25">
      <c r="N176" s="117"/>
    </row>
    <row r="177" spans="14:14" ht="15" customHeight="1" x14ac:dyDescent="0.25">
      <c r="N177" s="117"/>
    </row>
    <row r="178" spans="14:14" ht="15" customHeight="1" x14ac:dyDescent="0.25">
      <c r="N178" s="117"/>
    </row>
    <row r="179" spans="14:14" ht="15" customHeight="1" x14ac:dyDescent="0.25">
      <c r="N179" s="117"/>
    </row>
    <row r="180" spans="14:14" ht="15" customHeight="1" x14ac:dyDescent="0.25">
      <c r="N180" s="117"/>
    </row>
    <row r="181" spans="14:14" ht="15" customHeight="1" x14ac:dyDescent="0.25">
      <c r="N181" s="117"/>
    </row>
    <row r="182" spans="14:14" ht="15" customHeight="1" x14ac:dyDescent="0.25">
      <c r="N182" s="117"/>
    </row>
    <row r="183" spans="14:14" ht="15" customHeight="1" x14ac:dyDescent="0.25">
      <c r="N183" s="117"/>
    </row>
    <row r="184" spans="14:14" ht="15" customHeight="1" x14ac:dyDescent="0.25">
      <c r="N184" s="117"/>
    </row>
    <row r="185" spans="14:14" ht="15" customHeight="1" x14ac:dyDescent="0.25">
      <c r="N185" s="117"/>
    </row>
    <row r="186" spans="14:14" ht="15" customHeight="1" x14ac:dyDescent="0.25">
      <c r="N186" s="117"/>
    </row>
    <row r="187" spans="14:14" ht="15" customHeight="1" x14ac:dyDescent="0.25">
      <c r="N187" s="117"/>
    </row>
    <row r="188" spans="14:14" ht="15" customHeight="1" x14ac:dyDescent="0.25">
      <c r="N188" s="117"/>
    </row>
    <row r="189" spans="14:14" ht="15" customHeight="1" x14ac:dyDescent="0.25">
      <c r="N189" s="117"/>
    </row>
    <row r="190" spans="14:14" ht="15" customHeight="1" x14ac:dyDescent="0.25">
      <c r="N190" s="117"/>
    </row>
    <row r="191" spans="14:14" ht="15" customHeight="1" x14ac:dyDescent="0.25">
      <c r="N191" s="117"/>
    </row>
    <row r="192" spans="14:14" ht="15" customHeight="1" x14ac:dyDescent="0.25">
      <c r="N192" s="117"/>
    </row>
    <row r="193" spans="14:14" ht="15" customHeight="1" x14ac:dyDescent="0.25">
      <c r="N193" s="117"/>
    </row>
    <row r="194" spans="14:14" ht="15" customHeight="1" x14ac:dyDescent="0.25">
      <c r="N194" s="117"/>
    </row>
    <row r="195" spans="14:14" ht="15" customHeight="1" x14ac:dyDescent="0.25">
      <c r="N195" s="117"/>
    </row>
    <row r="196" spans="14:14" ht="15" customHeight="1" x14ac:dyDescent="0.25">
      <c r="N196" s="117"/>
    </row>
    <row r="197" spans="14:14" ht="15" customHeight="1" x14ac:dyDescent="0.25">
      <c r="N197" s="117"/>
    </row>
    <row r="198" spans="14:14" ht="15" customHeight="1" x14ac:dyDescent="0.25">
      <c r="N198" s="117"/>
    </row>
    <row r="199" spans="14:14" ht="15" customHeight="1" x14ac:dyDescent="0.25">
      <c r="N199" s="117"/>
    </row>
    <row r="200" spans="14:14" ht="15" customHeight="1" x14ac:dyDescent="0.25">
      <c r="N200" s="117"/>
    </row>
    <row r="201" spans="14:14" ht="15" customHeight="1" x14ac:dyDescent="0.25">
      <c r="N201" s="117"/>
    </row>
    <row r="202" spans="14:14" ht="15" customHeight="1" x14ac:dyDescent="0.25">
      <c r="N202" s="117"/>
    </row>
    <row r="203" spans="14:14" ht="15" customHeight="1" x14ac:dyDescent="0.25">
      <c r="N203" s="117"/>
    </row>
    <row r="204" spans="14:14" ht="15" customHeight="1" x14ac:dyDescent="0.25">
      <c r="N204" s="117"/>
    </row>
    <row r="205" spans="14:14" ht="15" customHeight="1" x14ac:dyDescent="0.25">
      <c r="N205" s="117"/>
    </row>
    <row r="206" spans="14:14" ht="15" customHeight="1" x14ac:dyDescent="0.25">
      <c r="N206" s="117"/>
    </row>
    <row r="207" spans="14:14" ht="15" customHeight="1" x14ac:dyDescent="0.25">
      <c r="N207" s="117"/>
    </row>
    <row r="208" spans="14:14" ht="15" customHeight="1" x14ac:dyDescent="0.25">
      <c r="N208" s="117"/>
    </row>
    <row r="209" spans="14:14" ht="15" customHeight="1" x14ac:dyDescent="0.25">
      <c r="N209" s="117"/>
    </row>
    <row r="210" spans="14:14" ht="15" customHeight="1" x14ac:dyDescent="0.25">
      <c r="N210" s="117"/>
    </row>
    <row r="211" spans="14:14" ht="15" customHeight="1" x14ac:dyDescent="0.25">
      <c r="N211" s="117"/>
    </row>
    <row r="212" spans="14:14" ht="15" customHeight="1" x14ac:dyDescent="0.25">
      <c r="N212" s="117"/>
    </row>
    <row r="213" spans="14:14" ht="15" customHeight="1" x14ac:dyDescent="0.25">
      <c r="N213" s="117"/>
    </row>
    <row r="214" spans="14:14" ht="15" customHeight="1" x14ac:dyDescent="0.25">
      <c r="N214" s="117"/>
    </row>
    <row r="215" spans="14:14" ht="15" customHeight="1" x14ac:dyDescent="0.25">
      <c r="N215" s="117"/>
    </row>
    <row r="216" spans="14:14" ht="15" customHeight="1" x14ac:dyDescent="0.25">
      <c r="N216" s="117"/>
    </row>
    <row r="217" spans="14:14" ht="15" customHeight="1" x14ac:dyDescent="0.25">
      <c r="N217" s="117"/>
    </row>
    <row r="218" spans="14:14" ht="15" customHeight="1" x14ac:dyDescent="0.25">
      <c r="N218" s="117"/>
    </row>
    <row r="219" spans="14:14" ht="15" customHeight="1" x14ac:dyDescent="0.25">
      <c r="N219" s="117"/>
    </row>
    <row r="220" spans="14:14" ht="15" customHeight="1" x14ac:dyDescent="0.25">
      <c r="N220" s="117"/>
    </row>
    <row r="221" spans="14:14" ht="15" customHeight="1" x14ac:dyDescent="0.25">
      <c r="N221" s="117"/>
    </row>
    <row r="222" spans="14:14" ht="15" customHeight="1" x14ac:dyDescent="0.25">
      <c r="N222" s="117"/>
    </row>
    <row r="223" spans="14:14" ht="15" customHeight="1" x14ac:dyDescent="0.25">
      <c r="N223" s="117"/>
    </row>
    <row r="224" spans="14:14" ht="15" customHeight="1" x14ac:dyDescent="0.25">
      <c r="N224" s="117"/>
    </row>
    <row r="225" spans="14:14" ht="15" customHeight="1" x14ac:dyDescent="0.25">
      <c r="N225" s="117"/>
    </row>
    <row r="226" spans="14:14" ht="15" customHeight="1" x14ac:dyDescent="0.25">
      <c r="N226" s="117"/>
    </row>
    <row r="227" spans="14:14" ht="15" customHeight="1" x14ac:dyDescent="0.25">
      <c r="N227" s="117"/>
    </row>
    <row r="228" spans="14:14" ht="15" customHeight="1" x14ac:dyDescent="0.25">
      <c r="N228" s="117"/>
    </row>
    <row r="229" spans="14:14" ht="15" customHeight="1" x14ac:dyDescent="0.25">
      <c r="N229" s="117"/>
    </row>
    <row r="230" spans="14:14" ht="15" customHeight="1" x14ac:dyDescent="0.25">
      <c r="N230" s="117"/>
    </row>
    <row r="231" spans="14:14" ht="15" customHeight="1" x14ac:dyDescent="0.25">
      <c r="N231" s="117"/>
    </row>
    <row r="232" spans="14:14" ht="15" customHeight="1" x14ac:dyDescent="0.25">
      <c r="N232" s="117"/>
    </row>
    <row r="233" spans="14:14" ht="15" customHeight="1" x14ac:dyDescent="0.25">
      <c r="N233" s="117"/>
    </row>
    <row r="234" spans="14:14" ht="15" customHeight="1" x14ac:dyDescent="0.25">
      <c r="N234" s="117"/>
    </row>
    <row r="235" spans="14:14" ht="15" customHeight="1" x14ac:dyDescent="0.25">
      <c r="N235" s="117"/>
    </row>
    <row r="236" spans="14:14" ht="15" customHeight="1" x14ac:dyDescent="0.25">
      <c r="N236" s="117"/>
    </row>
    <row r="237" spans="14:14" ht="15" customHeight="1" x14ac:dyDescent="0.25">
      <c r="N237" s="117"/>
    </row>
    <row r="238" spans="14:14" ht="15" customHeight="1" x14ac:dyDescent="0.25">
      <c r="N238" s="117"/>
    </row>
    <row r="239" spans="14:14" ht="15" customHeight="1" x14ac:dyDescent="0.25">
      <c r="N239" s="117"/>
    </row>
    <row r="240" spans="14:14" ht="15" customHeight="1" x14ac:dyDescent="0.25">
      <c r="N240" s="117"/>
    </row>
    <row r="241" spans="14:14" ht="15" customHeight="1" x14ac:dyDescent="0.25">
      <c r="N241" s="117"/>
    </row>
    <row r="242" spans="14:14" ht="15" customHeight="1" x14ac:dyDescent="0.25">
      <c r="N242" s="117"/>
    </row>
    <row r="243" spans="14:14" ht="15" customHeight="1" x14ac:dyDescent="0.25">
      <c r="N243" s="117"/>
    </row>
    <row r="244" spans="14:14" ht="15" customHeight="1" x14ac:dyDescent="0.25">
      <c r="N244" s="117"/>
    </row>
    <row r="245" spans="14:14" ht="15" customHeight="1" x14ac:dyDescent="0.25">
      <c r="N245" s="117"/>
    </row>
    <row r="246" spans="14:14" ht="15" customHeight="1" x14ac:dyDescent="0.25">
      <c r="N246" s="117"/>
    </row>
    <row r="247" spans="14:14" ht="15" customHeight="1" x14ac:dyDescent="0.25">
      <c r="N247" s="117"/>
    </row>
    <row r="248" spans="14:14" ht="15" customHeight="1" x14ac:dyDescent="0.25">
      <c r="N248" s="117"/>
    </row>
    <row r="249" spans="14:14" ht="15" customHeight="1" x14ac:dyDescent="0.25">
      <c r="N249" s="117"/>
    </row>
    <row r="250" spans="14:14" ht="15" customHeight="1" x14ac:dyDescent="0.25">
      <c r="N250" s="117"/>
    </row>
    <row r="251" spans="14:14" ht="15" customHeight="1" x14ac:dyDescent="0.25">
      <c r="N251" s="117"/>
    </row>
    <row r="252" spans="14:14" ht="15" customHeight="1" x14ac:dyDescent="0.25">
      <c r="N252" s="117"/>
    </row>
    <row r="253" spans="14:14" ht="15" customHeight="1" x14ac:dyDescent="0.25">
      <c r="N253" s="117"/>
    </row>
    <row r="254" spans="14:14" ht="15" customHeight="1" x14ac:dyDescent="0.25">
      <c r="N254" s="117"/>
    </row>
    <row r="255" spans="14:14" ht="15" customHeight="1" x14ac:dyDescent="0.25">
      <c r="N255" s="117"/>
    </row>
    <row r="256" spans="14:14" ht="15" customHeight="1" x14ac:dyDescent="0.25">
      <c r="N256" s="117"/>
    </row>
    <row r="257" spans="14:14" ht="15" customHeight="1" x14ac:dyDescent="0.25">
      <c r="N257" s="117"/>
    </row>
    <row r="258" spans="14:14" ht="15" customHeight="1" x14ac:dyDescent="0.25">
      <c r="N258" s="117"/>
    </row>
    <row r="259" spans="14:14" ht="15" customHeight="1" x14ac:dyDescent="0.25">
      <c r="N259" s="117"/>
    </row>
    <row r="260" spans="14:14" ht="15" customHeight="1" x14ac:dyDescent="0.25">
      <c r="N260" s="117"/>
    </row>
    <row r="261" spans="14:14" ht="15" customHeight="1" x14ac:dyDescent="0.25">
      <c r="N261" s="117"/>
    </row>
    <row r="262" spans="14:14" ht="15" customHeight="1" x14ac:dyDescent="0.25">
      <c r="N262" s="117"/>
    </row>
    <row r="263" spans="14:14" ht="15" customHeight="1" x14ac:dyDescent="0.25">
      <c r="N263" s="117"/>
    </row>
    <row r="264" spans="14:14" ht="15" customHeight="1" x14ac:dyDescent="0.25">
      <c r="N264" s="117"/>
    </row>
    <row r="265" spans="14:14" ht="15" customHeight="1" x14ac:dyDescent="0.25">
      <c r="N265" s="117"/>
    </row>
    <row r="266" spans="14:14" ht="15" customHeight="1" x14ac:dyDescent="0.25">
      <c r="N266" s="117"/>
    </row>
    <row r="267" spans="14:14" ht="15" customHeight="1" x14ac:dyDescent="0.25">
      <c r="N267" s="117"/>
    </row>
    <row r="268" spans="14:14" ht="15" customHeight="1" x14ac:dyDescent="0.25">
      <c r="N268" s="117"/>
    </row>
    <row r="269" spans="14:14" ht="15" customHeight="1" x14ac:dyDescent="0.25">
      <c r="N269" s="117"/>
    </row>
    <row r="270" spans="14:14" ht="15" customHeight="1" x14ac:dyDescent="0.25">
      <c r="N270" s="117"/>
    </row>
    <row r="271" spans="14:14" ht="15" customHeight="1" x14ac:dyDescent="0.25">
      <c r="N271" s="117"/>
    </row>
    <row r="272" spans="14:14" ht="15" customHeight="1" x14ac:dyDescent="0.25">
      <c r="N272" s="117"/>
    </row>
    <row r="273" spans="14:14" ht="15" customHeight="1" x14ac:dyDescent="0.25">
      <c r="N273" s="117"/>
    </row>
    <row r="274" spans="14:14" ht="15" customHeight="1" x14ac:dyDescent="0.25">
      <c r="N274" s="117"/>
    </row>
    <row r="275" spans="14:14" ht="15" customHeight="1" x14ac:dyDescent="0.25">
      <c r="N275" s="117"/>
    </row>
    <row r="276" spans="14:14" ht="15" customHeight="1" x14ac:dyDescent="0.25">
      <c r="N276" s="117"/>
    </row>
    <row r="277" spans="14:14" ht="15" customHeight="1" x14ac:dyDescent="0.25">
      <c r="N277" s="117"/>
    </row>
  </sheetData>
  <mergeCells count="454">
    <mergeCell ref="C141:D141"/>
    <mergeCell ref="E141:F141"/>
    <mergeCell ref="G141:J141"/>
    <mergeCell ref="K141:L141"/>
    <mergeCell ref="B138:B140"/>
    <mergeCell ref="C138:D138"/>
    <mergeCell ref="E138:F138"/>
    <mergeCell ref="G138:J138"/>
    <mergeCell ref="K138:L140"/>
    <mergeCell ref="C139:D139"/>
    <mergeCell ref="E139:F139"/>
    <mergeCell ref="G139:J139"/>
    <mergeCell ref="C140:D140"/>
    <mergeCell ref="E140:F140"/>
    <mergeCell ref="G140:J140"/>
    <mergeCell ref="C136:D136"/>
    <mergeCell ref="E136:F136"/>
    <mergeCell ref="G136:J136"/>
    <mergeCell ref="C137:D137"/>
    <mergeCell ref="E137:F137"/>
    <mergeCell ref="G137:J137"/>
    <mergeCell ref="C134:D134"/>
    <mergeCell ref="E134:F134"/>
    <mergeCell ref="G134:J134"/>
    <mergeCell ref="C135:D135"/>
    <mergeCell ref="E135:F135"/>
    <mergeCell ref="G135:J135"/>
    <mergeCell ref="C132:D132"/>
    <mergeCell ref="E132:F132"/>
    <mergeCell ref="G132:J132"/>
    <mergeCell ref="C133:D133"/>
    <mergeCell ref="E133:F133"/>
    <mergeCell ref="G133:J133"/>
    <mergeCell ref="C130:D130"/>
    <mergeCell ref="E130:F130"/>
    <mergeCell ref="G130:J130"/>
    <mergeCell ref="C131:D131"/>
    <mergeCell ref="E131:F131"/>
    <mergeCell ref="G131:J131"/>
    <mergeCell ref="G123:J123"/>
    <mergeCell ref="C128:D128"/>
    <mergeCell ref="E128:F128"/>
    <mergeCell ref="G128:J128"/>
    <mergeCell ref="C129:D129"/>
    <mergeCell ref="E129:F129"/>
    <mergeCell ref="G129:J129"/>
    <mergeCell ref="C126:D126"/>
    <mergeCell ref="E126:F126"/>
    <mergeCell ref="G126:J126"/>
    <mergeCell ref="C127:D127"/>
    <mergeCell ref="E127:F127"/>
    <mergeCell ref="G127:J127"/>
    <mergeCell ref="B113:B137"/>
    <mergeCell ref="C113:D113"/>
    <mergeCell ref="E113:F113"/>
    <mergeCell ref="G113:J113"/>
    <mergeCell ref="C120:D120"/>
    <mergeCell ref="E120:F120"/>
    <mergeCell ref="G120:J120"/>
    <mergeCell ref="C121:D121"/>
    <mergeCell ref="E121:F121"/>
    <mergeCell ref="G121:J121"/>
    <mergeCell ref="C118:D118"/>
    <mergeCell ref="E118:F118"/>
    <mergeCell ref="G118:J118"/>
    <mergeCell ref="C119:D119"/>
    <mergeCell ref="E119:F119"/>
    <mergeCell ref="G119:J119"/>
    <mergeCell ref="C124:D124"/>
    <mergeCell ref="E124:F124"/>
    <mergeCell ref="G124:J124"/>
    <mergeCell ref="C125:D125"/>
    <mergeCell ref="E125:F125"/>
    <mergeCell ref="G125:J125"/>
    <mergeCell ref="C122:D122"/>
    <mergeCell ref="E122:F122"/>
    <mergeCell ref="K113:L137"/>
    <mergeCell ref="C114:D114"/>
    <mergeCell ref="E114:F114"/>
    <mergeCell ref="G114:J114"/>
    <mergeCell ref="C115:D115"/>
    <mergeCell ref="E115:F115"/>
    <mergeCell ref="C111:D111"/>
    <mergeCell ref="E111:F111"/>
    <mergeCell ref="G111:J111"/>
    <mergeCell ref="K111:L111"/>
    <mergeCell ref="C112:D112"/>
    <mergeCell ref="E112:F112"/>
    <mergeCell ref="G112:J112"/>
    <mergeCell ref="K112:L112"/>
    <mergeCell ref="G115:J115"/>
    <mergeCell ref="C116:D116"/>
    <mergeCell ref="E116:F116"/>
    <mergeCell ref="G116:J116"/>
    <mergeCell ref="C117:D117"/>
    <mergeCell ref="E117:F117"/>
    <mergeCell ref="G117:J117"/>
    <mergeCell ref="G122:J122"/>
    <mergeCell ref="C123:D123"/>
    <mergeCell ref="E123:F123"/>
    <mergeCell ref="B109:B110"/>
    <mergeCell ref="C109:D109"/>
    <mergeCell ref="E109:F109"/>
    <mergeCell ref="G109:J109"/>
    <mergeCell ref="K109:L110"/>
    <mergeCell ref="C110:D110"/>
    <mergeCell ref="E110:F110"/>
    <mergeCell ref="G110:J110"/>
    <mergeCell ref="C107:D107"/>
    <mergeCell ref="E107:F107"/>
    <mergeCell ref="G107:J107"/>
    <mergeCell ref="C108:D108"/>
    <mergeCell ref="E108:F108"/>
    <mergeCell ref="G108:J108"/>
    <mergeCell ref="B84:B108"/>
    <mergeCell ref="C105:D105"/>
    <mergeCell ref="E105:F105"/>
    <mergeCell ref="G105:J105"/>
    <mergeCell ref="C106:D106"/>
    <mergeCell ref="E106:F106"/>
    <mergeCell ref="G106:J106"/>
    <mergeCell ref="C103:D103"/>
    <mergeCell ref="E103:F103"/>
    <mergeCell ref="G103:J103"/>
    <mergeCell ref="C104:D104"/>
    <mergeCell ref="E104:F104"/>
    <mergeCell ref="G104:J104"/>
    <mergeCell ref="C101:D101"/>
    <mergeCell ref="E101:F101"/>
    <mergeCell ref="G101:J101"/>
    <mergeCell ref="C102:D102"/>
    <mergeCell ref="E102:F102"/>
    <mergeCell ref="G102:J102"/>
    <mergeCell ref="C99:D99"/>
    <mergeCell ref="E99:F99"/>
    <mergeCell ref="G99:J99"/>
    <mergeCell ref="C100:D100"/>
    <mergeCell ref="E100:F100"/>
    <mergeCell ref="G100:J100"/>
    <mergeCell ref="C97:D97"/>
    <mergeCell ref="E97:F97"/>
    <mergeCell ref="G97:J97"/>
    <mergeCell ref="C98:D98"/>
    <mergeCell ref="E98:F98"/>
    <mergeCell ref="G98:J98"/>
    <mergeCell ref="C95:D95"/>
    <mergeCell ref="E95:F95"/>
    <mergeCell ref="G95:J95"/>
    <mergeCell ref="C96:D96"/>
    <mergeCell ref="E96:F96"/>
    <mergeCell ref="G96:J96"/>
    <mergeCell ref="C88:D88"/>
    <mergeCell ref="E88:F88"/>
    <mergeCell ref="G88:J88"/>
    <mergeCell ref="C93:D93"/>
    <mergeCell ref="E93:F93"/>
    <mergeCell ref="G93:J93"/>
    <mergeCell ref="C94:D94"/>
    <mergeCell ref="E94:F94"/>
    <mergeCell ref="G94:J94"/>
    <mergeCell ref="C91:D91"/>
    <mergeCell ref="E91:F91"/>
    <mergeCell ref="G91:J91"/>
    <mergeCell ref="C92:D92"/>
    <mergeCell ref="E92:F92"/>
    <mergeCell ref="G92:J92"/>
    <mergeCell ref="C85:D85"/>
    <mergeCell ref="E85:F85"/>
    <mergeCell ref="G85:J85"/>
    <mergeCell ref="C86:D86"/>
    <mergeCell ref="E86:F86"/>
    <mergeCell ref="G86:J86"/>
    <mergeCell ref="K82:L82"/>
    <mergeCell ref="C83:D83"/>
    <mergeCell ref="E83:F83"/>
    <mergeCell ref="G83:J83"/>
    <mergeCell ref="K83:L83"/>
    <mergeCell ref="C84:D84"/>
    <mergeCell ref="E84:F84"/>
    <mergeCell ref="G84:J84"/>
    <mergeCell ref="K84:L108"/>
    <mergeCell ref="C89:D89"/>
    <mergeCell ref="E89:F89"/>
    <mergeCell ref="G89:J89"/>
    <mergeCell ref="C90:D90"/>
    <mergeCell ref="E90:F90"/>
    <mergeCell ref="G90:J90"/>
    <mergeCell ref="C87:D87"/>
    <mergeCell ref="E87:F87"/>
    <mergeCell ref="G87:J87"/>
    <mergeCell ref="C81:D81"/>
    <mergeCell ref="E81:F81"/>
    <mergeCell ref="G81:J81"/>
    <mergeCell ref="C82:D82"/>
    <mergeCell ref="E82:F82"/>
    <mergeCell ref="G82:J82"/>
    <mergeCell ref="C79:D79"/>
    <mergeCell ref="E79:F79"/>
    <mergeCell ref="G79:J79"/>
    <mergeCell ref="C80:D80"/>
    <mergeCell ref="E80:F80"/>
    <mergeCell ref="G80:J80"/>
    <mergeCell ref="C77:D77"/>
    <mergeCell ref="E77:F77"/>
    <mergeCell ref="G77:J77"/>
    <mergeCell ref="C78:D78"/>
    <mergeCell ref="E78:F78"/>
    <mergeCell ref="G78:J78"/>
    <mergeCell ref="C75:D75"/>
    <mergeCell ref="E75:F75"/>
    <mergeCell ref="G75:J75"/>
    <mergeCell ref="C76:D76"/>
    <mergeCell ref="E76:F76"/>
    <mergeCell ref="G76:J76"/>
    <mergeCell ref="C73:D73"/>
    <mergeCell ref="E73:F73"/>
    <mergeCell ref="G73:J73"/>
    <mergeCell ref="C74:D74"/>
    <mergeCell ref="E74:F74"/>
    <mergeCell ref="G74:J74"/>
    <mergeCell ref="C71:D71"/>
    <mergeCell ref="E71:F71"/>
    <mergeCell ref="G71:J71"/>
    <mergeCell ref="C72:D72"/>
    <mergeCell ref="E72:F72"/>
    <mergeCell ref="G72:J72"/>
    <mergeCell ref="C69:D69"/>
    <mergeCell ref="E69:F69"/>
    <mergeCell ref="G69:J69"/>
    <mergeCell ref="C70:D70"/>
    <mergeCell ref="E70:F70"/>
    <mergeCell ref="G70:J70"/>
    <mergeCell ref="C67:D67"/>
    <mergeCell ref="E67:F67"/>
    <mergeCell ref="G67:J67"/>
    <mergeCell ref="C68:D68"/>
    <mergeCell ref="E68:F68"/>
    <mergeCell ref="G68:J68"/>
    <mergeCell ref="C65:D65"/>
    <mergeCell ref="E65:F65"/>
    <mergeCell ref="G65:J65"/>
    <mergeCell ref="C66:D66"/>
    <mergeCell ref="E66:F66"/>
    <mergeCell ref="G66:J66"/>
    <mergeCell ref="C63:D63"/>
    <mergeCell ref="E63:F63"/>
    <mergeCell ref="G63:J63"/>
    <mergeCell ref="C64:D64"/>
    <mergeCell ref="E64:F64"/>
    <mergeCell ref="G64:J64"/>
    <mergeCell ref="C56:D56"/>
    <mergeCell ref="E56:F56"/>
    <mergeCell ref="G56:J56"/>
    <mergeCell ref="K56:L56"/>
    <mergeCell ref="B57:B81"/>
    <mergeCell ref="C57:D57"/>
    <mergeCell ref="E57:F57"/>
    <mergeCell ref="G57:J57"/>
    <mergeCell ref="K57:L81"/>
    <mergeCell ref="C58:D58"/>
    <mergeCell ref="C61:D61"/>
    <mergeCell ref="E61:F61"/>
    <mergeCell ref="G61:J61"/>
    <mergeCell ref="C62:D62"/>
    <mergeCell ref="E62:F62"/>
    <mergeCell ref="G62:J62"/>
    <mergeCell ref="E58:F58"/>
    <mergeCell ref="G58:J58"/>
    <mergeCell ref="C59:D59"/>
    <mergeCell ref="E59:F59"/>
    <mergeCell ref="G59:J59"/>
    <mergeCell ref="C60:D60"/>
    <mergeCell ref="E60:F60"/>
    <mergeCell ref="G60:J60"/>
    <mergeCell ref="C54:D54"/>
    <mergeCell ref="E54:F54"/>
    <mergeCell ref="G54:J54"/>
    <mergeCell ref="K54:L54"/>
    <mergeCell ref="C55:D55"/>
    <mergeCell ref="E55:F55"/>
    <mergeCell ref="G55:J55"/>
    <mergeCell ref="K55:L55"/>
    <mergeCell ref="C52:D52"/>
    <mergeCell ref="E52:F52"/>
    <mergeCell ref="G52:J52"/>
    <mergeCell ref="K52:L52"/>
    <mergeCell ref="C53:D53"/>
    <mergeCell ref="E53:F53"/>
    <mergeCell ref="G53:J53"/>
    <mergeCell ref="K53:L53"/>
    <mergeCell ref="K49:L49"/>
    <mergeCell ref="B50:B51"/>
    <mergeCell ref="C50:D50"/>
    <mergeCell ref="E50:F50"/>
    <mergeCell ref="G50:J50"/>
    <mergeCell ref="K50:L51"/>
    <mergeCell ref="C51:D51"/>
    <mergeCell ref="E51:F51"/>
    <mergeCell ref="G51:J51"/>
    <mergeCell ref="C49:D49"/>
    <mergeCell ref="E49:F49"/>
    <mergeCell ref="G49:J49"/>
    <mergeCell ref="K43:L43"/>
    <mergeCell ref="B44:B48"/>
    <mergeCell ref="C44:D44"/>
    <mergeCell ref="E44:F44"/>
    <mergeCell ref="G44:J44"/>
    <mergeCell ref="K44:L48"/>
    <mergeCell ref="C45:D45"/>
    <mergeCell ref="C48:D48"/>
    <mergeCell ref="E48:F48"/>
    <mergeCell ref="G48:J48"/>
    <mergeCell ref="E45:F45"/>
    <mergeCell ref="G45:J45"/>
    <mergeCell ref="C46:D46"/>
    <mergeCell ref="E46:F46"/>
    <mergeCell ref="G46:J46"/>
    <mergeCell ref="C47:D47"/>
    <mergeCell ref="E47:F47"/>
    <mergeCell ref="G47:J47"/>
    <mergeCell ref="C43:D43"/>
    <mergeCell ref="E43:F43"/>
    <mergeCell ref="G43:J43"/>
    <mergeCell ref="C41:D41"/>
    <mergeCell ref="E41:F41"/>
    <mergeCell ref="G41:J41"/>
    <mergeCell ref="K41:L41"/>
    <mergeCell ref="C42:D42"/>
    <mergeCell ref="E42:F42"/>
    <mergeCell ref="G42:J42"/>
    <mergeCell ref="K42:L42"/>
    <mergeCell ref="G38:J38"/>
    <mergeCell ref="C39:D39"/>
    <mergeCell ref="E39:F39"/>
    <mergeCell ref="G39:J39"/>
    <mergeCell ref="C40:D40"/>
    <mergeCell ref="E40:F40"/>
    <mergeCell ref="G40:J40"/>
    <mergeCell ref="B36:B40"/>
    <mergeCell ref="C36:D36"/>
    <mergeCell ref="E36:F36"/>
    <mergeCell ref="G36:J36"/>
    <mergeCell ref="K36:L40"/>
    <mergeCell ref="C37:D37"/>
    <mergeCell ref="E37:F37"/>
    <mergeCell ref="G37:J37"/>
    <mergeCell ref="C38:D38"/>
    <mergeCell ref="E38:F38"/>
    <mergeCell ref="C29:D29"/>
    <mergeCell ref="E29:F29"/>
    <mergeCell ref="G29:J29"/>
    <mergeCell ref="K29:L29"/>
    <mergeCell ref="B30:B35"/>
    <mergeCell ref="C30:D30"/>
    <mergeCell ref="E30:F30"/>
    <mergeCell ref="G30:J30"/>
    <mergeCell ref="K30:L35"/>
    <mergeCell ref="C31:D31"/>
    <mergeCell ref="C34:D34"/>
    <mergeCell ref="E34:F34"/>
    <mergeCell ref="G34:J34"/>
    <mergeCell ref="C35:D35"/>
    <mergeCell ref="E35:F35"/>
    <mergeCell ref="G35:J35"/>
    <mergeCell ref="E31:F31"/>
    <mergeCell ref="G31:J31"/>
    <mergeCell ref="C32:D32"/>
    <mergeCell ref="E32:F32"/>
    <mergeCell ref="G32:J32"/>
    <mergeCell ref="C33:D33"/>
    <mergeCell ref="E33:F33"/>
    <mergeCell ref="G33:J33"/>
    <mergeCell ref="C27:D27"/>
    <mergeCell ref="E27:F27"/>
    <mergeCell ref="G27:J27"/>
    <mergeCell ref="C28:D28"/>
    <mergeCell ref="E28:F28"/>
    <mergeCell ref="G28:J28"/>
    <mergeCell ref="C25:D25"/>
    <mergeCell ref="E25:F25"/>
    <mergeCell ref="G25:J25"/>
    <mergeCell ref="C26:D26"/>
    <mergeCell ref="E26:F26"/>
    <mergeCell ref="G26:J26"/>
    <mergeCell ref="C23:D23"/>
    <mergeCell ref="E23:F23"/>
    <mergeCell ref="G23:J23"/>
    <mergeCell ref="C24:D24"/>
    <mergeCell ref="E24:F24"/>
    <mergeCell ref="G24:J24"/>
    <mergeCell ref="C21:D21"/>
    <mergeCell ref="E21:F21"/>
    <mergeCell ref="G21:J21"/>
    <mergeCell ref="C22:D22"/>
    <mergeCell ref="E22:F22"/>
    <mergeCell ref="G22:J22"/>
    <mergeCell ref="C19:D19"/>
    <mergeCell ref="E19:F19"/>
    <mergeCell ref="G19:J19"/>
    <mergeCell ref="C20:D20"/>
    <mergeCell ref="E20:F20"/>
    <mergeCell ref="G20:J20"/>
    <mergeCell ref="C17:D17"/>
    <mergeCell ref="E17:F17"/>
    <mergeCell ref="G17:J17"/>
    <mergeCell ref="C18:D18"/>
    <mergeCell ref="E18:F18"/>
    <mergeCell ref="G18:J18"/>
    <mergeCell ref="C15:D15"/>
    <mergeCell ref="E15:F15"/>
    <mergeCell ref="G15:J15"/>
    <mergeCell ref="C16:D16"/>
    <mergeCell ref="E16:F16"/>
    <mergeCell ref="G16:J16"/>
    <mergeCell ref="C13:D13"/>
    <mergeCell ref="E13:F13"/>
    <mergeCell ref="G13:J13"/>
    <mergeCell ref="C14:D14"/>
    <mergeCell ref="E14:F14"/>
    <mergeCell ref="G14:J14"/>
    <mergeCell ref="G11:J11"/>
    <mergeCell ref="C12:D12"/>
    <mergeCell ref="E12:F12"/>
    <mergeCell ref="G12:J12"/>
    <mergeCell ref="C9:D9"/>
    <mergeCell ref="E9:F9"/>
    <mergeCell ref="G9:J9"/>
    <mergeCell ref="C10:D10"/>
    <mergeCell ref="E10:F10"/>
    <mergeCell ref="G10:J10"/>
    <mergeCell ref="B1:N2"/>
    <mergeCell ref="C3:D3"/>
    <mergeCell ref="E3:F3"/>
    <mergeCell ref="G3:J3"/>
    <mergeCell ref="K3:L3"/>
    <mergeCell ref="B4:B28"/>
    <mergeCell ref="C4:D4"/>
    <mergeCell ref="E4:F4"/>
    <mergeCell ref="G4:J4"/>
    <mergeCell ref="K4:L28"/>
    <mergeCell ref="C7:D7"/>
    <mergeCell ref="E7:F7"/>
    <mergeCell ref="G7:J7"/>
    <mergeCell ref="C8:D8"/>
    <mergeCell ref="E8:F8"/>
    <mergeCell ref="G8:J8"/>
    <mergeCell ref="C5:D5"/>
    <mergeCell ref="E5:F5"/>
    <mergeCell ref="G5:J5"/>
    <mergeCell ref="C6:D6"/>
    <mergeCell ref="E6:F6"/>
    <mergeCell ref="G6:J6"/>
    <mergeCell ref="C11:D11"/>
    <mergeCell ref="E11:F11"/>
  </mergeCells>
  <conditionalFormatting sqref="B4">
    <cfRule type="expression" dxfId="310" priority="3">
      <formula>AND(COUNTA($C$4:$C$28)+COUNTA($E$4:$E$28)&gt;0,COUNTIFS($N$4:$N$28,"",$C$4:$C$28,"&lt;&gt;")+COUNTIFS($N$4:$N$28,"",$E$4:$E$28,"&lt;&gt;")=0)</formula>
    </cfRule>
  </conditionalFormatting>
  <conditionalFormatting sqref="B29">
    <cfRule type="expression" dxfId="309" priority="4">
      <formula>AND(COUNTA($C$29:$C$29)+COUNTA($E$29:$E$29)&gt;0,COUNTIFS($N$29:$N$29,"",$C$29:$C$29,"&lt;&gt;")+COUNTIFS($N$29:$N$29,"",$E$29:$E$29,"&lt;&gt;")=0)</formula>
    </cfRule>
  </conditionalFormatting>
  <conditionalFormatting sqref="B30">
    <cfRule type="expression" dxfId="308" priority="5">
      <formula>AND(COUNTA($C$30:$C$35)+COUNTA($E$30:$E$35)&gt;0,COUNTIFS($N$30:$N$35,"",$C$30:$C$35,"&lt;&gt;")+COUNTIFS($N$30:$N$35,"",$E$30:$E$35,"&lt;&gt;")=0)</formula>
    </cfRule>
  </conditionalFormatting>
  <conditionalFormatting sqref="B36">
    <cfRule type="expression" dxfId="307" priority="6">
      <formula>AND(COUNTA($C$36:$C$40)+COUNTA($E$36:$E$40)&gt;0,COUNTIFS($N$36:$N$40,"",$C$36:$C$40,"&lt;&gt;")+COUNTIFS($N$36:$N$40,"",$E$36:$E$40,"&lt;&gt;")=0)</formula>
    </cfRule>
  </conditionalFormatting>
  <conditionalFormatting sqref="B41">
    <cfRule type="expression" dxfId="306" priority="7">
      <formula>AND(COUNTA($C$41:$C$41)+COUNTA($E$41:$E$41)&gt;0,COUNTIFS($N$41:$N$41,"",$C$41:$C$41,"&lt;&gt;")+COUNTIFS($N$41:$N$41,"",$E$41:$E$41,"&lt;&gt;")=0)</formula>
    </cfRule>
  </conditionalFormatting>
  <conditionalFormatting sqref="B42">
    <cfRule type="expression" dxfId="305" priority="8">
      <formula>AND(COUNTA($C$42:$C$42)+COUNTA($E$42:$E$42)&gt;0,COUNTIFS($N$42:$N$42,"",$C$42:$C$42,"&lt;&gt;")+COUNTIFS($N$42:$N$42,"",$E$42:$E$42,"&lt;&gt;")=0)</formula>
    </cfRule>
  </conditionalFormatting>
  <conditionalFormatting sqref="B43">
    <cfRule type="expression" dxfId="304" priority="9">
      <formula>AND(COUNTA($C$43:$C$43)+COUNTA($E$43:$E$43)&gt;0,COUNTIFS($N$43:$N$43,"",$C$43:$C$43,"&lt;&gt;")+COUNTIFS($N$43:$N$43,"",$E$43:$E$43,"&lt;&gt;")=0)</formula>
    </cfRule>
  </conditionalFormatting>
  <conditionalFormatting sqref="B44">
    <cfRule type="expression" dxfId="303" priority="10">
      <formula>AND(COUNTA($C$44:$C$48)+COUNTA($E$44:$E$48)&gt;0,COUNTIFS($N$44:$N$48,"",$C$44:$C$48,"&lt;&gt;")+COUNTIFS($N$44:$N$48,"",$E$44:$E$48,"&lt;&gt;")=0)</formula>
    </cfRule>
  </conditionalFormatting>
  <conditionalFormatting sqref="B49">
    <cfRule type="expression" dxfId="302" priority="11">
      <formula>AND(COUNTA($C$49:$C$49)+COUNTA($E$49:$E$49)&gt;0,COUNTIFS($N$49:$N$49,"",$C$49:$C$49,"&lt;&gt;")+COUNTIFS($N$49:$N$49,"",$E$49:$E$49,"&lt;&gt;")=0)</formula>
    </cfRule>
  </conditionalFormatting>
  <conditionalFormatting sqref="B50">
    <cfRule type="expression" dxfId="301" priority="12">
      <formula>AND(COUNTA($C$50:$C$51)+COUNTA($E$50:$E$51)&gt;0,COUNTIFS($N$50:$N$51,"",$C$50:$C$51,"&lt;&gt;")+COUNTIFS($N$50:$N$51,"",$E$50:$E$51,"&lt;&gt;")=0)</formula>
    </cfRule>
  </conditionalFormatting>
  <conditionalFormatting sqref="B52">
    <cfRule type="expression" dxfId="300" priority="13">
      <formula>AND(COUNTA($C$52:$C$52)+COUNTA($E$52:$E$52)&gt;0,COUNTIFS($N$52:$N$52,"",$C$52:$C$52,"&lt;&gt;")+COUNTIFS($N$52:$N$52,"",$E$52:$E$52,"&lt;&gt;")=0)</formula>
    </cfRule>
  </conditionalFormatting>
  <conditionalFormatting sqref="B53">
    <cfRule type="expression" dxfId="299" priority="14">
      <formula>AND(COUNTA($C$53:$C$53)+COUNTA($E$53:$E$53)&gt;0,COUNTIFS($N$53:$N$53,"",$C$53:$C$53,"&lt;&gt;")+COUNTIFS($N$53:$N$53,"",$E$53:$E$53,"&lt;&gt;")=0)</formula>
    </cfRule>
  </conditionalFormatting>
  <conditionalFormatting sqref="B54">
    <cfRule type="expression" dxfId="298" priority="15">
      <formula>AND(COUNTA($C$54:$C$54)+COUNTA($E$54:$E$54)&gt;0,COUNTIFS($N$54:$N$54,"",$C$54:$C$54,"&lt;&gt;")+COUNTIFS($N$54:$N$54,"",$E$54:$E$54,"&lt;&gt;")=0)</formula>
    </cfRule>
  </conditionalFormatting>
  <conditionalFormatting sqref="B55">
    <cfRule type="expression" dxfId="297" priority="16">
      <formula>AND(COUNTA($C$55:$C$55)+COUNTA($E$55:$E$55)&gt;0,COUNTIFS($N$55:$N$55,"",$C$55:$C$55,"&lt;&gt;")+COUNTIFS($N$55:$N$55,"",$E$55:$E$55,"&lt;&gt;")=0)</formula>
    </cfRule>
  </conditionalFormatting>
  <conditionalFormatting sqref="B56">
    <cfRule type="expression" dxfId="296" priority="17">
      <formula>AND(COUNTA($C$56:$C$56)+COUNTA($E$56:$E$56)&gt;0,COUNTIFS($N$56:$N$56,"",$C$56:$C$56,"&lt;&gt;")+COUNTIFS($N$56:$N$56,"",$E$56:$E$56,"&lt;&gt;")=0)</formula>
    </cfRule>
  </conditionalFormatting>
  <conditionalFormatting sqref="B57">
    <cfRule type="expression" dxfId="295" priority="18">
      <formula>AND(COUNTA($C$57:$C$81)+COUNTA($E$57:$E$81)&gt;0,COUNTIFS($N$57:$N$81,"",$C$57:$C$81,"&lt;&gt;")+COUNTIFS($N$57:$N$81,"",$E$57:$E$81,"&lt;&gt;")=0)</formula>
    </cfRule>
  </conditionalFormatting>
  <conditionalFormatting sqref="B82">
    <cfRule type="expression" dxfId="294" priority="19">
      <formula>AND(COUNTA($C$82:$C$82)+COUNTA($E$82:$E$82)&gt;0,COUNTIFS($N$82:$N$82,"",$C$82:$C$82,"&lt;&gt;")+COUNTIFS($N$82:$N$82,"",$E$82:$E$82,"&lt;&gt;")=0)</formula>
    </cfRule>
  </conditionalFormatting>
  <conditionalFormatting sqref="B83">
    <cfRule type="expression" dxfId="293" priority="20">
      <formula>AND(COUNTA($C$83:$C$83)+COUNTA($E$83:$E$83)&gt;0,COUNTIFS($N$83:$N$83,"",$C$83:$C$83,"&lt;&gt;")+COUNTIFS($N$83:$N$83,"",$E$83:$E$83,"&lt;&gt;")=0)</formula>
    </cfRule>
  </conditionalFormatting>
  <conditionalFormatting sqref="B84">
    <cfRule type="expression" dxfId="292" priority="21">
      <formula>AND(COUNTA($C$84:$C$108)+COUNTA($E$84:$E$108)&gt;0,COUNTIFS($N$84:$N$108,"",$C$84:$C$108,"&lt;&gt;")+COUNTIFS($N$84:$N$108,"",$E$84:$E$108,"&lt;&gt;")=0)</formula>
    </cfRule>
  </conditionalFormatting>
  <conditionalFormatting sqref="B109">
    <cfRule type="expression" dxfId="291" priority="22">
      <formula>AND(COUNTA($C$109:$C$110)+COUNTA($E$109:$E$110)&gt;0,COUNTIFS($N$109:$N$110,"",$C$109:$C$110,"&lt;&gt;")+COUNTIFS($N$109:$N$110,"",$E$109:$E$110,"&lt;&gt;")=0)</formula>
    </cfRule>
  </conditionalFormatting>
  <conditionalFormatting sqref="B111">
    <cfRule type="expression" dxfId="290" priority="23">
      <formula>AND(COUNTA($C$111:$C$111)+COUNTA($E$111:$E$111)&gt;0,COUNTIFS($N$111:$N$111,"",$C$111:$C$111,"&lt;&gt;")+COUNTIFS($N$111:$N$111,"",$E$111:$E$111,"&lt;&gt;")=0)</formula>
    </cfRule>
  </conditionalFormatting>
  <conditionalFormatting sqref="B112">
    <cfRule type="expression" dxfId="289" priority="24">
      <formula>AND(COUNTA($C$112:$C$112)+COUNTA($E$112:$E$112)&gt;0,COUNTIFS($N$112:$N$112,"",$C$112:$C$112,"&lt;&gt;")+COUNTIFS($N$112:$N$112,"",$E$112:$E$112,"&lt;&gt;")=0)</formula>
    </cfRule>
  </conditionalFormatting>
  <conditionalFormatting sqref="B113">
    <cfRule type="expression" dxfId="288" priority="25">
      <formula>AND(COUNTA($C$113:$C$137)+COUNTA($E$113:$E$137)&gt;0,COUNTIFS($N$113:$N$137,"",$C$113:$C$137,"&lt;&gt;")+COUNTIFS($N$113:$N$137,"",$E$113:$E$137,"&lt;&gt;")=0)</formula>
    </cfRule>
  </conditionalFormatting>
  <conditionalFormatting sqref="B138">
    <cfRule type="expression" dxfId="287" priority="26">
      <formula>AND(COUNTA($C$138:$C$140)+COUNTA($E$138:$E$140)&gt;0,COUNTIFS($N$138:$N$140,"",$C$138:$C$140,"&lt;&gt;")+COUNTIFS($N$138:$N$140,"",$E$138:$E$140,"&lt;&gt;")=0)</formula>
    </cfRule>
  </conditionalFormatting>
  <conditionalFormatting sqref="B141">
    <cfRule type="expression" dxfId="286" priority="27">
      <formula>AND(COUNTA($C$141:$C$141)+COUNTA($E$141:$E$141)&gt;0,COUNTIFS($N$141:$N$141,"",$C$141:$C$141,"&lt;&gt;")+COUNTIFS($N$141:$N$141,"",$E$141:$E$141,"&lt;&gt;")=0)</formula>
    </cfRule>
  </conditionalFormatting>
  <conditionalFormatting sqref="C4:J477 M4:N477">
    <cfRule type="expression" dxfId="285" priority="1">
      <formula>$N4&lt;&gt;""</formula>
    </cfRule>
  </conditionalFormatting>
  <conditionalFormatting sqref="K4">
    <cfRule type="expression" dxfId="284" priority="28">
      <formula>AND(COUNTA($C$4:$C$28)+COUNTA($E$4:$E$28)&gt;0,COUNTIFS($N$4:$N$28,"",$C$4:$C$28,"&lt;&gt;")+COUNTIFS($N$4:$N$28,"",$E$4:$E$28,"&lt;&gt;")=0)</formula>
    </cfRule>
  </conditionalFormatting>
  <conditionalFormatting sqref="K29">
    <cfRule type="expression" dxfId="283" priority="29">
      <formula>AND(COUNTA($C$29:$C$29)+COUNTA($E$29:$E$29)&gt;0,COUNTIFS($N$29:$N$29,"",$C$29:$C$29,"&lt;&gt;")+COUNTIFS($N$29:$N$29,"",$E$29:$E$29,"&lt;&gt;")=0)</formula>
    </cfRule>
  </conditionalFormatting>
  <conditionalFormatting sqref="K30">
    <cfRule type="expression" dxfId="282" priority="30">
      <formula>AND(COUNTA($C$30:$C$35)+COUNTA($E$30:$E$35)&gt;0,COUNTIFS($N$30:$N$35,"",$C$30:$C$35,"&lt;&gt;")+COUNTIFS($N$30:$N$35,"",$E$30:$E$35,"&lt;&gt;")=0)</formula>
    </cfRule>
  </conditionalFormatting>
  <conditionalFormatting sqref="K36">
    <cfRule type="expression" dxfId="281" priority="31">
      <formula>AND(COUNTA($C$36:$C$40)+COUNTA($E$36:$E$40)&gt;0,COUNTIFS($N$36:$N$40,"",$C$36:$C$40,"&lt;&gt;")+COUNTIFS($N$36:$N$40,"",$E$36:$E$40,"&lt;&gt;")=0)</formula>
    </cfRule>
  </conditionalFormatting>
  <conditionalFormatting sqref="K41">
    <cfRule type="expression" dxfId="280" priority="32">
      <formula>AND(COUNTA($C$41:$C$41)+COUNTA($E$41:$E$41)&gt;0,COUNTIFS($N$41:$N$41,"",$C$41:$C$41,"&lt;&gt;")+COUNTIFS($N$41:$N$41,"",$E$41:$E$41,"&lt;&gt;")=0)</formula>
    </cfRule>
  </conditionalFormatting>
  <conditionalFormatting sqref="K42">
    <cfRule type="expression" dxfId="279" priority="33">
      <formula>AND(COUNTA($C$42:$C$42)+COUNTA($E$42:$E$42)&gt;0,COUNTIFS($N$42:$N$42,"",$C$42:$C$42,"&lt;&gt;")+COUNTIFS($N$42:$N$42,"",$E$42:$E$42,"&lt;&gt;")=0)</formula>
    </cfRule>
  </conditionalFormatting>
  <conditionalFormatting sqref="K43">
    <cfRule type="expression" dxfId="278" priority="34">
      <formula>AND(COUNTA($C$43:$C$43)+COUNTA($E$43:$E$43)&gt;0,COUNTIFS($N$43:$N$43,"",$C$43:$C$43,"&lt;&gt;")+COUNTIFS($N$43:$N$43,"",$E$43:$E$43,"&lt;&gt;")=0)</formula>
    </cfRule>
  </conditionalFormatting>
  <conditionalFormatting sqref="K44">
    <cfRule type="expression" dxfId="277" priority="35">
      <formula>AND(COUNTA($C$44:$C$48)+COUNTA($E$44:$E$48)&gt;0,COUNTIFS($N$44:$N$48,"",$C$44:$C$48,"&lt;&gt;")+COUNTIFS($N$44:$N$48,"",$E$44:$E$48,"&lt;&gt;")=0)</formula>
    </cfRule>
  </conditionalFormatting>
  <conditionalFormatting sqref="K49">
    <cfRule type="expression" dxfId="276" priority="36">
      <formula>AND(COUNTA($C$49:$C$49)+COUNTA($E$49:$E$49)&gt;0,COUNTIFS($N$49:$N$49,"",$C$49:$C$49,"&lt;&gt;")+COUNTIFS($N$49:$N$49,"",$E$49:$E$49,"&lt;&gt;")=0)</formula>
    </cfRule>
  </conditionalFormatting>
  <conditionalFormatting sqref="K50">
    <cfRule type="expression" dxfId="275" priority="37">
      <formula>AND(COUNTA($C$50:$C$51)+COUNTA($E$50:$E$51)&gt;0,COUNTIFS($N$50:$N$51,"",$C$50:$C$51,"&lt;&gt;")+COUNTIFS($N$50:$N$51,"",$E$50:$E$51,"&lt;&gt;")=0)</formula>
    </cfRule>
  </conditionalFormatting>
  <conditionalFormatting sqref="K52">
    <cfRule type="expression" dxfId="274" priority="38">
      <formula>AND(COUNTA($C$52:$C$52)+COUNTA($E$52:$E$52)&gt;0,COUNTIFS($N$52:$N$52,"",$C$52:$C$52,"&lt;&gt;")+COUNTIFS($N$52:$N$52,"",$E$52:$E$52,"&lt;&gt;")=0)</formula>
    </cfRule>
  </conditionalFormatting>
  <conditionalFormatting sqref="K53">
    <cfRule type="expression" dxfId="273" priority="39">
      <formula>AND(COUNTA($C$53:$C$53)+COUNTA($E$53:$E$53)&gt;0,COUNTIFS($N$53:$N$53,"",$C$53:$C$53,"&lt;&gt;")+COUNTIFS($N$53:$N$53,"",$E$53:$E$53,"&lt;&gt;")=0)</formula>
    </cfRule>
  </conditionalFormatting>
  <conditionalFormatting sqref="K54">
    <cfRule type="expression" dxfId="272" priority="40">
      <formula>AND(COUNTA($C$54:$C$54)+COUNTA($E$54:$E$54)&gt;0,COUNTIFS($N$54:$N$54,"",$C$54:$C$54,"&lt;&gt;")+COUNTIFS($N$54:$N$54,"",$E$54:$E$54,"&lt;&gt;")=0)</formula>
    </cfRule>
  </conditionalFormatting>
  <conditionalFormatting sqref="K55">
    <cfRule type="expression" dxfId="271" priority="41">
      <formula>AND(COUNTA($C$55:$C$55)+COUNTA($E$55:$E$55)&gt;0,COUNTIFS($N$55:$N$55,"",$C$55:$C$55,"&lt;&gt;")+COUNTIFS($N$55:$N$55,"",$E$55:$E$55,"&lt;&gt;")=0)</formula>
    </cfRule>
  </conditionalFormatting>
  <conditionalFormatting sqref="K56">
    <cfRule type="expression" dxfId="270" priority="42">
      <formula>AND(COUNTA($C$56:$C$56)+COUNTA($E$56:$E$56)&gt;0,COUNTIFS($N$56:$N$56,"",$C$56:$C$56,"&lt;&gt;")+COUNTIFS($N$56:$N$56,"",$E$56:$E$56,"&lt;&gt;")=0)</formula>
    </cfRule>
  </conditionalFormatting>
  <conditionalFormatting sqref="K57">
    <cfRule type="expression" dxfId="269" priority="43">
      <formula>AND(COUNTA($C$57:$C$81)+COUNTA($E$57:$E$81)&gt;0,COUNTIFS($N$57:$N$81,"",$C$57:$C$81,"&lt;&gt;")+COUNTIFS($N$57:$N$81,"",$E$57:$E$81,"&lt;&gt;")=0)</formula>
    </cfRule>
  </conditionalFormatting>
  <conditionalFormatting sqref="K82">
    <cfRule type="expression" dxfId="268" priority="44">
      <formula>AND(COUNTA($C$82:$C$82)+COUNTA($E$82:$E$82)&gt;0,COUNTIFS($N$82:$N$82,"",$C$82:$C$82,"&lt;&gt;")+COUNTIFS($N$82:$N$82,"",$E$82:$E$82,"&lt;&gt;")=0)</formula>
    </cfRule>
  </conditionalFormatting>
  <conditionalFormatting sqref="K83">
    <cfRule type="expression" dxfId="267" priority="45">
      <formula>AND(COUNTA($C$83:$C$83)+COUNTA($E$83:$E$83)&gt;0,COUNTIFS($N$83:$N$83,"",$C$83:$C$83,"&lt;&gt;")+COUNTIFS($N$83:$N$83,"",$E$83:$E$83,"&lt;&gt;")=0)</formula>
    </cfRule>
  </conditionalFormatting>
  <conditionalFormatting sqref="K84">
    <cfRule type="expression" dxfId="266" priority="46">
      <formula>AND(COUNTA($C$84:$C$108)+COUNTA($E$84:$E$108)&gt;0,COUNTIFS($N$84:$N$108,"",$C$84:$C$108,"&lt;&gt;")+COUNTIFS($N$84:$N$108,"",$E$84:$E$108,"&lt;&gt;")=0)</formula>
    </cfRule>
  </conditionalFormatting>
  <conditionalFormatting sqref="K109">
    <cfRule type="expression" dxfId="265" priority="47">
      <formula>AND(COUNTA($C$109:$C$110)+COUNTA($E$109:$E$110)&gt;0,COUNTIFS($N$109:$N$110,"",$C$109:$C$110,"&lt;&gt;")+COUNTIFS($N$109:$N$110,"",$E$109:$E$110,"&lt;&gt;")=0)</formula>
    </cfRule>
  </conditionalFormatting>
  <conditionalFormatting sqref="K111">
    <cfRule type="expression" dxfId="264" priority="48">
      <formula>AND(COUNTA($C$111:$C$111)+COUNTA($E$111:$E$111)&gt;0,COUNTIFS($N$111:$N$111,"",$C$111:$C$111,"&lt;&gt;")+COUNTIFS($N$111:$N$111,"",$E$111:$E$111,"&lt;&gt;")=0)</formula>
    </cfRule>
  </conditionalFormatting>
  <conditionalFormatting sqref="K112">
    <cfRule type="expression" dxfId="263" priority="49">
      <formula>AND(COUNTA($C$112:$C$112)+COUNTA($E$112:$E$112)&gt;0,COUNTIFS($N$112:$N$112,"",$C$112:$C$112,"&lt;&gt;")+COUNTIFS($N$112:$N$112,"",$E$112:$E$112,"&lt;&gt;")=0)</formula>
    </cfRule>
  </conditionalFormatting>
  <conditionalFormatting sqref="K113">
    <cfRule type="expression" dxfId="262" priority="50">
      <formula>AND(COUNTA($C$113:$C$137)+COUNTA($E$113:$E$137)&gt;0,COUNTIFS($N$113:$N$137,"",$C$113:$C$137,"&lt;&gt;")+COUNTIFS($N$113:$N$137,"",$E$113:$E$137,"&lt;&gt;")=0)</formula>
    </cfRule>
  </conditionalFormatting>
  <conditionalFormatting sqref="K138">
    <cfRule type="expression" dxfId="261" priority="51">
      <formula>AND(COUNTA($C$138:$C$140)+COUNTA($E$138:$E$140)&gt;0,COUNTIFS($N$138:$N$140,"",$C$138:$C$140,"&lt;&gt;")+COUNTIFS($N$138:$N$140,"",$E$138:$E$140,"&lt;&gt;")=0)</formula>
    </cfRule>
  </conditionalFormatting>
  <conditionalFormatting sqref="K141">
    <cfRule type="expression" dxfId="260" priority="52">
      <formula>AND(COUNTA($C$141:$C$141)+COUNTA($E$141:$E$141)&gt;0,COUNTIFS($N$141:$N$141,"",$C$141:$C$141,"&lt;&gt;")+COUNTIFS($N$141:$N$141,"",$E$141:$E$141,"&lt;&gt;")=0)</formula>
    </cfRule>
  </conditionalFormatting>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B1B4-AC66-4CFF-AFE3-83AB6FBE4FF4}">
  <sheetPr>
    <tabColor rgb="FF2F3A4A"/>
  </sheetPr>
  <dimension ref="A1:AP206"/>
  <sheetViews>
    <sheetView showGridLines="0" topLeftCell="A95" zoomScale="90" zoomScaleNormal="90" workbookViewId="0">
      <selection activeCell="P7" sqref="P7"/>
    </sheetView>
  </sheetViews>
  <sheetFormatPr defaultColWidth="8.5546875" defaultRowHeight="14.4" x14ac:dyDescent="0.3"/>
  <cols>
    <col min="1" max="1" width="32.5546875" style="64" customWidth="1"/>
    <col min="2" max="2" width="39.5546875" style="1" customWidth="1"/>
    <col min="3" max="3" width="14" style="1" customWidth="1"/>
    <col min="4" max="4" width="13" style="1" customWidth="1"/>
    <col min="5" max="5" width="10" style="1" customWidth="1"/>
    <col min="6" max="6" width="13" style="1" customWidth="1"/>
    <col min="7" max="7" width="14.6640625" style="1" customWidth="1"/>
    <col min="8" max="8" width="13" style="63" customWidth="1"/>
    <col min="9" max="9" width="16.5546875" style="63"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46113</v>
      </c>
      <c r="B3" s="113" t="s">
        <v>49</v>
      </c>
      <c r="C3" s="112" t="s">
        <v>176</v>
      </c>
      <c r="D3" s="111" t="s">
        <v>177</v>
      </c>
      <c r="E3" s="111" t="s">
        <v>178</v>
      </c>
      <c r="F3" s="860" t="s">
        <v>179</v>
      </c>
      <c r="G3" s="111" t="s">
        <v>180</v>
      </c>
      <c r="H3" s="121" t="s">
        <v>181</v>
      </c>
      <c r="I3" s="121" t="s">
        <v>182</v>
      </c>
      <c r="AA3" t="s">
        <v>31</v>
      </c>
      <c r="AB3" t="s">
        <v>1423</v>
      </c>
      <c r="AD3" s="900">
        <v>180</v>
      </c>
      <c r="AH3" s="900">
        <v>400</v>
      </c>
      <c r="AL3" s="900">
        <v>600</v>
      </c>
      <c r="AO3" s="900">
        <v>100</v>
      </c>
      <c r="AP3" s="65">
        <v>600</v>
      </c>
    </row>
    <row r="4" spans="1:42" ht="21" customHeight="1" x14ac:dyDescent="0.3">
      <c r="A4" s="120"/>
      <c r="B4" s="109" t="s">
        <v>407</v>
      </c>
      <c r="C4" s="108">
        <v>70</v>
      </c>
      <c r="D4" s="104">
        <v>78</v>
      </c>
      <c r="E4" s="107" t="s">
        <v>184</v>
      </c>
      <c r="F4" s="871">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240</v>
      </c>
      <c r="G4" s="106">
        <f t="shared" ref="G4:G13" si="0">IFERROR(ROUNDUP(D4/F4,0),"")</f>
        <v>1</v>
      </c>
      <c r="H4" s="105">
        <v>71</v>
      </c>
      <c r="I4" s="104">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852</v>
      </c>
      <c r="AA4" t="s">
        <v>185</v>
      </c>
      <c r="AB4" t="s">
        <v>1423</v>
      </c>
      <c r="AH4" s="900">
        <v>600</v>
      </c>
      <c r="AO4" s="900">
        <v>125</v>
      </c>
    </row>
    <row r="5" spans="1:42" ht="21" customHeight="1" x14ac:dyDescent="0.3">
      <c r="A5" s="120"/>
      <c r="B5" s="109" t="s">
        <v>471</v>
      </c>
      <c r="C5" s="108">
        <v>70</v>
      </c>
      <c r="D5" s="104">
        <v>120</v>
      </c>
      <c r="E5" s="107" t="s">
        <v>184</v>
      </c>
      <c r="F5" s="871">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240</v>
      </c>
      <c r="G5" s="106">
        <f t="shared" si="0"/>
        <v>1</v>
      </c>
      <c r="H5" s="105">
        <v>122</v>
      </c>
      <c r="I5" s="104">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1464</v>
      </c>
      <c r="AA5" t="s">
        <v>183</v>
      </c>
      <c r="AB5" t="s">
        <v>1423</v>
      </c>
      <c r="AO5" s="900">
        <v>180</v>
      </c>
    </row>
    <row r="6" spans="1:42" ht="21" customHeight="1" x14ac:dyDescent="0.3">
      <c r="A6" s="120"/>
      <c r="B6" s="109" t="s">
        <v>472</v>
      </c>
      <c r="C6" s="108">
        <v>70</v>
      </c>
      <c r="D6" s="104">
        <v>240</v>
      </c>
      <c r="E6" s="107" t="s">
        <v>184</v>
      </c>
      <c r="F6" s="871">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240</v>
      </c>
      <c r="G6" s="106">
        <f t="shared" si="0"/>
        <v>1</v>
      </c>
      <c r="H6" s="105">
        <v>241</v>
      </c>
      <c r="I6" s="104">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2892</v>
      </c>
      <c r="AA6" t="s">
        <v>499</v>
      </c>
      <c r="AB6" t="s">
        <v>1423</v>
      </c>
      <c r="AO6" s="900">
        <v>200</v>
      </c>
    </row>
    <row r="7" spans="1:42" ht="21" customHeight="1" x14ac:dyDescent="0.3">
      <c r="A7" s="120"/>
      <c r="B7" s="109" t="s">
        <v>473</v>
      </c>
      <c r="C7" s="108">
        <v>70</v>
      </c>
      <c r="D7" s="104">
        <v>240</v>
      </c>
      <c r="E7" s="107" t="s">
        <v>184</v>
      </c>
      <c r="F7" s="871">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240</v>
      </c>
      <c r="G7" s="106">
        <f t="shared" si="0"/>
        <v>1</v>
      </c>
      <c r="H7" s="105">
        <v>240</v>
      </c>
      <c r="I7" s="104">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2880</v>
      </c>
      <c r="AA7" t="s">
        <v>254</v>
      </c>
      <c r="AB7" t="s">
        <v>1424</v>
      </c>
      <c r="AO7" s="900">
        <v>400</v>
      </c>
    </row>
    <row r="8" spans="1:42" ht="21" customHeight="1" x14ac:dyDescent="0.3">
      <c r="A8" s="120"/>
      <c r="B8" s="109" t="s">
        <v>296</v>
      </c>
      <c r="C8" s="108">
        <v>70</v>
      </c>
      <c r="D8" s="104">
        <v>240</v>
      </c>
      <c r="E8" s="107" t="s">
        <v>184</v>
      </c>
      <c r="F8" s="871">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240</v>
      </c>
      <c r="G8" s="106">
        <f t="shared" si="0"/>
        <v>1</v>
      </c>
      <c r="H8" s="105">
        <v>227</v>
      </c>
      <c r="I8" s="104">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2724</v>
      </c>
      <c r="AA8" t="s">
        <v>1104</v>
      </c>
      <c r="AB8" t="s">
        <v>1424</v>
      </c>
      <c r="AO8" s="900">
        <v>500</v>
      </c>
    </row>
    <row r="9" spans="1:42" ht="21" customHeight="1" x14ac:dyDescent="0.3">
      <c r="A9" s="120"/>
      <c r="B9" s="109" t="s">
        <v>474</v>
      </c>
      <c r="C9" s="108">
        <v>70</v>
      </c>
      <c r="D9" s="104">
        <v>240</v>
      </c>
      <c r="E9" s="107" t="s">
        <v>184</v>
      </c>
      <c r="F9" s="871">
        <f>IF($B9="","",IF(SUMIFS(CONFIG_PALETES!$C:$C,CONFIG_PALETES!$A:$A,TRIM($B9),CONFIG_PALETES!$B:$B,$C9&amp;" ml")&gt;0,SUMIFS(CONFIG_PALETES!$C:$C,CONFIG_PALETES!$A:$A,TRIM($B9),CONFIG_PALETES!$B:$B,$C9&amp;" ml"),IF(SUMIFS(CONFIG_PALETES!$C:$C,CONFIG_PALETES!$A:$A,"GERAL",CONFIG_PALETES!$B:$B,$C9&amp;" ml")&gt;0,SUMIFS(CONFIG_PALETES!$C:$C,CONFIG_PALETES!$A:$A,"GERAL",CONFIG_PALETES!$B:$B,$C9&amp;" ml"),"")))</f>
        <v>240</v>
      </c>
      <c r="G9" s="106">
        <f t="shared" si="0"/>
        <v>1</v>
      </c>
      <c r="H9" s="105">
        <v>219</v>
      </c>
      <c r="I9" s="104">
        <f>IF(H9="","",H9*IF(SUMIFS(CONFIG_PALETES!$D:$D,CONFIG_PALETES!$A:$A,IF(ISNUMBER(SEARCH("ESPUMA",$B9)),"ESPUMA",IF(OR(ISNUMBER(SEARCH("OLEO DE COCO",$B9)),ISNUMBER(SEARCH("ÓLEO DE COCO",$B9)),ISNUMBER(SEARCH("COPRA",$B9))),"ÓLEO DE COCO",IF(ISNUMBER(SEARCH("CORANTE",$B9)),"CORANTE",TRIM($B9)))),CONFIG_PALETES!$B:$B,$C9&amp;" ml")&gt;0,SUMIFS(CONFIG_PALETES!$D:$D,CONFIG_PALETES!$A:$A,IF(ISNUMBER(SEARCH("ESPUMA",$B9)),"ESPUMA",IF(OR(ISNUMBER(SEARCH("OLEO DE COCO",$B9)),ISNUMBER(SEARCH("ÓLEO DE COCO",$B9)),ISNUMBER(SEARCH("COPRA",$B9))),"ÓLEO DE COCO",IF(ISNUMBER(SEARCH("CORANTE",$B9)),"CORANTE",TRIM($B9)))),CONFIG_PALETES!$B:$B,$C9&amp;" ml"),IF(SUMIFS(CONFIG_PALETES!$D:$D,CONFIG_PALETES!$A:$A,"GERAL",CONFIG_PALETES!$B:$B,$C9&amp;" ml")&gt;0,SUMIFS(CONFIG_PALETES!$D:$D,CONFIG_PALETES!$A:$A,"GERAL",CONFIG_PALETES!$B:$B,$C9&amp;" ml"),12)))</f>
        <v>2628</v>
      </c>
      <c r="AA9" t="s">
        <v>58</v>
      </c>
      <c r="AB9" t="s">
        <v>1423</v>
      </c>
      <c r="AO9" s="900">
        <v>600</v>
      </c>
    </row>
    <row r="10" spans="1:42" ht="21" customHeight="1" x14ac:dyDescent="0.3">
      <c r="A10" s="120"/>
      <c r="B10" s="109" t="s">
        <v>475</v>
      </c>
      <c r="C10" s="108">
        <v>70</v>
      </c>
      <c r="D10" s="104">
        <v>80</v>
      </c>
      <c r="E10" s="107" t="s">
        <v>184</v>
      </c>
      <c r="F10" s="871">
        <f>IF($B10="","",IF(SUMIFS(CONFIG_PALETES!$C:$C,CONFIG_PALETES!$A:$A,TRIM($B10),CONFIG_PALETES!$B:$B,$C10&amp;" ml")&gt;0,SUMIFS(CONFIG_PALETES!$C:$C,CONFIG_PALETES!$A:$A,TRIM($B10),CONFIG_PALETES!$B:$B,$C10&amp;" ml"),IF(SUMIFS(CONFIG_PALETES!$C:$C,CONFIG_PALETES!$A:$A,"GERAL",CONFIG_PALETES!$B:$B,$C10&amp;" ml")&gt;0,SUMIFS(CONFIG_PALETES!$C:$C,CONFIG_PALETES!$A:$A,"GERAL",CONFIG_PALETES!$B:$B,$C10&amp;" ml"),"")))</f>
        <v>240</v>
      </c>
      <c r="G10" s="106">
        <f t="shared" si="0"/>
        <v>1</v>
      </c>
      <c r="H10" s="105">
        <v>36</v>
      </c>
      <c r="I10" s="104">
        <f>IF(H10="","",H10*IF(SUMIFS(CONFIG_PALETES!$D:$D,CONFIG_PALETES!$A:$A,IF(ISNUMBER(SEARCH("ESPUMA",$B10)),"ESPUMA",IF(OR(ISNUMBER(SEARCH("OLEO DE COCO",$B10)),ISNUMBER(SEARCH("ÓLEO DE COCO",$B10)),ISNUMBER(SEARCH("COPRA",$B10))),"ÓLEO DE COCO",IF(ISNUMBER(SEARCH("CORANTE",$B10)),"CORANTE",TRIM($B10)))),CONFIG_PALETES!$B:$B,$C10&amp;" ml")&gt;0,SUMIFS(CONFIG_PALETES!$D:$D,CONFIG_PALETES!$A:$A,IF(ISNUMBER(SEARCH("ESPUMA",$B10)),"ESPUMA",IF(OR(ISNUMBER(SEARCH("OLEO DE COCO",$B10)),ISNUMBER(SEARCH("ÓLEO DE COCO",$B10)),ISNUMBER(SEARCH("COPRA",$B10))),"ÓLEO DE COCO",IF(ISNUMBER(SEARCH("CORANTE",$B10)),"CORANTE",TRIM($B10)))),CONFIG_PALETES!$B:$B,$C10&amp;" ml"),IF(SUMIFS(CONFIG_PALETES!$D:$D,CONFIG_PALETES!$A:$A,"GERAL",CONFIG_PALETES!$B:$B,$C10&amp;" ml")&gt;0,SUMIFS(CONFIG_PALETES!$D:$D,CONFIG_PALETES!$A:$A,"GERAL",CONFIG_PALETES!$B:$B,$C10&amp;" ml"),12)))</f>
        <v>432</v>
      </c>
      <c r="AA10" t="s">
        <v>496</v>
      </c>
      <c r="AB10" t="s">
        <v>1423</v>
      </c>
    </row>
    <row r="11" spans="1:42" ht="21" customHeight="1" x14ac:dyDescent="0.3">
      <c r="A11" s="120"/>
      <c r="B11" s="109"/>
      <c r="C11" s="108"/>
      <c r="D11" s="104"/>
      <c r="E11" s="107" t="s">
        <v>184</v>
      </c>
      <c r="F11" s="871" t="str">
        <f>IF($B11="","",IF(SUMIFS(CONFIG_PALETES!$C:$C,CONFIG_PALETES!$A:$A,TRIM($B11),CONFIG_PALETES!$B:$B,$C11&amp;" ml")&gt;0,SUMIFS(CONFIG_PALETES!$C:$C,CONFIG_PALETES!$A:$A,TRIM($B11),CONFIG_PALETES!$B:$B,$C11&amp;" ml"),IF(SUMIFS(CONFIG_PALETES!$C:$C,CONFIG_PALETES!$A:$A,"GERAL",CONFIG_PALETES!$B:$B,$C11&amp;" ml")&gt;0,SUMIFS(CONFIG_PALETES!$C:$C,CONFIG_PALETES!$A:$A,"GERAL",CONFIG_PALETES!$B:$B,$C11&amp;" ml"),"")))</f>
        <v/>
      </c>
      <c r="G11" s="106" t="str">
        <f t="shared" si="0"/>
        <v/>
      </c>
      <c r="H11" s="105"/>
      <c r="I11" s="104" t="str">
        <f>IF(H11="","",H11*IF(SUMIFS(CONFIG_PALETES!$D:$D,CONFIG_PALETES!$A:$A,IF(ISNUMBER(SEARCH("ESPUMA",$B11)),"ESPUMA",IF(OR(ISNUMBER(SEARCH("OLEO DE COCO",$B11)),ISNUMBER(SEARCH("ÓLEO DE COCO",$B11)),ISNUMBER(SEARCH("COPRA",$B11))),"ÓLEO DE COCO",IF(ISNUMBER(SEARCH("CORANTE",$B11)),"CORANTE",TRIM($B11)))),CONFIG_PALETES!$B:$B,$C11&amp;" ml")&gt;0,SUMIFS(CONFIG_PALETES!$D:$D,CONFIG_PALETES!$A:$A,IF(ISNUMBER(SEARCH("ESPUMA",$B11)),"ESPUMA",IF(OR(ISNUMBER(SEARCH("OLEO DE COCO",$B11)),ISNUMBER(SEARCH("ÓLEO DE COCO",$B11)),ISNUMBER(SEARCH("COPRA",$B11))),"ÓLEO DE COCO",IF(ISNUMBER(SEARCH("CORANTE",$B11)),"CORANTE",TRIM($B11)))),CONFIG_PALETES!$B:$B,$C11&amp;" ml"),IF(SUMIFS(CONFIG_PALETES!$D:$D,CONFIG_PALETES!$A:$A,"GERAL",CONFIG_PALETES!$B:$B,$C11&amp;" ml")&gt;0,SUMIFS(CONFIG_PALETES!$D:$D,CONFIG_PALETES!$A:$A,"GERAL",CONFIG_PALETES!$B:$B,$C11&amp;" ml"),12)))</f>
        <v/>
      </c>
      <c r="AA11" t="s">
        <v>37</v>
      </c>
      <c r="AB11" t="s">
        <v>1423</v>
      </c>
    </row>
    <row r="12" spans="1:42" ht="21" customHeight="1" x14ac:dyDescent="0.3">
      <c r="A12" s="122"/>
      <c r="B12" s="109"/>
      <c r="C12" s="108"/>
      <c r="D12" s="104"/>
      <c r="E12" s="107" t="s">
        <v>184</v>
      </c>
      <c r="F12" s="873"/>
      <c r="G12" s="106" t="str">
        <f t="shared" si="0"/>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2" ht="21" customHeight="1" x14ac:dyDescent="0.3">
      <c r="A13" s="122"/>
      <c r="B13" s="818"/>
      <c r="C13" s="819"/>
      <c r="D13" s="820"/>
      <c r="E13" s="821" t="s">
        <v>184</v>
      </c>
      <c r="F13" s="873"/>
      <c r="G13" s="822" t="str">
        <f t="shared" si="0"/>
        <v/>
      </c>
      <c r="H13" s="823"/>
      <c r="I13" s="820"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2" ht="15" customHeight="1" x14ac:dyDescent="0.3">
      <c r="A14" s="899"/>
      <c r="B14" s="846" t="s">
        <v>186</v>
      </c>
      <c r="C14" s="847"/>
      <c r="D14" s="848">
        <f>SUM(D7:D13)</f>
        <v>800</v>
      </c>
      <c r="E14" s="849"/>
      <c r="F14" s="856" t="s">
        <v>1400</v>
      </c>
      <c r="G14" s="850">
        <f>SUM(G7:G13)</f>
        <v>4</v>
      </c>
      <c r="H14" s="848">
        <f>SUM(H7:H13)</f>
        <v>722</v>
      </c>
      <c r="I14" s="848">
        <f>SUM(I7:I13)</f>
        <v>8664</v>
      </c>
      <c r="J14" s="63">
        <f>D14</f>
        <v>800</v>
      </c>
      <c r="K14" s="93">
        <f>G14</f>
        <v>4</v>
      </c>
      <c r="L14" s="63">
        <f>H14</f>
        <v>722</v>
      </c>
      <c r="M14" s="63">
        <f>I14</f>
        <v>8664</v>
      </c>
      <c r="N14" s="587" cm="1">
        <f t="array" ref="N14">IF(H14=0,"",SUMPRODUCT(IFERROR(INT(H4:H13/F4:F13),0)))</f>
        <v>2</v>
      </c>
      <c r="O14" s="770">
        <f>IF(N14="","",MAX(0,G14-N14))</f>
        <v>2</v>
      </c>
      <c r="AA14" t="s">
        <v>43</v>
      </c>
      <c r="AB14" t="s">
        <v>1425</v>
      </c>
    </row>
    <row r="15" spans="1:42" ht="6" customHeight="1" x14ac:dyDescent="0.3">
      <c r="C15" s="65"/>
      <c r="AA15" t="s">
        <v>1224</v>
      </c>
      <c r="AB15" t="s">
        <v>1426</v>
      </c>
    </row>
    <row r="16" spans="1:42" ht="15" customHeight="1" x14ac:dyDescent="0.3">
      <c r="A16" s="75">
        <v>46114</v>
      </c>
      <c r="B16" s="113" t="s">
        <v>49</v>
      </c>
      <c r="C16" s="112" t="s">
        <v>176</v>
      </c>
      <c r="D16" s="111" t="s">
        <v>177</v>
      </c>
      <c r="E16" s="111" t="s">
        <v>178</v>
      </c>
      <c r="F16" s="860" t="s">
        <v>179</v>
      </c>
      <c r="G16" s="111" t="s">
        <v>180</v>
      </c>
      <c r="H16" s="121" t="s">
        <v>181</v>
      </c>
      <c r="I16" s="121" t="s">
        <v>182</v>
      </c>
      <c r="AA16" t="s">
        <v>1014</v>
      </c>
      <c r="AB16" t="s">
        <v>1425</v>
      </c>
    </row>
    <row r="17" spans="1:28" ht="21" customHeight="1" x14ac:dyDescent="0.3">
      <c r="A17" s="120"/>
      <c r="B17" s="109" t="s">
        <v>476</v>
      </c>
      <c r="C17" s="108">
        <v>200</v>
      </c>
      <c r="D17" s="104">
        <v>1650</v>
      </c>
      <c r="E17" s="107" t="s">
        <v>184</v>
      </c>
      <c r="F17" s="871">
        <f>IF($B17="","",IF(SUMIFS(CONFIG_PALETES!$C:$C,CONFIG_PALETES!$A:$A,TRIM($B17),CONFIG_PALETES!$B:$B,$C17&amp;" ml")&gt;0,SUMIFS(CONFIG_PALETES!$C:$C,CONFIG_PALETES!$A:$A,TRIM($B17),CONFIG_PALETES!$B:$B,$C17&amp;" ml"),IF(SUMIFS(CONFIG_PALETES!$C:$C,CONFIG_PALETES!$A:$A,"GERAL",CONFIG_PALETES!$B:$B,$C17&amp;" ml")&gt;0,SUMIFS(CONFIG_PALETES!$C:$C,CONFIG_PALETES!$A:$A,"GERAL",CONFIG_PALETES!$B:$B,$C17&amp;" ml"),"")))</f>
        <v>330</v>
      </c>
      <c r="G17" s="106">
        <f>IFERROR(ROUNDUP(D17/F17,0),"")</f>
        <v>5</v>
      </c>
      <c r="H17" s="105">
        <v>1650</v>
      </c>
      <c r="I17" s="104">
        <f>IF(H17="","",H17*IF(SUMIFS(CONFIG_PALETES!$D:$D,CONFIG_PALETES!$A:$A,IF(ISNUMBER(SEARCH("ESPUMA",$B17)),"ESPUMA",IF(OR(ISNUMBER(SEARCH("OLEO DE COCO",$B17)),ISNUMBER(SEARCH("ÓLEO DE COCO",$B17)),ISNUMBER(SEARCH("COPRA",$B17))),"ÓLEO DE COCO",IF(ISNUMBER(SEARCH("CORANTE",$B17)),"CORANTE",TRIM($B17)))),CONFIG_PALETES!$B:$B,$C17&amp;" ml")&gt;0,SUMIFS(CONFIG_PALETES!$D:$D,CONFIG_PALETES!$A:$A,IF(ISNUMBER(SEARCH("ESPUMA",$B17)),"ESPUMA",IF(OR(ISNUMBER(SEARCH("OLEO DE COCO",$B17)),ISNUMBER(SEARCH("ÓLEO DE COCO",$B17)),ISNUMBER(SEARCH("COPRA",$B17))),"ÓLEO DE COCO",IF(ISNUMBER(SEARCH("CORANTE",$B17)),"CORANTE",TRIM($B17)))),CONFIG_PALETES!$B:$B,$C17&amp;" ml"),IF(SUMIFS(CONFIG_PALETES!$D:$D,CONFIG_PALETES!$A:$A,"GERAL",CONFIG_PALETES!$B:$B,$C17&amp;" ml")&gt;0,SUMIFS(CONFIG_PALETES!$D:$D,CONFIG_PALETES!$A:$A,"GERAL",CONFIG_PALETES!$B:$B,$C17&amp;" ml"),12)))</f>
        <v>9900</v>
      </c>
      <c r="AA17" t="s">
        <v>236</v>
      </c>
      <c r="AB17" t="s">
        <v>1425</v>
      </c>
    </row>
    <row r="18" spans="1:28" ht="21" customHeight="1" x14ac:dyDescent="0.3">
      <c r="A18" s="120"/>
      <c r="B18" s="109" t="s">
        <v>477</v>
      </c>
      <c r="C18" s="108">
        <v>200</v>
      </c>
      <c r="D18" s="104">
        <v>660</v>
      </c>
      <c r="E18" s="107" t="s">
        <v>184</v>
      </c>
      <c r="F18" s="871">
        <f>IF($B18="","",IF(SUMIFS(CONFIG_PALETES!$C:$C,CONFIG_PALETES!$A:$A,TRIM($B18),CONFIG_PALETES!$B:$B,$C18&amp;" ml")&gt;0,SUMIFS(CONFIG_PALETES!$C:$C,CONFIG_PALETES!$A:$A,TRIM($B18),CONFIG_PALETES!$B:$B,$C18&amp;" ml"),IF(SUMIFS(CONFIG_PALETES!$C:$C,CONFIG_PALETES!$A:$A,"GERAL",CONFIG_PALETES!$B:$B,$C18&amp;" ml")&gt;0,SUMIFS(CONFIG_PALETES!$C:$C,CONFIG_PALETES!$A:$A,"GERAL",CONFIG_PALETES!$B:$B,$C18&amp;" ml"),"")))</f>
        <v>330</v>
      </c>
      <c r="G18" s="106">
        <f>IFERROR(ROUNDUP(D18/F18,0),"")</f>
        <v>2</v>
      </c>
      <c r="H18" s="105">
        <v>450</v>
      </c>
      <c r="I18" s="104">
        <f>IF(H18="","",H18*IF(SUMIFS(CONFIG_PALETES!$D:$D,CONFIG_PALETES!$A:$A,IF(ISNUMBER(SEARCH("ESPUMA",$B18)),"ESPUMA",IF(OR(ISNUMBER(SEARCH("OLEO DE COCO",$B18)),ISNUMBER(SEARCH("ÓLEO DE COCO",$B18)),ISNUMBER(SEARCH("COPRA",$B18))),"ÓLEO DE COCO",IF(ISNUMBER(SEARCH("CORANTE",$B18)),"CORANTE",TRIM($B18)))),CONFIG_PALETES!$B:$B,$C18&amp;" ml")&gt;0,SUMIFS(CONFIG_PALETES!$D:$D,CONFIG_PALETES!$A:$A,IF(ISNUMBER(SEARCH("ESPUMA",$B18)),"ESPUMA",IF(OR(ISNUMBER(SEARCH("OLEO DE COCO",$B18)),ISNUMBER(SEARCH("ÓLEO DE COCO",$B18)),ISNUMBER(SEARCH("COPRA",$B18))),"ÓLEO DE COCO",IF(ISNUMBER(SEARCH("CORANTE",$B18)),"CORANTE",TRIM($B18)))),CONFIG_PALETES!$B:$B,$C18&amp;" ml"),IF(SUMIFS(CONFIG_PALETES!$D:$D,CONFIG_PALETES!$A:$A,"GERAL",CONFIG_PALETES!$B:$B,$C18&amp;" ml")&gt;0,SUMIFS(CONFIG_PALETES!$D:$D,CONFIG_PALETES!$A:$A,"GERAL",CONFIG_PALETES!$B:$B,$C18&amp;" ml"),12)))</f>
        <v>2700</v>
      </c>
      <c r="AA18" t="s">
        <v>593</v>
      </c>
      <c r="AB18" t="s">
        <v>1426</v>
      </c>
    </row>
    <row r="19" spans="1:28" ht="21" customHeight="1" x14ac:dyDescent="0.3">
      <c r="A19" s="120"/>
      <c r="B19" s="109"/>
      <c r="C19" s="108"/>
      <c r="D19" s="104"/>
      <c r="E19" s="107" t="s">
        <v>184</v>
      </c>
      <c r="F19" s="871" t="str">
        <f>IF($B19="","",IF(SUMIFS(CONFIG_PALETES!$C:$C,CONFIG_PALETES!$A:$A,TRIM($B19),CONFIG_PALETES!$B:$B,$C19&amp;" ml")&gt;0,SUMIFS(CONFIG_PALETES!$C:$C,CONFIG_PALETES!$A:$A,TRIM($B19),CONFIG_PALETES!$B:$B,$C19&amp;" ml"),IF(SUMIFS(CONFIG_PALETES!$C:$C,CONFIG_PALETES!$A:$A,"GERAL",CONFIG_PALETES!$B:$B,$C19&amp;" ml")&gt;0,SUMIFS(CONFIG_PALETES!$C:$C,CONFIG_PALETES!$A:$A,"GERAL",CONFIG_PALETES!$B:$B,$C19&amp;" ml"),"")))</f>
        <v/>
      </c>
      <c r="G19" s="106" t="str">
        <f>IFERROR(ROUNDUP(D19/F19,0),"")</f>
        <v/>
      </c>
      <c r="H19" s="105"/>
      <c r="I19" s="104" t="str">
        <f>IF(H19="","",H19*IF(SUMIFS(CONFIG_PALETES!$D:$D,CONFIG_PALETES!$A:$A,IF(ISNUMBER(SEARCH("ESPUMA",$B19)),"ESPUMA",IF(OR(ISNUMBER(SEARCH("OLEO DE COCO",$B19)),ISNUMBER(SEARCH("ÓLEO DE COCO",$B19)),ISNUMBER(SEARCH("COPRA",$B19))),"ÓLEO DE COCO",IF(ISNUMBER(SEARCH("CORANTE",$B19)),"CORANTE",TRIM($B19)))),CONFIG_PALETES!$B:$B,$C19&amp;" ml")&gt;0,SUMIFS(CONFIG_PALETES!$D:$D,CONFIG_PALETES!$A:$A,IF(ISNUMBER(SEARCH("ESPUMA",$B19)),"ESPUMA",IF(OR(ISNUMBER(SEARCH("OLEO DE COCO",$B19)),ISNUMBER(SEARCH("ÓLEO DE COCO",$B19)),ISNUMBER(SEARCH("COPRA",$B19))),"ÓLEO DE COCO",IF(ISNUMBER(SEARCH("CORANTE",$B19)),"CORANTE",TRIM($B19)))),CONFIG_PALETES!$B:$B,$C19&amp;" ml"),IF(SUMIFS(CONFIG_PALETES!$D:$D,CONFIG_PALETES!$A:$A,"GERAL",CONFIG_PALETES!$B:$B,$C19&amp;" ml")&gt;0,SUMIFS(CONFIG_PALETES!$D:$D,CONFIG_PALETES!$A:$A,"GERAL",CONFIG_PALETES!$B:$B,$C19&amp;" ml"),12)))</f>
        <v/>
      </c>
      <c r="AA19" t="s">
        <v>139</v>
      </c>
      <c r="AB19" t="s">
        <v>1425</v>
      </c>
    </row>
    <row r="20" spans="1:28" ht="21" customHeight="1" x14ac:dyDescent="0.3">
      <c r="A20" s="120"/>
      <c r="B20" s="109"/>
      <c r="C20" s="108"/>
      <c r="D20" s="104"/>
      <c r="E20" s="107" t="s">
        <v>184</v>
      </c>
      <c r="F20" s="871"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06" t="str">
        <f>IFERROR(ROUNDUP(D20/F20,0),"")</f>
        <v/>
      </c>
      <c r="H20" s="105"/>
      <c r="I20" s="104"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AA20" t="s">
        <v>189</v>
      </c>
      <c r="AB20" t="s">
        <v>1425</v>
      </c>
    </row>
    <row r="21" spans="1:28" ht="21" customHeight="1" x14ac:dyDescent="0.3">
      <c r="A21" s="824"/>
      <c r="B21" s="818"/>
      <c r="C21" s="819"/>
      <c r="D21" s="820"/>
      <c r="E21" s="821" t="s">
        <v>184</v>
      </c>
      <c r="F21" s="872"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822" t="str">
        <f>IFERROR(ROUNDUP(D21/F21,0),"")</f>
        <v/>
      </c>
      <c r="H21" s="823"/>
      <c r="I21" s="820"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AA21" t="s">
        <v>403</v>
      </c>
      <c r="AB21" t="s">
        <v>1425</v>
      </c>
    </row>
    <row r="22" spans="1:28" ht="15" customHeight="1" x14ac:dyDescent="0.3">
      <c r="A22" s="899"/>
      <c r="B22" s="846" t="s">
        <v>186</v>
      </c>
      <c r="C22" s="847"/>
      <c r="D22" s="848">
        <f>SUM(D15:D21)</f>
        <v>2310</v>
      </c>
      <c r="E22" s="849"/>
      <c r="F22" s="856" t="s">
        <v>1400</v>
      </c>
      <c r="G22" s="850">
        <f>SUM(G15:G21)</f>
        <v>7</v>
      </c>
      <c r="H22" s="848">
        <f>SUM(H15:H21)</f>
        <v>2100</v>
      </c>
      <c r="I22" s="848">
        <f>SUM(I15:I21)</f>
        <v>12600</v>
      </c>
      <c r="J22" s="63">
        <f>D22</f>
        <v>2310</v>
      </c>
      <c r="K22" s="93">
        <f>G22</f>
        <v>7</v>
      </c>
      <c r="L22" s="63">
        <f>H22</f>
        <v>2100</v>
      </c>
      <c r="M22" s="63">
        <f>I22</f>
        <v>12600</v>
      </c>
      <c r="N22" s="587" cm="1">
        <f t="array" ref="N22">IF(H22=0,"",SUMPRODUCT(IFERROR(INT(H17:H21/F17:F21),0)))</f>
        <v>6</v>
      </c>
      <c r="O22" s="770">
        <f>IF(N22="","",MAX(0,G22-N22))</f>
        <v>1</v>
      </c>
      <c r="AA22" t="s">
        <v>553</v>
      </c>
      <c r="AB22" t="s">
        <v>1423</v>
      </c>
    </row>
    <row r="23" spans="1:28" ht="6" customHeight="1" x14ac:dyDescent="0.3">
      <c r="C23" s="65"/>
      <c r="AA23" t="s">
        <v>1205</v>
      </c>
      <c r="AB23" t="s">
        <v>1426</v>
      </c>
    </row>
    <row r="24" spans="1:28" ht="15" customHeight="1" x14ac:dyDescent="0.3">
      <c r="A24" s="75">
        <v>46115</v>
      </c>
      <c r="B24" s="487" t="s">
        <v>49</v>
      </c>
      <c r="C24" s="488" t="s">
        <v>176</v>
      </c>
      <c r="D24" s="489" t="s">
        <v>177</v>
      </c>
      <c r="E24" s="489" t="s">
        <v>178</v>
      </c>
      <c r="F24" s="861" t="s">
        <v>179</v>
      </c>
      <c r="G24" s="489" t="s">
        <v>180</v>
      </c>
      <c r="H24" s="490" t="s">
        <v>181</v>
      </c>
      <c r="I24" s="490" t="s">
        <v>182</v>
      </c>
      <c r="AA24" t="s">
        <v>1165</v>
      </c>
      <c r="AB24" t="s">
        <v>1426</v>
      </c>
    </row>
    <row r="25" spans="1:28" ht="21" customHeight="1" x14ac:dyDescent="0.3">
      <c r="A25" s="486"/>
      <c r="B25" s="663" t="s">
        <v>478</v>
      </c>
      <c r="C25" s="664"/>
      <c r="D25" s="664"/>
      <c r="E25" s="664"/>
      <c r="F25" s="866"/>
      <c r="G25" s="664"/>
      <c r="H25" s="664"/>
      <c r="I25" s="665"/>
      <c r="AA25" t="s">
        <v>1159</v>
      </c>
      <c r="AB25" t="s">
        <v>1423</v>
      </c>
    </row>
    <row r="26" spans="1:28" ht="21" customHeight="1" x14ac:dyDescent="0.3">
      <c r="A26" s="486"/>
      <c r="B26" s="666"/>
      <c r="C26" s="667"/>
      <c r="D26" s="667"/>
      <c r="E26" s="667"/>
      <c r="F26" s="867"/>
      <c r="G26" s="667"/>
      <c r="H26" s="667"/>
      <c r="I26" s="668"/>
      <c r="AA26" t="s">
        <v>287</v>
      </c>
      <c r="AB26" t="s">
        <v>1427</v>
      </c>
    </row>
    <row r="27" spans="1:28" ht="21" customHeight="1" x14ac:dyDescent="0.3">
      <c r="A27" s="486"/>
      <c r="B27" s="666"/>
      <c r="C27" s="667"/>
      <c r="D27" s="667"/>
      <c r="E27" s="667"/>
      <c r="F27" s="867"/>
      <c r="G27" s="667"/>
      <c r="H27" s="667"/>
      <c r="I27" s="668"/>
      <c r="AA27" t="s">
        <v>996</v>
      </c>
      <c r="AB27" t="s">
        <v>1426</v>
      </c>
    </row>
    <row r="28" spans="1:28" ht="21" customHeight="1" x14ac:dyDescent="0.3">
      <c r="A28" s="486"/>
      <c r="B28" s="666"/>
      <c r="C28" s="667"/>
      <c r="D28" s="667"/>
      <c r="E28" s="667"/>
      <c r="F28" s="867"/>
      <c r="G28" s="667"/>
      <c r="H28" s="667"/>
      <c r="I28" s="668"/>
      <c r="AA28" t="s">
        <v>288</v>
      </c>
      <c r="AB28" t="s">
        <v>1426</v>
      </c>
    </row>
    <row r="29" spans="1:28" ht="21" customHeight="1" x14ac:dyDescent="0.3">
      <c r="A29" s="825"/>
      <c r="B29" s="666"/>
      <c r="C29" s="826"/>
      <c r="D29" s="826"/>
      <c r="E29" s="826"/>
      <c r="F29" s="868"/>
      <c r="G29" s="826"/>
      <c r="H29" s="826"/>
      <c r="I29" s="668"/>
      <c r="AA29" t="s">
        <v>93</v>
      </c>
      <c r="AB29" t="s">
        <v>1428</v>
      </c>
    </row>
    <row r="30" spans="1:28" ht="15" customHeight="1" x14ac:dyDescent="0.3">
      <c r="A30" s="899"/>
      <c r="B30" s="846" t="s">
        <v>186</v>
      </c>
      <c r="C30" s="847"/>
      <c r="D30" s="848">
        <f>SUM(D23:D29)</f>
        <v>0</v>
      </c>
      <c r="E30" s="849"/>
      <c r="F30" s="856" t="s">
        <v>1400</v>
      </c>
      <c r="G30" s="850">
        <f>SUM(G23:G29)</f>
        <v>0</v>
      </c>
      <c r="H30" s="848">
        <f>SUM(H23:H29)</f>
        <v>0</v>
      </c>
      <c r="I30" s="848">
        <f>SUM(I23:I29)</f>
        <v>0</v>
      </c>
      <c r="J30" s="63">
        <f>D30</f>
        <v>0</v>
      </c>
      <c r="K30" s="93">
        <f>G30</f>
        <v>0</v>
      </c>
      <c r="L30" s="63">
        <f>H30</f>
        <v>0</v>
      </c>
      <c r="M30" s="63">
        <f>I30</f>
        <v>0</v>
      </c>
      <c r="N30" s="587" t="str" cm="1">
        <f t="array" ref="N30">IF(H30=0,"",SUMPRODUCT(IFERROR(INT(H25:H29/F25:F29),0)))</f>
        <v/>
      </c>
      <c r="O30" s="770" t="str">
        <f>IF(N30="","",MAX(0,G30-N30))</f>
        <v/>
      </c>
      <c r="AA30" t="s">
        <v>406</v>
      </c>
      <c r="AB30" t="s">
        <v>1428</v>
      </c>
    </row>
    <row r="31" spans="1:28" ht="6" customHeight="1" x14ac:dyDescent="0.3">
      <c r="C31" s="65"/>
      <c r="AA31" t="s">
        <v>407</v>
      </c>
      <c r="AB31" t="s">
        <v>1428</v>
      </c>
    </row>
    <row r="32" spans="1:28" ht="15" customHeight="1" x14ac:dyDescent="0.3">
      <c r="A32" s="75">
        <v>46118</v>
      </c>
      <c r="B32" s="113" t="s">
        <v>49</v>
      </c>
      <c r="C32" s="112" t="s">
        <v>176</v>
      </c>
      <c r="D32" s="111" t="s">
        <v>177</v>
      </c>
      <c r="E32" s="111" t="s">
        <v>178</v>
      </c>
      <c r="F32" s="860" t="s">
        <v>179</v>
      </c>
      <c r="G32" s="111" t="s">
        <v>180</v>
      </c>
      <c r="H32" s="121" t="s">
        <v>181</v>
      </c>
      <c r="I32" s="121" t="s">
        <v>182</v>
      </c>
      <c r="AA32" t="s">
        <v>95</v>
      </c>
      <c r="AB32" t="s">
        <v>1428</v>
      </c>
    </row>
    <row r="33" spans="1:28" ht="21" customHeight="1" x14ac:dyDescent="0.3">
      <c r="A33" s="120"/>
      <c r="B33" s="109" t="s">
        <v>477</v>
      </c>
      <c r="C33" s="108">
        <v>200</v>
      </c>
      <c r="D33" s="104">
        <v>210</v>
      </c>
      <c r="E33" s="107" t="s">
        <v>184</v>
      </c>
      <c r="F33" s="871">
        <f>IF($B33="","",IF(SUMIFS(CONFIG_PALETES!$C:$C,CONFIG_PALETES!$A:$A,TRIM($B33),CONFIG_PALETES!$B:$B,$C33&amp;" ml")&gt;0,SUMIFS(CONFIG_PALETES!$C:$C,CONFIG_PALETES!$A:$A,TRIM($B33),CONFIG_PALETES!$B:$B,$C33&amp;" ml"),IF(SUMIFS(CONFIG_PALETES!$C:$C,CONFIG_PALETES!$A:$A,"GERAL",CONFIG_PALETES!$B:$B,$C33&amp;" ml")&gt;0,SUMIFS(CONFIG_PALETES!$C:$C,CONFIG_PALETES!$A:$A,"GERAL",CONFIG_PALETES!$B:$B,$C33&amp;" ml"),"")))</f>
        <v>330</v>
      </c>
      <c r="G33" s="106">
        <f t="shared" ref="G33:G41" si="1">IFERROR(ROUNDUP(D33/F33,0),"")</f>
        <v>1</v>
      </c>
      <c r="H33" s="105">
        <v>210</v>
      </c>
      <c r="I33" s="104">
        <f>IF(H33="","",H33*IF(SUMIFS(CONFIG_PALETES!$D:$D,CONFIG_PALETES!$A:$A,IF(ISNUMBER(SEARCH("ESPUMA",$B33)),"ESPUMA",IF(OR(ISNUMBER(SEARCH("OLEO DE COCO",$B33)),ISNUMBER(SEARCH("ÓLEO DE COCO",$B33)),ISNUMBER(SEARCH("COPRA",$B33))),"ÓLEO DE COCO",IF(ISNUMBER(SEARCH("CORANTE",$B33)),"CORANTE",TRIM($B33)))),CONFIG_PALETES!$B:$B,$C33&amp;" ml")&gt;0,SUMIFS(CONFIG_PALETES!$D:$D,CONFIG_PALETES!$A:$A,IF(ISNUMBER(SEARCH("ESPUMA",$B33)),"ESPUMA",IF(OR(ISNUMBER(SEARCH("OLEO DE COCO",$B33)),ISNUMBER(SEARCH("ÓLEO DE COCO",$B33)),ISNUMBER(SEARCH("COPRA",$B33))),"ÓLEO DE COCO",IF(ISNUMBER(SEARCH("CORANTE",$B33)),"CORANTE",TRIM($B33)))),CONFIG_PALETES!$B:$B,$C33&amp;" ml"),IF(SUMIFS(CONFIG_PALETES!$D:$D,CONFIG_PALETES!$A:$A,"GERAL",CONFIG_PALETES!$B:$B,$C33&amp;" ml")&gt;0,SUMIFS(CONFIG_PALETES!$D:$D,CONFIG_PALETES!$A:$A,"GERAL",CONFIG_PALETES!$B:$B,$C33&amp;" ml"),12)))</f>
        <v>1260</v>
      </c>
      <c r="AA33" t="s">
        <v>471</v>
      </c>
      <c r="AB33" t="s">
        <v>1428</v>
      </c>
    </row>
    <row r="34" spans="1:28" ht="21" customHeight="1" x14ac:dyDescent="0.3">
      <c r="A34" s="120"/>
      <c r="B34" s="109" t="s">
        <v>479</v>
      </c>
      <c r="C34" s="108">
        <v>200</v>
      </c>
      <c r="D34" s="104">
        <v>330</v>
      </c>
      <c r="E34" s="107" t="s">
        <v>184</v>
      </c>
      <c r="F34" s="871">
        <f>IF($B34="","",IF(SUMIFS(CONFIG_PALETES!$C:$C,CONFIG_PALETES!$A:$A,TRIM($B34),CONFIG_PALETES!$B:$B,$C34&amp;" ml")&gt;0,SUMIFS(CONFIG_PALETES!$C:$C,CONFIG_PALETES!$A:$A,TRIM($B34),CONFIG_PALETES!$B:$B,$C34&amp;" ml"),IF(SUMIFS(CONFIG_PALETES!$C:$C,CONFIG_PALETES!$A:$A,"GERAL",CONFIG_PALETES!$B:$B,$C34&amp;" ml")&gt;0,SUMIFS(CONFIG_PALETES!$C:$C,CONFIG_PALETES!$A:$A,"GERAL",CONFIG_PALETES!$B:$B,$C34&amp;" ml"),"")))</f>
        <v>330</v>
      </c>
      <c r="G34" s="106">
        <f t="shared" si="1"/>
        <v>1</v>
      </c>
      <c r="H34" s="105">
        <v>279</v>
      </c>
      <c r="I34" s="104">
        <f>IF(H34="","",H34*IF(SUMIFS(CONFIG_PALETES!$D:$D,CONFIG_PALETES!$A:$A,IF(ISNUMBER(SEARCH("ESPUMA",$B34)),"ESPUMA",IF(OR(ISNUMBER(SEARCH("OLEO DE COCO",$B34)),ISNUMBER(SEARCH("ÓLEO DE COCO",$B34)),ISNUMBER(SEARCH("COPRA",$B34))),"ÓLEO DE COCO",IF(ISNUMBER(SEARCH("CORANTE",$B34)),"CORANTE",TRIM($B34)))),CONFIG_PALETES!$B:$B,$C34&amp;" ml")&gt;0,SUMIFS(CONFIG_PALETES!$D:$D,CONFIG_PALETES!$A:$A,IF(ISNUMBER(SEARCH("ESPUMA",$B34)),"ESPUMA",IF(OR(ISNUMBER(SEARCH("OLEO DE COCO",$B34)),ISNUMBER(SEARCH("ÓLEO DE COCO",$B34)),ISNUMBER(SEARCH("COPRA",$B34))),"ÓLEO DE COCO",IF(ISNUMBER(SEARCH("CORANTE",$B34)),"CORANTE",TRIM($B34)))),CONFIG_PALETES!$B:$B,$C34&amp;" ml"),IF(SUMIFS(CONFIG_PALETES!$D:$D,CONFIG_PALETES!$A:$A,"GERAL",CONFIG_PALETES!$B:$B,$C34&amp;" ml")&gt;0,SUMIFS(CONFIG_PALETES!$D:$D,CONFIG_PALETES!$A:$A,"GERAL",CONFIG_PALETES!$B:$B,$C34&amp;" ml"),12)))</f>
        <v>1674</v>
      </c>
      <c r="AA34" t="s">
        <v>292</v>
      </c>
      <c r="AB34" t="s">
        <v>1428</v>
      </c>
    </row>
    <row r="35" spans="1:28" ht="21" customHeight="1" x14ac:dyDescent="0.3">
      <c r="A35" s="120"/>
      <c r="B35" s="109" t="s">
        <v>480</v>
      </c>
      <c r="C35" s="108">
        <v>200</v>
      </c>
      <c r="D35" s="104">
        <v>330</v>
      </c>
      <c r="E35" s="107" t="s">
        <v>184</v>
      </c>
      <c r="F35" s="871">
        <f>IF($B35="","",IF(SUMIFS(CONFIG_PALETES!$C:$C,CONFIG_PALETES!$A:$A,TRIM($B35),CONFIG_PALETES!$B:$B,$C35&amp;" ml")&gt;0,SUMIFS(CONFIG_PALETES!$C:$C,CONFIG_PALETES!$A:$A,TRIM($B35),CONFIG_PALETES!$B:$B,$C35&amp;" ml"),IF(SUMIFS(CONFIG_PALETES!$C:$C,CONFIG_PALETES!$A:$A,"GERAL",CONFIG_PALETES!$B:$B,$C35&amp;" ml")&gt;0,SUMIFS(CONFIG_PALETES!$C:$C,CONFIG_PALETES!$A:$A,"GERAL",CONFIG_PALETES!$B:$B,$C35&amp;" ml"),"")))</f>
        <v>330</v>
      </c>
      <c r="G35" s="106">
        <f t="shared" si="1"/>
        <v>1</v>
      </c>
      <c r="H35" s="105">
        <v>314</v>
      </c>
      <c r="I35" s="104">
        <f>IF(H35="","",H35*IF(SUMIFS(CONFIG_PALETES!$D:$D,CONFIG_PALETES!$A:$A,IF(ISNUMBER(SEARCH("ESPUMA",$B35)),"ESPUMA",IF(OR(ISNUMBER(SEARCH("OLEO DE COCO",$B35)),ISNUMBER(SEARCH("ÓLEO DE COCO",$B35)),ISNUMBER(SEARCH("COPRA",$B35))),"ÓLEO DE COCO",IF(ISNUMBER(SEARCH("CORANTE",$B35)),"CORANTE",TRIM($B35)))),CONFIG_PALETES!$B:$B,$C35&amp;" ml")&gt;0,SUMIFS(CONFIG_PALETES!$D:$D,CONFIG_PALETES!$A:$A,IF(ISNUMBER(SEARCH("ESPUMA",$B35)),"ESPUMA",IF(OR(ISNUMBER(SEARCH("OLEO DE COCO",$B35)),ISNUMBER(SEARCH("ÓLEO DE COCO",$B35)),ISNUMBER(SEARCH("COPRA",$B35))),"ÓLEO DE COCO",IF(ISNUMBER(SEARCH("CORANTE",$B35)),"CORANTE",TRIM($B35)))),CONFIG_PALETES!$B:$B,$C35&amp;" ml"),IF(SUMIFS(CONFIG_PALETES!$D:$D,CONFIG_PALETES!$A:$A,"GERAL",CONFIG_PALETES!$B:$B,$C35&amp;" ml")&gt;0,SUMIFS(CONFIG_PALETES!$D:$D,CONFIG_PALETES!$A:$A,"GERAL",CONFIG_PALETES!$B:$B,$C35&amp;" ml"),12)))</f>
        <v>1884</v>
      </c>
      <c r="AA35" t="s">
        <v>1193</v>
      </c>
      <c r="AB35" t="s">
        <v>1428</v>
      </c>
    </row>
    <row r="36" spans="1:28" ht="21" customHeight="1" x14ac:dyDescent="0.3">
      <c r="A36" s="120"/>
      <c r="B36" s="109" t="s">
        <v>481</v>
      </c>
      <c r="C36" s="108">
        <v>200</v>
      </c>
      <c r="D36" s="104">
        <v>330</v>
      </c>
      <c r="E36" s="107" t="s">
        <v>184</v>
      </c>
      <c r="F36" s="871">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330</v>
      </c>
      <c r="G36" s="106">
        <f t="shared" si="1"/>
        <v>1</v>
      </c>
      <c r="H36" s="105">
        <v>329</v>
      </c>
      <c r="I36" s="104">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1974</v>
      </c>
      <c r="AA36" t="s">
        <v>294</v>
      </c>
      <c r="AB36" t="s">
        <v>1428</v>
      </c>
    </row>
    <row r="37" spans="1:28" ht="21" customHeight="1" x14ac:dyDescent="0.3">
      <c r="A37" s="120"/>
      <c r="B37" s="109" t="s">
        <v>482</v>
      </c>
      <c r="C37" s="108">
        <v>200</v>
      </c>
      <c r="D37" s="104">
        <v>330</v>
      </c>
      <c r="E37" s="107" t="s">
        <v>184</v>
      </c>
      <c r="F37" s="871">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330</v>
      </c>
      <c r="G37" s="106">
        <f t="shared" si="1"/>
        <v>1</v>
      </c>
      <c r="H37" s="105">
        <v>321</v>
      </c>
      <c r="I37" s="104">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1926</v>
      </c>
      <c r="AA37" t="s">
        <v>591</v>
      </c>
      <c r="AB37" t="s">
        <v>1428</v>
      </c>
    </row>
    <row r="38" spans="1:28" ht="21" customHeight="1" x14ac:dyDescent="0.3">
      <c r="A38" s="120"/>
      <c r="B38" s="109" t="s">
        <v>483</v>
      </c>
      <c r="C38" s="108">
        <v>200</v>
      </c>
      <c r="D38" s="104">
        <v>330</v>
      </c>
      <c r="E38" s="107" t="s">
        <v>184</v>
      </c>
      <c r="F38" s="871">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330</v>
      </c>
      <c r="G38" s="106">
        <f t="shared" si="1"/>
        <v>1</v>
      </c>
      <c r="H38" s="105">
        <v>318</v>
      </c>
      <c r="I38" s="104">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1908</v>
      </c>
      <c r="AA38" t="s">
        <v>590</v>
      </c>
      <c r="AB38" t="s">
        <v>1428</v>
      </c>
    </row>
    <row r="39" spans="1:28" ht="21" customHeight="1" x14ac:dyDescent="0.3">
      <c r="A39" s="120"/>
      <c r="B39" s="109" t="s">
        <v>484</v>
      </c>
      <c r="C39" s="108">
        <v>200</v>
      </c>
      <c r="D39" s="104">
        <v>330</v>
      </c>
      <c r="E39" s="107" t="s">
        <v>184</v>
      </c>
      <c r="F39" s="871">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330</v>
      </c>
      <c r="G39" s="106">
        <f t="shared" si="1"/>
        <v>1</v>
      </c>
      <c r="H39" s="105">
        <v>296</v>
      </c>
      <c r="I39" s="104">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1776</v>
      </c>
      <c r="AA39" t="s">
        <v>592</v>
      </c>
      <c r="AB39" t="s">
        <v>1428</v>
      </c>
    </row>
    <row r="40" spans="1:28" ht="21" customHeight="1" x14ac:dyDescent="0.3">
      <c r="A40" s="120"/>
      <c r="B40" s="109" t="s">
        <v>485</v>
      </c>
      <c r="C40" s="108">
        <v>200</v>
      </c>
      <c r="D40" s="104">
        <v>330</v>
      </c>
      <c r="E40" s="107" t="s">
        <v>184</v>
      </c>
      <c r="F40" s="871">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330</v>
      </c>
      <c r="G40" s="106">
        <f t="shared" si="1"/>
        <v>1</v>
      </c>
      <c r="H40" s="105">
        <v>63</v>
      </c>
      <c r="I40" s="104">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378</v>
      </c>
      <c r="AA40" t="s">
        <v>473</v>
      </c>
      <c r="AB40" t="s">
        <v>1428</v>
      </c>
    </row>
    <row r="41" spans="1:28" ht="21" customHeight="1" x14ac:dyDescent="0.3">
      <c r="A41" s="824"/>
      <c r="B41" s="818"/>
      <c r="C41" s="819"/>
      <c r="D41" s="820"/>
      <c r="E41" s="821" t="s">
        <v>184</v>
      </c>
      <c r="F41" s="872" t="str">
        <f>IF($B41="","",IF(SUMIFS(CONFIG_PALETES!$C:$C,CONFIG_PALETES!$A:$A,TRIM($B41),CONFIG_PALETES!$B:$B,$C41&amp;" ml")&gt;0,SUMIFS(CONFIG_PALETES!$C:$C,CONFIG_PALETES!$A:$A,TRIM($B41),CONFIG_PALETES!$B:$B,$C41&amp;" ml"),IF(SUMIFS(CONFIG_PALETES!$C:$C,CONFIG_PALETES!$A:$A,"GERAL",CONFIG_PALETES!$B:$B,$C41&amp;" ml")&gt;0,SUMIFS(CONFIG_PALETES!$C:$C,CONFIG_PALETES!$A:$A,"GERAL",CONFIG_PALETES!$B:$B,$C41&amp;" ml"),"")))</f>
        <v/>
      </c>
      <c r="G41" s="822" t="str">
        <f t="shared" si="1"/>
        <v/>
      </c>
      <c r="H41" s="823"/>
      <c r="I41" s="820"/>
      <c r="AA41" t="s">
        <v>296</v>
      </c>
      <c r="AB41" t="s">
        <v>1428</v>
      </c>
    </row>
    <row r="42" spans="1:28" ht="15" customHeight="1" x14ac:dyDescent="0.3">
      <c r="A42" s="899"/>
      <c r="B42" s="846" t="s">
        <v>186</v>
      </c>
      <c r="C42" s="847"/>
      <c r="D42" s="848">
        <f>SUM(D35:D41)</f>
        <v>1980</v>
      </c>
      <c r="E42" s="849"/>
      <c r="F42" s="856" t="s">
        <v>1400</v>
      </c>
      <c r="G42" s="850">
        <f>SUM(G35:G41)</f>
        <v>6</v>
      </c>
      <c r="H42" s="848">
        <f>SUM(H35:H41)</f>
        <v>1641</v>
      </c>
      <c r="I42" s="848">
        <f>SUM(I35:I41)</f>
        <v>9846</v>
      </c>
      <c r="J42" s="63">
        <f>D42</f>
        <v>1980</v>
      </c>
      <c r="K42" s="93">
        <f>G42</f>
        <v>6</v>
      </c>
      <c r="L42" s="63">
        <f>H42</f>
        <v>1641</v>
      </c>
      <c r="M42" s="63">
        <f>I42</f>
        <v>9846</v>
      </c>
      <c r="N42" s="587" cm="1">
        <f t="array" ref="N42">IF(H42=0,"",SUMPRODUCT(IFERROR(INT(H33:H41/F33:F41),0)))</f>
        <v>0</v>
      </c>
      <c r="O42" s="770">
        <f>IF(N42="","",MAX(0,G42-N42))</f>
        <v>6</v>
      </c>
      <c r="AA42" t="s">
        <v>472</v>
      </c>
      <c r="AB42" t="s">
        <v>1428</v>
      </c>
    </row>
    <row r="43" spans="1:28" ht="6" customHeight="1" x14ac:dyDescent="0.3">
      <c r="C43" s="65"/>
      <c r="AA43" t="s">
        <v>293</v>
      </c>
      <c r="AB43" t="s">
        <v>1428</v>
      </c>
    </row>
    <row r="44" spans="1:28" ht="15" customHeight="1" x14ac:dyDescent="0.3">
      <c r="A44" s="75">
        <v>46119</v>
      </c>
      <c r="B44" s="113" t="s">
        <v>49</v>
      </c>
      <c r="C44" s="112" t="s">
        <v>176</v>
      </c>
      <c r="D44" s="111" t="s">
        <v>177</v>
      </c>
      <c r="E44" s="111" t="s">
        <v>178</v>
      </c>
      <c r="F44" s="860" t="s">
        <v>179</v>
      </c>
      <c r="G44" s="111" t="s">
        <v>180</v>
      </c>
      <c r="H44" s="121" t="s">
        <v>181</v>
      </c>
      <c r="I44" s="121" t="s">
        <v>182</v>
      </c>
      <c r="AA44" t="s">
        <v>101</v>
      </c>
      <c r="AB44" t="s">
        <v>1428</v>
      </c>
    </row>
    <row r="45" spans="1:28" ht="21" customHeight="1" x14ac:dyDescent="0.3">
      <c r="A45" s="120"/>
      <c r="B45" s="109" t="s">
        <v>485</v>
      </c>
      <c r="C45" s="108">
        <v>200</v>
      </c>
      <c r="D45" s="104">
        <v>267</v>
      </c>
      <c r="E45" s="107" t="s">
        <v>184</v>
      </c>
      <c r="F45" s="871">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330</v>
      </c>
      <c r="G45" s="106">
        <f t="shared" ref="G45:G51" si="2">IFERROR(ROUNDUP(D45/F45,0),"")</f>
        <v>1</v>
      </c>
      <c r="H45" s="105">
        <v>267</v>
      </c>
      <c r="I45" s="104">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1602</v>
      </c>
      <c r="AA45" t="s">
        <v>474</v>
      </c>
      <c r="AB45" t="s">
        <v>1428</v>
      </c>
    </row>
    <row r="46" spans="1:28" ht="21" customHeight="1" x14ac:dyDescent="0.3">
      <c r="A46" s="120"/>
      <c r="B46" s="109" t="s">
        <v>486</v>
      </c>
      <c r="C46" s="108">
        <v>200</v>
      </c>
      <c r="D46" s="104">
        <v>330</v>
      </c>
      <c r="E46" s="107" t="s">
        <v>184</v>
      </c>
      <c r="F46" s="871">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330</v>
      </c>
      <c r="G46" s="106">
        <f t="shared" si="2"/>
        <v>1</v>
      </c>
      <c r="H46" s="105">
        <v>315</v>
      </c>
      <c r="I46" s="104">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1890</v>
      </c>
      <c r="AA46" t="s">
        <v>295</v>
      </c>
      <c r="AB46" t="s">
        <v>1428</v>
      </c>
    </row>
    <row r="47" spans="1:28" ht="21" customHeight="1" x14ac:dyDescent="0.3">
      <c r="A47" s="120"/>
      <c r="B47" s="109" t="s">
        <v>487</v>
      </c>
      <c r="C47" s="108">
        <v>200</v>
      </c>
      <c r="D47" s="104">
        <v>330</v>
      </c>
      <c r="E47" s="107" t="s">
        <v>184</v>
      </c>
      <c r="F47" s="871">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330</v>
      </c>
      <c r="G47" s="106">
        <f t="shared" si="2"/>
        <v>1</v>
      </c>
      <c r="H47" s="105">
        <v>329</v>
      </c>
      <c r="I47" s="104">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1974</v>
      </c>
      <c r="AA47" t="s">
        <v>97</v>
      </c>
      <c r="AB47" t="s">
        <v>1428</v>
      </c>
    </row>
    <row r="48" spans="1:28" ht="21" customHeight="1" x14ac:dyDescent="0.3">
      <c r="A48" s="120"/>
      <c r="B48" s="109" t="s">
        <v>488</v>
      </c>
      <c r="C48" s="108">
        <v>200</v>
      </c>
      <c r="D48" s="104">
        <v>330</v>
      </c>
      <c r="E48" s="107" t="s">
        <v>184</v>
      </c>
      <c r="F48" s="871">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330</v>
      </c>
      <c r="G48" s="106">
        <f t="shared" si="2"/>
        <v>1</v>
      </c>
      <c r="H48" s="105">
        <v>330</v>
      </c>
      <c r="I48" s="104">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1980</v>
      </c>
      <c r="AA48" t="s">
        <v>475</v>
      </c>
      <c r="AB48" t="s">
        <v>1428</v>
      </c>
    </row>
    <row r="49" spans="1:28" ht="21" customHeight="1" x14ac:dyDescent="0.3">
      <c r="A49" s="120"/>
      <c r="B49" s="109" t="s">
        <v>489</v>
      </c>
      <c r="C49" s="108">
        <v>600</v>
      </c>
      <c r="D49" s="104">
        <v>106</v>
      </c>
      <c r="E49" s="107" t="s">
        <v>184</v>
      </c>
      <c r="F49" s="871">
        <f>IF($B49="","",IF(SUMIFS(CONFIG_PALETES!$C:$C,CONFIG_PALETES!$A:$A,TRIM($B49),CONFIG_PALETES!$B:$B,$C49&amp;" ml")&gt;0,SUMIFS(CONFIG_PALETES!$C:$C,CONFIG_PALETES!$A:$A,TRIM($B49),CONFIG_PALETES!$B:$B,$C49&amp;" ml"),IF(SUMIFS(CONFIG_PALETES!$C:$C,CONFIG_PALETES!$A:$A,"GERAL",CONFIG_PALETES!$B:$B,$C49&amp;" ml")&gt;0,SUMIFS(CONFIG_PALETES!$C:$C,CONFIG_PALETES!$A:$A,"GERAL",CONFIG_PALETES!$B:$B,$C49&amp;" ml"),"")))</f>
        <v>95</v>
      </c>
      <c r="G49" s="106">
        <f t="shared" si="2"/>
        <v>2</v>
      </c>
      <c r="H49" s="105">
        <v>106</v>
      </c>
      <c r="I49" s="104">
        <f>IF(H49="","",H49*IF(SUMIFS(CONFIG_PALETES!$D:$D,CONFIG_PALETES!$A:$A,IF(ISNUMBER(SEARCH("ESPUMA",$B49)),"ESPUMA",IF(OR(ISNUMBER(SEARCH("OLEO DE COCO",$B49)),ISNUMBER(SEARCH("ÓLEO DE COCO",$B49)),ISNUMBER(SEARCH("COPRA",$B49))),"ÓLEO DE COCO",IF(ISNUMBER(SEARCH("CORANTE",$B49)),"CORANTE",TRIM($B49)))),CONFIG_PALETES!$B:$B,$C49&amp;" ml")&gt;0,SUMIFS(CONFIG_PALETES!$D:$D,CONFIG_PALETES!$A:$A,IF(ISNUMBER(SEARCH("ESPUMA",$B49)),"ESPUMA",IF(OR(ISNUMBER(SEARCH("OLEO DE COCO",$B49)),ISNUMBER(SEARCH("ÓLEO DE COCO",$B49)),ISNUMBER(SEARCH("COPRA",$B49))),"ÓLEO DE COCO",IF(ISNUMBER(SEARCH("CORANTE",$B49)),"CORANTE",TRIM($B49)))),CONFIG_PALETES!$B:$B,$C49&amp;" ml"),IF(SUMIFS(CONFIG_PALETES!$D:$D,CONFIG_PALETES!$A:$A,"GERAL",CONFIG_PALETES!$B:$B,$C49&amp;" ml")&gt;0,SUMIFS(CONFIG_PALETES!$D:$D,CONFIG_PALETES!$A:$A,"GERAL",CONFIG_PALETES!$B:$B,$C49&amp;" ml"),12)))</f>
        <v>1272</v>
      </c>
      <c r="AA49" t="s">
        <v>491</v>
      </c>
      <c r="AB49" t="s">
        <v>1425</v>
      </c>
    </row>
    <row r="50" spans="1:28" ht="21" customHeight="1" x14ac:dyDescent="0.3">
      <c r="A50" s="122"/>
      <c r="B50" s="109" t="s">
        <v>490</v>
      </c>
      <c r="C50" s="108">
        <v>400</v>
      </c>
      <c r="D50" s="104">
        <v>2625</v>
      </c>
      <c r="E50" s="107" t="s">
        <v>184</v>
      </c>
      <c r="F50" s="871">
        <f>IF($B50="","",IF(SUMIFS(CONFIG_PALETES!$C:$C,CONFIG_PALETES!$A:$A,TRIM($B50),CONFIG_PALETES!$B:$B,$C50&amp;" ml")&gt;0,SUMIFS(CONFIG_PALETES!$C:$C,CONFIG_PALETES!$A:$A,TRIM($B50),CONFIG_PALETES!$B:$B,$C50&amp;" ml"),IF(SUMIFS(CONFIG_PALETES!$C:$C,CONFIG_PALETES!$A:$A,"GERAL",CONFIG_PALETES!$B:$B,$C50&amp;" ml")&gt;0,SUMIFS(CONFIG_PALETES!$C:$C,CONFIG_PALETES!$A:$A,"GERAL",CONFIG_PALETES!$B:$B,$C50&amp;" ml"),"")))</f>
        <v>125</v>
      </c>
      <c r="G50" s="106">
        <f t="shared" si="2"/>
        <v>21</v>
      </c>
      <c r="H50" s="105">
        <v>194</v>
      </c>
      <c r="I50" s="104">
        <f>IF(H50="","",H50*IF(SUMIFS(CONFIG_PALETES!$D:$D,CONFIG_PALETES!$A:$A,IF(ISNUMBER(SEARCH("ESPUMA",$B50)),"ESPUMA",IF(OR(ISNUMBER(SEARCH("OLEO DE COCO",$B50)),ISNUMBER(SEARCH("ÓLEO DE COCO",$B50)),ISNUMBER(SEARCH("COPRA",$B50))),"ÓLEO DE COCO",IF(ISNUMBER(SEARCH("CORANTE",$B50)),"CORANTE",TRIM($B50)))),CONFIG_PALETES!$B:$B,$C50&amp;" ml")&gt;0,SUMIFS(CONFIG_PALETES!$D:$D,CONFIG_PALETES!$A:$A,IF(ISNUMBER(SEARCH("ESPUMA",$B50)),"ESPUMA",IF(OR(ISNUMBER(SEARCH("OLEO DE COCO",$B50)),ISNUMBER(SEARCH("ÓLEO DE COCO",$B50)),ISNUMBER(SEARCH("COPRA",$B50))),"ÓLEO DE COCO",IF(ISNUMBER(SEARCH("CORANTE",$B50)),"CORANTE",TRIM($B50)))),CONFIG_PALETES!$B:$B,$C50&amp;" ml"),IF(SUMIFS(CONFIG_PALETES!$D:$D,CONFIG_PALETES!$A:$A,"GERAL",CONFIG_PALETES!$B:$B,$C50&amp;" ml")&gt;0,SUMIFS(CONFIG_PALETES!$D:$D,CONFIG_PALETES!$A:$A,"GERAL",CONFIG_PALETES!$B:$B,$C50&amp;" ml"),12)))</f>
        <v>2328</v>
      </c>
      <c r="AA50" t="s">
        <v>1162</v>
      </c>
      <c r="AB50" t="s">
        <v>1424</v>
      </c>
    </row>
    <row r="51" spans="1:28" ht="21" customHeight="1" x14ac:dyDescent="0.3">
      <c r="A51" s="122"/>
      <c r="B51" s="818"/>
      <c r="C51" s="819"/>
      <c r="D51" s="820"/>
      <c r="E51" s="821"/>
      <c r="F51" s="872" t="str">
        <f>IF($B51="","",IF(SUMIFS(CONFIG_PALETES!$C:$C,CONFIG_PALETES!$A:$A,TRIM($B51),CONFIG_PALETES!$B:$B,$C51&amp;" ml")&gt;0,SUMIFS(CONFIG_PALETES!$C:$C,CONFIG_PALETES!$A:$A,TRIM($B51),CONFIG_PALETES!$B:$B,$C51&amp;" ml"),IF(SUMIFS(CONFIG_PALETES!$C:$C,CONFIG_PALETES!$A:$A,"GERAL",CONFIG_PALETES!$B:$B,$C51&amp;" ml")&gt;0,SUMIFS(CONFIG_PALETES!$C:$C,CONFIG_PALETES!$A:$A,"GERAL",CONFIG_PALETES!$B:$B,$C51&amp;" ml"),"")))</f>
        <v/>
      </c>
      <c r="G51" s="822" t="str">
        <f t="shared" si="2"/>
        <v/>
      </c>
      <c r="H51" s="823"/>
      <c r="I51" s="820" t="str">
        <f>IF(H51="","",H51*IF(SUMIFS(CONFIG_PALETES!$D:$D,CONFIG_PALETES!$A:$A,IF(ISNUMBER(SEARCH("ESPUMA",$B51)),"ESPUMA",IF(OR(ISNUMBER(SEARCH("OLEO DE COCO",$B51)),ISNUMBER(SEARCH("ÓLEO DE COCO",$B51)),ISNUMBER(SEARCH("COPRA",$B51))),"ÓLEO DE COCO",IF(ISNUMBER(SEARCH("CORANTE",$B51)),"CORANTE",TRIM($B51)))),CONFIG_PALETES!$B:$B,$C51&amp;" ml")&gt;0,SUMIFS(CONFIG_PALETES!$D:$D,CONFIG_PALETES!$A:$A,IF(ISNUMBER(SEARCH("ESPUMA",$B51)),"ESPUMA",IF(OR(ISNUMBER(SEARCH("OLEO DE COCO",$B51)),ISNUMBER(SEARCH("ÓLEO DE COCO",$B51)),ISNUMBER(SEARCH("COPRA",$B51))),"ÓLEO DE COCO",IF(ISNUMBER(SEARCH("CORANTE",$B51)),"CORANTE",TRIM($B51)))),CONFIG_PALETES!$B:$B,$C51&amp;" ml"),IF(SUMIFS(CONFIG_PALETES!$D:$D,CONFIG_PALETES!$A:$A,"GERAL",CONFIG_PALETES!$B:$B,$C51&amp;" ml")&gt;0,SUMIFS(CONFIG_PALETES!$D:$D,CONFIG_PALETES!$A:$A,"GERAL",CONFIG_PALETES!$B:$B,$C51&amp;" ml"),12)))</f>
        <v/>
      </c>
      <c r="AA51" t="s">
        <v>39</v>
      </c>
      <c r="AB51" t="s">
        <v>1423</v>
      </c>
    </row>
    <row r="52" spans="1:28" ht="15" customHeight="1" x14ac:dyDescent="0.3">
      <c r="A52" s="899"/>
      <c r="B52" s="846" t="s">
        <v>186</v>
      </c>
      <c r="C52" s="847"/>
      <c r="D52" s="848">
        <f>SUM(D45:D51)</f>
        <v>3988</v>
      </c>
      <c r="E52" s="849"/>
      <c r="F52" s="856" t="s">
        <v>1400</v>
      </c>
      <c r="G52" s="850">
        <f>SUM(G45:G51)</f>
        <v>27</v>
      </c>
      <c r="H52" s="848">
        <f>SUM(H45:H51)</f>
        <v>1541</v>
      </c>
      <c r="I52" s="848">
        <f>SUM(I45:I51)</f>
        <v>11046</v>
      </c>
      <c r="J52" s="63">
        <f>D52</f>
        <v>3988</v>
      </c>
      <c r="K52" s="93">
        <f>G52</f>
        <v>27</v>
      </c>
      <c r="L52" s="63">
        <f>H52</f>
        <v>1541</v>
      </c>
      <c r="M52" s="63">
        <f>I52</f>
        <v>11046</v>
      </c>
      <c r="N52" s="587" cm="1">
        <f t="array" ref="N52">IF(H52=0,"",SUMPRODUCT(IFERROR(INT(H45:H51/F45:F51),0)))</f>
        <v>3</v>
      </c>
      <c r="O52" s="770">
        <f>IF(N52="","",MAX(0,G52-N52))</f>
        <v>24</v>
      </c>
      <c r="AA52" t="s">
        <v>240</v>
      </c>
      <c r="AB52" t="s">
        <v>1425</v>
      </c>
    </row>
    <row r="53" spans="1:28" ht="6" customHeight="1" x14ac:dyDescent="0.3">
      <c r="C53" s="65"/>
      <c r="AA53" t="s">
        <v>596</v>
      </c>
      <c r="AB53" t="s">
        <v>1425</v>
      </c>
    </row>
    <row r="54" spans="1:28" ht="15" customHeight="1" x14ac:dyDescent="0.3">
      <c r="A54" s="75">
        <v>46120</v>
      </c>
      <c r="B54" s="113" t="s">
        <v>49</v>
      </c>
      <c r="C54" s="112" t="s">
        <v>176</v>
      </c>
      <c r="D54" s="111" t="s">
        <v>177</v>
      </c>
      <c r="E54" s="111" t="s">
        <v>178</v>
      </c>
      <c r="F54" s="860" t="s">
        <v>179</v>
      </c>
      <c r="G54" s="111" t="s">
        <v>180</v>
      </c>
      <c r="H54" s="121" t="s">
        <v>181</v>
      </c>
      <c r="I54" s="121" t="s">
        <v>182</v>
      </c>
      <c r="AA54" t="s">
        <v>33</v>
      </c>
      <c r="AB54" t="s">
        <v>1425</v>
      </c>
    </row>
    <row r="55" spans="1:28" ht="21" customHeight="1" x14ac:dyDescent="0.3">
      <c r="A55" s="120"/>
      <c r="B55" s="109" t="s">
        <v>490</v>
      </c>
      <c r="C55" s="108">
        <v>400</v>
      </c>
      <c r="D55" s="104">
        <f>D50-H50</f>
        <v>2431</v>
      </c>
      <c r="E55" s="107" t="s">
        <v>184</v>
      </c>
      <c r="F55" s="871">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125</v>
      </c>
      <c r="G55" s="106">
        <f>IFERROR(ROUNDUP(D55/F55,0),"")</f>
        <v>20</v>
      </c>
      <c r="H55" s="105">
        <v>1503</v>
      </c>
      <c r="I55" s="104">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18036</v>
      </c>
      <c r="AA55" t="s">
        <v>571</v>
      </c>
      <c r="AB55" t="s">
        <v>1425</v>
      </c>
    </row>
    <row r="56" spans="1:28" ht="21" customHeight="1" x14ac:dyDescent="0.3">
      <c r="A56" s="120"/>
      <c r="B56" s="109"/>
      <c r="C56" s="108"/>
      <c r="D56" s="104"/>
      <c r="E56" s="107" t="s">
        <v>184</v>
      </c>
      <c r="F56" s="871"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106" t="str">
        <f>IFERROR(ROUNDUP(D56/F56,0),"")</f>
        <v/>
      </c>
      <c r="H56" s="105"/>
      <c r="I56" s="104"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21" customHeight="1" x14ac:dyDescent="0.3">
      <c r="A57" s="120"/>
      <c r="B57" s="109"/>
      <c r="C57" s="108"/>
      <c r="D57" s="104"/>
      <c r="E57" s="107" t="s">
        <v>184</v>
      </c>
      <c r="F57" s="871" t="str">
        <f>IF($B57="","",IF(SUMIFS(CONFIG_PALETES!$C:$C,CONFIG_PALETES!$A:$A,TRIM($B57),CONFIG_PALETES!$B:$B,$C57&amp;" ml")&gt;0,SUMIFS(CONFIG_PALETES!$C:$C,CONFIG_PALETES!$A:$A,TRIM($B57),CONFIG_PALETES!$B:$B,$C57&amp;" ml"),IF(SUMIFS(CONFIG_PALETES!$C:$C,CONFIG_PALETES!$A:$A,"GERAL",CONFIG_PALETES!$B:$B,$C57&amp;" ml")&gt;0,SUMIFS(CONFIG_PALETES!$C:$C,CONFIG_PALETES!$A:$A,"GERAL",CONFIG_PALETES!$B:$B,$C57&amp;" ml"),"")))</f>
        <v/>
      </c>
      <c r="G57" s="106" t="str">
        <f>IFERROR(ROUNDUP(D57/F57,0),"")</f>
        <v/>
      </c>
      <c r="H57" s="105"/>
      <c r="I57" s="104" t="str">
        <f>IF(H57="","",H57*IF(SUMIFS(CONFIG_PALETES!$D:$D,CONFIG_PALETES!$A:$A,IF(ISNUMBER(SEARCH("ESPUMA",$B57)),"ESPUMA",IF(OR(ISNUMBER(SEARCH("OLEO DE COCO",$B57)),ISNUMBER(SEARCH("ÓLEO DE COCO",$B57)),ISNUMBER(SEARCH("COPRA",$B57))),"ÓLEO DE COCO",IF(ISNUMBER(SEARCH("CORANTE",$B57)),"CORANTE",TRIM($B57)))),CONFIG_PALETES!$B:$B,$C57&amp;" ml")&gt;0,SUMIFS(CONFIG_PALETES!$D:$D,CONFIG_PALETES!$A:$A,IF(ISNUMBER(SEARCH("ESPUMA",$B57)),"ESPUMA",IF(OR(ISNUMBER(SEARCH("OLEO DE COCO",$B57)),ISNUMBER(SEARCH("ÓLEO DE COCO",$B57)),ISNUMBER(SEARCH("COPRA",$B57))),"ÓLEO DE COCO",IF(ISNUMBER(SEARCH("CORANTE",$B57)),"CORANTE",TRIM($B57)))),CONFIG_PALETES!$B:$B,$C57&amp;" ml"),IF(SUMIFS(CONFIG_PALETES!$D:$D,CONFIG_PALETES!$A:$A,"GERAL",CONFIG_PALETES!$B:$B,$C57&amp;" ml")&gt;0,SUMIFS(CONFIG_PALETES!$D:$D,CONFIG_PALETES!$A:$A,"GERAL",CONFIG_PALETES!$B:$B,$C57&amp;" ml"),12)))</f>
        <v/>
      </c>
      <c r="AA57" t="s">
        <v>595</v>
      </c>
      <c r="AB57" t="s">
        <v>1425</v>
      </c>
    </row>
    <row r="58" spans="1:28" ht="21" customHeight="1" x14ac:dyDescent="0.3">
      <c r="A58" s="120"/>
      <c r="B58" s="109"/>
      <c r="C58" s="108"/>
      <c r="D58" s="104"/>
      <c r="E58" s="107" t="s">
        <v>184</v>
      </c>
      <c r="F58" s="871" t="str">
        <f>IF($B58="","",IF(SUMIFS(CONFIG_PALETES!$C:$C,CONFIG_PALETES!$A:$A,TRIM($B58),CONFIG_PALETES!$B:$B,$C58&amp;" ml")&gt;0,SUMIFS(CONFIG_PALETES!$C:$C,CONFIG_PALETES!$A:$A,TRIM($B58),CONFIG_PALETES!$B:$B,$C58&amp;" ml"),IF(SUMIFS(CONFIG_PALETES!$C:$C,CONFIG_PALETES!$A:$A,"GERAL",CONFIG_PALETES!$B:$B,$C58&amp;" ml")&gt;0,SUMIFS(CONFIG_PALETES!$C:$C,CONFIG_PALETES!$A:$A,"GERAL",CONFIG_PALETES!$B:$B,$C58&amp;" ml"),"")))</f>
        <v/>
      </c>
      <c r="G58" s="106" t="str">
        <f>IFERROR(ROUNDUP(D58/F58,0),"")</f>
        <v/>
      </c>
      <c r="H58" s="105"/>
      <c r="I58" s="104" t="str">
        <f>IF(H58="","",H58*IF(SUMIFS(CONFIG_PALETES!$D:$D,CONFIG_PALETES!$A:$A,IF(ISNUMBER(SEARCH("ESPUMA",$B58)),"ESPUMA",IF(OR(ISNUMBER(SEARCH("OLEO DE COCO",$B58)),ISNUMBER(SEARCH("ÓLEO DE COCO",$B58)),ISNUMBER(SEARCH("COPRA",$B58))),"ÓLEO DE COCO",IF(ISNUMBER(SEARCH("CORANTE",$B58)),"CORANTE",TRIM($B58)))),CONFIG_PALETES!$B:$B,$C58&amp;" ml")&gt;0,SUMIFS(CONFIG_PALETES!$D:$D,CONFIG_PALETES!$A:$A,IF(ISNUMBER(SEARCH("ESPUMA",$B58)),"ESPUMA",IF(OR(ISNUMBER(SEARCH("OLEO DE COCO",$B58)),ISNUMBER(SEARCH("ÓLEO DE COCO",$B58)),ISNUMBER(SEARCH("COPRA",$B58))),"ÓLEO DE COCO",IF(ISNUMBER(SEARCH("CORANTE",$B58)),"CORANTE",TRIM($B58)))),CONFIG_PALETES!$B:$B,$C58&amp;" ml"),IF(SUMIFS(CONFIG_PALETES!$D:$D,CONFIG_PALETES!$A:$A,"GERAL",CONFIG_PALETES!$B:$B,$C58&amp;" ml")&gt;0,SUMIFS(CONFIG_PALETES!$D:$D,CONFIG_PALETES!$A:$A,"GERAL",CONFIG_PALETES!$B:$B,$C58&amp;" ml"),12)))</f>
        <v/>
      </c>
      <c r="AA58" t="s">
        <v>483</v>
      </c>
      <c r="AB58" t="s">
        <v>1422</v>
      </c>
    </row>
    <row r="59" spans="1:28" ht="21" customHeight="1" x14ac:dyDescent="0.3">
      <c r="A59" s="824"/>
      <c r="B59" s="818"/>
      <c r="C59" s="819"/>
      <c r="D59" s="820"/>
      <c r="E59" s="821" t="s">
        <v>184</v>
      </c>
      <c r="F59" s="872" t="str">
        <f>IF($B59="","",IF(SUMIFS(CONFIG_PALETES!$C:$C,CONFIG_PALETES!$A:$A,TRIM($B59),CONFIG_PALETES!$B:$B,$C59&amp;" ml")&gt;0,SUMIFS(CONFIG_PALETES!$C:$C,CONFIG_PALETES!$A:$A,TRIM($B59),CONFIG_PALETES!$B:$B,$C59&amp;" ml"),IF(SUMIFS(CONFIG_PALETES!$C:$C,CONFIG_PALETES!$A:$A,"GERAL",CONFIG_PALETES!$B:$B,$C59&amp;" ml")&gt;0,SUMIFS(CONFIG_PALETES!$C:$C,CONFIG_PALETES!$A:$A,"GERAL",CONFIG_PALETES!$B:$B,$C59&amp;" ml"),"")))</f>
        <v/>
      </c>
      <c r="G59" s="822" t="str">
        <f>IFERROR(ROUNDUP(D59/F59,0),"")</f>
        <v/>
      </c>
      <c r="H59" s="823"/>
      <c r="I59" s="820" t="str">
        <f>IF(H59="","",H59*IF(SUMIFS(CONFIG_PALETES!$D:$D,CONFIG_PALETES!$A:$A,IF(ISNUMBER(SEARCH("ESPUMA",$B59)),"ESPUMA",IF(OR(ISNUMBER(SEARCH("OLEO DE COCO",$B59)),ISNUMBER(SEARCH("ÓLEO DE COCO",$B59)),ISNUMBER(SEARCH("COPRA",$B59))),"ÓLEO DE COCO",IF(ISNUMBER(SEARCH("CORANTE",$B59)),"CORANTE",TRIM($B59)))),CONFIG_PALETES!$B:$B,$C59&amp;" ml")&gt;0,SUMIFS(CONFIG_PALETES!$D:$D,CONFIG_PALETES!$A:$A,IF(ISNUMBER(SEARCH("ESPUMA",$B59)),"ESPUMA",IF(OR(ISNUMBER(SEARCH("OLEO DE COCO",$B59)),ISNUMBER(SEARCH("ÓLEO DE COCO",$B59)),ISNUMBER(SEARCH("COPRA",$B59))),"ÓLEO DE COCO",IF(ISNUMBER(SEARCH("CORANTE",$B59)),"CORANTE",TRIM($B59)))),CONFIG_PALETES!$B:$B,$C59&amp;" ml"),IF(SUMIFS(CONFIG_PALETES!$D:$D,CONFIG_PALETES!$A:$A,"GERAL",CONFIG_PALETES!$B:$B,$C59&amp;" ml")&gt;0,SUMIFS(CONFIG_PALETES!$D:$D,CONFIG_PALETES!$A:$A,"GERAL",CONFIG_PALETES!$B:$B,$C59&amp;" ml"),12)))</f>
        <v/>
      </c>
      <c r="AA59" t="s">
        <v>1202</v>
      </c>
      <c r="AB59" t="s">
        <v>1422</v>
      </c>
    </row>
    <row r="60" spans="1:28" ht="15" customHeight="1" x14ac:dyDescent="0.3">
      <c r="A60" s="899"/>
      <c r="B60" s="846" t="s">
        <v>186</v>
      </c>
      <c r="C60" s="847"/>
      <c r="D60" s="848">
        <f>SUM(D53:D59)</f>
        <v>2431</v>
      </c>
      <c r="E60" s="849"/>
      <c r="F60" s="856" t="s">
        <v>1400</v>
      </c>
      <c r="G60" s="850">
        <f>SUM(G53:G59)</f>
        <v>20</v>
      </c>
      <c r="H60" s="848">
        <f>SUM(H53:H59)</f>
        <v>1503</v>
      </c>
      <c r="I60" s="848">
        <f>SUM(I53:I59)</f>
        <v>18036</v>
      </c>
      <c r="J60" s="63">
        <f>D60</f>
        <v>2431</v>
      </c>
      <c r="K60" s="93">
        <f>G60</f>
        <v>20</v>
      </c>
      <c r="L60" s="63">
        <f>H60</f>
        <v>1503</v>
      </c>
      <c r="M60" s="63">
        <f>I60</f>
        <v>18036</v>
      </c>
      <c r="N60" s="587" cm="1">
        <f t="array" ref="N60">IF(H60=0,"",SUMPRODUCT(IFERROR(INT(H55:H59/F55:F59),0)))</f>
        <v>12</v>
      </c>
      <c r="O60" s="770">
        <f>IF(N60="","",MAX(0,G60-N60))</f>
        <v>8</v>
      </c>
      <c r="AA60" t="s">
        <v>577</v>
      </c>
      <c r="AB60" t="s">
        <v>1422</v>
      </c>
    </row>
    <row r="61" spans="1:28" ht="6" customHeight="1" x14ac:dyDescent="0.3">
      <c r="C61" s="65"/>
      <c r="AA61" t="s">
        <v>578</v>
      </c>
      <c r="AB61" t="s">
        <v>1422</v>
      </c>
    </row>
    <row r="62" spans="1:28" ht="15" customHeight="1" x14ac:dyDescent="0.3">
      <c r="A62" s="75">
        <v>46121</v>
      </c>
      <c r="B62" s="113" t="s">
        <v>49</v>
      </c>
      <c r="C62" s="112" t="s">
        <v>176</v>
      </c>
      <c r="D62" s="111" t="s">
        <v>177</v>
      </c>
      <c r="E62" s="111" t="s">
        <v>178</v>
      </c>
      <c r="F62" s="860" t="s">
        <v>179</v>
      </c>
      <c r="G62" s="111" t="s">
        <v>180</v>
      </c>
      <c r="H62" s="121" t="s">
        <v>181</v>
      </c>
      <c r="I62" s="121" t="s">
        <v>182</v>
      </c>
      <c r="AA62" t="s">
        <v>587</v>
      </c>
      <c r="AB62" t="s">
        <v>1422</v>
      </c>
    </row>
    <row r="63" spans="1:28" ht="21" customHeight="1" x14ac:dyDescent="0.3">
      <c r="A63" s="120"/>
      <c r="B63" s="109" t="s">
        <v>490</v>
      </c>
      <c r="C63" s="108">
        <v>400</v>
      </c>
      <c r="D63" s="104">
        <f>D55-H55</f>
        <v>928</v>
      </c>
      <c r="E63" s="107" t="s">
        <v>184</v>
      </c>
      <c r="F63" s="871">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125</v>
      </c>
      <c r="G63" s="106">
        <f>IFERROR(ROUNDUP(D63/F63,0),"")</f>
        <v>8</v>
      </c>
      <c r="H63" s="105">
        <v>1005</v>
      </c>
      <c r="I63" s="104">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12060</v>
      </c>
      <c r="AA63" t="s">
        <v>1413</v>
      </c>
      <c r="AB63" t="s">
        <v>1422</v>
      </c>
    </row>
    <row r="64" spans="1:28" ht="21" customHeight="1" x14ac:dyDescent="0.3">
      <c r="A64" s="120"/>
      <c r="B64" s="109"/>
      <c r="C64" s="108"/>
      <c r="D64" s="104"/>
      <c r="E64" s="107" t="s">
        <v>184</v>
      </c>
      <c r="F64" s="871"/>
      <c r="G64" s="106"/>
      <c r="H64" s="105"/>
      <c r="I64" s="104"/>
      <c r="AA64" t="s">
        <v>1403</v>
      </c>
      <c r="AB64" t="s">
        <v>1422</v>
      </c>
    </row>
    <row r="65" spans="1:28" ht="21" customHeight="1" x14ac:dyDescent="0.3">
      <c r="A65" s="120"/>
      <c r="B65" s="109"/>
      <c r="C65" s="108"/>
      <c r="D65" s="104"/>
      <c r="E65" s="107" t="s">
        <v>184</v>
      </c>
      <c r="F65" s="871" t="str">
        <f>IF($B65="","",IF(SUMIFS(CONFIG_PALETES!$C:$C,CONFIG_PALETES!$A:$A,TRIM($B65),CONFIG_PALETES!$B:$B,$C65&amp;" ml")&gt;0,SUMIFS(CONFIG_PALETES!$C:$C,CONFIG_PALETES!$A:$A,TRIM($B65),CONFIG_PALETES!$B:$B,$C65&amp;" ml"),IF(SUMIFS(CONFIG_PALETES!$C:$C,CONFIG_PALETES!$A:$A,"GERAL",CONFIG_PALETES!$B:$B,$C65&amp;" ml")&gt;0,SUMIFS(CONFIG_PALETES!$C:$C,CONFIG_PALETES!$A:$A,"GERAL",CONFIG_PALETES!$B:$B,$C65&amp;" ml"),"")))</f>
        <v/>
      </c>
      <c r="G65" s="106" t="str">
        <f>IFERROR(ROUNDUP(D65/F65,0),"")</f>
        <v/>
      </c>
      <c r="H65" s="105"/>
      <c r="I65" s="104" t="str">
        <f>IF(H65="","",H65*IF(SUMIFS(CONFIG_PALETES!$D:$D,CONFIG_PALETES!$A:$A,IF(ISNUMBER(SEARCH("ESPUMA",$B65)),"ESPUMA",IF(OR(ISNUMBER(SEARCH("OLEO DE COCO",$B65)),ISNUMBER(SEARCH("ÓLEO DE COCO",$B65)),ISNUMBER(SEARCH("COPRA",$B65))),"ÓLEO DE COCO",IF(ISNUMBER(SEARCH("CORANTE",$B65)),"CORANTE",TRIM($B65)))),CONFIG_PALETES!$B:$B,$C65&amp;" ml")&gt;0,SUMIFS(CONFIG_PALETES!$D:$D,CONFIG_PALETES!$A:$A,IF(ISNUMBER(SEARCH("ESPUMA",$B65)),"ESPUMA",IF(OR(ISNUMBER(SEARCH("OLEO DE COCO",$B65)),ISNUMBER(SEARCH("ÓLEO DE COCO",$B65)),ISNUMBER(SEARCH("COPRA",$B65))),"ÓLEO DE COCO",IF(ISNUMBER(SEARCH("CORANTE",$B65)),"CORANTE",TRIM($B65)))),CONFIG_PALETES!$B:$B,$C65&amp;" ml"),IF(SUMIFS(CONFIG_PALETES!$D:$D,CONFIG_PALETES!$A:$A,"GERAL",CONFIG_PALETES!$B:$B,$C65&amp;" ml")&gt;0,SUMIFS(CONFIG_PALETES!$D:$D,CONFIG_PALETES!$A:$A,"GERAL",CONFIG_PALETES!$B:$B,$C65&amp;" ml"),12)))</f>
        <v/>
      </c>
      <c r="AA65" t="s">
        <v>114</v>
      </c>
      <c r="AB65" t="s">
        <v>1422</v>
      </c>
    </row>
    <row r="66" spans="1:28" ht="21" customHeight="1" x14ac:dyDescent="0.3">
      <c r="A66" s="120"/>
      <c r="B66" s="109"/>
      <c r="C66" s="108"/>
      <c r="D66" s="104"/>
      <c r="E66" s="107" t="s">
        <v>184</v>
      </c>
      <c r="F66" s="871" t="str">
        <f>IF($B66="","",IF(SUMIFS(CONFIG_PALETES!$C:$C,CONFIG_PALETES!$A:$A,TRIM($B66),CONFIG_PALETES!$B:$B,$C66&amp;" ml")&gt;0,SUMIFS(CONFIG_PALETES!$C:$C,CONFIG_PALETES!$A:$A,TRIM($B66),CONFIG_PALETES!$B:$B,$C66&amp;" ml"),IF(SUMIFS(CONFIG_PALETES!$C:$C,CONFIG_PALETES!$A:$A,"GERAL",CONFIG_PALETES!$B:$B,$C66&amp;" ml")&gt;0,SUMIFS(CONFIG_PALETES!$C:$C,CONFIG_PALETES!$A:$A,"GERAL",CONFIG_PALETES!$B:$B,$C66&amp;" ml"),"")))</f>
        <v/>
      </c>
      <c r="G66" s="106" t="str">
        <f>IFERROR(ROUNDUP(D66/F66,0),"")</f>
        <v/>
      </c>
      <c r="H66" s="105"/>
      <c r="I66" s="104" t="str">
        <f>IF(H66="","",H66*IF(SUMIFS(CONFIG_PALETES!$D:$D,CONFIG_PALETES!$A:$A,IF(ISNUMBER(SEARCH("ESPUMA",$B66)),"ESPUMA",IF(OR(ISNUMBER(SEARCH("OLEO DE COCO",$B66)),ISNUMBER(SEARCH("ÓLEO DE COCO",$B66)),ISNUMBER(SEARCH("COPRA",$B66))),"ÓLEO DE COCO",IF(ISNUMBER(SEARCH("CORANTE",$B66)),"CORANTE",TRIM($B66)))),CONFIG_PALETES!$B:$B,$C66&amp;" ml")&gt;0,SUMIFS(CONFIG_PALETES!$D:$D,CONFIG_PALETES!$A:$A,IF(ISNUMBER(SEARCH("ESPUMA",$B66)),"ESPUMA",IF(OR(ISNUMBER(SEARCH("OLEO DE COCO",$B66)),ISNUMBER(SEARCH("ÓLEO DE COCO",$B66)),ISNUMBER(SEARCH("COPRA",$B66))),"ÓLEO DE COCO",IF(ISNUMBER(SEARCH("CORANTE",$B66)),"CORANTE",TRIM($B66)))),CONFIG_PALETES!$B:$B,$C66&amp;" ml"),IF(SUMIFS(CONFIG_PALETES!$D:$D,CONFIG_PALETES!$A:$A,"GERAL",CONFIG_PALETES!$B:$B,$C66&amp;" ml")&gt;0,SUMIFS(CONFIG_PALETES!$D:$D,CONFIG_PALETES!$A:$A,"GERAL",CONFIG_PALETES!$B:$B,$C66&amp;" ml"),12)))</f>
        <v/>
      </c>
      <c r="AA66" t="s">
        <v>487</v>
      </c>
      <c r="AB66" t="s">
        <v>1422</v>
      </c>
    </row>
    <row r="67" spans="1:28" ht="21" customHeight="1" x14ac:dyDescent="0.3">
      <c r="A67" s="824"/>
      <c r="B67" s="818"/>
      <c r="C67" s="819"/>
      <c r="D67" s="820"/>
      <c r="E67" s="821" t="s">
        <v>184</v>
      </c>
      <c r="F67" s="872" t="str">
        <f>IF($B67="","",IF(SUMIFS(CONFIG_PALETES!$C:$C,CONFIG_PALETES!$A:$A,TRIM($B67),CONFIG_PALETES!$B:$B,$C67&amp;" ml")&gt;0,SUMIFS(CONFIG_PALETES!$C:$C,CONFIG_PALETES!$A:$A,TRIM($B67),CONFIG_PALETES!$B:$B,$C67&amp;" ml"),IF(SUMIFS(CONFIG_PALETES!$C:$C,CONFIG_PALETES!$A:$A,"GERAL",CONFIG_PALETES!$B:$B,$C67&amp;" ml")&gt;0,SUMIFS(CONFIG_PALETES!$C:$C,CONFIG_PALETES!$A:$A,"GERAL",CONFIG_PALETES!$B:$B,$C67&amp;" ml"),"")))</f>
        <v/>
      </c>
      <c r="G67" s="822" t="str">
        <f>IFERROR(ROUNDUP(D67/F67,0),"")</f>
        <v/>
      </c>
      <c r="H67" s="823"/>
      <c r="I67" s="820" t="str">
        <f>IF(H67="","",H67*IF(SUMIFS(CONFIG_PALETES!$D:$D,CONFIG_PALETES!$A:$A,IF(ISNUMBER(SEARCH("ESPUMA",$B67)),"ESPUMA",IF(OR(ISNUMBER(SEARCH("OLEO DE COCO",$B67)),ISNUMBER(SEARCH("ÓLEO DE COCO",$B67)),ISNUMBER(SEARCH("COPRA",$B67))),"ÓLEO DE COCO",IF(ISNUMBER(SEARCH("CORANTE",$B67)),"CORANTE",TRIM($B67)))),CONFIG_PALETES!$B:$B,$C67&amp;" ml")&gt;0,SUMIFS(CONFIG_PALETES!$D:$D,CONFIG_PALETES!$A:$A,IF(ISNUMBER(SEARCH("ESPUMA",$B67)),"ESPUMA",IF(OR(ISNUMBER(SEARCH("OLEO DE COCO",$B67)),ISNUMBER(SEARCH("ÓLEO DE COCO",$B67)),ISNUMBER(SEARCH("COPRA",$B67))),"ÓLEO DE COCO",IF(ISNUMBER(SEARCH("CORANTE",$B67)),"CORANTE",TRIM($B67)))),CONFIG_PALETES!$B:$B,$C67&amp;" ml"),IF(SUMIFS(CONFIG_PALETES!$D:$D,CONFIG_PALETES!$A:$A,"GERAL",CONFIG_PALETES!$B:$B,$C67&amp;" ml")&gt;0,SUMIFS(CONFIG_PALETES!$D:$D,CONFIG_PALETES!$A:$A,"GERAL",CONFIG_PALETES!$B:$B,$C67&amp;" ml"),12)))</f>
        <v/>
      </c>
      <c r="AA67" t="s">
        <v>488</v>
      </c>
      <c r="AB67" t="s">
        <v>1422</v>
      </c>
    </row>
    <row r="68" spans="1:28" ht="15" customHeight="1" x14ac:dyDescent="0.3">
      <c r="A68" s="899"/>
      <c r="B68" s="846" t="s">
        <v>186</v>
      </c>
      <c r="C68" s="847"/>
      <c r="D68" s="848">
        <f>SUM(D61:D67)</f>
        <v>928</v>
      </c>
      <c r="E68" s="849"/>
      <c r="F68" s="856" t="s">
        <v>1400</v>
      </c>
      <c r="G68" s="850">
        <f>SUM(G61:G67)</f>
        <v>8</v>
      </c>
      <c r="H68" s="848">
        <f>SUM(H61:H67)</f>
        <v>1005</v>
      </c>
      <c r="I68" s="848">
        <f>SUM(I61:I67)</f>
        <v>12060</v>
      </c>
      <c r="J68" s="63">
        <f>D68</f>
        <v>928</v>
      </c>
      <c r="K68" s="93">
        <f>G68</f>
        <v>8</v>
      </c>
      <c r="L68" s="63">
        <f>H68</f>
        <v>1005</v>
      </c>
      <c r="M68" s="63">
        <f>I68</f>
        <v>12060</v>
      </c>
      <c r="N68" s="587" cm="1">
        <f t="array" ref="N68">IF(H68=0,"",SUMPRODUCT(IFERROR(INT(H63:H67/F63:F67),0)))</f>
        <v>8</v>
      </c>
      <c r="O68" s="770">
        <f>IF(N68="","",MAX(0,G68-N68))</f>
        <v>0</v>
      </c>
      <c r="AA68" t="s">
        <v>477</v>
      </c>
      <c r="AB68" t="s">
        <v>1422</v>
      </c>
    </row>
    <row r="69" spans="1:28" ht="6" customHeight="1" x14ac:dyDescent="0.3">
      <c r="C69" s="65"/>
      <c r="AA69" t="s">
        <v>1189</v>
      </c>
      <c r="AB69" t="s">
        <v>1422</v>
      </c>
    </row>
    <row r="70" spans="1:28" ht="15" customHeight="1" x14ac:dyDescent="0.3">
      <c r="A70" s="75">
        <v>46122</v>
      </c>
      <c r="B70" s="113" t="s">
        <v>49</v>
      </c>
      <c r="C70" s="112" t="s">
        <v>176</v>
      </c>
      <c r="D70" s="111" t="s">
        <v>177</v>
      </c>
      <c r="E70" s="111" t="s">
        <v>178</v>
      </c>
      <c r="F70" s="860" t="s">
        <v>179</v>
      </c>
      <c r="G70" s="111" t="s">
        <v>180</v>
      </c>
      <c r="H70" s="121" t="s">
        <v>181</v>
      </c>
      <c r="I70" s="121" t="s">
        <v>182</v>
      </c>
      <c r="AA70" t="s">
        <v>479</v>
      </c>
      <c r="AB70" t="s">
        <v>1422</v>
      </c>
    </row>
    <row r="71" spans="1:28" ht="21" customHeight="1" x14ac:dyDescent="0.3">
      <c r="A71" s="120"/>
      <c r="B71" s="109" t="s">
        <v>491</v>
      </c>
      <c r="C71" s="108">
        <v>400</v>
      </c>
      <c r="D71" s="104">
        <v>2310</v>
      </c>
      <c r="E71" s="107" t="s">
        <v>184</v>
      </c>
      <c r="F71" s="871">
        <v>110</v>
      </c>
      <c r="G71" s="106">
        <f>IFERROR(ROUNDUP(D71/F71,0),"")</f>
        <v>21</v>
      </c>
      <c r="H71" s="105">
        <v>560</v>
      </c>
      <c r="I71" s="104">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6720</v>
      </c>
      <c r="AA71" t="s">
        <v>476</v>
      </c>
      <c r="AB71" t="s">
        <v>1422</v>
      </c>
    </row>
    <row r="72" spans="1:28" ht="21" customHeight="1" x14ac:dyDescent="0.3">
      <c r="A72" s="120"/>
      <c r="B72" s="109"/>
      <c r="C72" s="108"/>
      <c r="D72" s="104"/>
      <c r="E72" s="107" t="s">
        <v>184</v>
      </c>
      <c r="F72" s="871"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106" t="str">
        <f>IFERROR(ROUNDUP(D72/F72,0),"")</f>
        <v/>
      </c>
      <c r="H72" s="105"/>
      <c r="I72" s="104"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21" customHeight="1" x14ac:dyDescent="0.3">
      <c r="A73" s="120"/>
      <c r="B73" s="109"/>
      <c r="C73" s="108"/>
      <c r="D73" s="104"/>
      <c r="E73" s="107" t="s">
        <v>184</v>
      </c>
      <c r="F73" s="871" t="str">
        <f>IF($B73="","",IF(SUMIFS(CONFIG_PALETES!$C:$C,CONFIG_PALETES!$A:$A,TRIM($B73),CONFIG_PALETES!$B:$B,$C73&amp;" ml")&gt;0,SUMIFS(CONFIG_PALETES!$C:$C,CONFIG_PALETES!$A:$A,TRIM($B73),CONFIG_PALETES!$B:$B,$C73&amp;" ml"),IF(SUMIFS(CONFIG_PALETES!$C:$C,CONFIG_PALETES!$A:$A,"GERAL",CONFIG_PALETES!$B:$B,$C73&amp;" ml")&gt;0,SUMIFS(CONFIG_PALETES!$C:$C,CONFIG_PALETES!$A:$A,"GERAL",CONFIG_PALETES!$B:$B,$C73&amp;" ml"),"")))</f>
        <v/>
      </c>
      <c r="G73" s="106" t="str">
        <f>IFERROR(ROUNDUP(D73/F73,0),"")</f>
        <v/>
      </c>
      <c r="H73" s="105"/>
      <c r="I73" s="104" t="str">
        <f>IF(H73="","",H73*IF(SUMIFS(CONFIG_PALETES!$D:$D,CONFIG_PALETES!$A:$A,IF(ISNUMBER(SEARCH("ESPUMA",$B73)),"ESPUMA",IF(OR(ISNUMBER(SEARCH("OLEO DE COCO",$B73)),ISNUMBER(SEARCH("ÓLEO DE COCO",$B73)),ISNUMBER(SEARCH("COPRA",$B73))),"ÓLEO DE COCO",IF(ISNUMBER(SEARCH("CORANTE",$B73)),"CORANTE",TRIM($B73)))),CONFIG_PALETES!$B:$B,$C73&amp;" ml")&gt;0,SUMIFS(CONFIG_PALETES!$D:$D,CONFIG_PALETES!$A:$A,IF(ISNUMBER(SEARCH("ESPUMA",$B73)),"ESPUMA",IF(OR(ISNUMBER(SEARCH("OLEO DE COCO",$B73)),ISNUMBER(SEARCH("ÓLEO DE COCO",$B73)),ISNUMBER(SEARCH("COPRA",$B73))),"ÓLEO DE COCO",IF(ISNUMBER(SEARCH("CORANTE",$B73)),"CORANTE",TRIM($B73)))),CONFIG_PALETES!$B:$B,$C73&amp;" ml"),IF(SUMIFS(CONFIG_PALETES!$D:$D,CONFIG_PALETES!$A:$A,"GERAL",CONFIG_PALETES!$B:$B,$C73&amp;" ml")&gt;0,SUMIFS(CONFIG_PALETES!$D:$D,CONFIG_PALETES!$A:$A,"GERAL",CONFIG_PALETES!$B:$B,$C73&amp;" ml"),12)))</f>
        <v/>
      </c>
      <c r="AA73" t="s">
        <v>1191</v>
      </c>
      <c r="AB73" t="s">
        <v>1422</v>
      </c>
    </row>
    <row r="74" spans="1:28" ht="21" customHeight="1" x14ac:dyDescent="0.3">
      <c r="A74" s="120"/>
      <c r="B74" s="109"/>
      <c r="C74" s="108"/>
      <c r="D74" s="104"/>
      <c r="E74" s="107" t="s">
        <v>184</v>
      </c>
      <c r="F74" s="871" t="str">
        <f>IF($B74="","",IF(SUMIFS(CONFIG_PALETES!$C:$C,CONFIG_PALETES!$A:$A,TRIM($B74),CONFIG_PALETES!$B:$B,$C74&amp;" ml")&gt;0,SUMIFS(CONFIG_PALETES!$C:$C,CONFIG_PALETES!$A:$A,TRIM($B74),CONFIG_PALETES!$B:$B,$C74&amp;" ml"),IF(SUMIFS(CONFIG_PALETES!$C:$C,CONFIG_PALETES!$A:$A,"GERAL",CONFIG_PALETES!$B:$B,$C74&amp;" ml")&gt;0,SUMIFS(CONFIG_PALETES!$C:$C,CONFIG_PALETES!$A:$A,"GERAL",CONFIG_PALETES!$B:$B,$C74&amp;" ml"),"")))</f>
        <v/>
      </c>
      <c r="G74" s="106" t="str">
        <f>IFERROR(ROUNDUP(D74/F74,0),"")</f>
        <v/>
      </c>
      <c r="H74" s="105"/>
      <c r="I74" s="104" t="str">
        <f>IF(H74="","",H74*IF(SUMIFS(CONFIG_PALETES!$D:$D,CONFIG_PALETES!$A:$A,IF(ISNUMBER(SEARCH("ESPUMA",$B74)),"ESPUMA",IF(OR(ISNUMBER(SEARCH("OLEO DE COCO",$B74)),ISNUMBER(SEARCH("ÓLEO DE COCO",$B74)),ISNUMBER(SEARCH("COPRA",$B74))),"ÓLEO DE COCO",IF(ISNUMBER(SEARCH("CORANTE",$B74)),"CORANTE",TRIM($B74)))),CONFIG_PALETES!$B:$B,$C74&amp;" ml")&gt;0,SUMIFS(CONFIG_PALETES!$D:$D,CONFIG_PALETES!$A:$A,IF(ISNUMBER(SEARCH("ESPUMA",$B74)),"ESPUMA",IF(OR(ISNUMBER(SEARCH("OLEO DE COCO",$B74)),ISNUMBER(SEARCH("ÓLEO DE COCO",$B74)),ISNUMBER(SEARCH("COPRA",$B74))),"ÓLEO DE COCO",IF(ISNUMBER(SEARCH("CORANTE",$B74)),"CORANTE",TRIM($B74)))),CONFIG_PALETES!$B:$B,$C74&amp;" ml"),IF(SUMIFS(CONFIG_PALETES!$D:$D,CONFIG_PALETES!$A:$A,"GERAL",CONFIG_PALETES!$B:$B,$C74&amp;" ml")&gt;0,SUMIFS(CONFIG_PALETES!$D:$D,CONFIG_PALETES!$A:$A,"GERAL",CONFIG_PALETES!$B:$B,$C74&amp;" ml"),12)))</f>
        <v/>
      </c>
      <c r="AA74" t="s">
        <v>481</v>
      </c>
      <c r="AB74" t="s">
        <v>1422</v>
      </c>
    </row>
    <row r="75" spans="1:28" ht="21" customHeight="1" x14ac:dyDescent="0.3">
      <c r="A75" s="824"/>
      <c r="B75" s="818"/>
      <c r="C75" s="819"/>
      <c r="D75" s="820"/>
      <c r="E75" s="821" t="s">
        <v>184</v>
      </c>
      <c r="F75" s="872" t="str">
        <f>IF($B75="","",IF(SUMIFS(CONFIG_PALETES!$C:$C,CONFIG_PALETES!$A:$A,TRIM($B75),CONFIG_PALETES!$B:$B,$C75&amp;" ml")&gt;0,SUMIFS(CONFIG_PALETES!$C:$C,CONFIG_PALETES!$A:$A,TRIM($B75),CONFIG_PALETES!$B:$B,$C75&amp;" ml"),IF(SUMIFS(CONFIG_PALETES!$C:$C,CONFIG_PALETES!$A:$A,"GERAL",CONFIG_PALETES!$B:$B,$C75&amp;" ml")&gt;0,SUMIFS(CONFIG_PALETES!$C:$C,CONFIG_PALETES!$A:$A,"GERAL",CONFIG_PALETES!$B:$B,$C75&amp;" ml"),"")))</f>
        <v/>
      </c>
      <c r="G75" s="822" t="str">
        <f>IFERROR(ROUNDUP(D75/F75,0),"")</f>
        <v/>
      </c>
      <c r="H75" s="823"/>
      <c r="I75" s="820" t="str">
        <f>IF(H75="","",H75*IF(SUMIFS(CONFIG_PALETES!$D:$D,CONFIG_PALETES!$A:$A,IF(ISNUMBER(SEARCH("ESPUMA",$B75)),"ESPUMA",IF(OR(ISNUMBER(SEARCH("OLEO DE COCO",$B75)),ISNUMBER(SEARCH("ÓLEO DE COCO",$B75)),ISNUMBER(SEARCH("COPRA",$B75))),"ÓLEO DE COCO",IF(ISNUMBER(SEARCH("CORANTE",$B75)),"CORANTE",TRIM($B75)))),CONFIG_PALETES!$B:$B,$C75&amp;" ml")&gt;0,SUMIFS(CONFIG_PALETES!$D:$D,CONFIG_PALETES!$A:$A,IF(ISNUMBER(SEARCH("ESPUMA",$B75)),"ESPUMA",IF(OR(ISNUMBER(SEARCH("OLEO DE COCO",$B75)),ISNUMBER(SEARCH("ÓLEO DE COCO",$B75)),ISNUMBER(SEARCH("COPRA",$B75))),"ÓLEO DE COCO",IF(ISNUMBER(SEARCH("CORANTE",$B75)),"CORANTE",TRIM($B75)))),CONFIG_PALETES!$B:$B,$C75&amp;" ml"),IF(SUMIFS(CONFIG_PALETES!$D:$D,CONFIG_PALETES!$A:$A,"GERAL",CONFIG_PALETES!$B:$B,$C75&amp;" ml")&gt;0,SUMIFS(CONFIG_PALETES!$D:$D,CONFIG_PALETES!$A:$A,"GERAL",CONFIG_PALETES!$B:$B,$C75&amp;" ml"),12)))</f>
        <v/>
      </c>
      <c r="AA75" t="s">
        <v>482</v>
      </c>
      <c r="AB75" t="s">
        <v>1422</v>
      </c>
    </row>
    <row r="76" spans="1:28" ht="15" customHeight="1" x14ac:dyDescent="0.3">
      <c r="A76" s="899"/>
      <c r="B76" s="846" t="s">
        <v>186</v>
      </c>
      <c r="C76" s="847"/>
      <c r="D76" s="848">
        <f>SUM(D69:D75)</f>
        <v>2310</v>
      </c>
      <c r="E76" s="849"/>
      <c r="F76" s="856" t="s">
        <v>1400</v>
      </c>
      <c r="G76" s="850">
        <f>SUM(G69:G75)</f>
        <v>21</v>
      </c>
      <c r="H76" s="848">
        <f>SUM(H69:H75)</f>
        <v>560</v>
      </c>
      <c r="I76" s="848">
        <f>SUM(I69:I75)</f>
        <v>6720</v>
      </c>
      <c r="J76" s="63">
        <f>D76</f>
        <v>2310</v>
      </c>
      <c r="K76" s="93">
        <f>G76</f>
        <v>21</v>
      </c>
      <c r="L76" s="63">
        <f>H76</f>
        <v>560</v>
      </c>
      <c r="M76" s="63">
        <f>I76</f>
        <v>6720</v>
      </c>
      <c r="N76" s="587" cm="1">
        <f t="array" ref="N76">IF(H76=0,"",SUMPRODUCT(IFERROR(INT(H71:H75/F71:F75),0)))</f>
        <v>5</v>
      </c>
      <c r="O76" s="770">
        <f>IF(N76="","",MAX(0,G76-N76))</f>
        <v>16</v>
      </c>
      <c r="AA76" t="s">
        <v>1192</v>
      </c>
      <c r="AB76" t="s">
        <v>1422</v>
      </c>
    </row>
    <row r="77" spans="1:28" ht="6" customHeight="1" x14ac:dyDescent="0.3">
      <c r="C77" s="65"/>
      <c r="AA77" t="s">
        <v>480</v>
      </c>
      <c r="AB77" t="s">
        <v>1422</v>
      </c>
    </row>
    <row r="78" spans="1:28" ht="15" customHeight="1" x14ac:dyDescent="0.3">
      <c r="A78" s="75">
        <v>46125</v>
      </c>
      <c r="B78" s="113" t="s">
        <v>49</v>
      </c>
      <c r="C78" s="112" t="s">
        <v>176</v>
      </c>
      <c r="D78" s="111" t="s">
        <v>177</v>
      </c>
      <c r="E78" s="111" t="s">
        <v>178</v>
      </c>
      <c r="F78" s="860" t="s">
        <v>179</v>
      </c>
      <c r="G78" s="111" t="s">
        <v>180</v>
      </c>
      <c r="H78" s="121" t="s">
        <v>181</v>
      </c>
      <c r="I78" s="121" t="s">
        <v>182</v>
      </c>
      <c r="AA78" t="s">
        <v>1414</v>
      </c>
      <c r="AB78" t="s">
        <v>1422</v>
      </c>
    </row>
    <row r="79" spans="1:28" ht="21" customHeight="1" x14ac:dyDescent="0.3">
      <c r="A79" s="120"/>
      <c r="B79" s="109" t="s">
        <v>491</v>
      </c>
      <c r="C79" s="108">
        <v>400</v>
      </c>
      <c r="D79" s="104">
        <f>D71-H71</f>
        <v>1750</v>
      </c>
      <c r="E79" s="107" t="s">
        <v>184</v>
      </c>
      <c r="F79" s="871">
        <v>110</v>
      </c>
      <c r="G79" s="106">
        <f>IFERROR(ROUNDUP(D79/F79,0),"")</f>
        <v>16</v>
      </c>
      <c r="H79" s="105">
        <v>993</v>
      </c>
      <c r="I79" s="104">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11916</v>
      </c>
      <c r="AA79" t="s">
        <v>582</v>
      </c>
      <c r="AB79" t="s">
        <v>1422</v>
      </c>
    </row>
    <row r="80" spans="1:28" ht="21" customHeight="1" x14ac:dyDescent="0.3">
      <c r="A80" s="120"/>
      <c r="B80" s="109"/>
      <c r="C80" s="108"/>
      <c r="D80" s="104"/>
      <c r="E80" s="107" t="s">
        <v>184</v>
      </c>
      <c r="F80" s="871"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106" t="str">
        <f>IFERROR(ROUNDUP(D80/F80,0),"")</f>
        <v/>
      </c>
      <c r="H80" s="105"/>
      <c r="I80" s="104"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21" customHeight="1" x14ac:dyDescent="0.3">
      <c r="A81" s="120"/>
      <c r="B81" s="109"/>
      <c r="C81" s="108"/>
      <c r="D81" s="104"/>
      <c r="E81" s="107" t="s">
        <v>184</v>
      </c>
      <c r="F81" s="871" t="str">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
      </c>
      <c r="G81" s="106" t="str">
        <f>IFERROR(ROUNDUP(D81/F81,0),"")</f>
        <v/>
      </c>
      <c r="H81" s="105"/>
      <c r="I81" s="104" t="str">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
      </c>
      <c r="AA81" t="s">
        <v>486</v>
      </c>
      <c r="AB81" t="s">
        <v>1422</v>
      </c>
    </row>
    <row r="82" spans="1:28" ht="21" customHeight="1" x14ac:dyDescent="0.3">
      <c r="A82" s="120"/>
      <c r="B82" s="109"/>
      <c r="C82" s="108"/>
      <c r="D82" s="104"/>
      <c r="E82" s="107" t="s">
        <v>184</v>
      </c>
      <c r="F82" s="871" t="str">
        <f>IF($B82="","",IF(SUMIFS(CONFIG_PALETES!$C:$C,CONFIG_PALETES!$A:$A,TRIM($B82),CONFIG_PALETES!$B:$B,$C82&amp;" ml")&gt;0,SUMIFS(CONFIG_PALETES!$C:$C,CONFIG_PALETES!$A:$A,TRIM($B82),CONFIG_PALETES!$B:$B,$C82&amp;" ml"),IF(SUMIFS(CONFIG_PALETES!$C:$C,CONFIG_PALETES!$A:$A,"GERAL",CONFIG_PALETES!$B:$B,$C82&amp;" ml")&gt;0,SUMIFS(CONFIG_PALETES!$C:$C,CONFIG_PALETES!$A:$A,"GERAL",CONFIG_PALETES!$B:$B,$C82&amp;" ml"),"")))</f>
        <v/>
      </c>
      <c r="G82" s="106" t="str">
        <f>IFERROR(ROUNDUP(D82/F82,0),"")</f>
        <v/>
      </c>
      <c r="H82" s="105"/>
      <c r="I82" s="104" t="str">
        <f>IF(H82="","",H82*IF(SUMIFS(CONFIG_PALETES!$D:$D,CONFIG_PALETES!$A:$A,IF(ISNUMBER(SEARCH("ESPUMA",$B82)),"ESPUMA",IF(OR(ISNUMBER(SEARCH("OLEO DE COCO",$B82)),ISNUMBER(SEARCH("ÓLEO DE COCO",$B82)),ISNUMBER(SEARCH("COPRA",$B82))),"ÓLEO DE COCO",IF(ISNUMBER(SEARCH("CORANTE",$B82)),"CORANTE",TRIM($B82)))),CONFIG_PALETES!$B:$B,$C82&amp;" ml")&gt;0,SUMIFS(CONFIG_PALETES!$D:$D,CONFIG_PALETES!$A:$A,IF(ISNUMBER(SEARCH("ESPUMA",$B82)),"ESPUMA",IF(OR(ISNUMBER(SEARCH("OLEO DE COCO",$B82)),ISNUMBER(SEARCH("ÓLEO DE COCO",$B82)),ISNUMBER(SEARCH("COPRA",$B82))),"ÓLEO DE COCO",IF(ISNUMBER(SEARCH("CORANTE",$B82)),"CORANTE",TRIM($B82)))),CONFIG_PALETES!$B:$B,$C82&amp;" ml"),IF(SUMIFS(CONFIG_PALETES!$D:$D,CONFIG_PALETES!$A:$A,"GERAL",CONFIG_PALETES!$B:$B,$C82&amp;" ml")&gt;0,SUMIFS(CONFIG_PALETES!$D:$D,CONFIG_PALETES!$A:$A,"GERAL",CONFIG_PALETES!$B:$B,$C82&amp;" ml"),12)))</f>
        <v/>
      </c>
      <c r="AA82" t="s">
        <v>485</v>
      </c>
      <c r="AB82" t="s">
        <v>1422</v>
      </c>
    </row>
    <row r="83" spans="1:28" ht="21" customHeight="1" x14ac:dyDescent="0.3">
      <c r="A83" s="824"/>
      <c r="B83" s="818"/>
      <c r="C83" s="819"/>
      <c r="D83" s="820"/>
      <c r="E83" s="821" t="s">
        <v>184</v>
      </c>
      <c r="F83" s="872" t="str">
        <f>IF($B83="","",IF(SUMIFS(CONFIG_PALETES!$C:$C,CONFIG_PALETES!$A:$A,TRIM($B83),CONFIG_PALETES!$B:$B,$C83&amp;" ml")&gt;0,SUMIFS(CONFIG_PALETES!$C:$C,CONFIG_PALETES!$A:$A,TRIM($B83),CONFIG_PALETES!$B:$B,$C83&amp;" ml"),IF(SUMIFS(CONFIG_PALETES!$C:$C,CONFIG_PALETES!$A:$A,"GERAL",CONFIG_PALETES!$B:$B,$C83&amp;" ml")&gt;0,SUMIFS(CONFIG_PALETES!$C:$C,CONFIG_PALETES!$A:$A,"GERAL",CONFIG_PALETES!$B:$B,$C83&amp;" ml"),"")))</f>
        <v/>
      </c>
      <c r="G83" s="822" t="str">
        <f>IFERROR(ROUNDUP(D83/F83,0),"")</f>
        <v/>
      </c>
      <c r="H83" s="823"/>
      <c r="I83" s="820" t="str">
        <f>IF(H83="","",H83*IF(SUMIFS(CONFIG_PALETES!$D:$D,CONFIG_PALETES!$A:$A,IF(ISNUMBER(SEARCH("ESPUMA",$B83)),"ESPUMA",IF(OR(ISNUMBER(SEARCH("OLEO DE COCO",$B83)),ISNUMBER(SEARCH("ÓLEO DE COCO",$B83)),ISNUMBER(SEARCH("COPRA",$B83))),"ÓLEO DE COCO",IF(ISNUMBER(SEARCH("CORANTE",$B83)),"CORANTE",TRIM($B83)))),CONFIG_PALETES!$B:$B,$C83&amp;" ml")&gt;0,SUMIFS(CONFIG_PALETES!$D:$D,CONFIG_PALETES!$A:$A,IF(ISNUMBER(SEARCH("ESPUMA",$B83)),"ESPUMA",IF(OR(ISNUMBER(SEARCH("OLEO DE COCO",$B83)),ISNUMBER(SEARCH("ÓLEO DE COCO",$B83)),ISNUMBER(SEARCH("COPRA",$B83))),"ÓLEO DE COCO",IF(ISNUMBER(SEARCH("CORANTE",$B83)),"CORANTE",TRIM($B83)))),CONFIG_PALETES!$B:$B,$C83&amp;" ml"),IF(SUMIFS(CONFIG_PALETES!$D:$D,CONFIG_PALETES!$A:$A,"GERAL",CONFIG_PALETES!$B:$B,$C83&amp;" ml")&gt;0,SUMIFS(CONFIG_PALETES!$D:$D,CONFIG_PALETES!$A:$A,"GERAL",CONFIG_PALETES!$B:$B,$C83&amp;" ml"),12)))</f>
        <v/>
      </c>
      <c r="AA83" t="s">
        <v>583</v>
      </c>
      <c r="AB83" t="s">
        <v>1422</v>
      </c>
    </row>
    <row r="84" spans="1:28" ht="15" customHeight="1" x14ac:dyDescent="0.3">
      <c r="A84" s="899"/>
      <c r="B84" s="846" t="s">
        <v>186</v>
      </c>
      <c r="C84" s="847"/>
      <c r="D84" s="848">
        <f>SUM(D77:D83)</f>
        <v>1750</v>
      </c>
      <c r="E84" s="849"/>
      <c r="F84" s="856" t="s">
        <v>1400</v>
      </c>
      <c r="G84" s="850">
        <f>SUM(G77:G83)</f>
        <v>16</v>
      </c>
      <c r="H84" s="848">
        <f>SUM(H77:H83)</f>
        <v>993</v>
      </c>
      <c r="I84" s="848">
        <f>SUM(I77:I83)</f>
        <v>11916</v>
      </c>
      <c r="J84" s="63">
        <f>D84</f>
        <v>1750</v>
      </c>
      <c r="K84" s="93">
        <f>G84</f>
        <v>16</v>
      </c>
      <c r="L84" s="63">
        <f>H84</f>
        <v>993</v>
      </c>
      <c r="M84" s="63">
        <f>I84</f>
        <v>11916</v>
      </c>
      <c r="N84" s="587" cm="1">
        <f t="array" ref="N84">IF(H84=0,"",SUMPRODUCT(IFERROR(INT(H79:H83/F79:F83),0)))</f>
        <v>9</v>
      </c>
      <c r="O84" s="770">
        <f>IF(N84="","",MAX(0,G84-N84))</f>
        <v>7</v>
      </c>
      <c r="AA84" t="s">
        <v>584</v>
      </c>
      <c r="AB84" t="s">
        <v>1422</v>
      </c>
    </row>
    <row r="85" spans="1:28" ht="6" customHeight="1" x14ac:dyDescent="0.3">
      <c r="C85" s="65"/>
      <c r="AA85" t="s">
        <v>579</v>
      </c>
      <c r="AB85" t="s">
        <v>1422</v>
      </c>
    </row>
    <row r="86" spans="1:28" ht="15" customHeight="1" x14ac:dyDescent="0.3">
      <c r="A86" s="75">
        <v>46126</v>
      </c>
      <c r="B86" s="113" t="s">
        <v>49</v>
      </c>
      <c r="C86" s="112" t="s">
        <v>176</v>
      </c>
      <c r="D86" s="111" t="s">
        <v>177</v>
      </c>
      <c r="E86" s="111" t="s">
        <v>178</v>
      </c>
      <c r="F86" s="860" t="s">
        <v>179</v>
      </c>
      <c r="G86" s="111" t="s">
        <v>180</v>
      </c>
      <c r="H86" s="121" t="s">
        <v>181</v>
      </c>
      <c r="I86" s="121" t="s">
        <v>182</v>
      </c>
      <c r="AA86" t="s">
        <v>484</v>
      </c>
      <c r="AB86" t="s">
        <v>1422</v>
      </c>
    </row>
    <row r="87" spans="1:28" ht="21" customHeight="1" x14ac:dyDescent="0.3">
      <c r="A87" s="120"/>
      <c r="B87" s="109" t="s">
        <v>491</v>
      </c>
      <c r="C87" s="108">
        <v>400</v>
      </c>
      <c r="D87" s="104">
        <v>757</v>
      </c>
      <c r="E87" s="107" t="s">
        <v>184</v>
      </c>
      <c r="F87" s="871">
        <v>110</v>
      </c>
      <c r="G87" s="106">
        <f>IFERROR(ROUNDUP(D87/F87,0),"")</f>
        <v>7</v>
      </c>
      <c r="H87" s="105">
        <v>427</v>
      </c>
      <c r="I87" s="104">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5124</v>
      </c>
      <c r="AA87" t="s">
        <v>580</v>
      </c>
      <c r="AB87" t="s">
        <v>1422</v>
      </c>
    </row>
    <row r="88" spans="1:28" ht="21" customHeight="1" x14ac:dyDescent="0.3">
      <c r="A88" s="120"/>
      <c r="B88" s="109" t="s">
        <v>492</v>
      </c>
      <c r="C88" s="108">
        <v>600</v>
      </c>
      <c r="D88" s="104">
        <v>1900</v>
      </c>
      <c r="E88" s="107" t="s">
        <v>184</v>
      </c>
      <c r="F88" s="871">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190</v>
      </c>
      <c r="G88" s="106">
        <f>IFERROR(ROUNDUP(D88/F88,0),"")</f>
        <v>10</v>
      </c>
      <c r="H88" s="105">
        <v>853</v>
      </c>
      <c r="I88" s="104">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5118</v>
      </c>
      <c r="AA88" t="s">
        <v>585</v>
      </c>
      <c r="AB88" t="s">
        <v>1422</v>
      </c>
    </row>
    <row r="89" spans="1:28" ht="21" customHeight="1" x14ac:dyDescent="0.3">
      <c r="A89" s="120"/>
      <c r="B89" s="109"/>
      <c r="C89" s="108"/>
      <c r="D89" s="104"/>
      <c r="E89" s="107" t="s">
        <v>184</v>
      </c>
      <c r="F89" s="871" t="str">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
      </c>
      <c r="G89" s="106" t="str">
        <f>IFERROR(ROUNDUP(D89/F89,0),"")</f>
        <v/>
      </c>
      <c r="H89" s="105"/>
      <c r="I89" s="104" t="str">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
      </c>
      <c r="AA89" t="s">
        <v>586</v>
      </c>
      <c r="AB89" t="s">
        <v>1422</v>
      </c>
    </row>
    <row r="90" spans="1:28" ht="21" customHeight="1" x14ac:dyDescent="0.3">
      <c r="A90" s="120"/>
      <c r="B90" s="109"/>
      <c r="C90" s="108"/>
      <c r="D90" s="104"/>
      <c r="E90" s="107" t="s">
        <v>184</v>
      </c>
      <c r="F90" s="871" t="str">
        <f>IF($B90="","",IF(SUMIFS(CONFIG_PALETES!$C:$C,CONFIG_PALETES!$A:$A,TRIM($B90),CONFIG_PALETES!$B:$B,$C90&amp;" ml")&gt;0,SUMIFS(CONFIG_PALETES!$C:$C,CONFIG_PALETES!$A:$A,TRIM($B90),CONFIG_PALETES!$B:$B,$C90&amp;" ml"),IF(SUMIFS(CONFIG_PALETES!$C:$C,CONFIG_PALETES!$A:$A,"GERAL",CONFIG_PALETES!$B:$B,$C90&amp;" ml")&gt;0,SUMIFS(CONFIG_PALETES!$C:$C,CONFIG_PALETES!$A:$A,"GERAL",CONFIG_PALETES!$B:$B,$C90&amp;" ml"),"")))</f>
        <v/>
      </c>
      <c r="G90" s="106" t="str">
        <f>IFERROR(ROUNDUP(D90/F90,0),"")</f>
        <v/>
      </c>
      <c r="H90" s="105"/>
      <c r="I90" s="104" t="str">
        <f>IF(H90="","",H90*IF(SUMIFS(CONFIG_PALETES!$D:$D,CONFIG_PALETES!$A:$A,IF(ISNUMBER(SEARCH("ESPUMA",$B90)),"ESPUMA",IF(OR(ISNUMBER(SEARCH("OLEO DE COCO",$B90)),ISNUMBER(SEARCH("ÓLEO DE COCO",$B90)),ISNUMBER(SEARCH("COPRA",$B90))),"ÓLEO DE COCO",IF(ISNUMBER(SEARCH("CORANTE",$B90)),"CORANTE",TRIM($B90)))),CONFIG_PALETES!$B:$B,$C90&amp;" ml")&gt;0,SUMIFS(CONFIG_PALETES!$D:$D,CONFIG_PALETES!$A:$A,IF(ISNUMBER(SEARCH("ESPUMA",$B90)),"ESPUMA",IF(OR(ISNUMBER(SEARCH("OLEO DE COCO",$B90)),ISNUMBER(SEARCH("ÓLEO DE COCO",$B90)),ISNUMBER(SEARCH("COPRA",$B90))),"ÓLEO DE COCO",IF(ISNUMBER(SEARCH("CORANTE",$B90)),"CORANTE",TRIM($B90)))),CONFIG_PALETES!$B:$B,$C90&amp;" ml"),IF(SUMIFS(CONFIG_PALETES!$D:$D,CONFIG_PALETES!$A:$A,"GERAL",CONFIG_PALETES!$B:$B,$C90&amp;" ml")&gt;0,SUMIFS(CONFIG_PALETES!$D:$D,CONFIG_PALETES!$A:$A,"GERAL",CONFIG_PALETES!$B:$B,$C90&amp;" ml"),12)))</f>
        <v/>
      </c>
      <c r="AA90" t="s">
        <v>194</v>
      </c>
      <c r="AB90" t="s">
        <v>1422</v>
      </c>
    </row>
    <row r="91" spans="1:28" ht="21" customHeight="1" x14ac:dyDescent="0.3">
      <c r="A91" s="824"/>
      <c r="B91" s="818"/>
      <c r="C91" s="819"/>
      <c r="D91" s="820"/>
      <c r="E91" s="821" t="s">
        <v>184</v>
      </c>
      <c r="F91" s="872" t="str">
        <f>IF($B91="","",IF(SUMIFS(CONFIG_PALETES!$C:$C,CONFIG_PALETES!$A:$A,TRIM($B91),CONFIG_PALETES!$B:$B,$C91&amp;" ml")&gt;0,SUMIFS(CONFIG_PALETES!$C:$C,CONFIG_PALETES!$A:$A,TRIM($B91),CONFIG_PALETES!$B:$B,$C91&amp;" ml"),IF(SUMIFS(CONFIG_PALETES!$C:$C,CONFIG_PALETES!$A:$A,"GERAL",CONFIG_PALETES!$B:$B,$C91&amp;" ml")&gt;0,SUMIFS(CONFIG_PALETES!$C:$C,CONFIG_PALETES!$A:$A,"GERAL",CONFIG_PALETES!$B:$B,$C91&amp;" ml"),"")))</f>
        <v/>
      </c>
      <c r="G91" s="822" t="str">
        <f>IFERROR(ROUNDUP(D91/F91,0),"")</f>
        <v/>
      </c>
      <c r="H91" s="823"/>
      <c r="I91" s="820" t="str">
        <f>IF(H91="","",H91*IF(SUMIFS(CONFIG_PALETES!$D:$D,CONFIG_PALETES!$A:$A,IF(ISNUMBER(SEARCH("ESPUMA",$B91)),"ESPUMA",IF(OR(ISNUMBER(SEARCH("OLEO DE COCO",$B91)),ISNUMBER(SEARCH("ÓLEO DE COCO",$B91)),ISNUMBER(SEARCH("COPRA",$B91))),"ÓLEO DE COCO",IF(ISNUMBER(SEARCH("CORANTE",$B91)),"CORANTE",TRIM($B91)))),CONFIG_PALETES!$B:$B,$C91&amp;" ml")&gt;0,SUMIFS(CONFIG_PALETES!$D:$D,CONFIG_PALETES!$A:$A,IF(ISNUMBER(SEARCH("ESPUMA",$B91)),"ESPUMA",IF(OR(ISNUMBER(SEARCH("OLEO DE COCO",$B91)),ISNUMBER(SEARCH("ÓLEO DE COCO",$B91)),ISNUMBER(SEARCH("COPRA",$B91))),"ÓLEO DE COCO",IF(ISNUMBER(SEARCH("CORANTE",$B91)),"CORANTE",TRIM($B91)))),CONFIG_PALETES!$B:$B,$C91&amp;" ml"),IF(SUMIFS(CONFIG_PALETES!$D:$D,CONFIG_PALETES!$A:$A,"GERAL",CONFIG_PALETES!$B:$B,$C91&amp;" ml")&gt;0,SUMIFS(CONFIG_PALETES!$D:$D,CONFIG_PALETES!$A:$A,"GERAL",CONFIG_PALETES!$B:$B,$C91&amp;" ml"),12)))</f>
        <v/>
      </c>
      <c r="AA91" t="s">
        <v>35</v>
      </c>
      <c r="AB91" t="s">
        <v>1425</v>
      </c>
    </row>
    <row r="92" spans="1:28" ht="15" customHeight="1" x14ac:dyDescent="0.3">
      <c r="A92" s="899"/>
      <c r="B92" s="846" t="s">
        <v>186</v>
      </c>
      <c r="C92" s="847"/>
      <c r="D92" s="848">
        <f>SUM(D85:D91)</f>
        <v>2657</v>
      </c>
      <c r="E92" s="849"/>
      <c r="F92" s="856" t="s">
        <v>1400</v>
      </c>
      <c r="G92" s="850">
        <f>SUM(G85:G91)</f>
        <v>17</v>
      </c>
      <c r="H92" s="848">
        <f>SUM(H85:H91)</f>
        <v>1280</v>
      </c>
      <c r="I92" s="848">
        <f>SUM(I85:I91)</f>
        <v>10242</v>
      </c>
      <c r="J92" s="63">
        <f>D92</f>
        <v>2657</v>
      </c>
      <c r="K92" s="93">
        <f>G92</f>
        <v>17</v>
      </c>
      <c r="L92" s="63">
        <f>H92</f>
        <v>1280</v>
      </c>
      <c r="M92" s="63">
        <f>I92</f>
        <v>10242</v>
      </c>
      <c r="N92" s="587" cm="1">
        <f t="array" ref="N92">IF(H92=0,"",SUMPRODUCT(IFERROR(INT(H87:H91/F87:F91),0)))</f>
        <v>7</v>
      </c>
      <c r="O92" s="770">
        <f>IF(N92="","",MAX(0,G92-N92))</f>
        <v>10</v>
      </c>
      <c r="AA92" t="s">
        <v>597</v>
      </c>
      <c r="AB92" t="s">
        <v>1425</v>
      </c>
    </row>
    <row r="93" spans="1:28" ht="6" customHeight="1" x14ac:dyDescent="0.3">
      <c r="C93" s="65"/>
      <c r="AA93" t="s">
        <v>196</v>
      </c>
      <c r="AB93" t="s">
        <v>1429</v>
      </c>
    </row>
    <row r="94" spans="1:28" ht="15" customHeight="1" x14ac:dyDescent="0.3">
      <c r="A94" s="75">
        <v>46127</v>
      </c>
      <c r="B94" s="113" t="s">
        <v>49</v>
      </c>
      <c r="C94" s="112" t="s">
        <v>176</v>
      </c>
      <c r="D94" s="111" t="s">
        <v>177</v>
      </c>
      <c r="E94" s="111" t="s">
        <v>178</v>
      </c>
      <c r="F94" s="860" t="s">
        <v>179</v>
      </c>
      <c r="G94" s="111" t="s">
        <v>180</v>
      </c>
      <c r="H94" s="121" t="s">
        <v>181</v>
      </c>
      <c r="I94" s="121" t="s">
        <v>182</v>
      </c>
      <c r="AA94" t="s">
        <v>298</v>
      </c>
      <c r="AB94" t="s">
        <v>1422</v>
      </c>
    </row>
    <row r="95" spans="1:28" ht="21" customHeight="1" x14ac:dyDescent="0.3">
      <c r="A95" s="120"/>
      <c r="B95" s="109" t="s">
        <v>492</v>
      </c>
      <c r="C95" s="108">
        <v>600</v>
      </c>
      <c r="D95" s="104">
        <v>1047</v>
      </c>
      <c r="E95" s="107" t="s">
        <v>184</v>
      </c>
      <c r="F95" s="871">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190</v>
      </c>
      <c r="G95" s="106">
        <f>IFERROR(ROUNDUP(D95/F95,0),"")</f>
        <v>6</v>
      </c>
      <c r="H95" s="105">
        <v>1166</v>
      </c>
      <c r="I95" s="104">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6996</v>
      </c>
      <c r="AA95" t="s">
        <v>191</v>
      </c>
      <c r="AB95" t="s">
        <v>1422</v>
      </c>
    </row>
    <row r="96" spans="1:28" ht="21" customHeight="1" x14ac:dyDescent="0.3">
      <c r="A96" s="120"/>
      <c r="B96" s="109" t="s">
        <v>131</v>
      </c>
      <c r="C96" s="108">
        <v>600</v>
      </c>
      <c r="D96" s="104">
        <v>380</v>
      </c>
      <c r="E96" s="107" t="s">
        <v>184</v>
      </c>
      <c r="F96" s="871">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95</v>
      </c>
      <c r="G96" s="106">
        <f>IFERROR(ROUNDUP(D96/F96,0),"")</f>
        <v>4</v>
      </c>
      <c r="H96" s="105">
        <v>306</v>
      </c>
      <c r="I96" s="104">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3672</v>
      </c>
      <c r="AA96" t="s">
        <v>190</v>
      </c>
      <c r="AB96" t="s">
        <v>1422</v>
      </c>
    </row>
    <row r="97" spans="1:28" ht="21" customHeight="1" x14ac:dyDescent="0.3">
      <c r="A97" s="120"/>
      <c r="B97" s="109"/>
      <c r="C97" s="108"/>
      <c r="D97" s="104"/>
      <c r="E97" s="107" t="s">
        <v>184</v>
      </c>
      <c r="F97" s="871" t="str">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
      </c>
      <c r="G97" s="106" t="str">
        <f>IFERROR(ROUNDUP(D97/F97,0),"")</f>
        <v/>
      </c>
      <c r="H97" s="105"/>
      <c r="I97" s="104" t="str">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
      </c>
      <c r="AA97" t="s">
        <v>594</v>
      </c>
      <c r="AB97" t="s">
        <v>1424</v>
      </c>
    </row>
    <row r="98" spans="1:28" ht="21" customHeight="1" x14ac:dyDescent="0.3">
      <c r="A98" s="120"/>
      <c r="B98" s="109"/>
      <c r="C98" s="108"/>
      <c r="D98" s="104"/>
      <c r="E98" s="107" t="s">
        <v>184</v>
      </c>
      <c r="F98" s="871" t="str">
        <f>IF($B98="","",IF(SUMIFS(CONFIG_PALETES!$C:$C,CONFIG_PALETES!$A:$A,TRIM($B98),CONFIG_PALETES!$B:$B,$C98&amp;" ml")&gt;0,SUMIFS(CONFIG_PALETES!$C:$C,CONFIG_PALETES!$A:$A,TRIM($B98),CONFIG_PALETES!$B:$B,$C98&amp;" ml"),IF(SUMIFS(CONFIG_PALETES!$C:$C,CONFIG_PALETES!$A:$A,"GERAL",CONFIG_PALETES!$B:$B,$C98&amp;" ml")&gt;0,SUMIFS(CONFIG_PALETES!$C:$C,CONFIG_PALETES!$A:$A,"GERAL",CONFIG_PALETES!$B:$B,$C98&amp;" ml"),"")))</f>
        <v/>
      </c>
      <c r="G98" s="106" t="str">
        <f>IFERROR(ROUNDUP(D98/F98,0),"")</f>
        <v/>
      </c>
      <c r="H98" s="105"/>
      <c r="I98" s="104" t="str">
        <f>IF(H98="","",H98*IF(SUMIFS(CONFIG_PALETES!$D:$D,CONFIG_PALETES!$A:$A,IF(ISNUMBER(SEARCH("ESPUMA",$B98)),"ESPUMA",IF(OR(ISNUMBER(SEARCH("OLEO DE COCO",$B98)),ISNUMBER(SEARCH("ÓLEO DE COCO",$B98)),ISNUMBER(SEARCH("COPRA",$B98))),"ÓLEO DE COCO",IF(ISNUMBER(SEARCH("CORANTE",$B98)),"CORANTE",TRIM($B98)))),CONFIG_PALETES!$B:$B,$C98&amp;" ml")&gt;0,SUMIFS(CONFIG_PALETES!$D:$D,CONFIG_PALETES!$A:$A,IF(ISNUMBER(SEARCH("ESPUMA",$B98)),"ESPUMA",IF(OR(ISNUMBER(SEARCH("OLEO DE COCO",$B98)),ISNUMBER(SEARCH("ÓLEO DE COCO",$B98)),ISNUMBER(SEARCH("COPRA",$B98))),"ÓLEO DE COCO",IF(ISNUMBER(SEARCH("CORANTE",$B98)),"CORANTE",TRIM($B98)))),CONFIG_PALETES!$B:$B,$C98&amp;" ml"),IF(SUMIFS(CONFIG_PALETES!$D:$D,CONFIG_PALETES!$A:$A,"GERAL",CONFIG_PALETES!$B:$B,$C98&amp;" ml")&gt;0,SUMIFS(CONFIG_PALETES!$D:$D,CONFIG_PALETES!$A:$A,"GERAL",CONFIG_PALETES!$B:$B,$C98&amp;" ml"),12)))</f>
        <v/>
      </c>
      <c r="AA98" t="s">
        <v>1061</v>
      </c>
      <c r="AB98" t="s">
        <v>1429</v>
      </c>
    </row>
    <row r="99" spans="1:28" ht="21" customHeight="1" x14ac:dyDescent="0.3">
      <c r="A99" s="824"/>
      <c r="B99" s="818"/>
      <c r="C99" s="819"/>
      <c r="D99" s="820"/>
      <c r="E99" s="821" t="s">
        <v>184</v>
      </c>
      <c r="F99" s="872" t="str">
        <f>IF($B99="","",IF(SUMIFS(CONFIG_PALETES!$C:$C,CONFIG_PALETES!$A:$A,TRIM($B99),CONFIG_PALETES!$B:$B,$C99&amp;" ml")&gt;0,SUMIFS(CONFIG_PALETES!$C:$C,CONFIG_PALETES!$A:$A,TRIM($B99),CONFIG_PALETES!$B:$B,$C99&amp;" ml"),IF(SUMIFS(CONFIG_PALETES!$C:$C,CONFIG_PALETES!$A:$A,"GERAL",CONFIG_PALETES!$B:$B,$C99&amp;" ml")&gt;0,SUMIFS(CONFIG_PALETES!$C:$C,CONFIG_PALETES!$A:$A,"GERAL",CONFIG_PALETES!$B:$B,$C99&amp;" ml"),"")))</f>
        <v/>
      </c>
      <c r="G99" s="822" t="str">
        <f>IFERROR(ROUNDUP(D99/F99,0),"")</f>
        <v/>
      </c>
      <c r="H99" s="823"/>
      <c r="I99" s="820" t="str">
        <f>IF(H99="","",H99*IF(SUMIFS(CONFIG_PALETES!$D:$D,CONFIG_PALETES!$A:$A,IF(ISNUMBER(SEARCH("ESPUMA",$B99)),"ESPUMA",IF(OR(ISNUMBER(SEARCH("OLEO DE COCO",$B99)),ISNUMBER(SEARCH("ÓLEO DE COCO",$B99)),ISNUMBER(SEARCH("COPRA",$B99))),"ÓLEO DE COCO",IF(ISNUMBER(SEARCH("CORANTE",$B99)),"CORANTE",TRIM($B99)))),CONFIG_PALETES!$B:$B,$C99&amp;" ml")&gt;0,SUMIFS(CONFIG_PALETES!$D:$D,CONFIG_PALETES!$A:$A,IF(ISNUMBER(SEARCH("ESPUMA",$B99)),"ESPUMA",IF(OR(ISNUMBER(SEARCH("OLEO DE COCO",$B99)),ISNUMBER(SEARCH("ÓLEO DE COCO",$B99)),ISNUMBER(SEARCH("COPRA",$B99))),"ÓLEO DE COCO",IF(ISNUMBER(SEARCH("CORANTE",$B99)),"CORANTE",TRIM($B99)))),CONFIG_PALETES!$B:$B,$C99&amp;" ml"),IF(SUMIFS(CONFIG_PALETES!$D:$D,CONFIG_PALETES!$A:$A,"GERAL",CONFIG_PALETES!$B:$B,$C99&amp;" ml")&gt;0,SUMIFS(CONFIG_PALETES!$D:$D,CONFIG_PALETES!$A:$A,"GERAL",CONFIG_PALETES!$B:$B,$C99&amp;" ml"),12)))</f>
        <v/>
      </c>
      <c r="AA99" t="s">
        <v>149</v>
      </c>
      <c r="AB99" t="s">
        <v>1425</v>
      </c>
    </row>
    <row r="100" spans="1:28" ht="15" customHeight="1" x14ac:dyDescent="0.3">
      <c r="A100" s="899"/>
      <c r="B100" s="846" t="s">
        <v>186</v>
      </c>
      <c r="C100" s="847"/>
      <c r="D100" s="848">
        <f>SUM(D93:D99)</f>
        <v>1427</v>
      </c>
      <c r="E100" s="849"/>
      <c r="F100" s="856" t="s">
        <v>1400</v>
      </c>
      <c r="G100" s="850">
        <f>SUM(G93:G99)</f>
        <v>10</v>
      </c>
      <c r="H100" s="848">
        <f>SUM(H93:H99)</f>
        <v>1472</v>
      </c>
      <c r="I100" s="848">
        <f>SUM(I93:I99)</f>
        <v>10668</v>
      </c>
      <c r="J100" s="63">
        <f>D100</f>
        <v>1427</v>
      </c>
      <c r="K100" s="93">
        <f>G100</f>
        <v>10</v>
      </c>
      <c r="L100" s="63">
        <f>H100</f>
        <v>1472</v>
      </c>
      <c r="M100" s="63">
        <f>I100</f>
        <v>10668</v>
      </c>
      <c r="N100" s="587" cm="1">
        <f t="array" ref="N100">IF(H100=0,"",SUMPRODUCT(IFERROR(INT(H95:H99/F95:F99),0)))</f>
        <v>9</v>
      </c>
      <c r="O100" s="770">
        <f>IF(N100="","",MAX(0,G100-N100))</f>
        <v>1</v>
      </c>
      <c r="AA100" t="s">
        <v>29</v>
      </c>
      <c r="AB100" t="s">
        <v>1425</v>
      </c>
    </row>
    <row r="101" spans="1:28" ht="6" customHeight="1" x14ac:dyDescent="0.3">
      <c r="C101" s="65"/>
      <c r="AA101" t="s">
        <v>62</v>
      </c>
      <c r="AB101" t="s">
        <v>1423</v>
      </c>
    </row>
    <row r="102" spans="1:28" ht="15" customHeight="1" x14ac:dyDescent="0.3">
      <c r="A102" s="75">
        <v>46128</v>
      </c>
      <c r="B102" s="113" t="s">
        <v>49</v>
      </c>
      <c r="C102" s="112" t="s">
        <v>176</v>
      </c>
      <c r="D102" s="111" t="s">
        <v>177</v>
      </c>
      <c r="E102" s="111" t="s">
        <v>178</v>
      </c>
      <c r="F102" s="860" t="s">
        <v>179</v>
      </c>
      <c r="G102" s="111" t="s">
        <v>180</v>
      </c>
      <c r="H102" s="121" t="s">
        <v>181</v>
      </c>
      <c r="I102" s="121" t="s">
        <v>182</v>
      </c>
      <c r="AA102" t="s">
        <v>649</v>
      </c>
      <c r="AB102" t="s">
        <v>1423</v>
      </c>
    </row>
    <row r="103" spans="1:28" ht="21" customHeight="1" x14ac:dyDescent="0.3">
      <c r="A103" s="120"/>
      <c r="B103" s="109" t="s">
        <v>131</v>
      </c>
      <c r="C103" s="108">
        <v>600</v>
      </c>
      <c r="D103" s="104">
        <f>D96-306</f>
        <v>74</v>
      </c>
      <c r="E103" s="107" t="s">
        <v>184</v>
      </c>
      <c r="F103" s="871">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95</v>
      </c>
      <c r="G103" s="106">
        <f>IFERROR(ROUNDUP(D103/F103,0),"")</f>
        <v>1</v>
      </c>
      <c r="H103" s="105">
        <v>74</v>
      </c>
      <c r="I103" s="104">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888</v>
      </c>
      <c r="AA103" t="s">
        <v>188</v>
      </c>
      <c r="AB103" t="s">
        <v>1423</v>
      </c>
    </row>
    <row r="104" spans="1:28" ht="21" customHeight="1" x14ac:dyDescent="0.3">
      <c r="A104" s="120"/>
      <c r="B104" s="109" t="s">
        <v>493</v>
      </c>
      <c r="C104" s="108">
        <v>125</v>
      </c>
      <c r="D104" s="104">
        <v>480</v>
      </c>
      <c r="E104" s="107" t="s">
        <v>184</v>
      </c>
      <c r="F104" s="871">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240</v>
      </c>
      <c r="G104" s="106">
        <f>IFERROR(ROUNDUP(D104/F104,0),"")</f>
        <v>2</v>
      </c>
      <c r="H104" s="105">
        <v>469</v>
      </c>
      <c r="I104" s="104">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5628</v>
      </c>
      <c r="AA104" t="s">
        <v>1164</v>
      </c>
      <c r="AB104" t="s">
        <v>1423</v>
      </c>
    </row>
    <row r="105" spans="1:28" ht="21" customHeight="1" x14ac:dyDescent="0.3">
      <c r="A105" s="120"/>
      <c r="B105" s="109" t="s">
        <v>494</v>
      </c>
      <c r="C105" s="108">
        <v>100</v>
      </c>
      <c r="D105" s="104">
        <v>500</v>
      </c>
      <c r="E105" s="107" t="s">
        <v>184</v>
      </c>
      <c r="F105" s="871">
        <f>IF($B105="","",IF(SUMIFS(CONFIG_PALETES!$C:$C,CONFIG_PALETES!$A:$A,TRIM($B105),CONFIG_PALETES!$B:$B,$C105&amp;" ml")&gt;0,SUMIFS(CONFIG_PALETES!$C:$C,CONFIG_PALETES!$A:$A,TRIM($B105),CONFIG_PALETES!$B:$B,$C105&amp;" ml"),IF(SUMIFS(CONFIG_PALETES!$C:$C,CONFIG_PALETES!$A:$A,"GERAL",CONFIG_PALETES!$B:$B,$C105&amp;" ml")&gt;0,SUMIFS(CONFIG_PALETES!$C:$C,CONFIG_PALETES!$A:$A,"GERAL",CONFIG_PALETES!$B:$B,$C105&amp;" ml"),"")))</f>
        <v>240</v>
      </c>
      <c r="G105" s="106">
        <f>IFERROR(ROUNDUP(D105/F105,0),"")</f>
        <v>3</v>
      </c>
      <c r="H105" s="105">
        <v>454</v>
      </c>
      <c r="I105" s="104">
        <f>IF(H105="","",H105*IF(SUMIFS(CONFIG_PALETES!$D:$D,CONFIG_PALETES!$A:$A,IF(ISNUMBER(SEARCH("ESPUMA",$B105)),"ESPUMA",IF(OR(ISNUMBER(SEARCH("OLEO DE COCO",$B105)),ISNUMBER(SEARCH("ÓLEO DE COCO",$B105)),ISNUMBER(SEARCH("COPRA",$B105))),"ÓLEO DE COCO",IF(ISNUMBER(SEARCH("CORANTE",$B105)),"CORANTE",TRIM($B105)))),CONFIG_PALETES!$B:$B,$C105&amp;" ml")&gt;0,SUMIFS(CONFIG_PALETES!$D:$D,CONFIG_PALETES!$A:$A,IF(ISNUMBER(SEARCH("ESPUMA",$B105)),"ESPUMA",IF(OR(ISNUMBER(SEARCH("OLEO DE COCO",$B105)),ISNUMBER(SEARCH("ÓLEO DE COCO",$B105)),ISNUMBER(SEARCH("COPRA",$B105))),"ÓLEO DE COCO",IF(ISNUMBER(SEARCH("CORANTE",$B105)),"CORANTE",TRIM($B105)))),CONFIG_PALETES!$B:$B,$C105&amp;" ml"),IF(SUMIFS(CONFIG_PALETES!$D:$D,CONFIG_PALETES!$A:$A,"GERAL",CONFIG_PALETES!$B:$B,$C105&amp;" ml")&gt;0,SUMIFS(CONFIG_PALETES!$D:$D,CONFIG_PALETES!$A:$A,"GERAL",CONFIG_PALETES!$B:$B,$C105&amp;" ml"),12)))</f>
        <v>5448</v>
      </c>
      <c r="AA105" t="s">
        <v>131</v>
      </c>
      <c r="AB105" t="s">
        <v>1423</v>
      </c>
    </row>
    <row r="106" spans="1:28" ht="21" customHeight="1" x14ac:dyDescent="0.3">
      <c r="A106" s="120"/>
      <c r="B106" s="109"/>
      <c r="C106" s="108"/>
      <c r="D106" s="104"/>
      <c r="E106" s="107" t="s">
        <v>184</v>
      </c>
      <c r="F106" s="871" t="str">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
      </c>
      <c r="G106" s="106" t="str">
        <f>IFERROR(ROUNDUP(D106/F106,0),"")</f>
        <v/>
      </c>
      <c r="H106" s="105"/>
      <c r="I106" s="104" t="str">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f>
        <v/>
      </c>
      <c r="AA106" t="s">
        <v>1225</v>
      </c>
      <c r="AB106" t="s">
        <v>1426</v>
      </c>
    </row>
    <row r="107" spans="1:28" ht="21" customHeight="1" x14ac:dyDescent="0.3">
      <c r="A107" s="824"/>
      <c r="B107" s="818"/>
      <c r="C107" s="819"/>
      <c r="D107" s="820"/>
      <c r="E107" s="821" t="s">
        <v>184</v>
      </c>
      <c r="F107" s="872" t="str">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
      </c>
      <c r="G107" s="822" t="str">
        <f>IFERROR(ROUNDUP(D107/F107,0),"")</f>
        <v/>
      </c>
      <c r="H107" s="823"/>
      <c r="I107" s="820" t="str">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
      </c>
      <c r="AA107" t="s">
        <v>198</v>
      </c>
      <c r="AB107" t="s">
        <v>1425</v>
      </c>
    </row>
    <row r="108" spans="1:28" ht="15" customHeight="1" x14ac:dyDescent="0.3">
      <c r="A108" s="899"/>
      <c r="B108" s="846" t="s">
        <v>186</v>
      </c>
      <c r="C108" s="847"/>
      <c r="D108" s="848">
        <f>SUM(D101:D107)</f>
        <v>1054</v>
      </c>
      <c r="E108" s="849"/>
      <c r="F108" s="856" t="s">
        <v>1400</v>
      </c>
      <c r="G108" s="850">
        <f>SUM(G101:G107)</f>
        <v>6</v>
      </c>
      <c r="H108" s="848">
        <f>SUM(H101:H107)</f>
        <v>997</v>
      </c>
      <c r="I108" s="848">
        <f>SUM(I101:I107)</f>
        <v>11964</v>
      </c>
      <c r="J108" s="63">
        <f>D108</f>
        <v>1054</v>
      </c>
      <c r="K108" s="93">
        <f>G108</f>
        <v>6</v>
      </c>
      <c r="L108" s="63">
        <f>H108</f>
        <v>997</v>
      </c>
      <c r="M108" s="63">
        <f>I108</f>
        <v>11964</v>
      </c>
      <c r="N108" s="587" cm="1">
        <f t="array" ref="N108">IF(H108=0,"",SUMPRODUCT(IFERROR(INT(H103:H107/F103:F107),0)))</f>
        <v>2</v>
      </c>
      <c r="O108" s="770">
        <f>IF(N108="","",MAX(0,G108-N108))</f>
        <v>4</v>
      </c>
      <c r="AA108" t="s">
        <v>1226</v>
      </c>
      <c r="AB108" t="s">
        <v>1426</v>
      </c>
    </row>
    <row r="109" spans="1:28" ht="6" customHeight="1" x14ac:dyDescent="0.3">
      <c r="C109" s="65"/>
      <c r="AA109" t="s">
        <v>192</v>
      </c>
      <c r="AB109" t="s">
        <v>1422</v>
      </c>
    </row>
    <row r="110" spans="1:28" ht="15" customHeight="1" x14ac:dyDescent="0.3">
      <c r="A110" s="75">
        <v>46129</v>
      </c>
      <c r="B110" s="487" t="s">
        <v>49</v>
      </c>
      <c r="C110" s="488" t="s">
        <v>176</v>
      </c>
      <c r="D110" s="489" t="s">
        <v>177</v>
      </c>
      <c r="E110" s="489" t="s">
        <v>178</v>
      </c>
      <c r="F110" s="861" t="s">
        <v>179</v>
      </c>
      <c r="G110" s="489" t="s">
        <v>180</v>
      </c>
      <c r="H110" s="490" t="s">
        <v>181</v>
      </c>
      <c r="I110" s="490" t="s">
        <v>182</v>
      </c>
      <c r="AA110" t="s">
        <v>1163</v>
      </c>
      <c r="AB110" t="s">
        <v>1423</v>
      </c>
    </row>
    <row r="111" spans="1:28" ht="21" customHeight="1" x14ac:dyDescent="0.3">
      <c r="A111" s="486"/>
      <c r="B111" s="649" t="s">
        <v>1367</v>
      </c>
      <c r="C111" s="650"/>
      <c r="D111" s="650"/>
      <c r="E111" s="650"/>
      <c r="F111" s="866"/>
      <c r="G111" s="650"/>
      <c r="H111" s="650"/>
      <c r="I111" s="651"/>
      <c r="AA111" t="s">
        <v>41</v>
      </c>
      <c r="AB111" t="s">
        <v>1423</v>
      </c>
    </row>
    <row r="112" spans="1:28" ht="21" customHeight="1" x14ac:dyDescent="0.3">
      <c r="A112" s="486"/>
      <c r="B112" s="652"/>
      <c r="C112" s="653"/>
      <c r="D112" s="653"/>
      <c r="E112" s="653"/>
      <c r="F112" s="867"/>
      <c r="G112" s="653"/>
      <c r="H112" s="653"/>
      <c r="I112" s="654"/>
      <c r="AA112" t="s">
        <v>399</v>
      </c>
      <c r="AB112" t="s">
        <v>1430</v>
      </c>
    </row>
    <row r="113" spans="1:28" ht="21" customHeight="1" x14ac:dyDescent="0.3">
      <c r="A113" s="486"/>
      <c r="B113" s="652"/>
      <c r="C113" s="653"/>
      <c r="D113" s="653"/>
      <c r="E113" s="653"/>
      <c r="F113" s="867"/>
      <c r="G113" s="653"/>
      <c r="H113" s="653"/>
      <c r="I113" s="654"/>
      <c r="AA113" t="s">
        <v>494</v>
      </c>
      <c r="AB113" t="s">
        <v>1426</v>
      </c>
    </row>
    <row r="114" spans="1:28" ht="21" customHeight="1" x14ac:dyDescent="0.3">
      <c r="A114" s="486"/>
      <c r="B114" s="652"/>
      <c r="C114" s="653"/>
      <c r="D114" s="653"/>
      <c r="E114" s="653"/>
      <c r="F114" s="867"/>
      <c r="G114" s="653"/>
      <c r="H114" s="653"/>
      <c r="I114" s="654"/>
      <c r="AA114" t="s">
        <v>404</v>
      </c>
      <c r="AB114" t="s">
        <v>1422</v>
      </c>
    </row>
    <row r="115" spans="1:28" ht="21" customHeight="1" x14ac:dyDescent="0.3">
      <c r="A115" s="825"/>
      <c r="B115" s="652"/>
      <c r="C115" s="802"/>
      <c r="D115" s="802"/>
      <c r="E115" s="802"/>
      <c r="F115" s="868"/>
      <c r="G115" s="802"/>
      <c r="H115" s="802"/>
      <c r="I115" s="654"/>
      <c r="AA115" t="s">
        <v>493</v>
      </c>
      <c r="AB115" t="s">
        <v>1431</v>
      </c>
    </row>
    <row r="116" spans="1:28" ht="21" customHeight="1" x14ac:dyDescent="0.3">
      <c r="A116" s="899"/>
      <c r="B116" s="846" t="s">
        <v>186</v>
      </c>
      <c r="C116" s="847"/>
      <c r="D116" s="848">
        <f>SUM(D109:D115)</f>
        <v>0</v>
      </c>
      <c r="E116" s="849"/>
      <c r="F116" s="856" t="s">
        <v>1400</v>
      </c>
      <c r="G116" s="850">
        <f>SUM(G109:G115)</f>
        <v>0</v>
      </c>
      <c r="H116" s="848">
        <f>SUM(H109:H115)</f>
        <v>0</v>
      </c>
      <c r="I116" s="848">
        <f>SUM(I109:I115)</f>
        <v>0</v>
      </c>
      <c r="J116" s="63">
        <f>D116</f>
        <v>0</v>
      </c>
      <c r="K116" s="93">
        <f>G116</f>
        <v>0</v>
      </c>
      <c r="L116" s="63">
        <f>H116</f>
        <v>0</v>
      </c>
      <c r="M116" s="63">
        <f>I116</f>
        <v>0</v>
      </c>
      <c r="N116" s="587" t="str" cm="1">
        <f t="array" ref="N116">IF(H116=0,"",SUMPRODUCT(IFERROR(INT(H111:H115/F111:F115),0)))</f>
        <v/>
      </c>
      <c r="O116" s="770" t="str">
        <f>IF(N116="","",MAX(0,G116-N116))</f>
        <v/>
      </c>
      <c r="AA116" t="s">
        <v>400</v>
      </c>
      <c r="AB116" t="s">
        <v>1430</v>
      </c>
    </row>
    <row r="117" spans="1:28" ht="21" customHeight="1" x14ac:dyDescent="0.3">
      <c r="C117" s="65"/>
      <c r="AA117" t="s">
        <v>492</v>
      </c>
      <c r="AB117" t="s">
        <v>1435</v>
      </c>
    </row>
    <row r="118" spans="1:28" ht="21" customHeight="1" x14ac:dyDescent="0.3">
      <c r="A118" s="75">
        <v>46130</v>
      </c>
      <c r="B118" s="113" t="s">
        <v>49</v>
      </c>
      <c r="C118" s="112" t="s">
        <v>176</v>
      </c>
      <c r="D118" s="111" t="s">
        <v>177</v>
      </c>
      <c r="E118" s="111" t="s">
        <v>178</v>
      </c>
      <c r="F118" s="860" t="s">
        <v>179</v>
      </c>
      <c r="G118" s="111" t="s">
        <v>180</v>
      </c>
      <c r="H118" s="121" t="s">
        <v>181</v>
      </c>
      <c r="I118" s="121" t="s">
        <v>182</v>
      </c>
      <c r="AA118" t="s">
        <v>498</v>
      </c>
      <c r="AB118" t="s">
        <v>1423</v>
      </c>
    </row>
    <row r="119" spans="1:28" ht="21" customHeight="1" x14ac:dyDescent="0.3">
      <c r="A119" s="120"/>
      <c r="B119" s="109" t="s">
        <v>496</v>
      </c>
      <c r="C119" s="108">
        <v>600</v>
      </c>
      <c r="D119" s="104">
        <v>50</v>
      </c>
      <c r="E119" s="107" t="s">
        <v>184</v>
      </c>
      <c r="F119" s="871">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95</v>
      </c>
      <c r="G119" s="106">
        <f>IFERROR(ROUNDUP(D119/F119,0),"")</f>
        <v>1</v>
      </c>
      <c r="H119" s="105">
        <v>51</v>
      </c>
      <c r="I119" s="104">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612</v>
      </c>
      <c r="AA119" t="s">
        <v>995</v>
      </c>
      <c r="AB119" t="s">
        <v>1426</v>
      </c>
    </row>
    <row r="120" spans="1:28" ht="21" customHeight="1" x14ac:dyDescent="0.3">
      <c r="A120" s="120"/>
      <c r="B120" s="109" t="s">
        <v>58</v>
      </c>
      <c r="C120" s="108">
        <v>600</v>
      </c>
      <c r="D120" s="104">
        <v>859</v>
      </c>
      <c r="E120" s="107" t="s">
        <v>184</v>
      </c>
      <c r="F120" s="871">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95</v>
      </c>
      <c r="G120" s="106">
        <f>IFERROR(ROUNDUP(D120/F120,0),"")</f>
        <v>10</v>
      </c>
      <c r="H120" s="105">
        <v>605</v>
      </c>
      <c r="I120" s="104">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7260</v>
      </c>
      <c r="AA120" t="s">
        <v>286</v>
      </c>
      <c r="AB120" t="s">
        <v>1426</v>
      </c>
    </row>
    <row r="121" spans="1:28" ht="21" customHeight="1" x14ac:dyDescent="0.3">
      <c r="A121" s="120"/>
      <c r="B121" s="109"/>
      <c r="C121" s="108"/>
      <c r="D121" s="104"/>
      <c r="E121" s="107" t="s">
        <v>184</v>
      </c>
      <c r="F121" s="871" t="str">
        <f>IF($B121="","",IF(SUMIFS(CONFIG_PALETES!$C:$C,CONFIG_PALETES!$A:$A,TRIM($B121),CONFIG_PALETES!$B:$B,$C121&amp;" ml")&gt;0,SUMIFS(CONFIG_PALETES!$C:$C,CONFIG_PALETES!$A:$A,TRIM($B121),CONFIG_PALETES!$B:$B,$C121&amp;" ml"),IF(SUMIFS(CONFIG_PALETES!$C:$C,CONFIG_PALETES!$A:$A,"GERAL",CONFIG_PALETES!$B:$B,$C121&amp;" ml")&gt;0,SUMIFS(CONFIG_PALETES!$C:$C,CONFIG_PALETES!$A:$A,"GERAL",CONFIG_PALETES!$B:$B,$C121&amp;" ml"),"")))</f>
        <v/>
      </c>
      <c r="G121" s="106" t="str">
        <f>IFERROR(ROUNDUP(D121/F121,0),"")</f>
        <v/>
      </c>
      <c r="H121" s="105"/>
      <c r="I121" s="104" t="str">
        <f>IF(H121="","",H121*IF(SUMIFS(CONFIG_PALETES!$D:$D,CONFIG_PALETES!$A:$A,IF(ISNUMBER(SEARCH("ESPUMA",$B121)),"ESPUMA",IF(OR(ISNUMBER(SEARCH("OLEO DE COCO",$B121)),ISNUMBER(SEARCH("ÓLEO DE COCO",$B121)),ISNUMBER(SEARCH("COPRA",$B121))),"ÓLEO DE COCO",IF(ISNUMBER(SEARCH("CORANTE",$B121)),"CORANTE",TRIM($B121)))),CONFIG_PALETES!$B:$B,$C121&amp;" ml")&gt;0,SUMIFS(CONFIG_PALETES!$D:$D,CONFIG_PALETES!$A:$A,IF(ISNUMBER(SEARCH("ESPUMA",$B121)),"ESPUMA",IF(OR(ISNUMBER(SEARCH("OLEO DE COCO",$B121)),ISNUMBER(SEARCH("ÓLEO DE COCO",$B121)),ISNUMBER(SEARCH("COPRA",$B121))),"ÓLEO DE COCO",IF(ISNUMBER(SEARCH("CORANTE",$B121)),"CORANTE",TRIM($B121)))),CONFIG_PALETES!$B:$B,$C121&amp;" ml"),IF(SUMIFS(CONFIG_PALETES!$D:$D,CONFIG_PALETES!$A:$A,"GERAL",CONFIG_PALETES!$B:$B,$C121&amp;" ml")&gt;0,SUMIFS(CONFIG_PALETES!$D:$D,CONFIG_PALETES!$A:$A,"GERAL",CONFIG_PALETES!$B:$B,$C121&amp;" ml"),12)))</f>
        <v/>
      </c>
      <c r="AA121" t="s">
        <v>285</v>
      </c>
      <c r="AB121" t="s">
        <v>1426</v>
      </c>
    </row>
    <row r="122" spans="1:28" ht="21" customHeight="1" x14ac:dyDescent="0.3">
      <c r="A122" s="120"/>
      <c r="B122" s="109"/>
      <c r="C122" s="108"/>
      <c r="D122" s="104"/>
      <c r="E122" s="107" t="s">
        <v>184</v>
      </c>
      <c r="F122" s="871" t="str">
        <f>IF($B122="","",IF(SUMIFS(CONFIG_PALETES!$C:$C,CONFIG_PALETES!$A:$A,TRIM($B122),CONFIG_PALETES!$B:$B,$C122&amp;" ml")&gt;0,SUMIFS(CONFIG_PALETES!$C:$C,CONFIG_PALETES!$A:$A,TRIM($B122),CONFIG_PALETES!$B:$B,$C122&amp;" ml"),IF(SUMIFS(CONFIG_PALETES!$C:$C,CONFIG_PALETES!$A:$A,"GERAL",CONFIG_PALETES!$B:$B,$C122&amp;" ml")&gt;0,SUMIFS(CONFIG_PALETES!$C:$C,CONFIG_PALETES!$A:$A,"GERAL",CONFIG_PALETES!$B:$B,$C122&amp;" ml"),"")))</f>
        <v/>
      </c>
      <c r="G122" s="106" t="str">
        <f>IFERROR(ROUNDUP(D122/F122,0),"")</f>
        <v/>
      </c>
      <c r="H122" s="105"/>
      <c r="I122" s="104" t="str">
        <f>IF(H122="","",H122*IF(SUMIFS(CONFIG_PALETES!$D:$D,CONFIG_PALETES!$A:$A,IF(ISNUMBER(SEARCH("ESPUMA",$B122)),"ESPUMA",IF(OR(ISNUMBER(SEARCH("OLEO DE COCO",$B122)),ISNUMBER(SEARCH("ÓLEO DE COCO",$B122)),ISNUMBER(SEARCH("COPRA",$B122))),"ÓLEO DE COCO",IF(ISNUMBER(SEARCH("CORANTE",$B122)),"CORANTE",TRIM($B122)))),CONFIG_PALETES!$B:$B,$C122&amp;" ml")&gt;0,SUMIFS(CONFIG_PALETES!$D:$D,CONFIG_PALETES!$A:$A,IF(ISNUMBER(SEARCH("ESPUMA",$B122)),"ESPUMA",IF(OR(ISNUMBER(SEARCH("OLEO DE COCO",$B122)),ISNUMBER(SEARCH("ÓLEO DE COCO",$B122)),ISNUMBER(SEARCH("COPRA",$B122))),"ÓLEO DE COCO",IF(ISNUMBER(SEARCH("CORANTE",$B122)),"CORANTE",TRIM($B122)))),CONFIG_PALETES!$B:$B,$C122&amp;" ml"),IF(SUMIFS(CONFIG_PALETES!$D:$D,CONFIG_PALETES!$A:$A,"GERAL",CONFIG_PALETES!$B:$B,$C122&amp;" ml")&gt;0,SUMIFS(CONFIG_PALETES!$D:$D,CONFIG_PALETES!$A:$A,"GERAL",CONFIG_PALETES!$B:$B,$C122&amp;" ml"),12)))</f>
        <v/>
      </c>
      <c r="AA122" t="s">
        <v>103</v>
      </c>
      <c r="AB122" t="s">
        <v>1425</v>
      </c>
    </row>
    <row r="123" spans="1:28" ht="21" customHeight="1" x14ac:dyDescent="0.3">
      <c r="A123" s="824"/>
      <c r="B123" s="818"/>
      <c r="C123" s="819"/>
      <c r="D123" s="820"/>
      <c r="E123" s="821" t="s">
        <v>184</v>
      </c>
      <c r="F123" s="872" t="str">
        <f>IF($B123="","",IF(SUMIFS(CONFIG_PALETES!$C:$C,CONFIG_PALETES!$A:$A,TRIM($B123),CONFIG_PALETES!$B:$B,$C123&amp;" ml")&gt;0,SUMIFS(CONFIG_PALETES!$C:$C,CONFIG_PALETES!$A:$A,TRIM($B123),CONFIG_PALETES!$B:$B,$C123&amp;" ml"),IF(SUMIFS(CONFIG_PALETES!$C:$C,CONFIG_PALETES!$A:$A,"GERAL",CONFIG_PALETES!$B:$B,$C123&amp;" ml")&gt;0,SUMIFS(CONFIG_PALETES!$C:$C,CONFIG_PALETES!$A:$A,"GERAL",CONFIG_PALETES!$B:$B,$C123&amp;" ml"),"")))</f>
        <v/>
      </c>
      <c r="G123" s="822" t="str">
        <f>IFERROR(ROUNDUP(D123/F123,0),"")</f>
        <v/>
      </c>
      <c r="H123" s="823"/>
      <c r="I123" s="820" t="str">
        <f>IF(H123="","",H123*IF(SUMIFS(CONFIG_PALETES!$D:$D,CONFIG_PALETES!$A:$A,IF(ISNUMBER(SEARCH("ESPUMA",$B123)),"ESPUMA",IF(OR(ISNUMBER(SEARCH("OLEO DE COCO",$B123)),ISNUMBER(SEARCH("ÓLEO DE COCO",$B123)),ISNUMBER(SEARCH("COPRA",$B123))),"ÓLEO DE COCO",IF(ISNUMBER(SEARCH("CORANTE",$B123)),"CORANTE",TRIM($B123)))),CONFIG_PALETES!$B:$B,$C123&amp;" ml")&gt;0,SUMIFS(CONFIG_PALETES!$D:$D,CONFIG_PALETES!$A:$A,IF(ISNUMBER(SEARCH("ESPUMA",$B123)),"ESPUMA",IF(OR(ISNUMBER(SEARCH("OLEO DE COCO",$B123)),ISNUMBER(SEARCH("ÓLEO DE COCO",$B123)),ISNUMBER(SEARCH("COPRA",$B123))),"ÓLEO DE COCO",IF(ISNUMBER(SEARCH("CORANTE",$B123)),"CORANTE",TRIM($B123)))),CONFIG_PALETES!$B:$B,$C123&amp;" ml"),IF(SUMIFS(CONFIG_PALETES!$D:$D,CONFIG_PALETES!$A:$A,"GERAL",CONFIG_PALETES!$B:$B,$C123&amp;" ml")&gt;0,SUMIFS(CONFIG_PALETES!$D:$D,CONFIG_PALETES!$A:$A,"GERAL",CONFIG_PALETES!$B:$B,$C123&amp;" ml"),12)))</f>
        <v/>
      </c>
      <c r="AA123" t="s">
        <v>282</v>
      </c>
      <c r="AB123" t="s">
        <v>1425</v>
      </c>
    </row>
    <row r="124" spans="1:28" ht="15" customHeight="1" x14ac:dyDescent="0.3">
      <c r="A124" s="899"/>
      <c r="B124" s="846" t="s">
        <v>186</v>
      </c>
      <c r="C124" s="847"/>
      <c r="D124" s="848">
        <f>SUM(D117:D123)</f>
        <v>909</v>
      </c>
      <c r="E124" s="849"/>
      <c r="F124" s="856" t="s">
        <v>1400</v>
      </c>
      <c r="G124" s="850">
        <f>SUM(G117:G123)</f>
        <v>11</v>
      </c>
      <c r="H124" s="848">
        <f>SUM(H117:H123)</f>
        <v>656</v>
      </c>
      <c r="I124" s="848">
        <f>SUM(I117:I123)</f>
        <v>7872</v>
      </c>
      <c r="J124" s="63">
        <f>D124</f>
        <v>909</v>
      </c>
      <c r="K124" s="93">
        <f>G124</f>
        <v>11</v>
      </c>
      <c r="L124" s="63">
        <f>H124</f>
        <v>656</v>
      </c>
      <c r="M124" s="63">
        <f>I124</f>
        <v>7872</v>
      </c>
      <c r="N124" s="587" cm="1">
        <f t="array" ref="N124">IF(H124=0,"",SUMPRODUCT(IFERROR(INT(H119:H123/F119:F123),0)))</f>
        <v>6</v>
      </c>
      <c r="O124" s="770">
        <f>IF(N124="","",MAX(0,G124-N124))</f>
        <v>5</v>
      </c>
      <c r="AA124" t="s">
        <v>576</v>
      </c>
      <c r="AB124" t="s">
        <v>1425</v>
      </c>
    </row>
    <row r="125" spans="1:28" ht="6" customHeight="1" x14ac:dyDescent="0.3">
      <c r="C125" s="65"/>
      <c r="AA125" t="s">
        <v>135</v>
      </c>
      <c r="AB125" t="s">
        <v>1425</v>
      </c>
    </row>
    <row r="126" spans="1:28" ht="15" customHeight="1" x14ac:dyDescent="0.3">
      <c r="A126" s="75">
        <v>46132</v>
      </c>
      <c r="B126" s="113" t="s">
        <v>49</v>
      </c>
      <c r="C126" s="112" t="s">
        <v>176</v>
      </c>
      <c r="D126" s="111" t="s">
        <v>177</v>
      </c>
      <c r="E126" s="111" t="s">
        <v>178</v>
      </c>
      <c r="F126" s="860" t="s">
        <v>179</v>
      </c>
      <c r="G126" s="111" t="s">
        <v>180</v>
      </c>
      <c r="H126" s="121" t="s">
        <v>181</v>
      </c>
      <c r="I126" s="121" t="s">
        <v>182</v>
      </c>
      <c r="AA126" t="s">
        <v>402</v>
      </c>
      <c r="AB126" t="s">
        <v>1425</v>
      </c>
    </row>
    <row r="127" spans="1:28" ht="21" customHeight="1" x14ac:dyDescent="0.3">
      <c r="A127" s="120"/>
      <c r="B127" s="109" t="s">
        <v>497</v>
      </c>
      <c r="C127" s="108">
        <v>600</v>
      </c>
      <c r="D127" s="104">
        <f>D120-H120</f>
        <v>254</v>
      </c>
      <c r="E127" s="107" t="s">
        <v>184</v>
      </c>
      <c r="F127" s="871">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95</v>
      </c>
      <c r="G127" s="106">
        <f>IFERROR(ROUNDUP(D127/F127,0),"")</f>
        <v>3</v>
      </c>
      <c r="H127" s="105">
        <v>254</v>
      </c>
      <c r="I127" s="104">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3048</v>
      </c>
      <c r="AA127" t="s">
        <v>290</v>
      </c>
      <c r="AB127" t="s">
        <v>1426</v>
      </c>
    </row>
    <row r="128" spans="1:28" ht="21" customHeight="1" x14ac:dyDescent="0.3">
      <c r="A128" s="120"/>
      <c r="B128" s="109" t="s">
        <v>31</v>
      </c>
      <c r="C128" s="108">
        <v>600</v>
      </c>
      <c r="D128" s="104">
        <v>665</v>
      </c>
      <c r="E128" s="107" t="s">
        <v>184</v>
      </c>
      <c r="F128" s="871">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95</v>
      </c>
      <c r="G128" s="106">
        <f>IFERROR(ROUNDUP(D128/F128,0),"")</f>
        <v>7</v>
      </c>
      <c r="H128" s="105">
        <v>672</v>
      </c>
      <c r="I128" s="104">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8064</v>
      </c>
      <c r="AA128" t="s">
        <v>289</v>
      </c>
      <c r="AB128" t="s">
        <v>1426</v>
      </c>
    </row>
    <row r="129" spans="1:28" ht="21" customHeight="1" x14ac:dyDescent="0.3">
      <c r="A129" s="120"/>
      <c r="B129" s="109"/>
      <c r="C129" s="108"/>
      <c r="D129" s="104"/>
      <c r="E129" s="107" t="s">
        <v>184</v>
      </c>
      <c r="F129" s="871" t="str">
        <f>IF($B129="","",IF(SUMIFS(CONFIG_PALETES!$C:$C,CONFIG_PALETES!$A:$A,TRIM($B129),CONFIG_PALETES!$B:$B,$C129&amp;" ml")&gt;0,SUMIFS(CONFIG_PALETES!$C:$C,CONFIG_PALETES!$A:$A,TRIM($B129),CONFIG_PALETES!$B:$B,$C129&amp;" ml"),IF(SUMIFS(CONFIG_PALETES!$C:$C,CONFIG_PALETES!$A:$A,"GERAL",CONFIG_PALETES!$B:$B,$C129&amp;" ml")&gt;0,SUMIFS(CONFIG_PALETES!$C:$C,CONFIG_PALETES!$A:$A,"GERAL",CONFIG_PALETES!$B:$B,$C129&amp;" ml"),"")))</f>
        <v/>
      </c>
      <c r="G129" s="106"/>
      <c r="H129" s="105"/>
      <c r="I129" s="104" t="str">
        <f>IF(H129="","",H129*IF(SUMIFS(CONFIG_PALETES!$D:$D,CONFIG_PALETES!$A:$A,IF(ISNUMBER(SEARCH("ESPUMA",$B129)),"ESPUMA",IF(OR(ISNUMBER(SEARCH("OLEO DE COCO",$B129)),ISNUMBER(SEARCH("ÓLEO DE COCO",$B129)),ISNUMBER(SEARCH("COPRA",$B129))),"ÓLEO DE COCO",IF(ISNUMBER(SEARCH("CORANTE",$B129)),"CORANTE",TRIM($B129)))),CONFIG_PALETES!$B:$B,$C129&amp;" ml")&gt;0,SUMIFS(CONFIG_PALETES!$D:$D,CONFIG_PALETES!$A:$A,IF(ISNUMBER(SEARCH("ESPUMA",$B129)),"ESPUMA",IF(OR(ISNUMBER(SEARCH("OLEO DE COCO",$B129)),ISNUMBER(SEARCH("ÓLEO DE COCO",$B129)),ISNUMBER(SEARCH("COPRA",$B129))),"ÓLEO DE COCO",IF(ISNUMBER(SEARCH("CORANTE",$B129)),"CORANTE",TRIM($B129)))),CONFIG_PALETES!$B:$B,$C129&amp;" ml"),IF(SUMIFS(CONFIG_PALETES!$D:$D,CONFIG_PALETES!$A:$A,"GERAL",CONFIG_PALETES!$B:$B,$C129&amp;" ml")&gt;0,SUMIFS(CONFIG_PALETES!$D:$D,CONFIG_PALETES!$A:$A,"GERAL",CONFIG_PALETES!$B:$B,$C129&amp;" ml"),12)))</f>
        <v/>
      </c>
      <c r="AA129" t="s">
        <v>72</v>
      </c>
      <c r="AB129" t="s">
        <v>1432</v>
      </c>
    </row>
    <row r="130" spans="1:28" ht="21" customHeight="1" x14ac:dyDescent="0.3">
      <c r="A130" s="120"/>
      <c r="B130" s="109"/>
      <c r="C130" s="108"/>
      <c r="D130" s="104"/>
      <c r="E130" s="107" t="s">
        <v>184</v>
      </c>
      <c r="F130" s="871" t="str">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
      </c>
      <c r="G130" s="106" t="str">
        <f>IFERROR(ROUNDUP(D130/F130,0),"")</f>
        <v/>
      </c>
      <c r="H130" s="105"/>
      <c r="I130" s="104" t="str">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
      </c>
      <c r="AA130" t="s">
        <v>395</v>
      </c>
      <c r="AB130" t="s">
        <v>1423</v>
      </c>
    </row>
    <row r="131" spans="1:28" ht="21" customHeight="1" x14ac:dyDescent="0.3">
      <c r="A131" s="824"/>
      <c r="B131" s="818"/>
      <c r="C131" s="819"/>
      <c r="D131" s="820"/>
      <c r="E131" s="821" t="s">
        <v>184</v>
      </c>
      <c r="F131" s="872" t="str">
        <f>IF($B131="","",IF(SUMIFS(CONFIG_PALETES!$C:$C,CONFIG_PALETES!$A:$A,TRIM($B131),CONFIG_PALETES!$B:$B,$C131&amp;" ml")&gt;0,SUMIFS(CONFIG_PALETES!$C:$C,CONFIG_PALETES!$A:$A,TRIM($B131),CONFIG_PALETES!$B:$B,$C131&amp;" ml"),IF(SUMIFS(CONFIG_PALETES!$C:$C,CONFIG_PALETES!$A:$A,"GERAL",CONFIG_PALETES!$B:$B,$C131&amp;" ml")&gt;0,SUMIFS(CONFIG_PALETES!$C:$C,CONFIG_PALETES!$A:$A,"GERAL",CONFIG_PALETES!$B:$B,$C131&amp;" ml"),"")))</f>
        <v/>
      </c>
      <c r="G131" s="822" t="str">
        <f>IFERROR(ROUNDUP(D131/F131,0),"")</f>
        <v/>
      </c>
      <c r="H131" s="823"/>
      <c r="I131" s="820" t="str">
        <f>IF(H131="","",H131*IF(SUMIFS(CONFIG_PALETES!$D:$D,CONFIG_PALETES!$A:$A,IF(ISNUMBER(SEARCH("ESPUMA",$B131)),"ESPUMA",IF(OR(ISNUMBER(SEARCH("OLEO DE COCO",$B131)),ISNUMBER(SEARCH("ÓLEO DE COCO",$B131)),ISNUMBER(SEARCH("COPRA",$B131))),"ÓLEO DE COCO",IF(ISNUMBER(SEARCH("CORANTE",$B131)),"CORANTE",TRIM($B131)))),CONFIG_PALETES!$B:$B,$C131&amp;" ml")&gt;0,SUMIFS(CONFIG_PALETES!$D:$D,CONFIG_PALETES!$A:$A,IF(ISNUMBER(SEARCH("ESPUMA",$B131)),"ESPUMA",IF(OR(ISNUMBER(SEARCH("OLEO DE COCO",$B131)),ISNUMBER(SEARCH("ÓLEO DE COCO",$B131)),ISNUMBER(SEARCH("COPRA",$B131))),"ÓLEO DE COCO",IF(ISNUMBER(SEARCH("CORANTE",$B131)),"CORANTE",TRIM($B131)))),CONFIG_PALETES!$B:$B,$C131&amp;" ml"),IF(SUMIFS(CONFIG_PALETES!$D:$D,CONFIG_PALETES!$A:$A,"GERAL",CONFIG_PALETES!$B:$B,$C131&amp;" ml")&gt;0,SUMIFS(CONFIG_PALETES!$D:$D,CONFIG_PALETES!$A:$A,"GERAL",CONFIG_PALETES!$B:$B,$C131&amp;" ml"),12)))</f>
        <v/>
      </c>
      <c r="AA131" t="s">
        <v>25</v>
      </c>
      <c r="AB131" t="s">
        <v>1433</v>
      </c>
    </row>
    <row r="132" spans="1:28" ht="15" customHeight="1" x14ac:dyDescent="0.3">
      <c r="A132" s="899"/>
      <c r="B132" s="846" t="s">
        <v>186</v>
      </c>
      <c r="C132" s="847"/>
      <c r="D132" s="848">
        <f>SUM(D125:D131)</f>
        <v>919</v>
      </c>
      <c r="E132" s="849"/>
      <c r="F132" s="856" t="s">
        <v>1400</v>
      </c>
      <c r="G132" s="850">
        <f>SUM(G125:G131)</f>
        <v>10</v>
      </c>
      <c r="H132" s="848">
        <f>SUM(H125:H131)</f>
        <v>926</v>
      </c>
      <c r="I132" s="848">
        <f>SUM(I125:I131)</f>
        <v>11112</v>
      </c>
      <c r="J132" s="63">
        <f>D132</f>
        <v>919</v>
      </c>
      <c r="K132" s="93">
        <f>G132</f>
        <v>10</v>
      </c>
      <c r="L132" s="63">
        <f>H132</f>
        <v>926</v>
      </c>
      <c r="M132" s="63">
        <f>I132</f>
        <v>11112</v>
      </c>
      <c r="N132" s="587" cm="1">
        <f t="array" ref="N132">IF(H132=0,"",SUMPRODUCT(IFERROR(INT(H127:H131/F127:F131),0)))</f>
        <v>9</v>
      </c>
      <c r="O132" s="770">
        <f>IF(N132="","",MAX(0,G132-N132))</f>
        <v>1</v>
      </c>
      <c r="AA132" t="s">
        <v>398</v>
      </c>
      <c r="AB132" t="s">
        <v>1424</v>
      </c>
    </row>
    <row r="133" spans="1:28" ht="6" customHeight="1" x14ac:dyDescent="0.3">
      <c r="C133" s="65"/>
      <c r="AA133" t="s">
        <v>396</v>
      </c>
      <c r="AB133" t="s">
        <v>1432</v>
      </c>
    </row>
    <row r="134" spans="1:28" ht="15" customHeight="1" x14ac:dyDescent="0.3">
      <c r="A134" s="75">
        <v>46133</v>
      </c>
      <c r="B134" s="113" t="s">
        <v>49</v>
      </c>
      <c r="C134" s="112" t="s">
        <v>176</v>
      </c>
      <c r="D134" s="111" t="s">
        <v>177</v>
      </c>
      <c r="E134" s="111" t="s">
        <v>178</v>
      </c>
      <c r="F134" s="860" t="s">
        <v>179</v>
      </c>
      <c r="G134" s="111" t="s">
        <v>180</v>
      </c>
      <c r="H134" s="121" t="s">
        <v>181</v>
      </c>
      <c r="I134" s="121" t="s">
        <v>182</v>
      </c>
      <c r="AA134" t="s">
        <v>490</v>
      </c>
      <c r="AB134" t="s">
        <v>1425</v>
      </c>
    </row>
    <row r="135" spans="1:28" ht="21" customHeight="1" x14ac:dyDescent="0.3">
      <c r="A135" s="120"/>
      <c r="B135" s="109" t="s">
        <v>62</v>
      </c>
      <c r="C135" s="108">
        <v>600</v>
      </c>
      <c r="D135" s="104">
        <v>665</v>
      </c>
      <c r="E135" s="107" t="s">
        <v>184</v>
      </c>
      <c r="F135" s="871">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95</v>
      </c>
      <c r="G135" s="106">
        <f>IFERROR(ROUNDUP(D135/F135,0),"")</f>
        <v>7</v>
      </c>
      <c r="H135" s="105">
        <v>672</v>
      </c>
      <c r="I135" s="104">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8064</v>
      </c>
      <c r="AA135" t="s">
        <v>1082</v>
      </c>
      <c r="AB135" t="s">
        <v>1424</v>
      </c>
    </row>
    <row r="136" spans="1:28" ht="21" customHeight="1" x14ac:dyDescent="0.3">
      <c r="A136" s="120"/>
      <c r="B136" s="109" t="s">
        <v>492</v>
      </c>
      <c r="C136" s="108">
        <v>600</v>
      </c>
      <c r="D136" s="104">
        <v>2470</v>
      </c>
      <c r="E136" s="107" t="s">
        <v>184</v>
      </c>
      <c r="F136" s="871">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190</v>
      </c>
      <c r="G136" s="106">
        <f>IFERROR(ROUNDUP(D136/F136,0),"")</f>
        <v>13</v>
      </c>
      <c r="H136" s="105">
        <v>652</v>
      </c>
      <c r="I136" s="104">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3912</v>
      </c>
      <c r="AA136" t="s">
        <v>598</v>
      </c>
      <c r="AB136" t="s">
        <v>1432</v>
      </c>
    </row>
    <row r="137" spans="1:28" ht="21" customHeight="1" x14ac:dyDescent="0.3">
      <c r="A137" s="120"/>
      <c r="B137" s="109"/>
      <c r="C137" s="108"/>
      <c r="D137" s="104"/>
      <c r="E137" s="107" t="s">
        <v>184</v>
      </c>
      <c r="F137" s="871" t="str">
        <f>IF($B137="","",IF(SUMIFS(CONFIG_PALETES!$C:$C,CONFIG_PALETES!$A:$A,TRIM($B137),CONFIG_PALETES!$B:$B,$C137&amp;" ml")&gt;0,SUMIFS(CONFIG_PALETES!$C:$C,CONFIG_PALETES!$A:$A,TRIM($B137),CONFIG_PALETES!$B:$B,$C137&amp;" ml"),IF(SUMIFS(CONFIG_PALETES!$C:$C,CONFIG_PALETES!$A:$A,"GERAL",CONFIG_PALETES!$B:$B,$C137&amp;" ml")&gt;0,SUMIFS(CONFIG_PALETES!$C:$C,CONFIG_PALETES!$A:$A,"GERAL",CONFIG_PALETES!$B:$B,$C137&amp;" ml"),"")))</f>
        <v/>
      </c>
      <c r="G137" s="106" t="str">
        <f>IFERROR(ROUNDUP(D137/F137,0),"")</f>
        <v/>
      </c>
      <c r="H137" s="105"/>
      <c r="I137" s="104" t="str">
        <f>IF(H137="","",H137*IF(SUMIFS(CONFIG_PALETES!$D:$D,CONFIG_PALETES!$A:$A,IF(ISNUMBER(SEARCH("ESPUMA",$B137)),"ESPUMA",IF(OR(ISNUMBER(SEARCH("OLEO DE COCO",$B137)),ISNUMBER(SEARCH("ÓLEO DE COCO",$B137)),ISNUMBER(SEARCH("COPRA",$B137))),"ÓLEO DE COCO",IF(ISNUMBER(SEARCH("CORANTE",$B137)),"CORANTE",TRIM($B137)))),CONFIG_PALETES!$B:$B,$C137&amp;" ml")&gt;0,SUMIFS(CONFIG_PALETES!$D:$D,CONFIG_PALETES!$A:$A,IF(ISNUMBER(SEARCH("ESPUMA",$B137)),"ESPUMA",IF(OR(ISNUMBER(SEARCH("OLEO DE COCO",$B137)),ISNUMBER(SEARCH("ÓLEO DE COCO",$B137)),ISNUMBER(SEARCH("COPRA",$B137))),"ÓLEO DE COCO",IF(ISNUMBER(SEARCH("CORANTE",$B137)),"CORANTE",TRIM($B137)))),CONFIG_PALETES!$B:$B,$C137&amp;" ml"),IF(SUMIFS(CONFIG_PALETES!$D:$D,CONFIG_PALETES!$A:$A,"GERAL",CONFIG_PALETES!$B:$B,$C137&amp;" ml")&gt;0,SUMIFS(CONFIG_PALETES!$D:$D,CONFIG_PALETES!$A:$A,"GERAL",CONFIG_PALETES!$B:$B,$C137&amp;" ml"),12)))</f>
        <v/>
      </c>
      <c r="AA137" t="s">
        <v>397</v>
      </c>
      <c r="AB137" t="s">
        <v>1424</v>
      </c>
    </row>
    <row r="138" spans="1:28" ht="21" customHeight="1" x14ac:dyDescent="0.3">
      <c r="A138" s="120"/>
      <c r="B138" s="109"/>
      <c r="C138" s="108"/>
      <c r="D138" s="104"/>
      <c r="E138" s="107" t="s">
        <v>184</v>
      </c>
      <c r="F138" s="871" t="str">
        <f>IF($B138="","",IF(SUMIFS(CONFIG_PALETES!$C:$C,CONFIG_PALETES!$A:$A,TRIM($B138),CONFIG_PALETES!$B:$B,$C138&amp;" ml")&gt;0,SUMIFS(CONFIG_PALETES!$C:$C,CONFIG_PALETES!$A:$A,TRIM($B138),CONFIG_PALETES!$B:$B,$C138&amp;" ml"),IF(SUMIFS(CONFIG_PALETES!$C:$C,CONFIG_PALETES!$A:$A,"GERAL",CONFIG_PALETES!$B:$B,$C138&amp;" ml")&gt;0,SUMIFS(CONFIG_PALETES!$C:$C,CONFIG_PALETES!$A:$A,"GERAL",CONFIG_PALETES!$B:$B,$C138&amp;" ml"),"")))</f>
        <v/>
      </c>
      <c r="G138" s="106" t="str">
        <f>IFERROR(ROUNDUP(D138/F138,0),"")</f>
        <v/>
      </c>
      <c r="H138" s="105"/>
      <c r="I138" s="104" t="str">
        <f>IF(H138="","",H138*IF(SUMIFS(CONFIG_PALETES!$D:$D,CONFIG_PALETES!$A:$A,IF(ISNUMBER(SEARCH("ESPUMA",$B138)),"ESPUMA",IF(OR(ISNUMBER(SEARCH("OLEO DE COCO",$B138)),ISNUMBER(SEARCH("ÓLEO DE COCO",$B138)),ISNUMBER(SEARCH("COPRA",$B138))),"ÓLEO DE COCO",IF(ISNUMBER(SEARCH("CORANTE",$B138)),"CORANTE",TRIM($B138)))),CONFIG_PALETES!$B:$B,$C138&amp;" ml")&gt;0,SUMIFS(CONFIG_PALETES!$D:$D,CONFIG_PALETES!$A:$A,IF(ISNUMBER(SEARCH("ESPUMA",$B138)),"ESPUMA",IF(OR(ISNUMBER(SEARCH("OLEO DE COCO",$B138)),ISNUMBER(SEARCH("ÓLEO DE COCO",$B138)),ISNUMBER(SEARCH("COPRA",$B138))),"ÓLEO DE COCO",IF(ISNUMBER(SEARCH("CORANTE",$B138)),"CORANTE",TRIM($B138)))),CONFIG_PALETES!$B:$B,$C138&amp;" ml"),IF(SUMIFS(CONFIG_PALETES!$D:$D,CONFIG_PALETES!$A:$A,"GERAL",CONFIG_PALETES!$B:$B,$C138&amp;" ml")&gt;0,SUMIFS(CONFIG_PALETES!$D:$D,CONFIG_PALETES!$A:$A,"GERAL",CONFIG_PALETES!$B:$B,$C138&amp;" ml"),12)))</f>
        <v/>
      </c>
      <c r="AA138" t="s">
        <v>163</v>
      </c>
      <c r="AB138" t="s">
        <v>1423</v>
      </c>
    </row>
    <row r="139" spans="1:28" ht="21" customHeight="1" x14ac:dyDescent="0.3">
      <c r="A139" s="824"/>
      <c r="B139" s="818"/>
      <c r="C139" s="819"/>
      <c r="D139" s="820"/>
      <c r="E139" s="821" t="s">
        <v>184</v>
      </c>
      <c r="F139" s="872" t="str">
        <f>IF($B139="","",IF(SUMIFS(CONFIG_PALETES!$C:$C,CONFIG_PALETES!$A:$A,TRIM($B139),CONFIG_PALETES!$B:$B,$C139&amp;" ml")&gt;0,SUMIFS(CONFIG_PALETES!$C:$C,CONFIG_PALETES!$A:$A,TRIM($B139),CONFIG_PALETES!$B:$B,$C139&amp;" ml"),IF(SUMIFS(CONFIG_PALETES!$C:$C,CONFIG_PALETES!$A:$A,"GERAL",CONFIG_PALETES!$B:$B,$C139&amp;" ml")&gt;0,SUMIFS(CONFIG_PALETES!$C:$C,CONFIG_PALETES!$A:$A,"GERAL",CONFIG_PALETES!$B:$B,$C139&amp;" ml"),"")))</f>
        <v/>
      </c>
      <c r="G139" s="822" t="str">
        <f>IFERROR(ROUNDUP(D139/F139,0),"")</f>
        <v/>
      </c>
      <c r="H139" s="823"/>
      <c r="I139" s="820" t="str">
        <f>IF(H139="","",H139*IF(SUMIFS(CONFIG_PALETES!$D:$D,CONFIG_PALETES!$A:$A,IF(ISNUMBER(SEARCH("ESPUMA",$B139)),"ESPUMA",IF(OR(ISNUMBER(SEARCH("OLEO DE COCO",$B139)),ISNUMBER(SEARCH("ÓLEO DE COCO",$B139)),ISNUMBER(SEARCH("COPRA",$B139))),"ÓLEO DE COCO",IF(ISNUMBER(SEARCH("CORANTE",$B139)),"CORANTE",TRIM($B139)))),CONFIG_PALETES!$B:$B,$C139&amp;" ml")&gt;0,SUMIFS(CONFIG_PALETES!$D:$D,CONFIG_PALETES!$A:$A,IF(ISNUMBER(SEARCH("ESPUMA",$B139)),"ESPUMA",IF(OR(ISNUMBER(SEARCH("OLEO DE COCO",$B139)),ISNUMBER(SEARCH("ÓLEO DE COCO",$B139)),ISNUMBER(SEARCH("COPRA",$B139))),"ÓLEO DE COCO",IF(ISNUMBER(SEARCH("CORANTE",$B139)),"CORANTE",TRIM($B139)))),CONFIG_PALETES!$B:$B,$C139&amp;" ml"),IF(SUMIFS(CONFIG_PALETES!$D:$D,CONFIG_PALETES!$A:$A,"GERAL",CONFIG_PALETES!$B:$B,$C139&amp;" ml")&gt;0,SUMIFS(CONFIG_PALETES!$D:$D,CONFIG_PALETES!$A:$A,"GERAL",CONFIG_PALETES!$B:$B,$C139&amp;" ml"),12)))</f>
        <v/>
      </c>
      <c r="AA139" t="s">
        <v>1361</v>
      </c>
      <c r="AB139" t="s">
        <v>1436</v>
      </c>
    </row>
    <row r="140" spans="1:28" ht="15" customHeight="1" x14ac:dyDescent="0.3">
      <c r="A140" s="899"/>
      <c r="B140" s="846" t="s">
        <v>186</v>
      </c>
      <c r="C140" s="847"/>
      <c r="D140" s="848">
        <f>SUM(D133:D139)</f>
        <v>3135</v>
      </c>
      <c r="E140" s="849"/>
      <c r="F140" s="856" t="s">
        <v>1400</v>
      </c>
      <c r="G140" s="850">
        <f>SUM(G133:G139)</f>
        <v>20</v>
      </c>
      <c r="H140" s="848">
        <f>SUM(H133:H139)</f>
        <v>1324</v>
      </c>
      <c r="I140" s="848">
        <f>SUM(I133:I139)</f>
        <v>11976</v>
      </c>
      <c r="J140" s="63">
        <f>D140</f>
        <v>3135</v>
      </c>
      <c r="K140" s="93">
        <f>G140</f>
        <v>20</v>
      </c>
      <c r="L140" s="63">
        <f>H140</f>
        <v>1324</v>
      </c>
      <c r="M140" s="63">
        <f>I140</f>
        <v>11976</v>
      </c>
      <c r="N140" s="587" cm="1">
        <f t="array" ref="N140">IF(H140=0,"",SUMPRODUCT(IFERROR(INT(H135:H139/F135:F139),0)))</f>
        <v>10</v>
      </c>
      <c r="O140" s="770">
        <f>IF(N140="","",MAX(0,G140-N140))</f>
        <v>10</v>
      </c>
    </row>
    <row r="141" spans="1:28" ht="6" customHeight="1" x14ac:dyDescent="0.3">
      <c r="C141" s="65"/>
    </row>
    <row r="142" spans="1:28" ht="15" customHeight="1" x14ac:dyDescent="0.3">
      <c r="A142" s="75">
        <v>46134</v>
      </c>
      <c r="B142" s="113" t="s">
        <v>49</v>
      </c>
      <c r="C142" s="112" t="s">
        <v>176</v>
      </c>
      <c r="D142" s="111" t="s">
        <v>177</v>
      </c>
      <c r="E142" s="111" t="s">
        <v>178</v>
      </c>
      <c r="F142" s="860" t="s">
        <v>179</v>
      </c>
      <c r="G142" s="111" t="s">
        <v>180</v>
      </c>
      <c r="H142" s="121" t="s">
        <v>181</v>
      </c>
      <c r="I142" s="121" t="s">
        <v>182</v>
      </c>
    </row>
    <row r="143" spans="1:28" ht="21" customHeight="1" x14ac:dyDescent="0.3">
      <c r="A143" s="120"/>
      <c r="B143" s="109" t="s">
        <v>492</v>
      </c>
      <c r="C143" s="108">
        <v>600</v>
      </c>
      <c r="D143" s="104">
        <f>D136-H136</f>
        <v>1818</v>
      </c>
      <c r="E143" s="107" t="s">
        <v>184</v>
      </c>
      <c r="F143" s="871">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190</v>
      </c>
      <c r="G143" s="106">
        <f>IFERROR(ROUNDUP(D143/F143,0),"")</f>
        <v>10</v>
      </c>
      <c r="H143" s="105">
        <f>2087-H136</f>
        <v>1435</v>
      </c>
      <c r="I143" s="104">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8610</v>
      </c>
    </row>
    <row r="144" spans="1:28" ht="21" customHeight="1" x14ac:dyDescent="0.3">
      <c r="A144" s="120"/>
      <c r="B144" s="109"/>
      <c r="C144" s="108"/>
      <c r="D144" s="104"/>
      <c r="E144" s="107" t="s">
        <v>184</v>
      </c>
      <c r="F144" s="871"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106" t="str">
        <f>IFERROR(ROUNDUP(D144/F144,0),"")</f>
        <v/>
      </c>
      <c r="H144" s="105"/>
      <c r="I144" s="104"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5" ht="21" customHeight="1" x14ac:dyDescent="0.3">
      <c r="A145" s="120"/>
      <c r="B145" s="109"/>
      <c r="C145" s="108"/>
      <c r="D145" s="104"/>
      <c r="E145" s="107" t="s">
        <v>184</v>
      </c>
      <c r="F145" s="871" t="str">
        <f>IF($B145="","",IF(SUMIFS(CONFIG_PALETES!$C:$C,CONFIG_PALETES!$A:$A,TRIM($B145),CONFIG_PALETES!$B:$B,$C145&amp;" ml")&gt;0,SUMIFS(CONFIG_PALETES!$C:$C,CONFIG_PALETES!$A:$A,TRIM($B145),CONFIG_PALETES!$B:$B,$C145&amp;" ml"),IF(SUMIFS(CONFIG_PALETES!$C:$C,CONFIG_PALETES!$A:$A,"GERAL",CONFIG_PALETES!$B:$B,$C145&amp;" ml")&gt;0,SUMIFS(CONFIG_PALETES!$C:$C,CONFIG_PALETES!$A:$A,"GERAL",CONFIG_PALETES!$B:$B,$C145&amp;" ml"),"")))</f>
        <v/>
      </c>
      <c r="G145" s="106" t="str">
        <f>IFERROR(ROUNDUP(D145/F145,0),"")</f>
        <v/>
      </c>
      <c r="H145" s="105"/>
      <c r="I145" s="104" t="str">
        <f>IF(H145="","",H145*IF(SUMIFS(CONFIG_PALETES!$D:$D,CONFIG_PALETES!$A:$A,IF(ISNUMBER(SEARCH("ESPUMA",$B145)),"ESPUMA",IF(OR(ISNUMBER(SEARCH("OLEO DE COCO",$B145)),ISNUMBER(SEARCH("ÓLEO DE COCO",$B145)),ISNUMBER(SEARCH("COPRA",$B145))),"ÓLEO DE COCO",IF(ISNUMBER(SEARCH("CORANTE",$B145)),"CORANTE",TRIM($B145)))),CONFIG_PALETES!$B:$B,$C145&amp;" ml")&gt;0,SUMIFS(CONFIG_PALETES!$D:$D,CONFIG_PALETES!$A:$A,IF(ISNUMBER(SEARCH("ESPUMA",$B145)),"ESPUMA",IF(OR(ISNUMBER(SEARCH("OLEO DE COCO",$B145)),ISNUMBER(SEARCH("ÓLEO DE COCO",$B145)),ISNUMBER(SEARCH("COPRA",$B145))),"ÓLEO DE COCO",IF(ISNUMBER(SEARCH("CORANTE",$B145)),"CORANTE",TRIM($B145)))),CONFIG_PALETES!$B:$B,$C145&amp;" ml"),IF(SUMIFS(CONFIG_PALETES!$D:$D,CONFIG_PALETES!$A:$A,"GERAL",CONFIG_PALETES!$B:$B,$C145&amp;" ml")&gt;0,SUMIFS(CONFIG_PALETES!$D:$D,CONFIG_PALETES!$A:$A,"GERAL",CONFIG_PALETES!$B:$B,$C145&amp;" ml"),12)))</f>
        <v/>
      </c>
    </row>
    <row r="146" spans="1:15" ht="21" customHeight="1" x14ac:dyDescent="0.3">
      <c r="A146" s="120"/>
      <c r="B146" s="109"/>
      <c r="C146" s="108"/>
      <c r="D146" s="104"/>
      <c r="E146" s="107" t="s">
        <v>184</v>
      </c>
      <c r="F146" s="871" t="str">
        <f>IF($B146="","",IF(SUMIFS(CONFIG_PALETES!$C:$C,CONFIG_PALETES!$A:$A,TRIM($B146),CONFIG_PALETES!$B:$B,$C146&amp;" ml")&gt;0,SUMIFS(CONFIG_PALETES!$C:$C,CONFIG_PALETES!$A:$A,TRIM($B146),CONFIG_PALETES!$B:$B,$C146&amp;" ml"),IF(SUMIFS(CONFIG_PALETES!$C:$C,CONFIG_PALETES!$A:$A,"GERAL",CONFIG_PALETES!$B:$B,$C146&amp;" ml")&gt;0,SUMIFS(CONFIG_PALETES!$C:$C,CONFIG_PALETES!$A:$A,"GERAL",CONFIG_PALETES!$B:$B,$C146&amp;" ml"),"")))</f>
        <v/>
      </c>
      <c r="G146" s="106" t="str">
        <f>IFERROR(ROUNDUP(D146/F146,0),"")</f>
        <v/>
      </c>
      <c r="H146" s="105"/>
      <c r="I146" s="104" t="str">
        <f>IF(H146="","",H146*IF(SUMIFS(CONFIG_PALETES!$D:$D,CONFIG_PALETES!$A:$A,IF(ISNUMBER(SEARCH("ESPUMA",$B146)),"ESPUMA",IF(OR(ISNUMBER(SEARCH("OLEO DE COCO",$B146)),ISNUMBER(SEARCH("ÓLEO DE COCO",$B146)),ISNUMBER(SEARCH("COPRA",$B146))),"ÓLEO DE COCO",IF(ISNUMBER(SEARCH("CORANTE",$B146)),"CORANTE",TRIM($B146)))),CONFIG_PALETES!$B:$B,$C146&amp;" ml")&gt;0,SUMIFS(CONFIG_PALETES!$D:$D,CONFIG_PALETES!$A:$A,IF(ISNUMBER(SEARCH("ESPUMA",$B146)),"ESPUMA",IF(OR(ISNUMBER(SEARCH("OLEO DE COCO",$B146)),ISNUMBER(SEARCH("ÓLEO DE COCO",$B146)),ISNUMBER(SEARCH("COPRA",$B146))),"ÓLEO DE COCO",IF(ISNUMBER(SEARCH("CORANTE",$B146)),"CORANTE",TRIM($B146)))),CONFIG_PALETES!$B:$B,$C146&amp;" ml"),IF(SUMIFS(CONFIG_PALETES!$D:$D,CONFIG_PALETES!$A:$A,"GERAL",CONFIG_PALETES!$B:$B,$C146&amp;" ml")&gt;0,SUMIFS(CONFIG_PALETES!$D:$D,CONFIG_PALETES!$A:$A,"GERAL",CONFIG_PALETES!$B:$B,$C146&amp;" ml"),12)))</f>
        <v/>
      </c>
    </row>
    <row r="147" spans="1:15" ht="21" customHeight="1" x14ac:dyDescent="0.3">
      <c r="A147" s="824"/>
      <c r="B147" s="818"/>
      <c r="C147" s="819"/>
      <c r="D147" s="820"/>
      <c r="E147" s="821" t="s">
        <v>184</v>
      </c>
      <c r="F147" s="872" t="str">
        <f>IF($B147="","",IF(SUMIFS(CONFIG_PALETES!$C:$C,CONFIG_PALETES!$A:$A,TRIM($B147),CONFIG_PALETES!$B:$B,$C147&amp;" ml")&gt;0,SUMIFS(CONFIG_PALETES!$C:$C,CONFIG_PALETES!$A:$A,TRIM($B147),CONFIG_PALETES!$B:$B,$C147&amp;" ml"),IF(SUMIFS(CONFIG_PALETES!$C:$C,CONFIG_PALETES!$A:$A,"GERAL",CONFIG_PALETES!$B:$B,$C147&amp;" ml")&gt;0,SUMIFS(CONFIG_PALETES!$C:$C,CONFIG_PALETES!$A:$A,"GERAL",CONFIG_PALETES!$B:$B,$C147&amp;" ml"),"")))</f>
        <v/>
      </c>
      <c r="G147" s="822" t="str">
        <f>IFERROR(ROUNDUP(D147/F147,0),"")</f>
        <v/>
      </c>
      <c r="H147" s="823"/>
      <c r="I147" s="820" t="str">
        <f>IF(H147="","",H147*IF(SUMIFS(CONFIG_PALETES!$D:$D,CONFIG_PALETES!$A:$A,IF(ISNUMBER(SEARCH("ESPUMA",$B147)),"ESPUMA",IF(OR(ISNUMBER(SEARCH("OLEO DE COCO",$B147)),ISNUMBER(SEARCH("ÓLEO DE COCO",$B147)),ISNUMBER(SEARCH("COPRA",$B147))),"ÓLEO DE COCO",IF(ISNUMBER(SEARCH("CORANTE",$B147)),"CORANTE",TRIM($B147)))),CONFIG_PALETES!$B:$B,$C147&amp;" ml")&gt;0,SUMIFS(CONFIG_PALETES!$D:$D,CONFIG_PALETES!$A:$A,IF(ISNUMBER(SEARCH("ESPUMA",$B147)),"ESPUMA",IF(OR(ISNUMBER(SEARCH("OLEO DE COCO",$B147)),ISNUMBER(SEARCH("ÓLEO DE COCO",$B147)),ISNUMBER(SEARCH("COPRA",$B147))),"ÓLEO DE COCO",IF(ISNUMBER(SEARCH("CORANTE",$B147)),"CORANTE",TRIM($B147)))),CONFIG_PALETES!$B:$B,$C147&amp;" ml"),IF(SUMIFS(CONFIG_PALETES!$D:$D,CONFIG_PALETES!$A:$A,"GERAL",CONFIG_PALETES!$B:$B,$C147&amp;" ml")&gt;0,SUMIFS(CONFIG_PALETES!$D:$D,CONFIG_PALETES!$A:$A,"GERAL",CONFIG_PALETES!$B:$B,$C147&amp;" ml"),12)))</f>
        <v/>
      </c>
    </row>
    <row r="148" spans="1:15" ht="15" customHeight="1" x14ac:dyDescent="0.3">
      <c r="A148" s="899"/>
      <c r="B148" s="846" t="s">
        <v>186</v>
      </c>
      <c r="C148" s="847"/>
      <c r="D148" s="848">
        <f>SUM(D141:D147)</f>
        <v>1818</v>
      </c>
      <c r="E148" s="849"/>
      <c r="F148" s="856" t="s">
        <v>1400</v>
      </c>
      <c r="G148" s="850">
        <f>SUM(G141:G147)</f>
        <v>10</v>
      </c>
      <c r="H148" s="848">
        <f>SUM(H141:H147)</f>
        <v>1435</v>
      </c>
      <c r="I148" s="848">
        <f>SUM(I141:I147)</f>
        <v>8610</v>
      </c>
      <c r="J148" s="63">
        <f>D148</f>
        <v>1818</v>
      </c>
      <c r="K148" s="93">
        <f>G148</f>
        <v>10</v>
      </c>
      <c r="L148" s="63">
        <f>H148</f>
        <v>1435</v>
      </c>
      <c r="M148" s="63">
        <f>I148</f>
        <v>8610</v>
      </c>
      <c r="N148" s="587" cm="1">
        <f t="array" ref="N148">IF(H148=0,"",SUMPRODUCT(IFERROR(INT(H143:H147/F143:F147),0)))</f>
        <v>7</v>
      </c>
      <c r="O148" s="770">
        <f>IF(N148="","",MAX(0,G148-N148))</f>
        <v>3</v>
      </c>
    </row>
    <row r="149" spans="1:15" ht="6" customHeight="1" x14ac:dyDescent="0.3">
      <c r="C149" s="65"/>
    </row>
    <row r="150" spans="1:15" ht="15" customHeight="1" x14ac:dyDescent="0.3">
      <c r="A150" s="75">
        <v>46135</v>
      </c>
      <c r="B150" s="113" t="s">
        <v>49</v>
      </c>
      <c r="C150" s="112" t="s">
        <v>176</v>
      </c>
      <c r="D150" s="111" t="s">
        <v>177</v>
      </c>
      <c r="E150" s="111" t="s">
        <v>178</v>
      </c>
      <c r="F150" s="860" t="s">
        <v>179</v>
      </c>
      <c r="G150" s="111" t="s">
        <v>180</v>
      </c>
      <c r="H150" s="121" t="s">
        <v>181</v>
      </c>
      <c r="I150" s="121" t="s">
        <v>182</v>
      </c>
    </row>
    <row r="151" spans="1:15" ht="21" customHeight="1" x14ac:dyDescent="0.3">
      <c r="A151" s="120"/>
      <c r="B151" s="109" t="s">
        <v>492</v>
      </c>
      <c r="C151" s="108">
        <v>600</v>
      </c>
      <c r="D151" s="104">
        <f>D143-H143</f>
        <v>383</v>
      </c>
      <c r="E151" s="107" t="s">
        <v>184</v>
      </c>
      <c r="F151" s="871">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190</v>
      </c>
      <c r="G151" s="106">
        <f t="shared" ref="G151:G156" si="3">IFERROR(ROUNDUP(D151/F151,0),"")</f>
        <v>3</v>
      </c>
      <c r="H151" s="105">
        <v>383</v>
      </c>
      <c r="I151" s="104">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2298</v>
      </c>
    </row>
    <row r="152" spans="1:15" ht="21" customHeight="1" x14ac:dyDescent="0.3">
      <c r="A152" s="120"/>
      <c r="B152" s="109" t="s">
        <v>498</v>
      </c>
      <c r="C152" s="108">
        <v>600</v>
      </c>
      <c r="D152" s="104">
        <v>570</v>
      </c>
      <c r="E152" s="107" t="s">
        <v>184</v>
      </c>
      <c r="F152" s="871">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95</v>
      </c>
      <c r="G152" s="106">
        <f t="shared" si="3"/>
        <v>6</v>
      </c>
      <c r="H152" s="105">
        <v>506</v>
      </c>
      <c r="I152" s="104">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6072</v>
      </c>
    </row>
    <row r="153" spans="1:15" ht="21" customHeight="1" x14ac:dyDescent="0.3">
      <c r="A153" s="120"/>
      <c r="B153" s="109"/>
      <c r="C153" s="108"/>
      <c r="D153" s="104"/>
      <c r="E153" s="107" t="s">
        <v>184</v>
      </c>
      <c r="F153" s="871" t="str">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
      </c>
      <c r="G153" s="106" t="str">
        <f t="shared" si="3"/>
        <v/>
      </c>
      <c r="H153" s="105"/>
      <c r="I153" s="104" t="str">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
      </c>
    </row>
    <row r="154" spans="1:15" ht="21" customHeight="1" x14ac:dyDescent="0.3">
      <c r="A154" s="120"/>
      <c r="B154" s="109"/>
      <c r="C154" s="108"/>
      <c r="D154" s="104"/>
      <c r="E154" s="107" t="s">
        <v>184</v>
      </c>
      <c r="F154" s="871" t="str">
        <f>IF($B154="","",IF(SUMIFS(CONFIG_PALETES!$C:$C,CONFIG_PALETES!$A:$A,TRIM($B154),CONFIG_PALETES!$B:$B,$C154&amp;" ml")&gt;0,SUMIFS(CONFIG_PALETES!$C:$C,CONFIG_PALETES!$A:$A,TRIM($B154),CONFIG_PALETES!$B:$B,$C154&amp;" ml"),IF(SUMIFS(CONFIG_PALETES!$C:$C,CONFIG_PALETES!$A:$A,"GERAL",CONFIG_PALETES!$B:$B,$C154&amp;" ml")&gt;0,SUMIFS(CONFIG_PALETES!$C:$C,CONFIG_PALETES!$A:$A,"GERAL",CONFIG_PALETES!$B:$B,$C154&amp;" ml"),"")))</f>
        <v/>
      </c>
      <c r="G154" s="106" t="str">
        <f t="shared" si="3"/>
        <v/>
      </c>
      <c r="H154" s="105"/>
      <c r="I154" s="104" t="str">
        <f>IF(H154="","",H154*IF(SUMIFS(CONFIG_PALETES!$D:$D,CONFIG_PALETES!$A:$A,IF(ISNUMBER(SEARCH("ESPUMA",$B154)),"ESPUMA",IF(OR(ISNUMBER(SEARCH("OLEO DE COCO",$B154)),ISNUMBER(SEARCH("ÓLEO DE COCO",$B154)),ISNUMBER(SEARCH("COPRA",$B154))),"ÓLEO DE COCO",IF(ISNUMBER(SEARCH("CORANTE",$B154)),"CORANTE",TRIM($B154)))),CONFIG_PALETES!$B:$B,$C154&amp;" ml")&gt;0,SUMIFS(CONFIG_PALETES!$D:$D,CONFIG_PALETES!$A:$A,IF(ISNUMBER(SEARCH("ESPUMA",$B154)),"ESPUMA",IF(OR(ISNUMBER(SEARCH("OLEO DE COCO",$B154)),ISNUMBER(SEARCH("ÓLEO DE COCO",$B154)),ISNUMBER(SEARCH("COPRA",$B154))),"ÓLEO DE COCO",IF(ISNUMBER(SEARCH("CORANTE",$B154)),"CORANTE",TRIM($B154)))),CONFIG_PALETES!$B:$B,$C154&amp;" ml"),IF(SUMIFS(CONFIG_PALETES!$D:$D,CONFIG_PALETES!$A:$A,"GERAL",CONFIG_PALETES!$B:$B,$C154&amp;" ml")&gt;0,SUMIFS(CONFIG_PALETES!$D:$D,CONFIG_PALETES!$A:$A,"GERAL",CONFIG_PALETES!$B:$B,$C154&amp;" ml"),12)))</f>
        <v/>
      </c>
    </row>
    <row r="155" spans="1:15" ht="21" customHeight="1" x14ac:dyDescent="0.3">
      <c r="A155" s="120"/>
      <c r="B155" s="109"/>
      <c r="C155" s="108"/>
      <c r="D155" s="104"/>
      <c r="E155" s="107" t="s">
        <v>184</v>
      </c>
      <c r="F155" s="871" t="str">
        <f>IF($B155="","",IF(SUMIFS(CONFIG_PALETES!$C:$C,CONFIG_PALETES!$A:$A,TRIM($B155),CONFIG_PALETES!$B:$B,$C155&amp;" ml")&gt;0,SUMIFS(CONFIG_PALETES!$C:$C,CONFIG_PALETES!$A:$A,TRIM($B155),CONFIG_PALETES!$B:$B,$C155&amp;" ml"),IF(SUMIFS(CONFIG_PALETES!$C:$C,CONFIG_PALETES!$A:$A,"GERAL",CONFIG_PALETES!$B:$B,$C155&amp;" ml")&gt;0,SUMIFS(CONFIG_PALETES!$C:$C,CONFIG_PALETES!$A:$A,"GERAL",CONFIG_PALETES!$B:$B,$C155&amp;" ml"),"")))</f>
        <v/>
      </c>
      <c r="G155" s="106" t="str">
        <f t="shared" si="3"/>
        <v/>
      </c>
      <c r="H155" s="105"/>
      <c r="I155" s="104" t="str">
        <f>IF(H155="","",H155*IF(SUMIFS(CONFIG_PALETES!$D:$D,CONFIG_PALETES!$A:$A,IF(ISNUMBER(SEARCH("ESPUMA",$B155)),"ESPUMA",IF(OR(ISNUMBER(SEARCH("OLEO DE COCO",$B155)),ISNUMBER(SEARCH("ÓLEO DE COCO",$B155)),ISNUMBER(SEARCH("COPRA",$B155))),"ÓLEO DE COCO",IF(ISNUMBER(SEARCH("CORANTE",$B155)),"CORANTE",TRIM($B155)))),CONFIG_PALETES!$B:$B,$C155&amp;" ml")&gt;0,SUMIFS(CONFIG_PALETES!$D:$D,CONFIG_PALETES!$A:$A,IF(ISNUMBER(SEARCH("ESPUMA",$B155)),"ESPUMA",IF(OR(ISNUMBER(SEARCH("OLEO DE COCO",$B155)),ISNUMBER(SEARCH("ÓLEO DE COCO",$B155)),ISNUMBER(SEARCH("COPRA",$B155))),"ÓLEO DE COCO",IF(ISNUMBER(SEARCH("CORANTE",$B155)),"CORANTE",TRIM($B155)))),CONFIG_PALETES!$B:$B,$C155&amp;" ml"),IF(SUMIFS(CONFIG_PALETES!$D:$D,CONFIG_PALETES!$A:$A,"GERAL",CONFIG_PALETES!$B:$B,$C155&amp;" ml")&gt;0,SUMIFS(CONFIG_PALETES!$D:$D,CONFIG_PALETES!$A:$A,"GERAL",CONFIG_PALETES!$B:$B,$C155&amp;" ml"),12)))</f>
        <v/>
      </c>
    </row>
    <row r="156" spans="1:15" ht="21" customHeight="1" x14ac:dyDescent="0.3">
      <c r="A156" s="824"/>
      <c r="B156" s="818"/>
      <c r="C156" s="819"/>
      <c r="D156" s="820"/>
      <c r="E156" s="821" t="s">
        <v>184</v>
      </c>
      <c r="F156" s="872"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822" t="str">
        <f t="shared" si="3"/>
        <v/>
      </c>
      <c r="H156" s="823"/>
      <c r="I156" s="820"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15" customHeight="1" x14ac:dyDescent="0.3">
      <c r="A157" s="899"/>
      <c r="B157" s="846" t="s">
        <v>186</v>
      </c>
      <c r="C157" s="847"/>
      <c r="D157" s="848">
        <f>SUM(D150:D156)</f>
        <v>953</v>
      </c>
      <c r="E157" s="849"/>
      <c r="F157" s="856" t="s">
        <v>1400</v>
      </c>
      <c r="G157" s="850">
        <f>SUM(G150:G156)</f>
        <v>9</v>
      </c>
      <c r="H157" s="848">
        <f>SUM(H150:H156)</f>
        <v>889</v>
      </c>
      <c r="I157" s="848">
        <f>SUM(I150:I156)</f>
        <v>8370</v>
      </c>
      <c r="J157" s="63">
        <f>D157</f>
        <v>953</v>
      </c>
      <c r="K157" s="93">
        <f>G157</f>
        <v>9</v>
      </c>
      <c r="L157" s="63">
        <f>H157</f>
        <v>889</v>
      </c>
      <c r="M157" s="63">
        <f>I157</f>
        <v>8370</v>
      </c>
      <c r="N157" s="587" cm="1">
        <f t="array" ref="N157">IF(H157=0,"",SUMPRODUCT(IFERROR(INT(H151:H156/F151:F156),0)))</f>
        <v>7</v>
      </c>
      <c r="O157" s="770">
        <f>IF(N157="","",MAX(0,G157-N157))</f>
        <v>2</v>
      </c>
    </row>
    <row r="158" spans="1:15" ht="6" customHeight="1" x14ac:dyDescent="0.3">
      <c r="C158" s="65"/>
    </row>
    <row r="159" spans="1:15" ht="15" customHeight="1" x14ac:dyDescent="0.3">
      <c r="A159" s="75">
        <v>46136</v>
      </c>
      <c r="B159" s="113" t="s">
        <v>49</v>
      </c>
      <c r="C159" s="112" t="s">
        <v>176</v>
      </c>
      <c r="D159" s="111" t="s">
        <v>177</v>
      </c>
      <c r="E159" s="111" t="s">
        <v>178</v>
      </c>
      <c r="F159" s="860" t="s">
        <v>179</v>
      </c>
      <c r="G159" s="111" t="s">
        <v>180</v>
      </c>
      <c r="H159" s="121" t="s">
        <v>181</v>
      </c>
      <c r="I159" s="121" t="s">
        <v>182</v>
      </c>
    </row>
    <row r="160" spans="1:15" ht="21" customHeight="1" x14ac:dyDescent="0.3">
      <c r="A160" s="120"/>
      <c r="B160" s="109" t="s">
        <v>498</v>
      </c>
      <c r="C160" s="108">
        <v>600</v>
      </c>
      <c r="D160" s="104">
        <v>64</v>
      </c>
      <c r="E160" s="107" t="s">
        <v>184</v>
      </c>
      <c r="F160" s="871">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95</v>
      </c>
      <c r="G160" s="106">
        <f>IFERROR(ROUNDUP(D160/F160,0),"")</f>
        <v>1</v>
      </c>
      <c r="H160" s="105">
        <v>64</v>
      </c>
      <c r="I160" s="104">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768</v>
      </c>
    </row>
    <row r="161" spans="1:15" ht="21" customHeight="1" x14ac:dyDescent="0.3">
      <c r="A161" s="120"/>
      <c r="B161" s="109" t="s">
        <v>288</v>
      </c>
      <c r="C161" s="108">
        <v>100</v>
      </c>
      <c r="D161" s="104">
        <v>1920</v>
      </c>
      <c r="E161" s="107" t="s">
        <v>184</v>
      </c>
      <c r="F161" s="871">
        <f>IF($B161="","",IF(SUMIFS(CONFIG_PALETES!$C:$C,CONFIG_PALETES!$A:$A,TRIM($B161),CONFIG_PALETES!$B:$B,$C161&amp;" ml")&gt;0,SUMIFS(CONFIG_PALETES!$C:$C,CONFIG_PALETES!$A:$A,TRIM($B161),CONFIG_PALETES!$B:$B,$C161&amp;" ml"),IF(SUMIFS(CONFIG_PALETES!$C:$C,CONFIG_PALETES!$A:$A,"GERAL",CONFIG_PALETES!$B:$B,$C161&amp;" ml")&gt;0,SUMIFS(CONFIG_PALETES!$C:$C,CONFIG_PALETES!$A:$A,"GERAL",CONFIG_PALETES!$B:$B,$C161&amp;" ml"),"")))</f>
        <v>240</v>
      </c>
      <c r="G161" s="106">
        <f>IFERROR(ROUNDUP(D161/F161,0),"")</f>
        <v>8</v>
      </c>
      <c r="H161" s="105">
        <v>783</v>
      </c>
      <c r="I161" s="104">
        <f>IF(H161="","",H161*IF(SUMIFS(CONFIG_PALETES!$D:$D,CONFIG_PALETES!$A:$A,IF(ISNUMBER(SEARCH("ESPUMA",$B161)),"ESPUMA",IF(OR(ISNUMBER(SEARCH("OLEO DE COCO",$B161)),ISNUMBER(SEARCH("ÓLEO DE COCO",$B161)),ISNUMBER(SEARCH("COPRA",$B161))),"ÓLEO DE COCO",IF(ISNUMBER(SEARCH("CORANTE",$B161)),"CORANTE",TRIM($B161)))),CONFIG_PALETES!$B:$B,$C161&amp;" ml")&gt;0,SUMIFS(CONFIG_PALETES!$D:$D,CONFIG_PALETES!$A:$A,IF(ISNUMBER(SEARCH("ESPUMA",$B161)),"ESPUMA",IF(OR(ISNUMBER(SEARCH("OLEO DE COCO",$B161)),ISNUMBER(SEARCH("ÓLEO DE COCO",$B161)),ISNUMBER(SEARCH("COPRA",$B161))),"ÓLEO DE COCO",IF(ISNUMBER(SEARCH("CORANTE",$B161)),"CORANTE",TRIM($B161)))),CONFIG_PALETES!$B:$B,$C161&amp;" ml"),IF(SUMIFS(CONFIG_PALETES!$D:$D,CONFIG_PALETES!$A:$A,"GERAL",CONFIG_PALETES!$B:$B,$C161&amp;" ml")&gt;0,SUMIFS(CONFIG_PALETES!$D:$D,CONFIG_PALETES!$A:$A,"GERAL",CONFIG_PALETES!$B:$B,$C161&amp;" ml"),12)))</f>
        <v>9396</v>
      </c>
    </row>
    <row r="162" spans="1:15" ht="21" customHeight="1" x14ac:dyDescent="0.3">
      <c r="A162" s="120"/>
      <c r="B162" s="109"/>
      <c r="C162" s="108"/>
      <c r="D162" s="104"/>
      <c r="E162" s="107" t="s">
        <v>184</v>
      </c>
      <c r="F162" s="871" t="str">
        <f>IF($B162="","",IF(SUMIFS(CONFIG_PALETES!$C:$C,CONFIG_PALETES!$A:$A,TRIM($B162),CONFIG_PALETES!$B:$B,$C162&amp;" ml")&gt;0,SUMIFS(CONFIG_PALETES!$C:$C,CONFIG_PALETES!$A:$A,TRIM($B162),CONFIG_PALETES!$B:$B,$C162&amp;" ml"),IF(SUMIFS(CONFIG_PALETES!$C:$C,CONFIG_PALETES!$A:$A,"GERAL",CONFIG_PALETES!$B:$B,$C162&amp;" ml")&gt;0,SUMIFS(CONFIG_PALETES!$C:$C,CONFIG_PALETES!$A:$A,"GERAL",CONFIG_PALETES!$B:$B,$C162&amp;" ml"),"")))</f>
        <v/>
      </c>
      <c r="G162" s="106" t="str">
        <f>IFERROR(ROUNDUP(D162/F162,0),"")</f>
        <v/>
      </c>
      <c r="H162" s="105"/>
      <c r="I162" s="104" t="str">
        <f>IF(H162="","",H162*IF(SUMIFS(CONFIG_PALETES!$D:$D,CONFIG_PALETES!$A:$A,IF(ISNUMBER(SEARCH("ESPUMA",$B162)),"ESPUMA",IF(OR(ISNUMBER(SEARCH("OLEO DE COCO",$B162)),ISNUMBER(SEARCH("ÓLEO DE COCO",$B162)),ISNUMBER(SEARCH("COPRA",$B162))),"ÓLEO DE COCO",IF(ISNUMBER(SEARCH("CORANTE",$B162)),"CORANTE",TRIM($B162)))),CONFIG_PALETES!$B:$B,$C162&amp;" ml")&gt;0,SUMIFS(CONFIG_PALETES!$D:$D,CONFIG_PALETES!$A:$A,IF(ISNUMBER(SEARCH("ESPUMA",$B162)),"ESPUMA",IF(OR(ISNUMBER(SEARCH("OLEO DE COCO",$B162)),ISNUMBER(SEARCH("ÓLEO DE COCO",$B162)),ISNUMBER(SEARCH("COPRA",$B162))),"ÓLEO DE COCO",IF(ISNUMBER(SEARCH("CORANTE",$B162)),"CORANTE",TRIM($B162)))),CONFIG_PALETES!$B:$B,$C162&amp;" ml"),IF(SUMIFS(CONFIG_PALETES!$D:$D,CONFIG_PALETES!$A:$A,"GERAL",CONFIG_PALETES!$B:$B,$C162&amp;" ml")&gt;0,SUMIFS(CONFIG_PALETES!$D:$D,CONFIG_PALETES!$A:$A,"GERAL",CONFIG_PALETES!$B:$B,$C162&amp;" ml"),12)))</f>
        <v/>
      </c>
    </row>
    <row r="163" spans="1:15" ht="21" customHeight="1" x14ac:dyDescent="0.3">
      <c r="A163" s="120"/>
      <c r="B163" s="109"/>
      <c r="C163" s="108"/>
      <c r="D163" s="104"/>
      <c r="E163" s="107" t="s">
        <v>184</v>
      </c>
      <c r="F163" s="871" t="str">
        <f>IF($B163="","",IF(SUMIFS(CONFIG_PALETES!$C:$C,CONFIG_PALETES!$A:$A,TRIM($B163),CONFIG_PALETES!$B:$B,$C163&amp;" ml")&gt;0,SUMIFS(CONFIG_PALETES!$C:$C,CONFIG_PALETES!$A:$A,TRIM($B163),CONFIG_PALETES!$B:$B,$C163&amp;" ml"),IF(SUMIFS(CONFIG_PALETES!$C:$C,CONFIG_PALETES!$A:$A,"GERAL",CONFIG_PALETES!$B:$B,$C163&amp;" ml")&gt;0,SUMIFS(CONFIG_PALETES!$C:$C,CONFIG_PALETES!$A:$A,"GERAL",CONFIG_PALETES!$B:$B,$C163&amp;" ml"),"")))</f>
        <v/>
      </c>
      <c r="G163" s="106" t="str">
        <f>IFERROR(ROUNDUP(D163/F163,0),"")</f>
        <v/>
      </c>
      <c r="H163" s="105"/>
      <c r="I163" s="104" t="str">
        <f>IF(H163="","",H163*IF(SUMIFS(CONFIG_PALETES!$D:$D,CONFIG_PALETES!$A:$A,IF(ISNUMBER(SEARCH("ESPUMA",$B163)),"ESPUMA",IF(OR(ISNUMBER(SEARCH("OLEO DE COCO",$B163)),ISNUMBER(SEARCH("ÓLEO DE COCO",$B163)),ISNUMBER(SEARCH("COPRA",$B163))),"ÓLEO DE COCO",IF(ISNUMBER(SEARCH("CORANTE",$B163)),"CORANTE",TRIM($B163)))),CONFIG_PALETES!$B:$B,$C163&amp;" ml")&gt;0,SUMIFS(CONFIG_PALETES!$D:$D,CONFIG_PALETES!$A:$A,IF(ISNUMBER(SEARCH("ESPUMA",$B163)),"ESPUMA",IF(OR(ISNUMBER(SEARCH("OLEO DE COCO",$B163)),ISNUMBER(SEARCH("ÓLEO DE COCO",$B163)),ISNUMBER(SEARCH("COPRA",$B163))),"ÓLEO DE COCO",IF(ISNUMBER(SEARCH("CORANTE",$B163)),"CORANTE",TRIM($B163)))),CONFIG_PALETES!$B:$B,$C163&amp;" ml"),IF(SUMIFS(CONFIG_PALETES!$D:$D,CONFIG_PALETES!$A:$A,"GERAL",CONFIG_PALETES!$B:$B,$C163&amp;" ml")&gt;0,SUMIFS(CONFIG_PALETES!$D:$D,CONFIG_PALETES!$A:$A,"GERAL",CONFIG_PALETES!$B:$B,$C163&amp;" ml"),12)))</f>
        <v/>
      </c>
    </row>
    <row r="164" spans="1:15" ht="21" customHeight="1" x14ac:dyDescent="0.3">
      <c r="A164" s="824"/>
      <c r="B164" s="818"/>
      <c r="C164" s="819"/>
      <c r="D164" s="820"/>
      <c r="E164" s="821" t="s">
        <v>184</v>
      </c>
      <c r="F164" s="872"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822" t="str">
        <f>IFERROR(ROUNDUP(D164/F164,0),"")</f>
        <v/>
      </c>
      <c r="H164" s="823"/>
      <c r="I164" s="820"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row>
    <row r="165" spans="1:15" ht="15" customHeight="1" x14ac:dyDescent="0.3">
      <c r="A165" s="899"/>
      <c r="B165" s="846" t="s">
        <v>186</v>
      </c>
      <c r="C165" s="847"/>
      <c r="D165" s="848">
        <f>SUM(D158:D164)</f>
        <v>1984</v>
      </c>
      <c r="E165" s="849"/>
      <c r="F165" s="856" t="s">
        <v>1400</v>
      </c>
      <c r="G165" s="850">
        <f>SUM(G158:G164)</f>
        <v>9</v>
      </c>
      <c r="H165" s="848">
        <f>SUM(H158:H164)</f>
        <v>847</v>
      </c>
      <c r="I165" s="848">
        <f>SUM(I158:I164)</f>
        <v>10164</v>
      </c>
      <c r="J165" s="63">
        <f>D165</f>
        <v>1984</v>
      </c>
      <c r="K165" s="93">
        <f>G165</f>
        <v>9</v>
      </c>
      <c r="L165" s="63">
        <f>H165</f>
        <v>847</v>
      </c>
      <c r="M165" s="63">
        <f>I165</f>
        <v>10164</v>
      </c>
      <c r="N165" s="587" cm="1">
        <f t="array" ref="N165">IF(H165=0,"",SUMPRODUCT(IFERROR(INT(H160:H164/F160:F164),0)))</f>
        <v>3</v>
      </c>
      <c r="O165" s="770">
        <f>IF(N165="","",MAX(0,G165-N165))</f>
        <v>6</v>
      </c>
    </row>
    <row r="166" spans="1:15" ht="6" customHeight="1" x14ac:dyDescent="0.3">
      <c r="C166" s="65"/>
    </row>
    <row r="167" spans="1:15" ht="15" customHeight="1" x14ac:dyDescent="0.3">
      <c r="A167" s="75">
        <v>46137</v>
      </c>
      <c r="B167" s="113" t="s">
        <v>49</v>
      </c>
      <c r="C167" s="112" t="s">
        <v>176</v>
      </c>
      <c r="D167" s="111" t="s">
        <v>177</v>
      </c>
      <c r="E167" s="111" t="s">
        <v>178</v>
      </c>
      <c r="F167" s="860" t="s">
        <v>179</v>
      </c>
      <c r="G167" s="111" t="s">
        <v>180</v>
      </c>
      <c r="H167" s="121" t="s">
        <v>181</v>
      </c>
      <c r="I167" s="121" t="s">
        <v>182</v>
      </c>
    </row>
    <row r="168" spans="1:15" ht="21" customHeight="1" x14ac:dyDescent="0.3">
      <c r="A168" s="120"/>
      <c r="B168" s="109" t="s">
        <v>288</v>
      </c>
      <c r="C168" s="108">
        <v>100</v>
      </c>
      <c r="D168" s="104">
        <f>D161-H161</f>
        <v>1137</v>
      </c>
      <c r="E168" s="107" t="s">
        <v>184</v>
      </c>
      <c r="F168" s="871">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240</v>
      </c>
      <c r="G168" s="106">
        <f>IFERROR(ROUNDUP(D168/F168,0),"")</f>
        <v>5</v>
      </c>
      <c r="H168" s="105">
        <v>1141</v>
      </c>
      <c r="I168" s="104">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13692</v>
      </c>
    </row>
    <row r="169" spans="1:15" ht="21" customHeight="1" x14ac:dyDescent="0.3">
      <c r="A169" s="120"/>
      <c r="B169" s="109"/>
      <c r="C169" s="108"/>
      <c r="D169" s="104"/>
      <c r="E169" s="107" t="s">
        <v>184</v>
      </c>
      <c r="F169" s="871"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106" t="str">
        <f>IFERROR(ROUNDUP(D169/F169,0),"")</f>
        <v/>
      </c>
      <c r="H169" s="105"/>
      <c r="I169" s="104"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row>
    <row r="170" spans="1:15" ht="21" customHeight="1" x14ac:dyDescent="0.3">
      <c r="A170" s="120"/>
      <c r="B170" s="109"/>
      <c r="C170" s="108"/>
      <c r="D170" s="104"/>
      <c r="E170" s="107" t="s">
        <v>184</v>
      </c>
      <c r="F170" s="871" t="str">
        <f>IF($B170="","",IF(SUMIFS(CONFIG_PALETES!$C:$C,CONFIG_PALETES!$A:$A,TRIM($B170),CONFIG_PALETES!$B:$B,$C170&amp;" ml")&gt;0,SUMIFS(CONFIG_PALETES!$C:$C,CONFIG_PALETES!$A:$A,TRIM($B170),CONFIG_PALETES!$B:$B,$C170&amp;" ml"),IF(SUMIFS(CONFIG_PALETES!$C:$C,CONFIG_PALETES!$A:$A,"GERAL",CONFIG_PALETES!$B:$B,$C170&amp;" ml")&gt;0,SUMIFS(CONFIG_PALETES!$C:$C,CONFIG_PALETES!$A:$A,"GERAL",CONFIG_PALETES!$B:$B,$C170&amp;" ml"),"")))</f>
        <v/>
      </c>
      <c r="G170" s="106" t="str">
        <f>IFERROR(ROUNDUP(D170/F170,0),"")</f>
        <v/>
      </c>
      <c r="H170" s="105"/>
      <c r="I170" s="104" t="str">
        <f>IF(H170="","",H170*IF(SUMIFS(CONFIG_PALETES!$D:$D,CONFIG_PALETES!$A:$A,IF(ISNUMBER(SEARCH("ESPUMA",$B170)),"ESPUMA",IF(OR(ISNUMBER(SEARCH("OLEO DE COCO",$B170)),ISNUMBER(SEARCH("ÓLEO DE COCO",$B170)),ISNUMBER(SEARCH("COPRA",$B170))),"ÓLEO DE COCO",IF(ISNUMBER(SEARCH("CORANTE",$B170)),"CORANTE",TRIM($B170)))),CONFIG_PALETES!$B:$B,$C170&amp;" ml")&gt;0,SUMIFS(CONFIG_PALETES!$D:$D,CONFIG_PALETES!$A:$A,IF(ISNUMBER(SEARCH("ESPUMA",$B170)),"ESPUMA",IF(OR(ISNUMBER(SEARCH("OLEO DE COCO",$B170)),ISNUMBER(SEARCH("ÓLEO DE COCO",$B170)),ISNUMBER(SEARCH("COPRA",$B170))),"ÓLEO DE COCO",IF(ISNUMBER(SEARCH("CORANTE",$B170)),"CORANTE",TRIM($B170)))),CONFIG_PALETES!$B:$B,$C170&amp;" ml"),IF(SUMIFS(CONFIG_PALETES!$D:$D,CONFIG_PALETES!$A:$A,"GERAL",CONFIG_PALETES!$B:$B,$C170&amp;" ml")&gt;0,SUMIFS(CONFIG_PALETES!$D:$D,CONFIG_PALETES!$A:$A,"GERAL",CONFIG_PALETES!$B:$B,$C170&amp;" ml"),12)))</f>
        <v/>
      </c>
    </row>
    <row r="171" spans="1:15" ht="21" customHeight="1" x14ac:dyDescent="0.3">
      <c r="A171" s="120"/>
      <c r="B171" s="109"/>
      <c r="C171" s="108"/>
      <c r="D171" s="104"/>
      <c r="E171" s="107" t="s">
        <v>184</v>
      </c>
      <c r="F171" s="871" t="str">
        <f>IF($B171="","",IF(SUMIFS(CONFIG_PALETES!$C:$C,CONFIG_PALETES!$A:$A,TRIM($B171),CONFIG_PALETES!$B:$B,$C171&amp;" ml")&gt;0,SUMIFS(CONFIG_PALETES!$C:$C,CONFIG_PALETES!$A:$A,TRIM($B171),CONFIG_PALETES!$B:$B,$C171&amp;" ml"),IF(SUMIFS(CONFIG_PALETES!$C:$C,CONFIG_PALETES!$A:$A,"GERAL",CONFIG_PALETES!$B:$B,$C171&amp;" ml")&gt;0,SUMIFS(CONFIG_PALETES!$C:$C,CONFIG_PALETES!$A:$A,"GERAL",CONFIG_PALETES!$B:$B,$C171&amp;" ml"),"")))</f>
        <v/>
      </c>
      <c r="G171" s="106" t="str">
        <f>IFERROR(ROUNDUP(D171/F171,0),"")</f>
        <v/>
      </c>
      <c r="H171" s="105"/>
      <c r="I171" s="104" t="str">
        <f>IF(H171="","",H171*IF(SUMIFS(CONFIG_PALETES!$D:$D,CONFIG_PALETES!$A:$A,IF(ISNUMBER(SEARCH("ESPUMA",$B171)),"ESPUMA",IF(OR(ISNUMBER(SEARCH("OLEO DE COCO",$B171)),ISNUMBER(SEARCH("ÓLEO DE COCO",$B171)),ISNUMBER(SEARCH("COPRA",$B171))),"ÓLEO DE COCO",IF(ISNUMBER(SEARCH("CORANTE",$B171)),"CORANTE",TRIM($B171)))),CONFIG_PALETES!$B:$B,$C171&amp;" ml")&gt;0,SUMIFS(CONFIG_PALETES!$D:$D,CONFIG_PALETES!$A:$A,IF(ISNUMBER(SEARCH("ESPUMA",$B171)),"ESPUMA",IF(OR(ISNUMBER(SEARCH("OLEO DE COCO",$B171)),ISNUMBER(SEARCH("ÓLEO DE COCO",$B171)),ISNUMBER(SEARCH("COPRA",$B171))),"ÓLEO DE COCO",IF(ISNUMBER(SEARCH("CORANTE",$B171)),"CORANTE",TRIM($B171)))),CONFIG_PALETES!$B:$B,$C171&amp;" ml"),IF(SUMIFS(CONFIG_PALETES!$D:$D,CONFIG_PALETES!$A:$A,"GERAL",CONFIG_PALETES!$B:$B,$C171&amp;" ml")&gt;0,SUMIFS(CONFIG_PALETES!$D:$D,CONFIG_PALETES!$A:$A,"GERAL",CONFIG_PALETES!$B:$B,$C171&amp;" ml"),12)))</f>
        <v/>
      </c>
    </row>
    <row r="172" spans="1:15" ht="21" customHeight="1" x14ac:dyDescent="0.3">
      <c r="A172" s="824"/>
      <c r="B172" s="818"/>
      <c r="C172" s="819"/>
      <c r="D172" s="820"/>
      <c r="E172" s="821" t="s">
        <v>184</v>
      </c>
      <c r="F172" s="872"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822" t="str">
        <f>IFERROR(ROUNDUP(D172/F172,0),"")</f>
        <v/>
      </c>
      <c r="H172" s="823"/>
      <c r="I172" s="820"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15" customHeight="1" x14ac:dyDescent="0.3">
      <c r="A173" s="899"/>
      <c r="B173" s="846" t="s">
        <v>186</v>
      </c>
      <c r="C173" s="847"/>
      <c r="D173" s="848">
        <f>SUM(D166:D172)</f>
        <v>1137</v>
      </c>
      <c r="E173" s="849"/>
      <c r="F173" s="856" t="s">
        <v>1400</v>
      </c>
      <c r="G173" s="850">
        <f>SUM(G166:G172)</f>
        <v>5</v>
      </c>
      <c r="H173" s="848">
        <f>SUM(H166:H172)</f>
        <v>1141</v>
      </c>
      <c r="I173" s="848">
        <f>SUM(I166:I172)</f>
        <v>13692</v>
      </c>
      <c r="J173" s="63">
        <f>D173</f>
        <v>1137</v>
      </c>
      <c r="K173" s="93">
        <f>G173</f>
        <v>5</v>
      </c>
      <c r="L173" s="63">
        <f>H173</f>
        <v>1141</v>
      </c>
      <c r="M173" s="63">
        <f>I173</f>
        <v>13692</v>
      </c>
      <c r="N173" s="587" cm="1">
        <f t="array" ref="N173">IF(H173=0,"",SUMPRODUCT(IFERROR(INT(H168:H172/F168:F172),0)))</f>
        <v>4</v>
      </c>
      <c r="O173" s="770">
        <f>IF(N173="","",MAX(0,G173-N173))</f>
        <v>1</v>
      </c>
    </row>
    <row r="174" spans="1:15" ht="6" customHeight="1" x14ac:dyDescent="0.3">
      <c r="C174" s="65"/>
    </row>
    <row r="175" spans="1:15" ht="15" customHeight="1" x14ac:dyDescent="0.3">
      <c r="A175" s="75">
        <v>46139</v>
      </c>
      <c r="B175" s="113" t="s">
        <v>49</v>
      </c>
      <c r="C175" s="112" t="s">
        <v>176</v>
      </c>
      <c r="D175" s="111" t="s">
        <v>177</v>
      </c>
      <c r="E175" s="111" t="s">
        <v>178</v>
      </c>
      <c r="F175" s="860" t="s">
        <v>179</v>
      </c>
      <c r="G175" s="111" t="s">
        <v>180</v>
      </c>
      <c r="H175" s="121" t="s">
        <v>181</v>
      </c>
      <c r="I175" s="121" t="s">
        <v>182</v>
      </c>
    </row>
    <row r="176" spans="1:15" ht="21" customHeight="1" x14ac:dyDescent="0.3">
      <c r="A176" s="120"/>
      <c r="B176" s="109" t="s">
        <v>287</v>
      </c>
      <c r="C176" s="108">
        <v>180</v>
      </c>
      <c r="D176" s="104">
        <v>1670</v>
      </c>
      <c r="E176" s="107" t="s">
        <v>184</v>
      </c>
      <c r="F176" s="871">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240</v>
      </c>
      <c r="G176" s="106">
        <f>IFERROR(ROUNDUP(D176/F176,0),"")</f>
        <v>7</v>
      </c>
      <c r="H176" s="105">
        <v>1683</v>
      </c>
      <c r="I176" s="104">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20196</v>
      </c>
    </row>
    <row r="177" spans="1:15" ht="21" customHeight="1" x14ac:dyDescent="0.3">
      <c r="A177" s="120"/>
      <c r="B177" s="109"/>
      <c r="C177" s="108"/>
      <c r="D177" s="104"/>
      <c r="E177" s="107" t="s">
        <v>184</v>
      </c>
      <c r="F177" s="871" t="str">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
      </c>
      <c r="G177" s="106" t="str">
        <f>IFERROR(ROUNDUP(D177/F177,0),"")</f>
        <v/>
      </c>
      <c r="H177" s="105"/>
      <c r="I177" s="104" t="str">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
      </c>
    </row>
    <row r="178" spans="1:15" ht="21" customHeight="1" x14ac:dyDescent="0.3">
      <c r="A178" s="120"/>
      <c r="B178" s="109"/>
      <c r="C178" s="108"/>
      <c r="D178" s="104"/>
      <c r="E178" s="107" t="s">
        <v>184</v>
      </c>
      <c r="F178" s="871"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106" t="str">
        <f>IFERROR(ROUNDUP(D178/F178,0),"")</f>
        <v/>
      </c>
      <c r="H178" s="105"/>
      <c r="I178" s="104"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row>
    <row r="179" spans="1:15" ht="21" customHeight="1" x14ac:dyDescent="0.3">
      <c r="A179" s="120"/>
      <c r="B179" s="109"/>
      <c r="C179" s="108"/>
      <c r="D179" s="104"/>
      <c r="E179" s="107" t="s">
        <v>184</v>
      </c>
      <c r="F179" s="871" t="str">
        <f>IF($B179="","",IF(SUMIFS(CONFIG_PALETES!$C:$C,CONFIG_PALETES!$A:$A,TRIM($B179),CONFIG_PALETES!$B:$B,$C179&amp;" ml")&gt;0,SUMIFS(CONFIG_PALETES!$C:$C,CONFIG_PALETES!$A:$A,TRIM($B179),CONFIG_PALETES!$B:$B,$C179&amp;" ml"),IF(SUMIFS(CONFIG_PALETES!$C:$C,CONFIG_PALETES!$A:$A,"GERAL",CONFIG_PALETES!$B:$B,$C179&amp;" ml")&gt;0,SUMIFS(CONFIG_PALETES!$C:$C,CONFIG_PALETES!$A:$A,"GERAL",CONFIG_PALETES!$B:$B,$C179&amp;" ml"),"")))</f>
        <v/>
      </c>
      <c r="G179" s="106" t="str">
        <f>IFERROR(ROUNDUP(D179/F179,0),"")</f>
        <v/>
      </c>
      <c r="H179" s="105"/>
      <c r="I179" s="104" t="str">
        <f>IF(H179="","",H179*IF(SUMIFS(CONFIG_PALETES!$D:$D,CONFIG_PALETES!$A:$A,IF(ISNUMBER(SEARCH("ESPUMA",$B179)),"ESPUMA",IF(OR(ISNUMBER(SEARCH("OLEO DE COCO",$B179)),ISNUMBER(SEARCH("ÓLEO DE COCO",$B179)),ISNUMBER(SEARCH("COPRA",$B179))),"ÓLEO DE COCO",IF(ISNUMBER(SEARCH("CORANTE",$B179)),"CORANTE",TRIM($B179)))),CONFIG_PALETES!$B:$B,$C179&amp;" ml")&gt;0,SUMIFS(CONFIG_PALETES!$D:$D,CONFIG_PALETES!$A:$A,IF(ISNUMBER(SEARCH("ESPUMA",$B179)),"ESPUMA",IF(OR(ISNUMBER(SEARCH("OLEO DE COCO",$B179)),ISNUMBER(SEARCH("ÓLEO DE COCO",$B179)),ISNUMBER(SEARCH("COPRA",$B179))),"ÓLEO DE COCO",IF(ISNUMBER(SEARCH("CORANTE",$B179)),"CORANTE",TRIM($B179)))),CONFIG_PALETES!$B:$B,$C179&amp;" ml"),IF(SUMIFS(CONFIG_PALETES!$D:$D,CONFIG_PALETES!$A:$A,"GERAL",CONFIG_PALETES!$B:$B,$C179&amp;" ml")&gt;0,SUMIFS(CONFIG_PALETES!$D:$D,CONFIG_PALETES!$A:$A,"GERAL",CONFIG_PALETES!$B:$B,$C179&amp;" ml"),12)))</f>
        <v/>
      </c>
    </row>
    <row r="180" spans="1:15" ht="21" customHeight="1" x14ac:dyDescent="0.3">
      <c r="A180" s="824"/>
      <c r="B180" s="818"/>
      <c r="C180" s="819"/>
      <c r="D180" s="820"/>
      <c r="E180" s="821" t="s">
        <v>184</v>
      </c>
      <c r="F180" s="872"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822" t="str">
        <f>IFERROR(ROUNDUP(D180/F180,0),"")</f>
        <v/>
      </c>
      <c r="H180" s="823"/>
      <c r="I180" s="820"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row>
    <row r="181" spans="1:15" ht="15" customHeight="1" x14ac:dyDescent="0.3">
      <c r="A181" s="899"/>
      <c r="B181" s="846" t="s">
        <v>186</v>
      </c>
      <c r="C181" s="847"/>
      <c r="D181" s="848">
        <f>SUM(D174:D180)</f>
        <v>1670</v>
      </c>
      <c r="E181" s="849"/>
      <c r="F181" s="856" t="s">
        <v>1400</v>
      </c>
      <c r="G181" s="850">
        <f>SUM(G174:G180)</f>
        <v>7</v>
      </c>
      <c r="H181" s="848">
        <f>SUM(H174:H180)</f>
        <v>1683</v>
      </c>
      <c r="I181" s="848">
        <f>SUM(I174:I180)</f>
        <v>20196</v>
      </c>
      <c r="J181" s="63">
        <f>D181</f>
        <v>1670</v>
      </c>
      <c r="K181" s="93">
        <f>G181</f>
        <v>7</v>
      </c>
      <c r="L181" s="63">
        <f>H181</f>
        <v>1683</v>
      </c>
      <c r="M181" s="63">
        <f>I181</f>
        <v>20196</v>
      </c>
      <c r="N181" s="587" cm="1">
        <f t="array" ref="N181">IF(H181=0,"",SUMPRODUCT(IFERROR(INT(H176:H180/F176:F180),0)))</f>
        <v>7</v>
      </c>
      <c r="O181" s="770">
        <f>IF(N181="","",MAX(0,G181-N181))</f>
        <v>0</v>
      </c>
    </row>
    <row r="182" spans="1:15" ht="6" customHeight="1" x14ac:dyDescent="0.3">
      <c r="C182" s="65"/>
    </row>
    <row r="183" spans="1:15" ht="15" customHeight="1" x14ac:dyDescent="0.3">
      <c r="A183" s="75">
        <v>46140</v>
      </c>
      <c r="B183" s="113" t="s">
        <v>49</v>
      </c>
      <c r="C183" s="112" t="s">
        <v>176</v>
      </c>
      <c r="D183" s="111" t="s">
        <v>177</v>
      </c>
      <c r="E183" s="111" t="s">
        <v>178</v>
      </c>
      <c r="F183" s="860" t="s">
        <v>179</v>
      </c>
      <c r="G183" s="111" t="s">
        <v>180</v>
      </c>
      <c r="H183" s="121" t="s">
        <v>181</v>
      </c>
      <c r="I183" s="121" t="s">
        <v>182</v>
      </c>
    </row>
    <row r="184" spans="1:15" ht="21" customHeight="1" x14ac:dyDescent="0.3">
      <c r="A184" s="120"/>
      <c r="B184" s="109"/>
      <c r="C184" s="108"/>
      <c r="D184" s="104"/>
      <c r="E184" s="107"/>
      <c r="F184" s="871"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106" t="str">
        <f>IFERROR(ROUNDUP(D184/F184,0),"")</f>
        <v/>
      </c>
      <c r="H184" s="105"/>
      <c r="I184" s="104"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row>
    <row r="185" spans="1:15" ht="21" customHeight="1" x14ac:dyDescent="0.3">
      <c r="A185" s="120"/>
      <c r="B185" s="109" t="s">
        <v>195</v>
      </c>
      <c r="C185" s="108">
        <v>180</v>
      </c>
      <c r="D185" s="104">
        <v>480</v>
      </c>
      <c r="E185" s="107" t="s">
        <v>184</v>
      </c>
      <c r="F185" s="871">
        <f>IF($B185="","",IF(SUMIFS(CONFIG_PALETES!$C:$C,CONFIG_PALETES!$A:$A,TRIM($B185),CONFIG_PALETES!$B:$B,$C185&amp;" ml")&gt;0,SUMIFS(CONFIG_PALETES!$C:$C,CONFIG_PALETES!$A:$A,TRIM($B185),CONFIG_PALETES!$B:$B,$C185&amp;" ml"),IF(SUMIFS(CONFIG_PALETES!$C:$C,CONFIG_PALETES!$A:$A,"GERAL",CONFIG_PALETES!$B:$B,$C185&amp;" ml")&gt;0,SUMIFS(CONFIG_PALETES!$C:$C,CONFIG_PALETES!$A:$A,"GERAL",CONFIG_PALETES!$B:$B,$C185&amp;" ml"),"")))</f>
        <v>240</v>
      </c>
      <c r="G185" s="106">
        <f>IFERROR(ROUNDUP(D185/F185,0),"")</f>
        <v>2</v>
      </c>
      <c r="H185" s="105">
        <v>481</v>
      </c>
      <c r="I185" s="104">
        <f>IF(H185="","",H185*IF(SUMIFS(CONFIG_PALETES!$D:$D,CONFIG_PALETES!$A:$A,IF(ISNUMBER(SEARCH("ESPUMA",$B185)),"ESPUMA",IF(OR(ISNUMBER(SEARCH("OLEO DE COCO",$B185)),ISNUMBER(SEARCH("ÓLEO DE COCO",$B185)),ISNUMBER(SEARCH("COPRA",$B185))),"ÓLEO DE COCO",IF(ISNUMBER(SEARCH("CORANTE",$B185)),"CORANTE",TRIM($B185)))),CONFIG_PALETES!$B:$B,$C185&amp;" ml")&gt;0,SUMIFS(CONFIG_PALETES!$D:$D,CONFIG_PALETES!$A:$A,IF(ISNUMBER(SEARCH("ESPUMA",$B185)),"ESPUMA",IF(OR(ISNUMBER(SEARCH("OLEO DE COCO",$B185)),ISNUMBER(SEARCH("ÓLEO DE COCO",$B185)),ISNUMBER(SEARCH("COPRA",$B185))),"ÓLEO DE COCO",IF(ISNUMBER(SEARCH("CORANTE",$B185)),"CORANTE",TRIM($B185)))),CONFIG_PALETES!$B:$B,$C185&amp;" ml"),IF(SUMIFS(CONFIG_PALETES!$D:$D,CONFIG_PALETES!$A:$A,"GERAL",CONFIG_PALETES!$B:$B,$C185&amp;" ml")&gt;0,SUMIFS(CONFIG_PALETES!$D:$D,CONFIG_PALETES!$A:$A,"GERAL",CONFIG_PALETES!$B:$B,$C185&amp;" ml"),12)))</f>
        <v>5772</v>
      </c>
    </row>
    <row r="186" spans="1:15" ht="21" customHeight="1" x14ac:dyDescent="0.3">
      <c r="A186" s="120"/>
      <c r="B186" s="109" t="s">
        <v>492</v>
      </c>
      <c r="C186" s="108">
        <v>600</v>
      </c>
      <c r="D186" s="104">
        <v>3990</v>
      </c>
      <c r="E186" s="107" t="s">
        <v>184</v>
      </c>
      <c r="F186" s="871">
        <f>IF($B186="","",IF(SUMIFS(CONFIG_PALETES!$C:$C,CONFIG_PALETES!$A:$A,TRIM($B186),CONFIG_PALETES!$B:$B,$C186&amp;" ml")&gt;0,SUMIFS(CONFIG_PALETES!$C:$C,CONFIG_PALETES!$A:$A,TRIM($B186),CONFIG_PALETES!$B:$B,$C186&amp;" ml"),IF(SUMIFS(CONFIG_PALETES!$C:$C,CONFIG_PALETES!$A:$A,"GERAL",CONFIG_PALETES!$B:$B,$C186&amp;" ml")&gt;0,SUMIFS(CONFIG_PALETES!$C:$C,CONFIG_PALETES!$A:$A,"GERAL",CONFIG_PALETES!$B:$B,$C186&amp;" ml"),"")))</f>
        <v>190</v>
      </c>
      <c r="G186" s="106">
        <f>IFERROR(ROUNDUP(D186/F186,0),"")</f>
        <v>21</v>
      </c>
      <c r="H186" s="105">
        <v>911</v>
      </c>
      <c r="I186" s="104">
        <f>IF(H186="","",H186*IF(SUMIFS(CONFIG_PALETES!$D:$D,CONFIG_PALETES!$A:$A,IF(ISNUMBER(SEARCH("ESPUMA",$B186)),"ESPUMA",IF(OR(ISNUMBER(SEARCH("OLEO DE COCO",$B186)),ISNUMBER(SEARCH("ÓLEO DE COCO",$B186)),ISNUMBER(SEARCH("COPRA",$B186))),"ÓLEO DE COCO",IF(ISNUMBER(SEARCH("CORANTE",$B186)),"CORANTE",TRIM($B186)))),CONFIG_PALETES!$B:$B,$C186&amp;" ml")&gt;0,SUMIFS(CONFIG_PALETES!$D:$D,CONFIG_PALETES!$A:$A,IF(ISNUMBER(SEARCH("ESPUMA",$B186)),"ESPUMA",IF(OR(ISNUMBER(SEARCH("OLEO DE COCO",$B186)),ISNUMBER(SEARCH("ÓLEO DE COCO",$B186)),ISNUMBER(SEARCH("COPRA",$B186))),"ÓLEO DE COCO",IF(ISNUMBER(SEARCH("CORANTE",$B186)),"CORANTE",TRIM($B186)))),CONFIG_PALETES!$B:$B,$C186&amp;" ml"),IF(SUMIFS(CONFIG_PALETES!$D:$D,CONFIG_PALETES!$A:$A,"GERAL",CONFIG_PALETES!$B:$B,$C186&amp;" ml")&gt;0,SUMIFS(CONFIG_PALETES!$D:$D,CONFIG_PALETES!$A:$A,"GERAL",CONFIG_PALETES!$B:$B,$C186&amp;" ml"),12)))</f>
        <v>5466</v>
      </c>
    </row>
    <row r="187" spans="1:15" ht="21" customHeight="1" x14ac:dyDescent="0.3">
      <c r="A187" s="120"/>
      <c r="B187" s="109"/>
      <c r="C187" s="108"/>
      <c r="D187" s="104"/>
      <c r="E187" s="107" t="s">
        <v>184</v>
      </c>
      <c r="F187" s="871" t="str">
        <f>IF($B187="","",IF(SUMIFS(CONFIG_PALETES!$C:$C,CONFIG_PALETES!$A:$A,TRIM($B187),CONFIG_PALETES!$B:$B,$C187&amp;" ml")&gt;0,SUMIFS(CONFIG_PALETES!$C:$C,CONFIG_PALETES!$A:$A,TRIM($B187),CONFIG_PALETES!$B:$B,$C187&amp;" ml"),IF(SUMIFS(CONFIG_PALETES!$C:$C,CONFIG_PALETES!$A:$A,"GERAL",CONFIG_PALETES!$B:$B,$C187&amp;" ml")&gt;0,SUMIFS(CONFIG_PALETES!$C:$C,CONFIG_PALETES!$A:$A,"GERAL",CONFIG_PALETES!$B:$B,$C187&amp;" ml"),"")))</f>
        <v/>
      </c>
      <c r="G187" s="106" t="str">
        <f>IFERROR(ROUNDUP(D187/F187,0),"")</f>
        <v/>
      </c>
      <c r="H187" s="105"/>
      <c r="I187" s="104" t="str">
        <f>IF(H187="","",H187*IF(SUMIFS(CONFIG_PALETES!$D:$D,CONFIG_PALETES!$A:$A,IF(ISNUMBER(SEARCH("ESPUMA",$B187)),"ESPUMA",IF(OR(ISNUMBER(SEARCH("OLEO DE COCO",$B187)),ISNUMBER(SEARCH("ÓLEO DE COCO",$B187)),ISNUMBER(SEARCH("COPRA",$B187))),"ÓLEO DE COCO",IF(ISNUMBER(SEARCH("CORANTE",$B187)),"CORANTE",TRIM($B187)))),CONFIG_PALETES!$B:$B,$C187&amp;" ml")&gt;0,SUMIFS(CONFIG_PALETES!$D:$D,CONFIG_PALETES!$A:$A,IF(ISNUMBER(SEARCH("ESPUMA",$B187)),"ESPUMA",IF(OR(ISNUMBER(SEARCH("OLEO DE COCO",$B187)),ISNUMBER(SEARCH("ÓLEO DE COCO",$B187)),ISNUMBER(SEARCH("COPRA",$B187))),"ÓLEO DE COCO",IF(ISNUMBER(SEARCH("CORANTE",$B187)),"CORANTE",TRIM($B187)))),CONFIG_PALETES!$B:$B,$C187&amp;" ml"),IF(SUMIFS(CONFIG_PALETES!$D:$D,CONFIG_PALETES!$A:$A,"GERAL",CONFIG_PALETES!$B:$B,$C187&amp;" ml")&gt;0,SUMIFS(CONFIG_PALETES!$D:$D,CONFIG_PALETES!$A:$A,"GERAL",CONFIG_PALETES!$B:$B,$C187&amp;" ml"),12)))</f>
        <v/>
      </c>
    </row>
    <row r="188" spans="1:15" ht="21" customHeight="1" x14ac:dyDescent="0.3">
      <c r="A188" s="824"/>
      <c r="B188" s="818"/>
      <c r="C188" s="819"/>
      <c r="D188" s="820"/>
      <c r="E188" s="821" t="s">
        <v>184</v>
      </c>
      <c r="F188" s="872"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822" t="str">
        <f>IFERROR(ROUNDUP(D188/F188,0),"")</f>
        <v/>
      </c>
      <c r="H188" s="823"/>
      <c r="I188" s="820"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15" customHeight="1" x14ac:dyDescent="0.3">
      <c r="A189" s="899"/>
      <c r="B189" s="846" t="s">
        <v>186</v>
      </c>
      <c r="C189" s="847"/>
      <c r="D189" s="848">
        <f>SUM(D182:D188)</f>
        <v>4470</v>
      </c>
      <c r="E189" s="849"/>
      <c r="F189" s="856" t="s">
        <v>1400</v>
      </c>
      <c r="G189" s="850">
        <f>SUM(G182:G188)</f>
        <v>23</v>
      </c>
      <c r="H189" s="848">
        <f>SUM(H182:H188)</f>
        <v>1392</v>
      </c>
      <c r="I189" s="848">
        <f>SUM(I182:I188)</f>
        <v>11238</v>
      </c>
      <c r="J189" s="63">
        <f>D189</f>
        <v>4470</v>
      </c>
      <c r="K189" s="93">
        <f>G189</f>
        <v>23</v>
      </c>
      <c r="L189" s="63">
        <f>H189</f>
        <v>1392</v>
      </c>
      <c r="M189" s="63">
        <f>I189</f>
        <v>11238</v>
      </c>
      <c r="N189" s="587" cm="1">
        <f t="array" ref="N189">IF(H189=0,"",SUMPRODUCT(IFERROR(INT(H184:H188/F184:F188),0)))</f>
        <v>6</v>
      </c>
      <c r="O189" s="770">
        <f>IF(N189="","",MAX(0,G189-N189))</f>
        <v>17</v>
      </c>
    </row>
    <row r="190" spans="1:15" ht="6" customHeight="1" x14ac:dyDescent="0.3">
      <c r="C190" s="65"/>
    </row>
    <row r="191" spans="1:15" ht="15" customHeight="1" x14ac:dyDescent="0.3">
      <c r="A191" s="75">
        <v>46141</v>
      </c>
      <c r="B191" s="113" t="s">
        <v>49</v>
      </c>
      <c r="C191" s="112" t="s">
        <v>176</v>
      </c>
      <c r="D191" s="111" t="s">
        <v>177</v>
      </c>
      <c r="E191" s="111" t="s">
        <v>178</v>
      </c>
      <c r="F191" s="860" t="s">
        <v>179</v>
      </c>
      <c r="G191" s="111" t="s">
        <v>180</v>
      </c>
      <c r="H191" s="121" t="s">
        <v>181</v>
      </c>
      <c r="I191" s="121" t="s">
        <v>182</v>
      </c>
    </row>
    <row r="192" spans="1:15" ht="21" customHeight="1" x14ac:dyDescent="0.3">
      <c r="A192" s="120"/>
      <c r="B192" s="109" t="s">
        <v>492</v>
      </c>
      <c r="C192" s="108">
        <v>600</v>
      </c>
      <c r="D192" s="104">
        <f>D186-H186</f>
        <v>3079</v>
      </c>
      <c r="E192" s="107" t="s">
        <v>184</v>
      </c>
      <c r="F192" s="871">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190</v>
      </c>
      <c r="G192" s="106">
        <f>IFERROR(ROUNDUP(D192/F192,0),"")</f>
        <v>17</v>
      </c>
      <c r="H192" s="105">
        <v>1578</v>
      </c>
      <c r="I192" s="104">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9468</v>
      </c>
    </row>
    <row r="193" spans="1:15" ht="21" customHeight="1" x14ac:dyDescent="0.3">
      <c r="A193" s="120"/>
      <c r="B193" s="109"/>
      <c r="C193" s="108"/>
      <c r="D193" s="104"/>
      <c r="E193" s="107" t="s">
        <v>184</v>
      </c>
      <c r="F193" s="871" t="str">
        <f>IF($B193="","",IF(SUMIFS(CONFIG_PALETES!$C:$C,CONFIG_PALETES!$A:$A,TRIM($B193),CONFIG_PALETES!$B:$B,$C193&amp;" ml")&gt;0,SUMIFS(CONFIG_PALETES!$C:$C,CONFIG_PALETES!$A:$A,TRIM($B193),CONFIG_PALETES!$B:$B,$C193&amp;" ml"),IF(SUMIFS(CONFIG_PALETES!$C:$C,CONFIG_PALETES!$A:$A,"GERAL",CONFIG_PALETES!$B:$B,$C193&amp;" ml")&gt;0,SUMIFS(CONFIG_PALETES!$C:$C,CONFIG_PALETES!$A:$A,"GERAL",CONFIG_PALETES!$B:$B,$C193&amp;" ml"),"")))</f>
        <v/>
      </c>
      <c r="G193" s="106" t="str">
        <f>IFERROR(ROUNDUP(D193/F193,0),"")</f>
        <v/>
      </c>
      <c r="H193" s="105"/>
      <c r="I193" s="104" t="str">
        <f>IF(H193="","",H193*IF(SUMIFS(CONFIG_PALETES!$D:$D,CONFIG_PALETES!$A:$A,IF(ISNUMBER(SEARCH("ESPUMA",$B193)),"ESPUMA",IF(OR(ISNUMBER(SEARCH("OLEO DE COCO",$B193)),ISNUMBER(SEARCH("ÓLEO DE COCO",$B193)),ISNUMBER(SEARCH("COPRA",$B193))),"ÓLEO DE COCO",IF(ISNUMBER(SEARCH("CORANTE",$B193)),"CORANTE",TRIM($B193)))),CONFIG_PALETES!$B:$B,$C193&amp;" ml")&gt;0,SUMIFS(CONFIG_PALETES!$D:$D,CONFIG_PALETES!$A:$A,IF(ISNUMBER(SEARCH("ESPUMA",$B193)),"ESPUMA",IF(OR(ISNUMBER(SEARCH("OLEO DE COCO",$B193)),ISNUMBER(SEARCH("ÓLEO DE COCO",$B193)),ISNUMBER(SEARCH("COPRA",$B193))),"ÓLEO DE COCO",IF(ISNUMBER(SEARCH("CORANTE",$B193)),"CORANTE",TRIM($B193)))),CONFIG_PALETES!$B:$B,$C193&amp;" ml"),IF(SUMIFS(CONFIG_PALETES!$D:$D,CONFIG_PALETES!$A:$A,"GERAL",CONFIG_PALETES!$B:$B,$C193&amp;" ml")&gt;0,SUMIFS(CONFIG_PALETES!$D:$D,CONFIG_PALETES!$A:$A,"GERAL",CONFIG_PALETES!$B:$B,$C193&amp;" ml"),12)))</f>
        <v/>
      </c>
    </row>
    <row r="194" spans="1:15" ht="21" customHeight="1" x14ac:dyDescent="0.3">
      <c r="A194" s="120"/>
      <c r="B194" s="109"/>
      <c r="C194" s="108"/>
      <c r="D194" s="104"/>
      <c r="E194" s="107" t="s">
        <v>184</v>
      </c>
      <c r="F194" s="871" t="str">
        <f>IF($B194="","",IF(SUMIFS(CONFIG_PALETES!$C:$C,CONFIG_PALETES!$A:$A,TRIM($B194),CONFIG_PALETES!$B:$B,$C194&amp;" ml")&gt;0,SUMIFS(CONFIG_PALETES!$C:$C,CONFIG_PALETES!$A:$A,TRIM($B194),CONFIG_PALETES!$B:$B,$C194&amp;" ml"),IF(SUMIFS(CONFIG_PALETES!$C:$C,CONFIG_PALETES!$A:$A,"GERAL",CONFIG_PALETES!$B:$B,$C194&amp;" ml")&gt;0,SUMIFS(CONFIG_PALETES!$C:$C,CONFIG_PALETES!$A:$A,"GERAL",CONFIG_PALETES!$B:$B,$C194&amp;" ml"),"")))</f>
        <v/>
      </c>
      <c r="G194" s="106" t="str">
        <f>IFERROR(ROUNDUP(D194/F194,0),"")</f>
        <v/>
      </c>
      <c r="H194" s="105"/>
      <c r="I194" s="104" t="str">
        <f>IF(H194="","",H194*IF(SUMIFS(CONFIG_PALETES!$D:$D,CONFIG_PALETES!$A:$A,IF(ISNUMBER(SEARCH("ESPUMA",$B194)),"ESPUMA",IF(OR(ISNUMBER(SEARCH("OLEO DE COCO",$B194)),ISNUMBER(SEARCH("ÓLEO DE COCO",$B194)),ISNUMBER(SEARCH("COPRA",$B194))),"ÓLEO DE COCO",IF(ISNUMBER(SEARCH("CORANTE",$B194)),"CORANTE",TRIM($B194)))),CONFIG_PALETES!$B:$B,$C194&amp;" ml")&gt;0,SUMIFS(CONFIG_PALETES!$D:$D,CONFIG_PALETES!$A:$A,IF(ISNUMBER(SEARCH("ESPUMA",$B194)),"ESPUMA",IF(OR(ISNUMBER(SEARCH("OLEO DE COCO",$B194)),ISNUMBER(SEARCH("ÓLEO DE COCO",$B194)),ISNUMBER(SEARCH("COPRA",$B194))),"ÓLEO DE COCO",IF(ISNUMBER(SEARCH("CORANTE",$B194)),"CORANTE",TRIM($B194)))),CONFIG_PALETES!$B:$B,$C194&amp;" ml"),IF(SUMIFS(CONFIG_PALETES!$D:$D,CONFIG_PALETES!$A:$A,"GERAL",CONFIG_PALETES!$B:$B,$C194&amp;" ml")&gt;0,SUMIFS(CONFIG_PALETES!$D:$D,CONFIG_PALETES!$A:$A,"GERAL",CONFIG_PALETES!$B:$B,$C194&amp;" ml"),12)))</f>
        <v/>
      </c>
    </row>
    <row r="195" spans="1:15" ht="21" customHeight="1" x14ac:dyDescent="0.3">
      <c r="A195" s="120"/>
      <c r="B195" s="109"/>
      <c r="C195" s="108"/>
      <c r="D195" s="104"/>
      <c r="E195" s="107" t="s">
        <v>184</v>
      </c>
      <c r="F195" s="871" t="str">
        <f>IF($B195="","",IF(SUMIFS(CONFIG_PALETES!$C:$C,CONFIG_PALETES!$A:$A,TRIM($B195),CONFIG_PALETES!$B:$B,$C195&amp;" ml")&gt;0,SUMIFS(CONFIG_PALETES!$C:$C,CONFIG_PALETES!$A:$A,TRIM($B195),CONFIG_PALETES!$B:$B,$C195&amp;" ml"),IF(SUMIFS(CONFIG_PALETES!$C:$C,CONFIG_PALETES!$A:$A,"GERAL",CONFIG_PALETES!$B:$B,$C195&amp;" ml")&gt;0,SUMIFS(CONFIG_PALETES!$C:$C,CONFIG_PALETES!$A:$A,"GERAL",CONFIG_PALETES!$B:$B,$C195&amp;" ml"),"")))</f>
        <v/>
      </c>
      <c r="G195" s="106" t="str">
        <f>IFERROR(ROUNDUP(D195/F195,0),"")</f>
        <v/>
      </c>
      <c r="H195" s="105"/>
      <c r="I195" s="104" t="str">
        <f>IF(H195="","",H195*IF(SUMIFS(CONFIG_PALETES!$D:$D,CONFIG_PALETES!$A:$A,IF(ISNUMBER(SEARCH("ESPUMA",$B195)),"ESPUMA",IF(OR(ISNUMBER(SEARCH("OLEO DE COCO",$B195)),ISNUMBER(SEARCH("ÓLEO DE COCO",$B195)),ISNUMBER(SEARCH("COPRA",$B195))),"ÓLEO DE COCO",IF(ISNUMBER(SEARCH("CORANTE",$B195)),"CORANTE",TRIM($B195)))),CONFIG_PALETES!$B:$B,$C195&amp;" ml")&gt;0,SUMIFS(CONFIG_PALETES!$D:$D,CONFIG_PALETES!$A:$A,IF(ISNUMBER(SEARCH("ESPUMA",$B195)),"ESPUMA",IF(OR(ISNUMBER(SEARCH("OLEO DE COCO",$B195)),ISNUMBER(SEARCH("ÓLEO DE COCO",$B195)),ISNUMBER(SEARCH("COPRA",$B195))),"ÓLEO DE COCO",IF(ISNUMBER(SEARCH("CORANTE",$B195)),"CORANTE",TRIM($B195)))),CONFIG_PALETES!$B:$B,$C195&amp;" ml"),IF(SUMIFS(CONFIG_PALETES!$D:$D,CONFIG_PALETES!$A:$A,"GERAL",CONFIG_PALETES!$B:$B,$C195&amp;" ml")&gt;0,SUMIFS(CONFIG_PALETES!$D:$D,CONFIG_PALETES!$A:$A,"GERAL",CONFIG_PALETES!$B:$B,$C195&amp;" ml"),12)))</f>
        <v/>
      </c>
    </row>
    <row r="196" spans="1:15" ht="21" customHeight="1" x14ac:dyDescent="0.3">
      <c r="A196" s="824"/>
      <c r="B196" s="818"/>
      <c r="C196" s="819"/>
      <c r="D196" s="820"/>
      <c r="E196" s="821" t="s">
        <v>184</v>
      </c>
      <c r="F196" s="872"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822" t="str">
        <f>IFERROR(ROUNDUP(D196/F196,0),"")</f>
        <v/>
      </c>
      <c r="H196" s="823"/>
      <c r="I196" s="820"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15" customHeight="1" x14ac:dyDescent="0.3">
      <c r="A197" s="899"/>
      <c r="B197" s="846" t="s">
        <v>186</v>
      </c>
      <c r="C197" s="847"/>
      <c r="D197" s="848">
        <f>SUM(D190:D196)</f>
        <v>3079</v>
      </c>
      <c r="E197" s="849"/>
      <c r="F197" s="856" t="s">
        <v>1400</v>
      </c>
      <c r="G197" s="850">
        <f>SUM(G190:G196)</f>
        <v>17</v>
      </c>
      <c r="H197" s="848">
        <f>SUM(H190:H196)</f>
        <v>1578</v>
      </c>
      <c r="I197" s="848">
        <f>SUM(I190:I196)</f>
        <v>9468</v>
      </c>
      <c r="J197" s="63">
        <f>D197</f>
        <v>3079</v>
      </c>
      <c r="K197" s="93">
        <f>G197</f>
        <v>17</v>
      </c>
      <c r="L197" s="63">
        <f>H197</f>
        <v>1578</v>
      </c>
      <c r="M197" s="63">
        <f>I197</f>
        <v>9468</v>
      </c>
      <c r="N197" s="587" cm="1">
        <f t="array" ref="N197">IF(H197=0,"",SUMPRODUCT(IFERROR(INT(H192:H196/F192:F196),0)))</f>
        <v>8</v>
      </c>
      <c r="O197" s="770">
        <f>IF(N197="","",MAX(0,G197-N197))</f>
        <v>9</v>
      </c>
    </row>
    <row r="198" spans="1:15" ht="6" customHeight="1" x14ac:dyDescent="0.3">
      <c r="C198" s="65"/>
    </row>
    <row r="199" spans="1:15" ht="15" customHeight="1" x14ac:dyDescent="0.3">
      <c r="A199" s="75">
        <v>46142</v>
      </c>
      <c r="B199" s="113" t="s">
        <v>49</v>
      </c>
      <c r="C199" s="112" t="s">
        <v>176</v>
      </c>
      <c r="D199" s="111" t="s">
        <v>177</v>
      </c>
      <c r="E199" s="111" t="s">
        <v>178</v>
      </c>
      <c r="F199" s="860" t="s">
        <v>179</v>
      </c>
      <c r="G199" s="111" t="s">
        <v>180</v>
      </c>
      <c r="H199" s="121" t="s">
        <v>181</v>
      </c>
      <c r="I199" s="121" t="s">
        <v>182</v>
      </c>
    </row>
    <row r="200" spans="1:15" ht="21" customHeight="1" x14ac:dyDescent="0.3">
      <c r="A200" s="120"/>
      <c r="B200" s="109" t="s">
        <v>492</v>
      </c>
      <c r="C200" s="108">
        <v>600</v>
      </c>
      <c r="D200" s="104">
        <f>D192-H192</f>
        <v>1501</v>
      </c>
      <c r="E200" s="107" t="s">
        <v>184</v>
      </c>
      <c r="F200" s="871">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190</v>
      </c>
      <c r="G200" s="106">
        <f>IFERROR(ROUNDUP(D200/F200,0),"")</f>
        <v>8</v>
      </c>
      <c r="H200" s="105">
        <v>1140</v>
      </c>
      <c r="I200" s="104">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6840</v>
      </c>
    </row>
    <row r="201" spans="1:15" ht="21" customHeight="1" x14ac:dyDescent="0.3">
      <c r="A201" s="120"/>
      <c r="B201" s="109" t="s">
        <v>499</v>
      </c>
      <c r="C201" s="108">
        <v>600</v>
      </c>
      <c r="D201" s="104">
        <v>665</v>
      </c>
      <c r="E201" s="107" t="s">
        <v>184</v>
      </c>
      <c r="F201" s="871">
        <f>IF($B201="","",IF(SUMIFS(CONFIG_PALETES!$C:$C,CONFIG_PALETES!$A:$A,TRIM($B201),CONFIG_PALETES!$B:$B,$C201&amp;" ml")&gt;0,SUMIFS(CONFIG_PALETES!$C:$C,CONFIG_PALETES!$A:$A,TRIM($B201),CONFIG_PALETES!$B:$B,$C201&amp;" ml"),IF(SUMIFS(CONFIG_PALETES!$C:$C,CONFIG_PALETES!$A:$A,"GERAL",CONFIG_PALETES!$B:$B,$C201&amp;" ml")&gt;0,SUMIFS(CONFIG_PALETES!$C:$C,CONFIG_PALETES!$A:$A,"GERAL",CONFIG_PALETES!$B:$B,$C201&amp;" ml"),"")))</f>
        <v>95</v>
      </c>
      <c r="G201" s="106">
        <f>IFERROR(ROUNDUP(D201/F201,0),"")</f>
        <v>7</v>
      </c>
      <c r="H201" s="105">
        <v>420</v>
      </c>
      <c r="I201" s="104">
        <f>IF(H201="","",H201*IF(SUMIFS(CONFIG_PALETES!$D:$D,CONFIG_PALETES!$A:$A,IF(ISNUMBER(SEARCH("ESPUMA",$B201)),"ESPUMA",IF(OR(ISNUMBER(SEARCH("OLEO DE COCO",$B201)),ISNUMBER(SEARCH("ÓLEO DE COCO",$B201)),ISNUMBER(SEARCH("COPRA",$B201))),"ÓLEO DE COCO",IF(ISNUMBER(SEARCH("CORANTE",$B201)),"CORANTE",TRIM($B201)))),CONFIG_PALETES!$B:$B,$C201&amp;" ml")&gt;0,SUMIFS(CONFIG_PALETES!$D:$D,CONFIG_PALETES!$A:$A,IF(ISNUMBER(SEARCH("ESPUMA",$B201)),"ESPUMA",IF(OR(ISNUMBER(SEARCH("OLEO DE COCO",$B201)),ISNUMBER(SEARCH("ÓLEO DE COCO",$B201)),ISNUMBER(SEARCH("COPRA",$B201))),"ÓLEO DE COCO",IF(ISNUMBER(SEARCH("CORANTE",$B201)),"CORANTE",TRIM($B201)))),CONFIG_PALETES!$B:$B,$C201&amp;" ml"),IF(SUMIFS(CONFIG_PALETES!$D:$D,CONFIG_PALETES!$A:$A,"GERAL",CONFIG_PALETES!$B:$B,$C201&amp;" ml")&gt;0,SUMIFS(CONFIG_PALETES!$D:$D,CONFIG_PALETES!$A:$A,"GERAL",CONFIG_PALETES!$B:$B,$C201&amp;" ml"),12)))</f>
        <v>5040</v>
      </c>
    </row>
    <row r="202" spans="1:15" ht="21" customHeight="1" x14ac:dyDescent="0.3">
      <c r="A202" s="120"/>
      <c r="B202" s="109"/>
      <c r="C202" s="108"/>
      <c r="D202" s="104"/>
      <c r="E202" s="107" t="s">
        <v>184</v>
      </c>
      <c r="F202" s="871" t="str">
        <f>IF($B202="","",IF(SUMIFS(CONFIG_PALETES!$C:$C,CONFIG_PALETES!$A:$A,TRIM($B202),CONFIG_PALETES!$B:$B,$C202&amp;" ml")&gt;0,SUMIFS(CONFIG_PALETES!$C:$C,CONFIG_PALETES!$A:$A,TRIM($B202),CONFIG_PALETES!$B:$B,$C202&amp;" ml"),IF(SUMIFS(CONFIG_PALETES!$C:$C,CONFIG_PALETES!$A:$A,"GERAL",CONFIG_PALETES!$B:$B,$C202&amp;" ml")&gt;0,SUMIFS(CONFIG_PALETES!$C:$C,CONFIG_PALETES!$A:$A,"GERAL",CONFIG_PALETES!$B:$B,$C202&amp;" ml"),"")))</f>
        <v/>
      </c>
      <c r="G202" s="106" t="str">
        <f>IFERROR(ROUNDUP(D202/F202,0),"")</f>
        <v/>
      </c>
      <c r="H202" s="105"/>
      <c r="I202" s="104" t="str">
        <f>IF(H202="","",H202*IF(SUMIFS(CONFIG_PALETES!$D:$D,CONFIG_PALETES!$A:$A,IF(ISNUMBER(SEARCH("ESPUMA",$B202)),"ESPUMA",IF(OR(ISNUMBER(SEARCH("OLEO DE COCO",$B202)),ISNUMBER(SEARCH("ÓLEO DE COCO",$B202)),ISNUMBER(SEARCH("COPRA",$B202))),"ÓLEO DE COCO",IF(ISNUMBER(SEARCH("CORANTE",$B202)),"CORANTE",TRIM($B202)))),CONFIG_PALETES!$B:$B,$C202&amp;" ml")&gt;0,SUMIFS(CONFIG_PALETES!$D:$D,CONFIG_PALETES!$A:$A,IF(ISNUMBER(SEARCH("ESPUMA",$B202)),"ESPUMA",IF(OR(ISNUMBER(SEARCH("OLEO DE COCO",$B202)),ISNUMBER(SEARCH("ÓLEO DE COCO",$B202)),ISNUMBER(SEARCH("COPRA",$B202))),"ÓLEO DE COCO",IF(ISNUMBER(SEARCH("CORANTE",$B202)),"CORANTE",TRIM($B202)))),CONFIG_PALETES!$B:$B,$C202&amp;" ml"),IF(SUMIFS(CONFIG_PALETES!$D:$D,CONFIG_PALETES!$A:$A,"GERAL",CONFIG_PALETES!$B:$B,$C202&amp;" ml")&gt;0,SUMIFS(CONFIG_PALETES!$D:$D,CONFIG_PALETES!$A:$A,"GERAL",CONFIG_PALETES!$B:$B,$C202&amp;" ml"),12)))</f>
        <v/>
      </c>
    </row>
    <row r="203" spans="1:15" ht="21" customHeight="1" x14ac:dyDescent="0.3">
      <c r="A203" s="120"/>
      <c r="B203" s="109"/>
      <c r="C203" s="108"/>
      <c r="D203" s="104"/>
      <c r="E203" s="107" t="s">
        <v>184</v>
      </c>
      <c r="F203" s="871" t="str">
        <f>IF($B203="","",IF(SUMIFS(CONFIG_PALETES!$C:$C,CONFIG_PALETES!$A:$A,TRIM($B203),CONFIG_PALETES!$B:$B,$C203&amp;" ml")&gt;0,SUMIFS(CONFIG_PALETES!$C:$C,CONFIG_PALETES!$A:$A,TRIM($B203),CONFIG_PALETES!$B:$B,$C203&amp;" ml"),IF(SUMIFS(CONFIG_PALETES!$C:$C,CONFIG_PALETES!$A:$A,"GERAL",CONFIG_PALETES!$B:$B,$C203&amp;" ml")&gt;0,SUMIFS(CONFIG_PALETES!$C:$C,CONFIG_PALETES!$A:$A,"GERAL",CONFIG_PALETES!$B:$B,$C203&amp;" ml"),"")))</f>
        <v/>
      </c>
      <c r="G203" s="106" t="str">
        <f>IFERROR(ROUNDUP(D203/F203,0),"")</f>
        <v/>
      </c>
      <c r="H203" s="105"/>
      <c r="I203" s="104" t="str">
        <f>IF(H203="","",H203*IF(SUMIFS(CONFIG_PALETES!$D:$D,CONFIG_PALETES!$A:$A,IF(ISNUMBER(SEARCH("ESPUMA",$B203)),"ESPUMA",IF(OR(ISNUMBER(SEARCH("OLEO DE COCO",$B203)),ISNUMBER(SEARCH("ÓLEO DE COCO",$B203)),ISNUMBER(SEARCH("COPRA",$B203))),"ÓLEO DE COCO",IF(ISNUMBER(SEARCH("CORANTE",$B203)),"CORANTE",TRIM($B203)))),CONFIG_PALETES!$B:$B,$C203&amp;" ml")&gt;0,SUMIFS(CONFIG_PALETES!$D:$D,CONFIG_PALETES!$A:$A,IF(ISNUMBER(SEARCH("ESPUMA",$B203)),"ESPUMA",IF(OR(ISNUMBER(SEARCH("OLEO DE COCO",$B203)),ISNUMBER(SEARCH("ÓLEO DE COCO",$B203)),ISNUMBER(SEARCH("COPRA",$B203))),"ÓLEO DE COCO",IF(ISNUMBER(SEARCH("CORANTE",$B203)),"CORANTE",TRIM($B203)))),CONFIG_PALETES!$B:$B,$C203&amp;" ml"),IF(SUMIFS(CONFIG_PALETES!$D:$D,CONFIG_PALETES!$A:$A,"GERAL",CONFIG_PALETES!$B:$B,$C203&amp;" ml")&gt;0,SUMIFS(CONFIG_PALETES!$D:$D,CONFIG_PALETES!$A:$A,"GERAL",CONFIG_PALETES!$B:$B,$C203&amp;" ml"),12)))</f>
        <v/>
      </c>
    </row>
    <row r="204" spans="1:15" ht="21" customHeight="1" x14ac:dyDescent="0.3">
      <c r="A204" s="824"/>
      <c r="B204" s="818"/>
      <c r="C204" s="819"/>
      <c r="D204" s="820"/>
      <c r="E204" s="821" t="s">
        <v>184</v>
      </c>
      <c r="F204" s="872"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822" t="str">
        <f>IFERROR(ROUNDUP(D204/F204,0),"")</f>
        <v/>
      </c>
      <c r="H204" s="823"/>
      <c r="I204" s="820"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15" customHeight="1" x14ac:dyDescent="0.3">
      <c r="A205" s="899"/>
      <c r="B205" s="846" t="s">
        <v>186</v>
      </c>
      <c r="C205" s="847"/>
      <c r="D205" s="848">
        <f>SUM(D198:D204)</f>
        <v>2166</v>
      </c>
      <c r="E205" s="849"/>
      <c r="F205" s="856" t="s">
        <v>1400</v>
      </c>
      <c r="G205" s="850">
        <f>SUM(G198:G204)</f>
        <v>15</v>
      </c>
      <c r="H205" s="848">
        <f>SUM(H198:H204)</f>
        <v>1560</v>
      </c>
      <c r="I205" s="848">
        <f>SUM(I198:I204)</f>
        <v>11880</v>
      </c>
      <c r="J205" s="63">
        <f>D205</f>
        <v>2166</v>
      </c>
      <c r="K205" s="93">
        <f>G205</f>
        <v>15</v>
      </c>
      <c r="L205" s="63">
        <f>H205</f>
        <v>1560</v>
      </c>
      <c r="M205" s="63">
        <f>I205</f>
        <v>11880</v>
      </c>
      <c r="N205" s="587" cm="1">
        <f t="array" ref="N205">IF(H205=0,"",SUMPRODUCT(IFERROR(INT(H200:H204/F200:F204),0)))</f>
        <v>10</v>
      </c>
      <c r="O205" s="770">
        <f>IF(N205="","",MAX(0,G205-N205))</f>
        <v>5</v>
      </c>
    </row>
    <row r="206" spans="1:15" ht="6" customHeight="1" x14ac:dyDescent="0.3"/>
  </sheetData>
  <mergeCells count="5">
    <mergeCell ref="A1:I1"/>
    <mergeCell ref="A2:F2"/>
    <mergeCell ref="G2:I2"/>
    <mergeCell ref="B25:I29"/>
    <mergeCell ref="B111:I115"/>
  </mergeCells>
  <dataValidations count="121">
    <dataValidation type="list" allowBlank="1" errorTitle="Embalagem inválida" error="Escolha uma embalagem compatível com o produto." promptTitle="Selecione a embalagem" prompt="As opções mudam conforme o produto escolhido." sqref="C1:C3 C30:C32 C116:C118 C14:C16 C22:C24 C42:C44 C51:C54 C60:C62 C68:C70 C76:C78 C84:C86 C92:C94 C100:C102 C108:C110 C124:C126 C132:C134 C140:C142 C148:C150 C157:C159 C165:C167 C173:C175 C181:C184 C189:C191 C197:C199 C205:C1205" xr:uid="{00000000-0002-0000-0D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DBC6D477-F598-4887-AABD-9C6F813FD06A}">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123F161B-569A-47AC-88AD-E67E95D3696A}">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C3C4D3EA-FA35-4604-AD61-D681E26EFD30}">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2AE3C981-6C16-43BE-AEC0-90FD1EBD599D}">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CFEF9772-1789-428B-9F0B-2AD1D4DF6BA8}">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9" xr:uid="{35CDF59F-FD7B-4CDF-818D-40EACFF5FFDD}">
      <formula1>INDIRECT(IF(OR(ISNUMBER(SEARCH("ICEBERG ICE",UPPER(TRIM($B9)))),ISNUMBER(SEARCH("ICE ICEBERG",UPPER(TRIM($B9)))),ISNUMBER(SEARCH("GELINHO ICEBERG",UPPER(TRIM($B9))))),"$AJ$2:$AJ$2",IF(ISNUMBER(SEARCH("ESPUMA",$B9)),"$AI$2:$AI$2",IF(ISNUMBER(SEARCH("CORANTE",$B9)),"$AN$2:$AN$2",IFERROR(INDEX($AB$2:$AB$139,MATCH(UPPER(TRIM($B9)),$AA$2:$AA$139,0)),"$AO$2:$AO$9")))))</formula1>
    </dataValidation>
    <dataValidation type="list" allowBlank="1" errorTitle="Embalagem inválida" error="Escolha uma embalagem compatível com o produto." promptTitle="Selecione a embalagem" prompt="As opções mudam conforme o produto digitado." sqref="C10" xr:uid="{A45B5B8C-CDBA-4493-9473-4294370D4FCF}">
      <formula1>INDIRECT(IF(OR(ISNUMBER(SEARCH("ICEBERG ICE",UPPER(TRIM($B10)))),ISNUMBER(SEARCH("ICE ICEBERG",UPPER(TRIM($B10)))),ISNUMBER(SEARCH("GELINHO ICEBERG",UPPER(TRIM($B10))))),"$AJ$2:$AJ$2",IF(ISNUMBER(SEARCH("ESPUMA",$B10)),"$AI$2:$AI$2",IF(ISNUMBER(SEARCH("CORANTE",$B10)),"$AN$2:$AN$2",IFERROR(INDEX($AB$2:$AB$139,MATCH(UPPER(TRIM($B10)),$AA$2:$AA$139,0)),"$AO$2:$AO$9")))))</formula1>
    </dataValidation>
    <dataValidation type="list" allowBlank="1" errorTitle="Embalagem inválida" error="Escolha uma embalagem compatível com o produto." promptTitle="Selecione a embalagem" prompt="As opções mudam conforme o produto digitado." sqref="C11" xr:uid="{9509B85A-BD1B-4F07-9666-480655047916}">
      <formula1>INDIRECT(IF(OR(ISNUMBER(SEARCH("ICEBERG ICE",UPPER(TRIM($B11)))),ISNUMBER(SEARCH("ICE ICEBERG",UPPER(TRIM($B11)))),ISNUMBER(SEARCH("GELINHO ICEBERG",UPPER(TRIM($B11))))),"$AJ$2:$AJ$2",IF(ISNUMBER(SEARCH("ESPUMA",$B11)),"$AI$2:$AI$2",IF(ISNUMBER(SEARCH("CORANTE",$B11)),"$AN$2:$AN$2",IFERROR(INDEX($AB$2:$AB$139,MATCH(UPPER(TRIM($B11)),$AA$2:$AA$139,0)),"$AO$2:$AO$9")))))</formula1>
    </dataValidation>
    <dataValidation type="list" allowBlank="1" errorTitle="Embalagem inválida" error="Escolha uma embalagem compatível com o produto." promptTitle="Selecione a embalagem" prompt="As opções mudam conforme o produto digitado." sqref="C12" xr:uid="{23989BE9-95FF-4F70-BC5D-A63AFD563EF0}">
      <formula1>INDIRECT(IF(OR(ISNUMBER(SEARCH("ICEBERG ICE",UPPER(TRIM($B12)))),ISNUMBER(SEARCH("ICE ICEBERG",UPPER(TRIM($B12)))),ISNUMBER(SEARCH("GELINHO ICEBERG",UPPER(TRIM($B12))))),"$AJ$2:$AJ$2",IF(ISNUMBER(SEARCH("ESPUMA",$B12)),"$AI$2:$AI$2",IF(ISNUMBER(SEARCH("CORANTE",$B12)),"$AN$2:$AN$2",IFERROR(INDEX($AB$2:$AB$139,MATCH(UPPER(TRIM($B12)),$AA$2:$AA$139,0)),"$AO$2:$AO$9")))))</formula1>
    </dataValidation>
    <dataValidation type="list" allowBlank="1" errorTitle="Embalagem inválida" error="Escolha uma embalagem compatível com o produto." promptTitle="Selecione a embalagem" prompt="As opções mudam conforme o produto digitado." sqref="C13" xr:uid="{09967A8F-A0D7-44BF-AAB0-8A86F7CAC8BC}">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7" xr:uid="{B8C466D9-D3C5-4766-B3AA-63A962CE006F}">
      <formula1>INDIRECT(IF(OR(ISNUMBER(SEARCH("ICEBERG ICE",UPPER(TRIM($B17)))),ISNUMBER(SEARCH("ICE ICEBERG",UPPER(TRIM($B17)))),ISNUMBER(SEARCH("GELINHO ICEBERG",UPPER(TRIM($B17))))),"$AJ$2:$AJ$2",IF(ISNUMBER(SEARCH("ESPUMA",$B17)),"$AI$2:$AI$2",IF(ISNUMBER(SEARCH("CORANTE",$B17)),"$AN$2:$AN$2",IFERROR(INDEX($AB$2:$AB$139,MATCH(UPPER(TRIM($B17)),$AA$2:$AA$139,0)),"$AO$2:$AO$9")))))</formula1>
    </dataValidation>
    <dataValidation type="list" allowBlank="1" errorTitle="Embalagem inválida" error="Escolha uma embalagem compatível com o produto." promptTitle="Selecione a embalagem" prompt="As opções mudam conforme o produto digitado." sqref="C18" xr:uid="{8F28A7F7-0E42-47C8-A00C-1D35C60E6298}">
      <formula1>INDIRECT(IF(OR(ISNUMBER(SEARCH("ICEBERG ICE",UPPER(TRIM($B18)))),ISNUMBER(SEARCH("ICE ICEBERG",UPPER(TRIM($B18)))),ISNUMBER(SEARCH("GELINHO ICEBERG",UPPER(TRIM($B18))))),"$AJ$2:$AJ$2",IF(ISNUMBER(SEARCH("ESPUMA",$B18)),"$AI$2:$AI$2",IF(ISNUMBER(SEARCH("CORANTE",$B18)),"$AN$2:$AN$2",IFERROR(INDEX($AB$2:$AB$139,MATCH(UPPER(TRIM($B18)),$AA$2:$AA$139,0)),"$AO$2:$AO$9")))))</formula1>
    </dataValidation>
    <dataValidation type="list" allowBlank="1" errorTitle="Embalagem inválida" error="Escolha uma embalagem compatível com o produto." promptTitle="Selecione a embalagem" prompt="As opções mudam conforme o produto digitado." sqref="C19" xr:uid="{47ED80D3-15E5-42D6-9B1B-2B0F9E2917EB}">
      <formula1>INDIRECT(IF(OR(ISNUMBER(SEARCH("ICEBERG ICE",UPPER(TRIM($B19)))),ISNUMBER(SEARCH("ICE ICEBERG",UPPER(TRIM($B19)))),ISNUMBER(SEARCH("GELINHO ICEBERG",UPPER(TRIM($B19))))),"$AJ$2:$AJ$2",IF(ISNUMBER(SEARCH("ESPUMA",$B19)),"$AI$2:$AI$2",IF(ISNUMBER(SEARCH("CORANTE",$B19)),"$AN$2:$AN$2",IFERROR(INDEX($AB$2:$AB$139,MATCH(UPPER(TRIM($B19)),$AA$2:$AA$139,0)),"$AO$2:$AO$9")))))</formula1>
    </dataValidation>
    <dataValidation type="list" allowBlank="1" errorTitle="Embalagem inválida" error="Escolha uma embalagem compatível com o produto." promptTitle="Selecione a embalagem" prompt="As opções mudam conforme o produto digitado." sqref="C20" xr:uid="{A7CE0B04-BA10-4E2F-9615-A2E637172146}">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DAB2234E-F295-4A6B-AD9E-EDD7275FE872}">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33" xr:uid="{53D6BA2D-4B83-4392-890F-B48BEBA10AC1}">
      <formula1>INDIRECT(IF(OR(ISNUMBER(SEARCH("ICEBERG ICE",UPPER(TRIM($B33)))),ISNUMBER(SEARCH("ICE ICEBERG",UPPER(TRIM($B33)))),ISNUMBER(SEARCH("GELINHO ICEBERG",UPPER(TRIM($B33))))),"$AJ$2:$AJ$2",IF(ISNUMBER(SEARCH("ESPUMA",$B33)),"$AI$2:$AI$2",IF(ISNUMBER(SEARCH("CORANTE",$B33)),"$AN$2:$AN$2",IFERROR(INDEX($AB$2:$AB$139,MATCH(UPPER(TRIM($B33)),$AA$2:$AA$139,0)),"$AO$2:$AO$9")))))</formula1>
    </dataValidation>
    <dataValidation type="list" allowBlank="1" errorTitle="Embalagem inválida" error="Escolha uma embalagem compatível com o produto." promptTitle="Selecione a embalagem" prompt="As opções mudam conforme o produto digitado." sqref="C34" xr:uid="{255E0860-2527-447A-87EB-CE02889AFAB1}">
      <formula1>INDIRECT(IF(OR(ISNUMBER(SEARCH("ICEBERG ICE",UPPER(TRIM($B34)))),ISNUMBER(SEARCH("ICE ICEBERG",UPPER(TRIM($B34)))),ISNUMBER(SEARCH("GELINHO ICEBERG",UPPER(TRIM($B34))))),"$AJ$2:$AJ$2",IF(ISNUMBER(SEARCH("ESPUMA",$B34)),"$AI$2:$AI$2",IF(ISNUMBER(SEARCH("CORANTE",$B34)),"$AN$2:$AN$2",IFERROR(INDEX($AB$2:$AB$139,MATCH(UPPER(TRIM($B34)),$AA$2:$AA$139,0)),"$AO$2:$AO$9")))))</formula1>
    </dataValidation>
    <dataValidation type="list" allowBlank="1" errorTitle="Embalagem inválida" error="Escolha uma embalagem compatível com o produto." promptTitle="Selecione a embalagem" prompt="As opções mudam conforme o produto digitado." sqref="C35" xr:uid="{71D3E92C-E038-4DAA-A3C7-CAB17BEA05D7}">
      <formula1>INDIRECT(IF(OR(ISNUMBER(SEARCH("ICEBERG ICE",UPPER(TRIM($B35)))),ISNUMBER(SEARCH("ICE ICEBERG",UPPER(TRIM($B35)))),ISNUMBER(SEARCH("GELINHO ICEBERG",UPPER(TRIM($B35))))),"$AJ$2:$AJ$2",IF(ISNUMBER(SEARCH("ESPUMA",$B35)),"$AI$2:$AI$2",IF(ISNUMBER(SEARCH("CORANTE",$B35)),"$AN$2:$AN$2",IFERROR(INDEX($AB$2:$AB$139,MATCH(UPPER(TRIM($B35)),$AA$2:$AA$139,0)),"$AO$2:$AO$9")))))</formula1>
    </dataValidation>
    <dataValidation type="list" allowBlank="1" errorTitle="Embalagem inválida" error="Escolha uma embalagem compatível com o produto." promptTitle="Selecione a embalagem" prompt="As opções mudam conforme o produto digitado." sqref="C36" xr:uid="{5E33209C-38EC-474F-892A-D44AEE468D85}">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37" xr:uid="{735AA657-75D1-48AE-ABE1-FA9037ED9987}">
      <formula1>INDIRECT(IF(OR(ISNUMBER(SEARCH("ICEBERG ICE",UPPER(TRIM($B37)))),ISNUMBER(SEARCH("ICE ICEBERG",UPPER(TRIM($B37)))),ISNUMBER(SEARCH("GELINHO ICEBERG",UPPER(TRIM($B37))))),"$AJ$2:$AJ$2",IF(ISNUMBER(SEARCH("ESPUMA",$B37)),"$AI$2:$AI$2",IF(ISNUMBER(SEARCH("CORANTE",$B37)),"$AN$2:$AN$2",IFERROR(INDEX($AB$2:$AB$139,MATCH(UPPER(TRIM($B37)),$AA$2:$AA$139,0)),"$AO$2:$AO$9")))))</formula1>
    </dataValidation>
    <dataValidation type="list" allowBlank="1" errorTitle="Embalagem inválida" error="Escolha uma embalagem compatível com o produto." promptTitle="Selecione a embalagem" prompt="As opções mudam conforme o produto digitado." sqref="C38" xr:uid="{DD7B00CC-7A34-48C7-87B6-7826EB818AAE}">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1668A2D0-E098-4204-856C-4DD149F2002B}">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0" xr:uid="{28F11BE3-FD0B-4F47-BF59-03E1DECAFF61}">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1" xr:uid="{80666108-5687-42AD-A53A-5297DFF73A8A}">
      <formula1>INDIRECT(IF(OR(ISNUMBER(SEARCH("ICEBERG ICE",UPPER(TRIM($B41)))),ISNUMBER(SEARCH("ICE ICEBERG",UPPER(TRIM($B41)))),ISNUMBER(SEARCH("GELINHO ICEBERG",UPPER(TRIM($B41))))),"$AJ$2:$AJ$2",IF(ISNUMBER(SEARCH("ESPUMA",$B41)),"$AI$2:$AI$2",IF(ISNUMBER(SEARCH("CORANTE",$B41)),"$AN$2:$AN$2",IFERROR(INDEX($AB$2:$AB$139,MATCH(UPPER(TRIM($B41)),$AA$2:$AA$139,0)),"$AO$2:$AO$9")))))</formula1>
    </dataValidation>
    <dataValidation type="list" allowBlank="1" errorTitle="Embalagem inválida" error="Escolha uma embalagem compatível com o produto." promptTitle="Selecione a embalagem" prompt="As opções mudam conforme o produto digitado." sqref="C45" xr:uid="{87095900-CA48-4473-B721-38CACF844168}">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672D92FB-AB32-4353-B707-C2E1F3BE00EE}">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47" xr:uid="{52DE1707-A200-4978-963B-EDDFF58AC86F}">
      <formula1>INDIRECT(IF(OR(ISNUMBER(SEARCH("ICEBERG ICE",UPPER(TRIM($B47)))),ISNUMBER(SEARCH("ICE ICEBERG",UPPER(TRIM($B47)))),ISNUMBER(SEARCH("GELINHO ICEBERG",UPPER(TRIM($B47))))),"$AJ$2:$AJ$2",IF(ISNUMBER(SEARCH("ESPUMA",$B47)),"$AI$2:$AI$2",IF(ISNUMBER(SEARCH("CORANTE",$B47)),"$AN$2:$AN$2",IFERROR(INDEX($AB$2:$AB$139,MATCH(UPPER(TRIM($B47)),$AA$2:$AA$139,0)),"$AO$2:$AO$9")))))</formula1>
    </dataValidation>
    <dataValidation type="list" allowBlank="1" errorTitle="Embalagem inválida" error="Escolha uma embalagem compatível com o produto." promptTitle="Selecione a embalagem" prompt="As opções mudam conforme o produto digitado." sqref="C48" xr:uid="{9E9D658F-4592-46BC-BE99-F4452312A30E}">
      <formula1>INDIRECT(IF(OR(ISNUMBER(SEARCH("ICEBERG ICE",UPPER(TRIM($B48)))),ISNUMBER(SEARCH("ICE ICEBERG",UPPER(TRIM($B48)))),ISNUMBER(SEARCH("GELINHO ICEBERG",UPPER(TRIM($B48))))),"$AJ$2:$AJ$2",IF(ISNUMBER(SEARCH("ESPUMA",$B48)),"$AI$2:$AI$2",IF(ISNUMBER(SEARCH("CORANTE",$B48)),"$AN$2:$AN$2",IFERROR(INDEX($AB$2:$AB$139,MATCH(UPPER(TRIM($B48)),$AA$2:$AA$139,0)),"$AO$2:$AO$9")))))</formula1>
    </dataValidation>
    <dataValidation type="list" allowBlank="1" errorTitle="Embalagem inválida" error="Escolha uma embalagem compatível com o produto." promptTitle="Selecione a embalagem" prompt="As opções mudam conforme o produto digitado." sqref="C49" xr:uid="{B9BB7D04-6E57-4994-A2A4-C2E62B53044F}">
      <formula1>INDIRECT(IF(OR(ISNUMBER(SEARCH("ICEBERG ICE",UPPER(TRIM($B49)))),ISNUMBER(SEARCH("ICE ICEBERG",UPPER(TRIM($B49)))),ISNUMBER(SEARCH("GELINHO ICEBERG",UPPER(TRIM($B49))))),"$AJ$2:$AJ$2",IF(ISNUMBER(SEARCH("ESPUMA",$B49)),"$AI$2:$AI$2",IF(ISNUMBER(SEARCH("CORANTE",$B49)),"$AN$2:$AN$2",IFERROR(INDEX($AB$2:$AB$139,MATCH(UPPER(TRIM($B49)),$AA$2:$AA$139,0)),"$AO$2:$AO$9")))))</formula1>
    </dataValidation>
    <dataValidation type="list" allowBlank="1" errorTitle="Embalagem inválida" error="Escolha uma embalagem compatível com o produto." promptTitle="Selecione a embalagem" prompt="As opções mudam conforme o produto digitado." sqref="C50" xr:uid="{9133FE53-BDD5-4159-8657-B1DE23A8EA11}">
      <formula1>INDIRECT(IF(OR(ISNUMBER(SEARCH("ICEBERG ICE",UPPER(TRIM($B50)))),ISNUMBER(SEARCH("ICE ICEBERG",UPPER(TRIM($B50)))),ISNUMBER(SEARCH("GELINHO ICEBERG",UPPER(TRIM($B50))))),"$AJ$2:$AJ$2",IF(ISNUMBER(SEARCH("ESPUMA",$B50)),"$AI$2:$AI$2",IF(ISNUMBER(SEARCH("CORANTE",$B50)),"$AN$2:$AN$2",IFERROR(INDEX($AB$2:$AB$139,MATCH(UPPER(TRIM($B50)),$AA$2:$AA$139,0)),"$AO$2:$AO$9")))))</formula1>
    </dataValidation>
    <dataValidation type="list" allowBlank="1" errorTitle="Embalagem inválida" error="Escolha uma embalagem compatível com o produto." promptTitle="Selecione a embalagem" prompt="As opções mudam conforme o produto digitado." sqref="C55" xr:uid="{965B1883-9AF1-413B-9466-20DA0312EE45}">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555439F0-4C32-40EE-A85D-7FA5BC9DFCFF}">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57" xr:uid="{E3603986-511F-4915-8177-9F66383FDDD1}">
      <formula1>INDIRECT(IF(OR(ISNUMBER(SEARCH("ICEBERG ICE",UPPER(TRIM($B57)))),ISNUMBER(SEARCH("ICE ICEBERG",UPPER(TRIM($B57)))),ISNUMBER(SEARCH("GELINHO ICEBERG",UPPER(TRIM($B57))))),"$AJ$2:$AJ$2",IF(ISNUMBER(SEARCH("ESPUMA",$B57)),"$AI$2:$AI$2",IF(ISNUMBER(SEARCH("CORANTE",$B57)),"$AN$2:$AN$2",IFERROR(INDEX($AB$2:$AB$139,MATCH(UPPER(TRIM($B57)),$AA$2:$AA$139,0)),"$AO$2:$AO$9")))))</formula1>
    </dataValidation>
    <dataValidation type="list" allowBlank="1" errorTitle="Embalagem inválida" error="Escolha uma embalagem compatível com o produto." promptTitle="Selecione a embalagem" prompt="As opções mudam conforme o produto digitado." sqref="C58" xr:uid="{F95177E8-8241-4318-A372-ADADC550EBE2}">
      <formula1>INDIRECT(IF(OR(ISNUMBER(SEARCH("ICEBERG ICE",UPPER(TRIM($B58)))),ISNUMBER(SEARCH("ICE ICEBERG",UPPER(TRIM($B58)))),ISNUMBER(SEARCH("GELINHO ICEBERG",UPPER(TRIM($B58))))),"$AJ$2:$AJ$2",IF(ISNUMBER(SEARCH("ESPUMA",$B58)),"$AI$2:$AI$2",IF(ISNUMBER(SEARCH("CORANTE",$B58)),"$AN$2:$AN$2",IFERROR(INDEX($AB$2:$AB$139,MATCH(UPPER(TRIM($B58)),$AA$2:$AA$139,0)),"$AO$2:$AO$9")))))</formula1>
    </dataValidation>
    <dataValidation type="list" allowBlank="1" errorTitle="Embalagem inválida" error="Escolha uma embalagem compatível com o produto." promptTitle="Selecione a embalagem" prompt="As opções mudam conforme o produto digitado." sqref="C59" xr:uid="{F4D96FCD-CC20-4955-A006-9C411AA89CA3}">
      <formula1>INDIRECT(IF(OR(ISNUMBER(SEARCH("ICEBERG ICE",UPPER(TRIM($B59)))),ISNUMBER(SEARCH("ICE ICEBERG",UPPER(TRIM($B59)))),ISNUMBER(SEARCH("GELINHO ICEBERG",UPPER(TRIM($B59))))),"$AJ$2:$AJ$2",IF(ISNUMBER(SEARCH("ESPUMA",$B59)),"$AI$2:$AI$2",IF(ISNUMBER(SEARCH("CORANTE",$B59)),"$AN$2:$AN$2",IFERROR(INDEX($AB$2:$AB$139,MATCH(UPPER(TRIM($B59)),$AA$2:$AA$139,0)),"$AO$2:$AO$9")))))</formula1>
    </dataValidation>
    <dataValidation type="list" allowBlank="1" errorTitle="Embalagem inválida" error="Escolha uma embalagem compatível com o produto." promptTitle="Selecione a embalagem" prompt="As opções mudam conforme o produto digitado." sqref="C63" xr:uid="{C7A57A6C-62CB-4D9A-8786-74C87EBB7A99}">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E2ED452C-DACD-42E9-8141-AC893790175F}">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5" xr:uid="{B2503215-107C-42E2-97AA-D515F0EC2A13}">
      <formula1>INDIRECT(IF(OR(ISNUMBER(SEARCH("ICEBERG ICE",UPPER(TRIM($B65)))),ISNUMBER(SEARCH("ICE ICEBERG",UPPER(TRIM($B65)))),ISNUMBER(SEARCH("GELINHO ICEBERG",UPPER(TRIM($B65))))),"$AJ$2:$AJ$2",IF(ISNUMBER(SEARCH("ESPUMA",$B65)),"$AI$2:$AI$2",IF(ISNUMBER(SEARCH("CORANTE",$B65)),"$AN$2:$AN$2",IFERROR(INDEX($AB$2:$AB$139,MATCH(UPPER(TRIM($B65)),$AA$2:$AA$139,0)),"$AO$2:$AO$9")))))</formula1>
    </dataValidation>
    <dataValidation type="list" allowBlank="1" errorTitle="Embalagem inválida" error="Escolha uma embalagem compatível com o produto." promptTitle="Selecione a embalagem" prompt="As opções mudam conforme o produto digitado." sqref="C66" xr:uid="{4AFC2F1B-617F-4BD1-9978-3B0BD18BEF20}">
      <formula1>INDIRECT(IF(OR(ISNUMBER(SEARCH("ICEBERG ICE",UPPER(TRIM($B66)))),ISNUMBER(SEARCH("ICE ICEBERG",UPPER(TRIM($B66)))),ISNUMBER(SEARCH("GELINHO ICEBERG",UPPER(TRIM($B66))))),"$AJ$2:$AJ$2",IF(ISNUMBER(SEARCH("ESPUMA",$B66)),"$AI$2:$AI$2",IF(ISNUMBER(SEARCH("CORANTE",$B66)),"$AN$2:$AN$2",IFERROR(INDEX($AB$2:$AB$139,MATCH(UPPER(TRIM($B66)),$AA$2:$AA$139,0)),"$AO$2:$AO$9")))))</formula1>
    </dataValidation>
    <dataValidation type="list" allowBlank="1" errorTitle="Embalagem inválida" error="Escolha uma embalagem compatível com o produto." promptTitle="Selecione a embalagem" prompt="As opções mudam conforme o produto digitado." sqref="C67" xr:uid="{4C07592B-53C1-4C4C-8B84-4F763D487786}">
      <formula1>INDIRECT(IF(OR(ISNUMBER(SEARCH("ICEBERG ICE",UPPER(TRIM($B67)))),ISNUMBER(SEARCH("ICE ICEBERG",UPPER(TRIM($B67)))),ISNUMBER(SEARCH("GELINHO ICEBERG",UPPER(TRIM($B67))))),"$AJ$2:$AJ$2",IF(ISNUMBER(SEARCH("ESPUMA",$B67)),"$AI$2:$AI$2",IF(ISNUMBER(SEARCH("CORANTE",$B67)),"$AN$2:$AN$2",IFERROR(INDEX($AB$2:$AB$139,MATCH(UPPER(TRIM($B67)),$AA$2:$AA$139,0)),"$AO$2:$AO$9")))))</formula1>
    </dataValidation>
    <dataValidation type="list" allowBlank="1" errorTitle="Embalagem inválida" error="Escolha uma embalagem compatível com o produto." promptTitle="Selecione a embalagem" prompt="As opções mudam conforme o produto digitado." sqref="C71" xr:uid="{A14BC54F-9C0B-43D4-8B44-C68BC421A30A}">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EB1329E1-9306-4AD1-A4C4-227FC8894B3B}">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3" xr:uid="{ED453D58-18A4-4C3C-97EB-AF570B5E8E6C}">
      <formula1>INDIRECT(IF(OR(ISNUMBER(SEARCH("ICEBERG ICE",UPPER(TRIM($B73)))),ISNUMBER(SEARCH("ICE ICEBERG",UPPER(TRIM($B73)))),ISNUMBER(SEARCH("GELINHO ICEBERG",UPPER(TRIM($B73))))),"$AJ$2:$AJ$2",IF(ISNUMBER(SEARCH("ESPUMA",$B73)),"$AI$2:$AI$2",IF(ISNUMBER(SEARCH("CORANTE",$B73)),"$AN$2:$AN$2",IFERROR(INDEX($AB$2:$AB$139,MATCH(UPPER(TRIM($B73)),$AA$2:$AA$139,0)),"$AO$2:$AO$9")))))</formula1>
    </dataValidation>
    <dataValidation type="list" allowBlank="1" errorTitle="Embalagem inválida" error="Escolha uma embalagem compatível com o produto." promptTitle="Selecione a embalagem" prompt="As opções mudam conforme o produto digitado." sqref="C74" xr:uid="{409F1315-18FB-44FB-B4D8-267A41135B5B}">
      <formula1>INDIRECT(IF(OR(ISNUMBER(SEARCH("ICEBERG ICE",UPPER(TRIM($B74)))),ISNUMBER(SEARCH("ICE ICEBERG",UPPER(TRIM($B74)))),ISNUMBER(SEARCH("GELINHO ICEBERG",UPPER(TRIM($B74))))),"$AJ$2:$AJ$2",IF(ISNUMBER(SEARCH("ESPUMA",$B74)),"$AI$2:$AI$2",IF(ISNUMBER(SEARCH("CORANTE",$B74)),"$AN$2:$AN$2",IFERROR(INDEX($AB$2:$AB$139,MATCH(UPPER(TRIM($B74)),$AA$2:$AA$139,0)),"$AO$2:$AO$9")))))</formula1>
    </dataValidation>
    <dataValidation type="list" allowBlank="1" errorTitle="Embalagem inválida" error="Escolha uma embalagem compatível com o produto." promptTitle="Selecione a embalagem" prompt="As opções mudam conforme o produto digitado." sqref="C75" xr:uid="{ED9C34AB-EB11-4A3E-B511-5AA7EED436A1}">
      <formula1>INDIRECT(IF(OR(ISNUMBER(SEARCH("ICEBERG ICE",UPPER(TRIM($B75)))),ISNUMBER(SEARCH("ICE ICEBERG",UPPER(TRIM($B75)))),ISNUMBER(SEARCH("GELINHO ICEBERG",UPPER(TRIM($B75))))),"$AJ$2:$AJ$2",IF(ISNUMBER(SEARCH("ESPUMA",$B75)),"$AI$2:$AI$2",IF(ISNUMBER(SEARCH("CORANTE",$B75)),"$AN$2:$AN$2",IFERROR(INDEX($AB$2:$AB$139,MATCH(UPPER(TRIM($B75)),$AA$2:$AA$139,0)),"$AO$2:$AO$9")))))</formula1>
    </dataValidation>
    <dataValidation type="list" allowBlank="1" errorTitle="Embalagem inválida" error="Escolha uma embalagem compatível com o produto." promptTitle="Selecione a embalagem" prompt="As opções mudam conforme o produto digitado." sqref="C79" xr:uid="{BB4CD6A9-BDDA-4FDE-BB36-B112197A77B1}">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D96BDB3A-F370-41F6-B1EE-1803ADEE689D}">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1" xr:uid="{A2036BC8-75D1-4B3D-8063-67F584369391}">
      <formula1>INDIRECT(IF(OR(ISNUMBER(SEARCH("ICEBERG ICE",UPPER(TRIM($B81)))),ISNUMBER(SEARCH("ICE ICEBERG",UPPER(TRIM($B81)))),ISNUMBER(SEARCH("GELINHO ICEBERG",UPPER(TRIM($B81))))),"$AJ$2:$AJ$2",IF(ISNUMBER(SEARCH("ESPUMA",$B81)),"$AI$2:$AI$2",IF(ISNUMBER(SEARCH("CORANTE",$B81)),"$AN$2:$AN$2",IFERROR(INDEX($AB$2:$AB$139,MATCH(UPPER(TRIM($B81)),$AA$2:$AA$139,0)),"$AO$2:$AO$9")))))</formula1>
    </dataValidation>
    <dataValidation type="list" allowBlank="1" errorTitle="Embalagem inválida" error="Escolha uma embalagem compatível com o produto." promptTitle="Selecione a embalagem" prompt="As opções mudam conforme o produto digitado." sqref="C82" xr:uid="{91178467-1C77-4A94-AFFF-DF9FB937D665}">
      <formula1>INDIRECT(IF(OR(ISNUMBER(SEARCH("ICEBERG ICE",UPPER(TRIM($B82)))),ISNUMBER(SEARCH("ICE ICEBERG",UPPER(TRIM($B82)))),ISNUMBER(SEARCH("GELINHO ICEBERG",UPPER(TRIM($B82))))),"$AJ$2:$AJ$2",IF(ISNUMBER(SEARCH("ESPUMA",$B82)),"$AI$2:$AI$2",IF(ISNUMBER(SEARCH("CORANTE",$B82)),"$AN$2:$AN$2",IFERROR(INDEX($AB$2:$AB$139,MATCH(UPPER(TRIM($B82)),$AA$2:$AA$139,0)),"$AO$2:$AO$9")))))</formula1>
    </dataValidation>
    <dataValidation type="list" allowBlank="1" errorTitle="Embalagem inválida" error="Escolha uma embalagem compatível com o produto." promptTitle="Selecione a embalagem" prompt="As opções mudam conforme o produto digitado." sqref="C83" xr:uid="{D90E6A86-8558-4A18-910B-01A0A0F253F8}">
      <formula1>INDIRECT(IF(OR(ISNUMBER(SEARCH("ICEBERG ICE",UPPER(TRIM($B83)))),ISNUMBER(SEARCH("ICE ICEBERG",UPPER(TRIM($B83)))),ISNUMBER(SEARCH("GELINHO ICEBERG",UPPER(TRIM($B83))))),"$AJ$2:$AJ$2",IF(ISNUMBER(SEARCH("ESPUMA",$B83)),"$AI$2:$AI$2",IF(ISNUMBER(SEARCH("CORANTE",$B83)),"$AN$2:$AN$2",IFERROR(INDEX($AB$2:$AB$139,MATCH(UPPER(TRIM($B83)),$AA$2:$AA$139,0)),"$AO$2:$AO$9")))))</formula1>
    </dataValidation>
    <dataValidation type="list" allowBlank="1" errorTitle="Embalagem inválida" error="Escolha uma embalagem compatível com o produto." promptTitle="Selecione a embalagem" prompt="As opções mudam conforme o produto digitado." sqref="C87" xr:uid="{D031BD57-939A-4140-8895-E7397FE47BF9}">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92A2456B-153B-4264-B424-84040B2E092D}">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89" xr:uid="{6353EED4-BF05-4AC9-A47D-A3B0E00F0470}">
      <formula1>INDIRECT(IF(OR(ISNUMBER(SEARCH("ICEBERG ICE",UPPER(TRIM($B89)))),ISNUMBER(SEARCH("ICE ICEBERG",UPPER(TRIM($B89)))),ISNUMBER(SEARCH("GELINHO ICEBERG",UPPER(TRIM($B89))))),"$AJ$2:$AJ$2",IF(ISNUMBER(SEARCH("ESPUMA",$B89)),"$AI$2:$AI$2",IF(ISNUMBER(SEARCH("CORANTE",$B89)),"$AN$2:$AN$2",IFERROR(INDEX($AB$2:$AB$139,MATCH(UPPER(TRIM($B89)),$AA$2:$AA$139,0)),"$AO$2:$AO$9")))))</formula1>
    </dataValidation>
    <dataValidation type="list" allowBlank="1" errorTitle="Embalagem inválida" error="Escolha uma embalagem compatível com o produto." promptTitle="Selecione a embalagem" prompt="As opções mudam conforme o produto digitado." sqref="C90" xr:uid="{7E262708-C83A-4104-B33A-0823A2D6B7A6}">
      <formula1>INDIRECT(IF(OR(ISNUMBER(SEARCH("ICEBERG ICE",UPPER(TRIM($B90)))),ISNUMBER(SEARCH("ICE ICEBERG",UPPER(TRIM($B90)))),ISNUMBER(SEARCH("GELINHO ICEBERG",UPPER(TRIM($B90))))),"$AJ$2:$AJ$2",IF(ISNUMBER(SEARCH("ESPUMA",$B90)),"$AI$2:$AI$2",IF(ISNUMBER(SEARCH("CORANTE",$B90)),"$AN$2:$AN$2",IFERROR(INDEX($AB$2:$AB$139,MATCH(UPPER(TRIM($B90)),$AA$2:$AA$139,0)),"$AO$2:$AO$9")))))</formula1>
    </dataValidation>
    <dataValidation type="list" allowBlank="1" errorTitle="Embalagem inválida" error="Escolha uma embalagem compatível com o produto." promptTitle="Selecione a embalagem" prompt="As opções mudam conforme o produto digitado." sqref="C91" xr:uid="{7DCC807E-B8E3-4D5F-9522-1A36F7DF1F5E}">
      <formula1>INDIRECT(IF(OR(ISNUMBER(SEARCH("ICEBERG ICE",UPPER(TRIM($B91)))),ISNUMBER(SEARCH("ICE ICEBERG",UPPER(TRIM($B91)))),ISNUMBER(SEARCH("GELINHO ICEBERG",UPPER(TRIM($B91))))),"$AJ$2:$AJ$2",IF(ISNUMBER(SEARCH("ESPUMA",$B91)),"$AI$2:$AI$2",IF(ISNUMBER(SEARCH("CORANTE",$B91)),"$AN$2:$AN$2",IFERROR(INDEX($AB$2:$AB$139,MATCH(UPPER(TRIM($B91)),$AA$2:$AA$139,0)),"$AO$2:$AO$9")))))</formula1>
    </dataValidation>
    <dataValidation type="list" allowBlank="1" errorTitle="Embalagem inválida" error="Escolha uma embalagem compatível com o produto." promptTitle="Selecione a embalagem" prompt="As opções mudam conforme o produto digitado." sqref="C95" xr:uid="{715B8A05-182B-419D-B5B2-FD984CC347B6}">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24C1E751-1650-40A0-8189-AE3C76B9D159}">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9797DFA7-5351-4881-B866-56D3EC112871}">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98" xr:uid="{349EF5AE-2D28-4111-A75A-1F51D6B9FE6B}">
      <formula1>INDIRECT(IF(OR(ISNUMBER(SEARCH("ICEBERG ICE",UPPER(TRIM($B98)))),ISNUMBER(SEARCH("ICE ICEBERG",UPPER(TRIM($B98)))),ISNUMBER(SEARCH("GELINHO ICEBERG",UPPER(TRIM($B98))))),"$AJ$2:$AJ$2",IF(ISNUMBER(SEARCH("ESPUMA",$B98)),"$AI$2:$AI$2",IF(ISNUMBER(SEARCH("CORANTE",$B98)),"$AN$2:$AN$2",IFERROR(INDEX($AB$2:$AB$139,MATCH(UPPER(TRIM($B98)),$AA$2:$AA$139,0)),"$AO$2:$AO$9")))))</formula1>
    </dataValidation>
    <dataValidation type="list" allowBlank="1" errorTitle="Embalagem inválida" error="Escolha uma embalagem compatível com o produto." promptTitle="Selecione a embalagem" prompt="As opções mudam conforme o produto digitado." sqref="C99" xr:uid="{DB616FD4-A5BB-4D58-8B93-968CAA89C59B}">
      <formula1>INDIRECT(IF(OR(ISNUMBER(SEARCH("ICEBERG ICE",UPPER(TRIM($B99)))),ISNUMBER(SEARCH("ICE ICEBERG",UPPER(TRIM($B99)))),ISNUMBER(SEARCH("GELINHO ICEBERG",UPPER(TRIM($B99))))),"$AJ$2:$AJ$2",IF(ISNUMBER(SEARCH("ESPUMA",$B99)),"$AI$2:$AI$2",IF(ISNUMBER(SEARCH("CORANTE",$B99)),"$AN$2:$AN$2",IFERROR(INDEX($AB$2:$AB$139,MATCH(UPPER(TRIM($B99)),$AA$2:$AA$139,0)),"$AO$2:$AO$9")))))</formula1>
    </dataValidation>
    <dataValidation type="list" allowBlank="1" errorTitle="Embalagem inválida" error="Escolha uma embalagem compatível com o produto." promptTitle="Selecione a embalagem" prompt="As opções mudam conforme o produto digitado." sqref="C103" xr:uid="{620AABA6-794A-4178-BF9D-274B4B51F278}">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BEF322CE-6584-44C1-9FDE-165626329E0D}">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5" xr:uid="{9D1B62ED-5A73-4CCE-931B-E0285264563A}">
      <formula1>INDIRECT(IF(OR(ISNUMBER(SEARCH("ICEBERG ICE",UPPER(TRIM($B105)))),ISNUMBER(SEARCH("ICE ICEBERG",UPPER(TRIM($B105)))),ISNUMBER(SEARCH("GELINHO ICEBERG",UPPER(TRIM($B105))))),"$AJ$2:$AJ$2",IF(ISNUMBER(SEARCH("ESPUMA",$B105)),"$AI$2:$AI$2",IF(ISNUMBER(SEARCH("CORANTE",$B105)),"$AN$2:$AN$2",IFERROR(INDEX($AB$2:$AB$139,MATCH(UPPER(TRIM($B105)),$AA$2:$AA$139,0)),"$AO$2:$AO$9")))))</formula1>
    </dataValidation>
    <dataValidation type="list" allowBlank="1" errorTitle="Embalagem inválida" error="Escolha uma embalagem compatível com o produto." promptTitle="Selecione a embalagem" prompt="As opções mudam conforme o produto digitado." sqref="C106" xr:uid="{E97C70C3-7253-45D2-B5B3-331A7371AAF1}">
      <formula1>INDIRECT(IF(OR(ISNUMBER(SEARCH("ICEBERG ICE",UPPER(TRIM($B106)))),ISNUMBER(SEARCH("ICE ICEBERG",UPPER(TRIM($B106)))),ISNUMBER(SEARCH("GELINHO ICEBERG",UPPER(TRIM($B106))))),"$AJ$2:$AJ$2",IF(ISNUMBER(SEARCH("ESPUMA",$B106)),"$AI$2:$AI$2",IF(ISNUMBER(SEARCH("CORANTE",$B106)),"$AN$2:$AN$2",IFERROR(INDEX($AB$2:$AB$139,MATCH(UPPER(TRIM($B106)),$AA$2:$AA$139,0)),"$AO$2:$AO$9")))))</formula1>
    </dataValidation>
    <dataValidation type="list" allowBlank="1" errorTitle="Embalagem inválida" error="Escolha uma embalagem compatível com o produto." promptTitle="Selecione a embalagem" prompt="As opções mudam conforme o produto digitado." sqref="C107" xr:uid="{33CC8EBB-C55C-404E-89B7-1CAA2E4DCF5F}">
      <formula1>INDIRECT(IF(OR(ISNUMBER(SEARCH("ICEBERG ICE",UPPER(TRIM($B107)))),ISNUMBER(SEARCH("ICE ICEBERG",UPPER(TRIM($B107)))),ISNUMBER(SEARCH("GELINHO ICEBERG",UPPER(TRIM($B107))))),"$AJ$2:$AJ$2",IF(ISNUMBER(SEARCH("ESPUMA",$B107)),"$AI$2:$AI$2",IF(ISNUMBER(SEARCH("CORANTE",$B107)),"$AN$2:$AN$2",IFERROR(INDEX($AB$2:$AB$139,MATCH(UPPER(TRIM($B107)),$AA$2:$AA$139,0)),"$AO$2:$AO$9")))))</formula1>
    </dataValidation>
    <dataValidation type="list" allowBlank="1" errorTitle="Embalagem inválida" error="Escolha uma embalagem compatível com o produto." promptTitle="Selecione a embalagem" prompt="As opções mudam conforme o produto digitado." sqref="C119" xr:uid="{1CD4CA09-9AA9-4F4B-9EA1-52C7247E1136}">
      <formula1>INDIRECT(IF(OR(ISNUMBER(SEARCH("ICEBERG ICE",UPPER(TRIM($B119)))),ISNUMBER(SEARCH("ICE ICEBERG",UPPER(TRIM($B119)))),ISNUMBER(SEARCH("GELINHO ICEBERG",UPPER(TRIM($B119))))),"$AJ$2:$AJ$2",IF(ISNUMBER(SEARCH("ESPUMA",$B119)),"$AI$2:$AI$2",IF(ISNUMBER(SEARCH("CORANTE",$B119)),"$AN$2:$AN$2",IFERROR(INDEX($AB$2:$AB$139,MATCH(UPPER(TRIM($B119)),$AA$2:$AA$139,0)),"$AO$2:$AO$9")))))</formula1>
    </dataValidation>
    <dataValidation type="list" allowBlank="1" errorTitle="Embalagem inválida" error="Escolha uma embalagem compatível com o produto." promptTitle="Selecione a embalagem" prompt="As opções mudam conforme o produto digitado." sqref="C120" xr:uid="{7D98E31D-6A89-4E14-974E-1AA2EDF09284}">
      <formula1>INDIRECT(IF(OR(ISNUMBER(SEARCH("ICEBERG ICE",UPPER(TRIM($B120)))),ISNUMBER(SEARCH("ICE ICEBERG",UPPER(TRIM($B120)))),ISNUMBER(SEARCH("GELINHO ICEBERG",UPPER(TRIM($B120))))),"$AJ$2:$AJ$2",IF(ISNUMBER(SEARCH("ESPUMA",$B120)),"$AI$2:$AI$2",IF(ISNUMBER(SEARCH("CORANTE",$B120)),"$AN$2:$AN$2",IFERROR(INDEX($AB$2:$AB$139,MATCH(UPPER(TRIM($B120)),$AA$2:$AA$139,0)),"$AO$2:$AO$9")))))</formula1>
    </dataValidation>
    <dataValidation type="list" allowBlank="1" errorTitle="Embalagem inválida" error="Escolha uma embalagem compatível com o produto." promptTitle="Selecione a embalagem" prompt="As opções mudam conforme o produto digitado." sqref="C121" xr:uid="{6B6A1892-B73D-4775-ADC3-005016F3E212}">
      <formula1>INDIRECT(IF(OR(ISNUMBER(SEARCH("ICEBERG ICE",UPPER(TRIM($B121)))),ISNUMBER(SEARCH("ICE ICEBERG",UPPER(TRIM($B121)))),ISNUMBER(SEARCH("GELINHO ICEBERG",UPPER(TRIM($B121))))),"$AJ$2:$AJ$2",IF(ISNUMBER(SEARCH("ESPUMA",$B121)),"$AI$2:$AI$2",IF(ISNUMBER(SEARCH("CORANTE",$B121)),"$AN$2:$AN$2",IFERROR(INDEX($AB$2:$AB$139,MATCH(UPPER(TRIM($B121)),$AA$2:$AA$139,0)),"$AO$2:$AO$9")))))</formula1>
    </dataValidation>
    <dataValidation type="list" allowBlank="1" errorTitle="Embalagem inválida" error="Escolha uma embalagem compatível com o produto." promptTitle="Selecione a embalagem" prompt="As opções mudam conforme o produto digitado." sqref="C122" xr:uid="{1269335B-EDD5-4601-A254-E190504E1B31}">
      <formula1>INDIRECT(IF(OR(ISNUMBER(SEARCH("ICEBERG ICE",UPPER(TRIM($B122)))),ISNUMBER(SEARCH("ICE ICEBERG",UPPER(TRIM($B122)))),ISNUMBER(SEARCH("GELINHO ICEBERG",UPPER(TRIM($B122))))),"$AJ$2:$AJ$2",IF(ISNUMBER(SEARCH("ESPUMA",$B122)),"$AI$2:$AI$2",IF(ISNUMBER(SEARCH("CORANTE",$B122)),"$AN$2:$AN$2",IFERROR(INDEX($AB$2:$AB$139,MATCH(UPPER(TRIM($B122)),$AA$2:$AA$139,0)),"$AO$2:$AO$9")))))</formula1>
    </dataValidation>
    <dataValidation type="list" allowBlank="1" errorTitle="Embalagem inválida" error="Escolha uma embalagem compatível com o produto." promptTitle="Selecione a embalagem" prompt="As opções mudam conforme o produto digitado." sqref="C123" xr:uid="{99E4F06E-79D4-4C97-A806-3C9A387F43EE}">
      <formula1>INDIRECT(IF(OR(ISNUMBER(SEARCH("ICEBERG ICE",UPPER(TRIM($B123)))),ISNUMBER(SEARCH("ICE ICEBERG",UPPER(TRIM($B123)))),ISNUMBER(SEARCH("GELINHO ICEBERG",UPPER(TRIM($B123))))),"$AJ$2:$AJ$2",IF(ISNUMBER(SEARCH("ESPUMA",$B123)),"$AI$2:$AI$2",IF(ISNUMBER(SEARCH("CORANTE",$B123)),"$AN$2:$AN$2",IFERROR(INDEX($AB$2:$AB$139,MATCH(UPPER(TRIM($B123)),$AA$2:$AA$139,0)),"$AO$2:$AO$9")))))</formula1>
    </dataValidation>
    <dataValidation type="list" allowBlank="1" errorTitle="Embalagem inválida" error="Escolha uma embalagem compatível com o produto." promptTitle="Selecione a embalagem" prompt="As opções mudam conforme o produto digitado." sqref="C127" xr:uid="{44D893A1-50EC-4562-A59E-12C9B024E1FE}">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F26A21F6-5350-40E4-A404-1F9560057D54}">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29" xr:uid="{EBC00AA8-98ED-43CD-8FDB-2340D704DD15}">
      <formula1>INDIRECT(IF(OR(ISNUMBER(SEARCH("ICEBERG ICE",UPPER(TRIM($B129)))),ISNUMBER(SEARCH("ICE ICEBERG",UPPER(TRIM($B129)))),ISNUMBER(SEARCH("GELINHO ICEBERG",UPPER(TRIM($B129))))),"$AJ$2:$AJ$2",IF(ISNUMBER(SEARCH("ESPUMA",$B129)),"$AI$2:$AI$2",IF(ISNUMBER(SEARCH("CORANTE",$B129)),"$AN$2:$AN$2",IFERROR(INDEX($AB$2:$AB$139,MATCH(UPPER(TRIM($B129)),$AA$2:$AA$139,0)),"$AO$2:$AO$9")))))</formula1>
    </dataValidation>
    <dataValidation type="list" allowBlank="1" errorTitle="Embalagem inválida" error="Escolha uma embalagem compatível com o produto." promptTitle="Selecione a embalagem" prompt="As opções mudam conforme o produto digitado." sqref="C130" xr:uid="{22FA586D-A857-409A-86E1-C477BA01CA46}">
      <formula1>INDIRECT(IF(OR(ISNUMBER(SEARCH("ICEBERG ICE",UPPER(TRIM($B130)))),ISNUMBER(SEARCH("ICE ICEBERG",UPPER(TRIM($B130)))),ISNUMBER(SEARCH("GELINHO ICEBERG",UPPER(TRIM($B130))))),"$AJ$2:$AJ$2",IF(ISNUMBER(SEARCH("ESPUMA",$B130)),"$AI$2:$AI$2",IF(ISNUMBER(SEARCH("CORANTE",$B130)),"$AN$2:$AN$2",IFERROR(INDEX($AB$2:$AB$139,MATCH(UPPER(TRIM($B130)),$AA$2:$AA$139,0)),"$AO$2:$AO$9")))))</formula1>
    </dataValidation>
    <dataValidation type="list" allowBlank="1" errorTitle="Embalagem inválida" error="Escolha uma embalagem compatível com o produto." promptTitle="Selecione a embalagem" prompt="As opções mudam conforme o produto digitado." sqref="C131" xr:uid="{5963687D-6B55-435E-9D60-32C33798F7E3}">
      <formula1>INDIRECT(IF(OR(ISNUMBER(SEARCH("ICEBERG ICE",UPPER(TRIM($B131)))),ISNUMBER(SEARCH("ICE ICEBERG",UPPER(TRIM($B131)))),ISNUMBER(SEARCH("GELINHO ICEBERG",UPPER(TRIM($B131))))),"$AJ$2:$AJ$2",IF(ISNUMBER(SEARCH("ESPUMA",$B131)),"$AI$2:$AI$2",IF(ISNUMBER(SEARCH("CORANTE",$B131)),"$AN$2:$AN$2",IFERROR(INDEX($AB$2:$AB$139,MATCH(UPPER(TRIM($B131)),$AA$2:$AA$139,0)),"$AO$2:$AO$9")))))</formula1>
    </dataValidation>
    <dataValidation type="list" allowBlank="1" errorTitle="Embalagem inválida" error="Escolha uma embalagem compatível com o produto." promptTitle="Selecione a embalagem" prompt="As opções mudam conforme o produto digitado." sqref="C135" xr:uid="{8D38F025-8FC2-412A-9C44-CCF41F2A6154}">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6" xr:uid="{5AB53414-1D25-457A-8795-B53298869D99}">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37" xr:uid="{E2ACE52F-7A03-482B-B7CC-9EA332FB3C6A}">
      <formula1>INDIRECT(IF(OR(ISNUMBER(SEARCH("ICEBERG ICE",UPPER(TRIM($B137)))),ISNUMBER(SEARCH("ICE ICEBERG",UPPER(TRIM($B137)))),ISNUMBER(SEARCH("GELINHO ICEBERG",UPPER(TRIM($B137))))),"$AJ$2:$AJ$2",IF(ISNUMBER(SEARCH("ESPUMA",$B137)),"$AI$2:$AI$2",IF(ISNUMBER(SEARCH("CORANTE",$B137)),"$AN$2:$AN$2",IFERROR(INDEX($AB$2:$AB$139,MATCH(UPPER(TRIM($B137)),$AA$2:$AA$139,0)),"$AO$2:$AO$9")))))</formula1>
    </dataValidation>
    <dataValidation type="list" allowBlank="1" errorTitle="Embalagem inválida" error="Escolha uma embalagem compatível com o produto." promptTitle="Selecione a embalagem" prompt="As opções mudam conforme o produto digitado." sqref="C138" xr:uid="{9DC24CFB-3FF3-4404-A149-5A5A8AC543B4}">
      <formula1>INDIRECT(IF(OR(ISNUMBER(SEARCH("ICEBERG ICE",UPPER(TRIM($B138)))),ISNUMBER(SEARCH("ICE ICEBERG",UPPER(TRIM($B138)))),ISNUMBER(SEARCH("GELINHO ICEBERG",UPPER(TRIM($B138))))),"$AJ$2:$AJ$2",IF(ISNUMBER(SEARCH("ESPUMA",$B138)),"$AI$2:$AI$2",IF(ISNUMBER(SEARCH("CORANTE",$B138)),"$AN$2:$AN$2",IFERROR(INDEX($AB$2:$AB$139,MATCH(UPPER(TRIM($B138)),$AA$2:$AA$139,0)),"$AO$2:$AO$9")))))</formula1>
    </dataValidation>
    <dataValidation type="list" allowBlank="1" errorTitle="Embalagem inválida" error="Escolha uma embalagem compatível com o produto." promptTitle="Selecione a embalagem" prompt="As opções mudam conforme o produto digitado." sqref="C139" xr:uid="{87F684A0-3602-4B02-AEE0-DD918388FD86}">
      <formula1>INDIRECT(IF(OR(ISNUMBER(SEARCH("ICEBERG ICE",UPPER(TRIM($B139)))),ISNUMBER(SEARCH("ICE ICEBERG",UPPER(TRIM($B139)))),ISNUMBER(SEARCH("GELINHO ICEBERG",UPPER(TRIM($B139))))),"$AJ$2:$AJ$2",IF(ISNUMBER(SEARCH("ESPUMA",$B139)),"$AI$2:$AI$2",IF(ISNUMBER(SEARCH("CORANTE",$B139)),"$AN$2:$AN$2",IFERROR(INDEX($AB$2:$AB$139,MATCH(UPPER(TRIM($B139)),$AA$2:$AA$139,0)),"$AO$2:$AO$9")))))</formula1>
    </dataValidation>
    <dataValidation type="list" allowBlank="1" errorTitle="Embalagem inválida" error="Escolha uma embalagem compatível com o produto." promptTitle="Selecione a embalagem" prompt="As opções mudam conforme o produto digitado." sqref="C143" xr:uid="{46CE67F3-78B9-4244-B27A-73CC1340E495}">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6CA21360-CD81-4F7C-9CCE-6267C8046FC3}">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5" xr:uid="{FE63D39F-1F51-478A-A97D-0E7FF1FF432B}">
      <formula1>INDIRECT(IF(OR(ISNUMBER(SEARCH("ICEBERG ICE",UPPER(TRIM($B145)))),ISNUMBER(SEARCH("ICE ICEBERG",UPPER(TRIM($B145)))),ISNUMBER(SEARCH("GELINHO ICEBERG",UPPER(TRIM($B145))))),"$AJ$2:$AJ$2",IF(ISNUMBER(SEARCH("ESPUMA",$B145)),"$AI$2:$AI$2",IF(ISNUMBER(SEARCH("CORANTE",$B145)),"$AN$2:$AN$2",IFERROR(INDEX($AB$2:$AB$139,MATCH(UPPER(TRIM($B145)),$AA$2:$AA$139,0)),"$AO$2:$AO$9")))))</formula1>
    </dataValidation>
    <dataValidation type="list" allowBlank="1" errorTitle="Embalagem inválida" error="Escolha uma embalagem compatível com o produto." promptTitle="Selecione a embalagem" prompt="As opções mudam conforme o produto digitado." sqref="C146" xr:uid="{68168848-6183-4077-BA3F-EE6E616EF312}">
      <formula1>INDIRECT(IF(OR(ISNUMBER(SEARCH("ICEBERG ICE",UPPER(TRIM($B146)))),ISNUMBER(SEARCH("ICE ICEBERG",UPPER(TRIM($B146)))),ISNUMBER(SEARCH("GELINHO ICEBERG",UPPER(TRIM($B146))))),"$AJ$2:$AJ$2",IF(ISNUMBER(SEARCH("ESPUMA",$B146)),"$AI$2:$AI$2",IF(ISNUMBER(SEARCH("CORANTE",$B146)),"$AN$2:$AN$2",IFERROR(INDEX($AB$2:$AB$139,MATCH(UPPER(TRIM($B146)),$AA$2:$AA$139,0)),"$AO$2:$AO$9")))))</formula1>
    </dataValidation>
    <dataValidation type="list" allowBlank="1" errorTitle="Embalagem inválida" error="Escolha uma embalagem compatível com o produto." promptTitle="Selecione a embalagem" prompt="As opções mudam conforme o produto digitado." sqref="C147" xr:uid="{65A7B763-5C7B-46E9-A561-CD176DB7312F}">
      <formula1>INDIRECT(IF(OR(ISNUMBER(SEARCH("ICEBERG ICE",UPPER(TRIM($B147)))),ISNUMBER(SEARCH("ICE ICEBERG",UPPER(TRIM($B147)))),ISNUMBER(SEARCH("GELINHO ICEBERG",UPPER(TRIM($B147))))),"$AJ$2:$AJ$2",IF(ISNUMBER(SEARCH("ESPUMA",$B147)),"$AI$2:$AI$2",IF(ISNUMBER(SEARCH("CORANTE",$B147)),"$AN$2:$AN$2",IFERROR(INDEX($AB$2:$AB$139,MATCH(UPPER(TRIM($B147)),$AA$2:$AA$139,0)),"$AO$2:$AO$9")))))</formula1>
    </dataValidation>
    <dataValidation type="list" allowBlank="1" errorTitle="Embalagem inválida" error="Escolha uma embalagem compatível com o produto." promptTitle="Selecione a embalagem" prompt="As opções mudam conforme o produto digitado." sqref="C151" xr:uid="{CB4D8487-D6CC-4272-9ABF-2C6DAAAE91A7}">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0ED55C2A-CD81-41EC-A87B-F050A50591A4}">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3" xr:uid="{93839518-5583-4E44-9069-54AE8EE0A698}">
      <formula1>INDIRECT(IF(OR(ISNUMBER(SEARCH("ICEBERG ICE",UPPER(TRIM($B153)))),ISNUMBER(SEARCH("ICE ICEBERG",UPPER(TRIM($B153)))),ISNUMBER(SEARCH("GELINHO ICEBERG",UPPER(TRIM($B153))))),"$AJ$2:$AJ$2",IF(ISNUMBER(SEARCH("ESPUMA",$B153)),"$AI$2:$AI$2",IF(ISNUMBER(SEARCH("CORANTE",$B153)),"$AN$2:$AN$2",IFERROR(INDEX($AB$2:$AB$139,MATCH(UPPER(TRIM($B153)),$AA$2:$AA$139,0)),"$AO$2:$AO$9")))))</formula1>
    </dataValidation>
    <dataValidation type="list" allowBlank="1" errorTitle="Embalagem inválida" error="Escolha uma embalagem compatível com o produto." promptTitle="Selecione a embalagem" prompt="As opções mudam conforme o produto digitado." sqref="C154" xr:uid="{3D4399DC-B70A-4CE0-AFB4-E05A1C4182BB}">
      <formula1>INDIRECT(IF(OR(ISNUMBER(SEARCH("ICEBERG ICE",UPPER(TRIM($B154)))),ISNUMBER(SEARCH("ICE ICEBERG",UPPER(TRIM($B154)))),ISNUMBER(SEARCH("GELINHO ICEBERG",UPPER(TRIM($B154))))),"$AJ$2:$AJ$2",IF(ISNUMBER(SEARCH("ESPUMA",$B154)),"$AI$2:$AI$2",IF(ISNUMBER(SEARCH("CORANTE",$B154)),"$AN$2:$AN$2",IFERROR(INDEX($AB$2:$AB$139,MATCH(UPPER(TRIM($B154)),$AA$2:$AA$139,0)),"$AO$2:$AO$9")))))</formula1>
    </dataValidation>
    <dataValidation type="list" allowBlank="1" errorTitle="Embalagem inválida" error="Escolha uma embalagem compatível com o produto." promptTitle="Selecione a embalagem" prompt="As opções mudam conforme o produto digitado." sqref="C155" xr:uid="{B9C47534-B901-401C-B6FF-1C5724975FC7}">
      <formula1>INDIRECT(IF(OR(ISNUMBER(SEARCH("ICEBERG ICE",UPPER(TRIM($B155)))),ISNUMBER(SEARCH("ICE ICEBERG",UPPER(TRIM($B155)))),ISNUMBER(SEARCH("GELINHO ICEBERG",UPPER(TRIM($B155))))),"$AJ$2:$AJ$2",IF(ISNUMBER(SEARCH("ESPUMA",$B155)),"$AI$2:$AI$2",IF(ISNUMBER(SEARCH("CORANTE",$B155)),"$AN$2:$AN$2",IFERROR(INDEX($AB$2:$AB$139,MATCH(UPPER(TRIM($B155)),$AA$2:$AA$139,0)),"$AO$2:$AO$9")))))</formula1>
    </dataValidation>
    <dataValidation type="list" allowBlank="1" errorTitle="Embalagem inválida" error="Escolha uma embalagem compatível com o produto." promptTitle="Selecione a embalagem" prompt="As opções mudam conforme o produto digitado." sqref="C156" xr:uid="{306E3AC2-4418-450B-955E-99DFF1C6B2B6}">
      <formula1>INDIRECT(IF(OR(ISNUMBER(SEARCH("ICEBERG ICE",UPPER(TRIM($B156)))),ISNUMBER(SEARCH("ICE ICEBERG",UPPER(TRIM($B156)))),ISNUMBER(SEARCH("GELINHO ICEBERG",UPPER(TRIM($B156))))),"$AJ$2:$AJ$2",IF(ISNUMBER(SEARCH("ESPUMA",$B156)),"$AI$2:$AI$2",IF(ISNUMBER(SEARCH("CORANTE",$B156)),"$AN$2:$AN$2",IFERROR(INDEX($AB$2:$AB$139,MATCH(UPPER(TRIM($B156)),$AA$2:$AA$139,0)),"$AO$2:$AO$9")))))</formula1>
    </dataValidation>
    <dataValidation type="list" allowBlank="1" errorTitle="Embalagem inválida" error="Escolha uma embalagem compatível com o produto." promptTitle="Selecione a embalagem" prompt="As opções mudam conforme o produto digitado." sqref="C160" xr:uid="{C242C97E-E487-446C-B149-C8568A7C9ECF}">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1" xr:uid="{5F9B9385-0307-4D34-912C-B5F418C37CF4}">
      <formula1>INDIRECT(IF(OR(ISNUMBER(SEARCH("ICEBERG ICE",UPPER(TRIM($B161)))),ISNUMBER(SEARCH("ICE ICEBERG",UPPER(TRIM($B161)))),ISNUMBER(SEARCH("GELINHO ICEBERG",UPPER(TRIM($B161))))),"$AJ$2:$AJ$2",IF(ISNUMBER(SEARCH("ESPUMA",$B161)),"$AI$2:$AI$2",IF(ISNUMBER(SEARCH("CORANTE",$B161)),"$AN$2:$AN$2",IFERROR(INDEX($AB$2:$AB$139,MATCH(UPPER(TRIM($B161)),$AA$2:$AA$139,0)),"$AO$2:$AO$9")))))</formula1>
    </dataValidation>
    <dataValidation type="list" allowBlank="1" errorTitle="Embalagem inválida" error="Escolha uma embalagem compatível com o produto." promptTitle="Selecione a embalagem" prompt="As opções mudam conforme o produto digitado." sqref="C162" xr:uid="{10277532-E9F1-4032-AF61-CEDCEBEAB2C0}">
      <formula1>INDIRECT(IF(OR(ISNUMBER(SEARCH("ICEBERG ICE",UPPER(TRIM($B162)))),ISNUMBER(SEARCH("ICE ICEBERG",UPPER(TRIM($B162)))),ISNUMBER(SEARCH("GELINHO ICEBERG",UPPER(TRIM($B162))))),"$AJ$2:$AJ$2",IF(ISNUMBER(SEARCH("ESPUMA",$B162)),"$AI$2:$AI$2",IF(ISNUMBER(SEARCH("CORANTE",$B162)),"$AN$2:$AN$2",IFERROR(INDEX($AB$2:$AB$139,MATCH(UPPER(TRIM($B162)),$AA$2:$AA$139,0)),"$AO$2:$AO$9")))))</formula1>
    </dataValidation>
    <dataValidation type="list" allowBlank="1" errorTitle="Embalagem inválida" error="Escolha uma embalagem compatível com o produto." promptTitle="Selecione a embalagem" prompt="As opções mudam conforme o produto digitado." sqref="C163" xr:uid="{C93B7945-6577-4C5B-976B-246DDC586EDE}">
      <formula1>INDIRECT(IF(OR(ISNUMBER(SEARCH("ICEBERG ICE",UPPER(TRIM($B163)))),ISNUMBER(SEARCH("ICE ICEBERG",UPPER(TRIM($B163)))),ISNUMBER(SEARCH("GELINHO ICEBERG",UPPER(TRIM($B163))))),"$AJ$2:$AJ$2",IF(ISNUMBER(SEARCH("ESPUMA",$B163)),"$AI$2:$AI$2",IF(ISNUMBER(SEARCH("CORANTE",$B163)),"$AN$2:$AN$2",IFERROR(INDEX($AB$2:$AB$139,MATCH(UPPER(TRIM($B163)),$AA$2:$AA$139,0)),"$AO$2:$AO$9")))))</formula1>
    </dataValidation>
    <dataValidation type="list" allowBlank="1" errorTitle="Embalagem inválida" error="Escolha uma embalagem compatível com o produto." promptTitle="Selecione a embalagem" prompt="As opções mudam conforme o produto digitado." sqref="C164" xr:uid="{84CA550B-1485-40F4-BA65-FCD270D60A14}">
      <formula1>INDIRECT(IF(OR(ISNUMBER(SEARCH("ICEBERG ICE",UPPER(TRIM($B164)))),ISNUMBER(SEARCH("ICE ICEBERG",UPPER(TRIM($B164)))),ISNUMBER(SEARCH("GELINHO ICEBERG",UPPER(TRIM($B164))))),"$AJ$2:$AJ$2",IF(ISNUMBER(SEARCH("ESPUMA",$B164)),"$AI$2:$AI$2",IF(ISNUMBER(SEARCH("CORANTE",$B164)),"$AN$2:$AN$2",IFERROR(INDEX($AB$2:$AB$139,MATCH(UPPER(TRIM($B164)),$AA$2:$AA$139,0)),"$AO$2:$AO$9")))))</formula1>
    </dataValidation>
    <dataValidation type="list" allowBlank="1" errorTitle="Embalagem inválida" error="Escolha uma embalagem compatível com o produto." promptTitle="Selecione a embalagem" prompt="As opções mudam conforme o produto digitado." sqref="C168" xr:uid="{58DEC623-D1A2-4445-BAE4-902424554245}">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69" xr:uid="{E28CDF3C-EA27-445F-973C-CEF6E5A9F901}">
      <formula1>INDIRECT(IF(OR(ISNUMBER(SEARCH("ICEBERG ICE",UPPER(TRIM($B169)))),ISNUMBER(SEARCH("ICE ICEBERG",UPPER(TRIM($B169)))),ISNUMBER(SEARCH("GELINHO ICEBERG",UPPER(TRIM($B169))))),"$AJ$2:$AJ$2",IF(ISNUMBER(SEARCH("ESPUMA",$B169)),"$AI$2:$AI$2",IF(ISNUMBER(SEARCH("CORANTE",$B169)),"$AN$2:$AN$2",IFERROR(INDEX($AB$2:$AB$139,MATCH(UPPER(TRIM($B169)),$AA$2:$AA$139,0)),"$AO$2:$AO$9")))))</formula1>
    </dataValidation>
    <dataValidation type="list" allowBlank="1" errorTitle="Embalagem inválida" error="Escolha uma embalagem compatível com o produto." promptTitle="Selecione a embalagem" prompt="As opções mudam conforme o produto digitado." sqref="C170" xr:uid="{2819C4F9-1C01-4664-B870-F4CC22D09334}">
      <formula1>INDIRECT(IF(OR(ISNUMBER(SEARCH("ICEBERG ICE",UPPER(TRIM($B170)))),ISNUMBER(SEARCH("ICE ICEBERG",UPPER(TRIM($B170)))),ISNUMBER(SEARCH("GELINHO ICEBERG",UPPER(TRIM($B170))))),"$AJ$2:$AJ$2",IF(ISNUMBER(SEARCH("ESPUMA",$B170)),"$AI$2:$AI$2",IF(ISNUMBER(SEARCH("CORANTE",$B170)),"$AN$2:$AN$2",IFERROR(INDEX($AB$2:$AB$139,MATCH(UPPER(TRIM($B170)),$AA$2:$AA$139,0)),"$AO$2:$AO$9")))))</formula1>
    </dataValidation>
    <dataValidation type="list" allowBlank="1" errorTitle="Embalagem inválida" error="Escolha uma embalagem compatível com o produto." promptTitle="Selecione a embalagem" prompt="As opções mudam conforme o produto digitado." sqref="C171" xr:uid="{60D663AC-F660-4B0F-88F0-07F9EE395FD1}">
      <formula1>INDIRECT(IF(OR(ISNUMBER(SEARCH("ICEBERG ICE",UPPER(TRIM($B171)))),ISNUMBER(SEARCH("ICE ICEBERG",UPPER(TRIM($B171)))),ISNUMBER(SEARCH("GELINHO ICEBERG",UPPER(TRIM($B171))))),"$AJ$2:$AJ$2",IF(ISNUMBER(SEARCH("ESPUMA",$B171)),"$AI$2:$AI$2",IF(ISNUMBER(SEARCH("CORANTE",$B171)),"$AN$2:$AN$2",IFERROR(INDEX($AB$2:$AB$139,MATCH(UPPER(TRIM($B171)),$AA$2:$AA$139,0)),"$AO$2:$AO$9")))))</formula1>
    </dataValidation>
    <dataValidation type="list" allowBlank="1" errorTitle="Embalagem inválida" error="Escolha uma embalagem compatível com o produto." promptTitle="Selecione a embalagem" prompt="As opções mudam conforme o produto digitado." sqref="C172" xr:uid="{122F9622-8F22-4E1F-AA10-0229E09BC35D}">
      <formula1>INDIRECT(IF(OR(ISNUMBER(SEARCH("ICEBERG ICE",UPPER(TRIM($B172)))),ISNUMBER(SEARCH("ICE ICEBERG",UPPER(TRIM($B172)))),ISNUMBER(SEARCH("GELINHO ICEBERG",UPPER(TRIM($B172))))),"$AJ$2:$AJ$2",IF(ISNUMBER(SEARCH("ESPUMA",$B172)),"$AI$2:$AI$2",IF(ISNUMBER(SEARCH("CORANTE",$B172)),"$AN$2:$AN$2",IFERROR(INDEX($AB$2:$AB$139,MATCH(UPPER(TRIM($B172)),$AA$2:$AA$139,0)),"$AO$2:$AO$9")))))</formula1>
    </dataValidation>
    <dataValidation type="list" allowBlank="1" errorTitle="Embalagem inválida" error="Escolha uma embalagem compatível com o produto." promptTitle="Selecione a embalagem" prompt="As opções mudam conforme o produto digitado." sqref="C176" xr:uid="{93CE325C-6C27-48FF-98E9-59F841E4AE9B}">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77" xr:uid="{313538C8-685C-4397-B1E3-52E0D2895EBF}">
      <formula1>INDIRECT(IF(OR(ISNUMBER(SEARCH("ICEBERG ICE",UPPER(TRIM($B177)))),ISNUMBER(SEARCH("ICE ICEBERG",UPPER(TRIM($B177)))),ISNUMBER(SEARCH("GELINHO ICEBERG",UPPER(TRIM($B177))))),"$AJ$2:$AJ$2",IF(ISNUMBER(SEARCH("ESPUMA",$B177)),"$AI$2:$AI$2",IF(ISNUMBER(SEARCH("CORANTE",$B177)),"$AN$2:$AN$2",IFERROR(INDEX($AB$2:$AB$139,MATCH(UPPER(TRIM($B177)),$AA$2:$AA$139,0)),"$AO$2:$AO$9")))))</formula1>
    </dataValidation>
    <dataValidation type="list" allowBlank="1" errorTitle="Embalagem inválida" error="Escolha uma embalagem compatível com o produto." promptTitle="Selecione a embalagem" prompt="As opções mudam conforme o produto digitado." sqref="C178" xr:uid="{53276C60-EAAC-49AC-8AED-831F742CAF48}">
      <formula1>INDIRECT(IF(OR(ISNUMBER(SEARCH("ICEBERG ICE",UPPER(TRIM($B178)))),ISNUMBER(SEARCH("ICE ICEBERG",UPPER(TRIM($B178)))),ISNUMBER(SEARCH("GELINHO ICEBERG",UPPER(TRIM($B178))))),"$AJ$2:$AJ$2",IF(ISNUMBER(SEARCH("ESPUMA",$B178)),"$AI$2:$AI$2",IF(ISNUMBER(SEARCH("CORANTE",$B178)),"$AN$2:$AN$2",IFERROR(INDEX($AB$2:$AB$139,MATCH(UPPER(TRIM($B178)),$AA$2:$AA$139,0)),"$AO$2:$AO$9")))))</formula1>
    </dataValidation>
    <dataValidation type="list" allowBlank="1" errorTitle="Embalagem inválida" error="Escolha uma embalagem compatível com o produto." promptTitle="Selecione a embalagem" prompt="As opções mudam conforme o produto digitado." sqref="C179" xr:uid="{AB672BAF-FA99-452D-9A1B-93A9CA06F5C4}">
      <formula1>INDIRECT(IF(OR(ISNUMBER(SEARCH("ICEBERG ICE",UPPER(TRIM($B179)))),ISNUMBER(SEARCH("ICE ICEBERG",UPPER(TRIM($B179)))),ISNUMBER(SEARCH("GELINHO ICEBERG",UPPER(TRIM($B179))))),"$AJ$2:$AJ$2",IF(ISNUMBER(SEARCH("ESPUMA",$B179)),"$AI$2:$AI$2",IF(ISNUMBER(SEARCH("CORANTE",$B179)),"$AN$2:$AN$2",IFERROR(INDEX($AB$2:$AB$139,MATCH(UPPER(TRIM($B179)),$AA$2:$AA$139,0)),"$AO$2:$AO$9")))))</formula1>
    </dataValidation>
    <dataValidation type="list" allowBlank="1" errorTitle="Embalagem inválida" error="Escolha uma embalagem compatível com o produto." promptTitle="Selecione a embalagem" prompt="As opções mudam conforme o produto digitado." sqref="C180" xr:uid="{B7826016-7CDA-4A09-B241-5B6FC272D690}">
      <formula1>INDIRECT(IF(OR(ISNUMBER(SEARCH("ICEBERG ICE",UPPER(TRIM($B180)))),ISNUMBER(SEARCH("ICE ICEBERG",UPPER(TRIM($B180)))),ISNUMBER(SEARCH("GELINHO ICEBERG",UPPER(TRIM($B180))))),"$AJ$2:$AJ$2",IF(ISNUMBER(SEARCH("ESPUMA",$B180)),"$AI$2:$AI$2",IF(ISNUMBER(SEARCH("CORANTE",$B180)),"$AN$2:$AN$2",IFERROR(INDEX($AB$2:$AB$139,MATCH(UPPER(TRIM($B180)),$AA$2:$AA$139,0)),"$AO$2:$AO$9")))))</formula1>
    </dataValidation>
    <dataValidation type="list" allowBlank="1" errorTitle="Embalagem inválida" error="Escolha uma embalagem compatível com o produto." promptTitle="Selecione a embalagem" prompt="As opções mudam conforme o produto digitado." sqref="C185" xr:uid="{14DB05D8-A29D-4C59-A3B0-84BD034E1719}">
      <formula1>INDIRECT(IF(OR(ISNUMBER(SEARCH("ICEBERG ICE",UPPER(TRIM($B185)))),ISNUMBER(SEARCH("ICE ICEBERG",UPPER(TRIM($B185)))),ISNUMBER(SEARCH("GELINHO ICEBERG",UPPER(TRIM($B185))))),"$AJ$2:$AJ$2",IF(ISNUMBER(SEARCH("ESPUMA",$B185)),"$AI$2:$AI$2",IF(ISNUMBER(SEARCH("CORANTE",$B185)),"$AN$2:$AN$2",IFERROR(INDEX($AB$2:$AB$139,MATCH(UPPER(TRIM($B185)),$AA$2:$AA$139,0)),"$AO$2:$AO$9")))))</formula1>
    </dataValidation>
    <dataValidation type="list" allowBlank="1" errorTitle="Embalagem inválida" error="Escolha uma embalagem compatível com o produto." promptTitle="Selecione a embalagem" prompt="As opções mudam conforme o produto digitado." sqref="C186" xr:uid="{A0CB8AE0-DC0F-4348-8C54-3677CB759C06}">
      <formula1>INDIRECT(IF(OR(ISNUMBER(SEARCH("ICEBERG ICE",UPPER(TRIM($B186)))),ISNUMBER(SEARCH("ICE ICEBERG",UPPER(TRIM($B186)))),ISNUMBER(SEARCH("GELINHO ICEBERG",UPPER(TRIM($B186))))),"$AJ$2:$AJ$2",IF(ISNUMBER(SEARCH("ESPUMA",$B186)),"$AI$2:$AI$2",IF(ISNUMBER(SEARCH("CORANTE",$B186)),"$AN$2:$AN$2",IFERROR(INDEX($AB$2:$AB$139,MATCH(UPPER(TRIM($B186)),$AA$2:$AA$139,0)),"$AO$2:$AO$9")))))</formula1>
    </dataValidation>
    <dataValidation type="list" allowBlank="1" errorTitle="Embalagem inválida" error="Escolha uma embalagem compatível com o produto." promptTitle="Selecione a embalagem" prompt="As opções mudam conforme o produto digitado." sqref="C187" xr:uid="{4B986589-7824-44FB-BFDE-79074520CE7E}">
      <formula1>INDIRECT(IF(OR(ISNUMBER(SEARCH("ICEBERG ICE",UPPER(TRIM($B187)))),ISNUMBER(SEARCH("ICE ICEBERG",UPPER(TRIM($B187)))),ISNUMBER(SEARCH("GELINHO ICEBERG",UPPER(TRIM($B187))))),"$AJ$2:$AJ$2",IF(ISNUMBER(SEARCH("ESPUMA",$B187)),"$AI$2:$AI$2",IF(ISNUMBER(SEARCH("CORANTE",$B187)),"$AN$2:$AN$2",IFERROR(INDEX($AB$2:$AB$139,MATCH(UPPER(TRIM($B187)),$AA$2:$AA$139,0)),"$AO$2:$AO$9")))))</formula1>
    </dataValidation>
    <dataValidation type="list" allowBlank="1" errorTitle="Embalagem inválida" error="Escolha uma embalagem compatível com o produto." promptTitle="Selecione a embalagem" prompt="As opções mudam conforme o produto digitado." sqref="C188" xr:uid="{C2729BB9-5AF4-4AA7-8C97-A90A81724612}">
      <formula1>INDIRECT(IF(OR(ISNUMBER(SEARCH("ICEBERG ICE",UPPER(TRIM($B188)))),ISNUMBER(SEARCH("ICE ICEBERG",UPPER(TRIM($B188)))),ISNUMBER(SEARCH("GELINHO ICEBERG",UPPER(TRIM($B188))))),"$AJ$2:$AJ$2",IF(ISNUMBER(SEARCH("ESPUMA",$B188)),"$AI$2:$AI$2",IF(ISNUMBER(SEARCH("CORANTE",$B188)),"$AN$2:$AN$2",IFERROR(INDEX($AB$2:$AB$139,MATCH(UPPER(TRIM($B188)),$AA$2:$AA$139,0)),"$AO$2:$AO$9")))))</formula1>
    </dataValidation>
    <dataValidation type="list" allowBlank="1" errorTitle="Embalagem inválida" error="Escolha uma embalagem compatível com o produto." promptTitle="Selecione a embalagem" prompt="As opções mudam conforme o produto digitado." sqref="C192" xr:uid="{FE3EF941-AF09-4295-808B-4406EC626DA8}">
      <formula1>INDIRECT(IF(OR(ISNUMBER(SEARCH("ICEBERG ICE",UPPER(TRIM($B192)))),ISNUMBER(SEARCH("ICE ICEBERG",UPPER(TRIM($B192)))),ISNUMBER(SEARCH("GELINHO ICEBERG",UPPER(TRIM($B192))))),"$AJ$2:$AJ$2",IF(ISNUMBER(SEARCH("ESPUMA",$B192)),"$AI$2:$AI$2",IF(ISNUMBER(SEARCH("CORANTE",$B192)),"$AN$2:$AN$2",IFERROR(INDEX($AB$2:$AB$139,MATCH(UPPER(TRIM($B192)),$AA$2:$AA$139,0)),"$AO$2:$AO$9")))))</formula1>
    </dataValidation>
    <dataValidation type="list" allowBlank="1" errorTitle="Embalagem inválida" error="Escolha uma embalagem compatível com o produto." promptTitle="Selecione a embalagem" prompt="As opções mudam conforme o produto digitado." sqref="C193" xr:uid="{A583E334-812B-42DE-B5F3-274CB36F8758}">
      <formula1>INDIRECT(IF(OR(ISNUMBER(SEARCH("ICEBERG ICE",UPPER(TRIM($B193)))),ISNUMBER(SEARCH("ICE ICEBERG",UPPER(TRIM($B193)))),ISNUMBER(SEARCH("GELINHO ICEBERG",UPPER(TRIM($B193))))),"$AJ$2:$AJ$2",IF(ISNUMBER(SEARCH("ESPUMA",$B193)),"$AI$2:$AI$2",IF(ISNUMBER(SEARCH("CORANTE",$B193)),"$AN$2:$AN$2",IFERROR(INDEX($AB$2:$AB$139,MATCH(UPPER(TRIM($B193)),$AA$2:$AA$139,0)),"$AO$2:$AO$9")))))</formula1>
    </dataValidation>
    <dataValidation type="list" allowBlank="1" errorTitle="Embalagem inválida" error="Escolha uma embalagem compatível com o produto." promptTitle="Selecione a embalagem" prompt="As opções mudam conforme o produto digitado." sqref="C194" xr:uid="{455C6541-BC84-437A-8EF9-623695B8F4AD}">
      <formula1>INDIRECT(IF(OR(ISNUMBER(SEARCH("ICEBERG ICE",UPPER(TRIM($B194)))),ISNUMBER(SEARCH("ICE ICEBERG",UPPER(TRIM($B194)))),ISNUMBER(SEARCH("GELINHO ICEBERG",UPPER(TRIM($B194))))),"$AJ$2:$AJ$2",IF(ISNUMBER(SEARCH("ESPUMA",$B194)),"$AI$2:$AI$2",IF(ISNUMBER(SEARCH("CORANTE",$B194)),"$AN$2:$AN$2",IFERROR(INDEX($AB$2:$AB$139,MATCH(UPPER(TRIM($B194)),$AA$2:$AA$139,0)),"$AO$2:$AO$9")))))</formula1>
    </dataValidation>
    <dataValidation type="list" allowBlank="1" errorTitle="Embalagem inválida" error="Escolha uma embalagem compatível com o produto." promptTitle="Selecione a embalagem" prompt="As opções mudam conforme o produto digitado." sqref="C195" xr:uid="{9235B663-3CD9-4AD3-B492-FCD03EABF9F2}">
      <formula1>INDIRECT(IF(OR(ISNUMBER(SEARCH("ICEBERG ICE",UPPER(TRIM($B195)))),ISNUMBER(SEARCH("ICE ICEBERG",UPPER(TRIM($B195)))),ISNUMBER(SEARCH("GELINHO ICEBERG",UPPER(TRIM($B195))))),"$AJ$2:$AJ$2",IF(ISNUMBER(SEARCH("ESPUMA",$B195)),"$AI$2:$AI$2",IF(ISNUMBER(SEARCH("CORANTE",$B195)),"$AN$2:$AN$2",IFERROR(INDEX($AB$2:$AB$139,MATCH(UPPER(TRIM($B195)),$AA$2:$AA$139,0)),"$AO$2:$AO$9")))))</formula1>
    </dataValidation>
    <dataValidation type="list" allowBlank="1" errorTitle="Embalagem inválida" error="Escolha uma embalagem compatível com o produto." promptTitle="Selecione a embalagem" prompt="As opções mudam conforme o produto digitado." sqref="C196" xr:uid="{7C5949C6-CC20-4411-8080-C786CE8F5695}">
      <formula1>INDIRECT(IF(OR(ISNUMBER(SEARCH("ICEBERG ICE",UPPER(TRIM($B196)))),ISNUMBER(SEARCH("ICE ICEBERG",UPPER(TRIM($B196)))),ISNUMBER(SEARCH("GELINHO ICEBERG",UPPER(TRIM($B196))))),"$AJ$2:$AJ$2",IF(ISNUMBER(SEARCH("ESPUMA",$B196)),"$AI$2:$AI$2",IF(ISNUMBER(SEARCH("CORANTE",$B196)),"$AN$2:$AN$2",IFERROR(INDEX($AB$2:$AB$139,MATCH(UPPER(TRIM($B196)),$AA$2:$AA$139,0)),"$AO$2:$AO$9")))))</formula1>
    </dataValidation>
    <dataValidation type="list" allowBlank="1" errorTitle="Embalagem inválida" error="Escolha uma embalagem compatível com o produto." promptTitle="Selecione a embalagem" prompt="As opções mudam conforme o produto digitado." sqref="C200" xr:uid="{1703F31D-0314-49E1-BAB7-43DB9602A7E7}">
      <formula1>INDIRECT(IF(OR(ISNUMBER(SEARCH("ICEBERG ICE",UPPER(TRIM($B200)))),ISNUMBER(SEARCH("ICE ICEBERG",UPPER(TRIM($B200)))),ISNUMBER(SEARCH("GELINHO ICEBERG",UPPER(TRIM($B200))))),"$AJ$2:$AJ$2",IF(ISNUMBER(SEARCH("ESPUMA",$B200)),"$AI$2:$AI$2",IF(ISNUMBER(SEARCH("CORANTE",$B200)),"$AN$2:$AN$2",IFERROR(INDEX($AB$2:$AB$139,MATCH(UPPER(TRIM($B200)),$AA$2:$AA$139,0)),"$AO$2:$AO$9")))))</formula1>
    </dataValidation>
    <dataValidation type="list" allowBlank="1" errorTitle="Embalagem inválida" error="Escolha uma embalagem compatível com o produto." promptTitle="Selecione a embalagem" prompt="As opções mudam conforme o produto digitado." sqref="C201" xr:uid="{A8A633FA-E84C-4CAB-A32E-384EC4D5D725}">
      <formula1>INDIRECT(IF(OR(ISNUMBER(SEARCH("ICEBERG ICE",UPPER(TRIM($B201)))),ISNUMBER(SEARCH("ICE ICEBERG",UPPER(TRIM($B201)))),ISNUMBER(SEARCH("GELINHO ICEBERG",UPPER(TRIM($B201))))),"$AJ$2:$AJ$2",IF(ISNUMBER(SEARCH("ESPUMA",$B201)),"$AI$2:$AI$2",IF(ISNUMBER(SEARCH("CORANTE",$B201)),"$AN$2:$AN$2",IFERROR(INDEX($AB$2:$AB$139,MATCH(UPPER(TRIM($B201)),$AA$2:$AA$139,0)),"$AO$2:$AO$9")))))</formula1>
    </dataValidation>
    <dataValidation type="list" allowBlank="1" errorTitle="Embalagem inválida" error="Escolha uma embalagem compatível com o produto." promptTitle="Selecione a embalagem" prompt="As opções mudam conforme o produto digitado." sqref="C202" xr:uid="{9AA81E7E-C556-467D-8094-3CB07D60845B}">
      <formula1>INDIRECT(IF(OR(ISNUMBER(SEARCH("ICEBERG ICE",UPPER(TRIM($B202)))),ISNUMBER(SEARCH("ICE ICEBERG",UPPER(TRIM($B202)))),ISNUMBER(SEARCH("GELINHO ICEBERG",UPPER(TRIM($B202))))),"$AJ$2:$AJ$2",IF(ISNUMBER(SEARCH("ESPUMA",$B202)),"$AI$2:$AI$2",IF(ISNUMBER(SEARCH("CORANTE",$B202)),"$AN$2:$AN$2",IFERROR(INDEX($AB$2:$AB$139,MATCH(UPPER(TRIM($B202)),$AA$2:$AA$139,0)),"$AO$2:$AO$9")))))</formula1>
    </dataValidation>
    <dataValidation type="list" allowBlank="1" errorTitle="Embalagem inválida" error="Escolha uma embalagem compatível com o produto." promptTitle="Selecione a embalagem" prompt="As opções mudam conforme o produto digitado." sqref="C203" xr:uid="{2E45FD37-55F1-4682-91B0-1370148DB316}">
      <formula1>INDIRECT(IF(OR(ISNUMBER(SEARCH("ICEBERG ICE",UPPER(TRIM($B203)))),ISNUMBER(SEARCH("ICE ICEBERG",UPPER(TRIM($B203)))),ISNUMBER(SEARCH("GELINHO ICEBERG",UPPER(TRIM($B203))))),"$AJ$2:$AJ$2",IF(ISNUMBER(SEARCH("ESPUMA",$B203)),"$AI$2:$AI$2",IF(ISNUMBER(SEARCH("CORANTE",$B203)),"$AN$2:$AN$2",IFERROR(INDEX($AB$2:$AB$139,MATCH(UPPER(TRIM($B203)),$AA$2:$AA$139,0)),"$AO$2:$AO$9")))))</formula1>
    </dataValidation>
    <dataValidation type="list" allowBlank="1" errorTitle="Embalagem inválida" error="Escolha uma embalagem compatível com o produto." promptTitle="Selecione a embalagem" prompt="As opções mudam conforme o produto digitado." sqref="C204" xr:uid="{FEB4E6D5-E97C-4693-A7FE-A43332431394}">
      <formula1>INDIRECT(IF(OR(ISNUMBER(SEARCH("ICEBERG ICE",UPPER(TRIM($B204)))),ISNUMBER(SEARCH("ICE ICEBERG",UPPER(TRIM($B204)))),ISNUMBER(SEARCH("GELINHO ICEBERG",UPPER(TRIM($B204))))),"$AJ$2:$AJ$2",IF(ISNUMBER(SEARCH("ESPUMA",$B204)),"$AI$2:$AI$2",IF(ISNUMBER(SEARCH("CORANTE",$B204)),"$AN$2:$AN$2",IFERROR(INDEX($AB$2:$AB$139,MATCH(UPPER(TRIM($B204)),$AA$2:$AA$139,0)),"$AO$2:$AO$9")))))</formula1>
    </dataValidation>
  </dataValidation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C5-C534-4B3D-B3D8-88D36C29CC98}">
  <sheetPr>
    <tabColor rgb="FF0F766E"/>
  </sheetPr>
  <dimension ref="A1:AB59"/>
  <sheetViews>
    <sheetView showGridLines="0" topLeftCell="B1" zoomScale="90" zoomScaleNormal="90" workbookViewId="0">
      <selection activeCell="I30" sqref="I30"/>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6" width="12" style="1" customWidth="1"/>
    <col min="7" max="7" width="50" style="1" customWidth="1"/>
    <col min="8" max="8" width="4" style="1" customWidth="1"/>
    <col min="9" max="9" width="14" style="1" customWidth="1"/>
    <col min="10" max="10" width="4" style="1" customWidth="1"/>
    <col min="11" max="11" width="12" style="1" customWidth="1"/>
    <col min="12" max="13" width="18" style="1" customWidth="1"/>
    <col min="14" max="14" width="13" style="1" customWidth="1"/>
    <col min="15" max="15" width="8.5546875" style="1"/>
    <col min="16" max="23" width="0.33203125" style="1" customWidth="1"/>
    <col min="24" max="24" width="8.5546875" style="1"/>
    <col min="25" max="26" width="13" style="1" hidden="1" customWidth="1"/>
    <col min="27" max="16384" width="8.5546875" style="1"/>
  </cols>
  <sheetData>
    <row r="1" spans="1:28" ht="19.5" customHeight="1" x14ac:dyDescent="0.3">
      <c r="A1" s="655" t="s">
        <v>500</v>
      </c>
      <c r="B1" s="655"/>
      <c r="C1" s="655"/>
      <c r="D1" s="655"/>
      <c r="E1" s="655"/>
      <c r="F1" s="655"/>
      <c r="G1" s="655"/>
      <c r="H1" s="430"/>
      <c r="I1" s="430"/>
      <c r="J1" s="430"/>
      <c r="K1" s="424"/>
      <c r="L1" s="424"/>
      <c r="M1" s="424"/>
      <c r="N1" s="424"/>
      <c r="O1" s="424"/>
    </row>
    <row r="2" spans="1:28" ht="14.55" customHeight="1" x14ac:dyDescent="0.3">
      <c r="A2" s="425"/>
      <c r="B2" s="424"/>
      <c r="C2" s="424"/>
      <c r="D2" s="424"/>
      <c r="E2" s="424"/>
      <c r="F2" s="424"/>
      <c r="G2" s="424"/>
      <c r="H2" s="424"/>
      <c r="I2" s="424"/>
      <c r="J2" s="424"/>
      <c r="K2" s="424"/>
      <c r="L2" s="424"/>
      <c r="M2" s="424"/>
      <c r="N2" s="424"/>
      <c r="O2" s="424"/>
    </row>
    <row r="3" spans="1:28" ht="14.25" customHeight="1" x14ac:dyDescent="0.3">
      <c r="A3" s="425"/>
      <c r="B3" s="449"/>
      <c r="C3" s="426" t="s">
        <v>200</v>
      </c>
      <c r="D3" s="449"/>
      <c r="E3" s="426" t="s">
        <v>201</v>
      </c>
      <c r="F3" s="449"/>
      <c r="G3" s="427" t="s">
        <v>202</v>
      </c>
      <c r="H3" s="449"/>
      <c r="I3" s="426" t="s">
        <v>203</v>
      </c>
      <c r="J3" s="449"/>
      <c r="K3" s="433" t="s">
        <v>204</v>
      </c>
      <c r="L3" s="434" t="s">
        <v>205</v>
      </c>
      <c r="M3" s="417" t="s">
        <v>206</v>
      </c>
      <c r="N3" s="424"/>
      <c r="O3" s="424"/>
    </row>
    <row r="4" spans="1:28" ht="15.75" customHeight="1" x14ac:dyDescent="0.3">
      <c r="A4" s="425"/>
      <c r="B4" s="450"/>
      <c r="C4" s="428">
        <f>SUM(D9:D32)</f>
        <v>256482</v>
      </c>
      <c r="D4" s="450"/>
      <c r="E4" s="428">
        <f>SUM(E9:E32)</f>
        <v>242000</v>
      </c>
      <c r="F4" s="450"/>
      <c r="G4" s="428">
        <f>IFERROR(SUM(D9:D32)/COUNTIF(D9:D32,"&gt;0"),0)</f>
        <v>11658.272727272728</v>
      </c>
      <c r="H4" s="450"/>
      <c r="I4" s="428">
        <f>IFERROR(MAX(D9:D32),0)</f>
        <v>20196</v>
      </c>
      <c r="J4" s="450"/>
      <c r="K4" s="429">
        <f>IFERROR(C4/E4,0)</f>
        <v>1.0598429752066116</v>
      </c>
      <c r="L4" s="418" t="s">
        <v>207</v>
      </c>
      <c r="M4" s="419" t="s">
        <v>208</v>
      </c>
      <c r="N4" s="424"/>
      <c r="O4" s="424"/>
    </row>
    <row r="5" spans="1:28" ht="15" customHeight="1" x14ac:dyDescent="0.3">
      <c r="A5" s="425"/>
      <c r="B5" s="424"/>
      <c r="C5" s="424"/>
      <c r="D5" s="424"/>
      <c r="E5" s="424"/>
      <c r="F5" s="424"/>
      <c r="G5" s="424"/>
      <c r="H5" s="424"/>
      <c r="I5" s="424"/>
      <c r="J5" s="424"/>
      <c r="K5" s="424"/>
      <c r="L5" s="420" t="s">
        <v>209</v>
      </c>
      <c r="M5" s="421" t="s">
        <v>210</v>
      </c>
      <c r="N5" s="424"/>
      <c r="O5" s="424"/>
    </row>
    <row r="6" spans="1:28" ht="15" customHeight="1" x14ac:dyDescent="0.3">
      <c r="A6" s="425"/>
      <c r="B6" s="424"/>
      <c r="C6" s="424"/>
      <c r="D6" s="424"/>
      <c r="E6" s="424"/>
      <c r="F6" s="424"/>
      <c r="G6" s="424"/>
      <c r="H6" s="424"/>
      <c r="I6" s="424"/>
      <c r="J6" s="424"/>
      <c r="K6" s="424"/>
      <c r="L6" s="422" t="s">
        <v>211</v>
      </c>
      <c r="M6" s="423" t="s">
        <v>212</v>
      </c>
      <c r="N6" s="424"/>
      <c r="O6" s="424"/>
    </row>
    <row r="7" spans="1:28" ht="14.55" customHeight="1" x14ac:dyDescent="0.3">
      <c r="A7" s="425"/>
      <c r="B7" s="424"/>
      <c r="C7" s="424"/>
      <c r="D7" s="424"/>
      <c r="E7" s="424"/>
      <c r="F7" s="424"/>
      <c r="G7" s="424"/>
      <c r="H7" s="424"/>
      <c r="I7" s="424"/>
      <c r="J7" s="424"/>
      <c r="K7" s="424"/>
      <c r="L7" s="424"/>
      <c r="M7" s="424"/>
      <c r="N7" s="424"/>
      <c r="O7" s="424"/>
    </row>
    <row r="8" spans="1:28" ht="14.25" customHeight="1" x14ac:dyDescent="0.3">
      <c r="A8" s="451" t="s">
        <v>213</v>
      </c>
      <c r="B8" s="446" t="s">
        <v>214</v>
      </c>
      <c r="C8" s="452" t="s">
        <v>501</v>
      </c>
      <c r="D8" s="452" t="s">
        <v>215</v>
      </c>
      <c r="E8" s="452" t="s">
        <v>216</v>
      </c>
      <c r="F8" s="452" t="s">
        <v>217</v>
      </c>
      <c r="G8" s="447" t="s">
        <v>218</v>
      </c>
      <c r="H8" s="424"/>
      <c r="I8" s="424"/>
      <c r="J8" s="424"/>
      <c r="K8" s="424"/>
      <c r="L8" s="424"/>
      <c r="M8" s="424"/>
      <c r="N8" s="424"/>
      <c r="O8" s="424"/>
      <c r="P8" s="1" t="s">
        <v>1273</v>
      </c>
      <c r="Q8" s="1" t="s">
        <v>210</v>
      </c>
      <c r="R8" s="1" t="s">
        <v>212</v>
      </c>
      <c r="S8" s="1" t="s">
        <v>208</v>
      </c>
      <c r="T8" t="s">
        <v>1273</v>
      </c>
      <c r="U8" t="s">
        <v>210</v>
      </c>
      <c r="V8" t="s">
        <v>212</v>
      </c>
      <c r="W8" t="s">
        <v>208</v>
      </c>
      <c r="Y8" s="1" t="s">
        <v>219</v>
      </c>
      <c r="Z8" s="1" t="s">
        <v>220</v>
      </c>
      <c r="AA8"/>
      <c r="AB8"/>
    </row>
    <row r="9" spans="1:28" x14ac:dyDescent="0.3">
      <c r="A9" s="412">
        <v>46113</v>
      </c>
      <c r="B9" s="414">
        <f>IF(E9&gt;0,COUNTIF($E$9:E9,"&gt;0"),"")</f>
        <v>1</v>
      </c>
      <c r="C9" s="888" t="s">
        <v>502</v>
      </c>
      <c r="D9" s="888">
        <f>'SEMANA ABRIL'!$I$4+'SEMANA ABRIL'!$I$5+'SEMANA ABRIL'!$I$6+'SEMANA ABRIL'!$I$7+'SEMANA ABRIL'!$I$8+'SEMANA ABRIL'!$I$9+'SEMANA ABRIL'!$I$10</f>
        <v>13872</v>
      </c>
      <c r="E9" s="889">
        <f>IF(D9&gt;0,CONFIG!$B$3,0)</f>
        <v>11000</v>
      </c>
      <c r="F9" s="453">
        <f t="shared" ref="F9:F32" si="0">IF(D9&gt;0,D9-E9,0)</f>
        <v>2872</v>
      </c>
      <c r="G9" s="442"/>
      <c r="H9" s="424"/>
      <c r="I9" s="424"/>
      <c r="J9" s="424"/>
      <c r="K9" s="424"/>
      <c r="L9" s="424"/>
      <c r="M9" s="424"/>
      <c r="N9" s="424"/>
      <c r="O9" s="424"/>
      <c r="P9" s="93">
        <f t="shared" ref="P9:P32" si="1">B9</f>
        <v>1</v>
      </c>
      <c r="Q9" s="1" t="e">
        <f t="shared" ref="Q9:Q32" si="2">IF(AND($D9&gt;0,$D9&lt;$E9),$D9,NA())</f>
        <v>#N/A</v>
      </c>
      <c r="R9" s="1" t="e">
        <f t="shared" ref="R9:R32" si="3">IF(AND($D9&gt;0,$D9=$E9),$D9,NA())</f>
        <v>#N/A</v>
      </c>
      <c r="S9" s="1">
        <f t="shared" ref="S9:S32" si="4">IF(AND($D9&gt;0,$D9&gt;$E9),$D9,NA())</f>
        <v>13872</v>
      </c>
      <c r="T9" s="534">
        <f t="shared" ref="T9:W10" si="5">P9</f>
        <v>1</v>
      </c>
      <c r="U9" t="e">
        <f t="shared" si="5"/>
        <v>#N/A</v>
      </c>
      <c r="V9" t="e">
        <f t="shared" si="5"/>
        <v>#N/A</v>
      </c>
      <c r="W9">
        <f t="shared" si="5"/>
        <v>13872</v>
      </c>
      <c r="Y9" s="63">
        <f t="shared" ref="Y9:Y26" si="6">IF(COUNTIF($G9,"*Feriado*")&gt;0,NA(),$D9)</f>
        <v>13872</v>
      </c>
      <c r="Z9" s="63">
        <f t="shared" ref="Z9:Z26" si="7">IF(COUNTIF($G9,"*Feriado*")&gt;0,NA(),$E9)</f>
        <v>11000</v>
      </c>
      <c r="AA9"/>
      <c r="AB9"/>
    </row>
    <row r="10" spans="1:28" x14ac:dyDescent="0.3">
      <c r="A10" s="412">
        <v>46114</v>
      </c>
      <c r="B10" s="414">
        <f>IF(E10&gt;0,COUNTIF($E$9:E10,"&gt;0"),"")</f>
        <v>2</v>
      </c>
      <c r="C10" s="888" t="s">
        <v>503</v>
      </c>
      <c r="D10" s="888">
        <f>'SEMANA ABRIL'!$I$17+'SEMANA ABRIL'!$I$18</f>
        <v>12600</v>
      </c>
      <c r="E10" s="889">
        <f>IF(D10&gt;0,CONFIG!$B$3,0)</f>
        <v>11000</v>
      </c>
      <c r="F10" s="453">
        <f t="shared" si="0"/>
        <v>1600</v>
      </c>
      <c r="G10" s="442"/>
      <c r="H10" s="424"/>
      <c r="I10" s="424"/>
      <c r="J10" s="424"/>
      <c r="K10" s="424"/>
      <c r="L10" s="424"/>
      <c r="M10" s="424"/>
      <c r="N10" s="424"/>
      <c r="O10" s="424"/>
      <c r="P10" s="93">
        <f t="shared" si="1"/>
        <v>2</v>
      </c>
      <c r="Q10" s="1" t="e">
        <f t="shared" si="2"/>
        <v>#N/A</v>
      </c>
      <c r="R10" s="1" t="e">
        <f t="shared" si="3"/>
        <v>#N/A</v>
      </c>
      <c r="S10" s="1">
        <f t="shared" si="4"/>
        <v>12600</v>
      </c>
      <c r="T10" s="534">
        <f t="shared" si="5"/>
        <v>2</v>
      </c>
      <c r="U10" t="e">
        <f t="shared" si="5"/>
        <v>#N/A</v>
      </c>
      <c r="V10" t="e">
        <f t="shared" si="5"/>
        <v>#N/A</v>
      </c>
      <c r="W10">
        <f t="shared" si="5"/>
        <v>12600</v>
      </c>
      <c r="Y10" s="63">
        <f t="shared" si="6"/>
        <v>12600</v>
      </c>
      <c r="Z10" s="63">
        <f t="shared" si="7"/>
        <v>11000</v>
      </c>
      <c r="AA10"/>
      <c r="AB10"/>
    </row>
    <row r="11" spans="1:28" x14ac:dyDescent="0.3">
      <c r="A11" s="412">
        <v>46115</v>
      </c>
      <c r="B11" s="414" t="str">
        <f>IF(E11&gt;0,COUNTIF($E$9:E11,"&gt;0"),"")</f>
        <v/>
      </c>
      <c r="C11" s="888" t="s">
        <v>504</v>
      </c>
      <c r="D11" s="888">
        <f>'SEMANA ABRIL'!$I$30</f>
        <v>0</v>
      </c>
      <c r="E11" s="889">
        <f>IF(D11&gt;0,CONFIG!$B$3,0)</f>
        <v>0</v>
      </c>
      <c r="F11" s="453">
        <f t="shared" si="0"/>
        <v>0</v>
      </c>
      <c r="G11" s="448" t="s">
        <v>505</v>
      </c>
      <c r="H11" s="424"/>
      <c r="I11" s="424"/>
      <c r="J11" s="424"/>
      <c r="K11" s="424"/>
      <c r="L11" s="424"/>
      <c r="M11" s="424"/>
      <c r="N11" s="424"/>
      <c r="O11" s="424"/>
      <c r="P11" s="93" t="str">
        <f t="shared" si="1"/>
        <v/>
      </c>
      <c r="Q11" s="1" t="e">
        <f t="shared" si="2"/>
        <v>#N/A</v>
      </c>
      <c r="R11" s="1" t="e">
        <f t="shared" si="3"/>
        <v>#N/A</v>
      </c>
      <c r="S11" s="1" t="e">
        <f t="shared" si="4"/>
        <v>#N/A</v>
      </c>
      <c r="T11" s="534">
        <f t="shared" ref="T11:T19" si="8">P12</f>
        <v>3</v>
      </c>
      <c r="U11" t="e">
        <f t="shared" ref="U11:U19" si="9">Q12</f>
        <v>#N/A</v>
      </c>
      <c r="V11" t="e">
        <f t="shared" ref="V11:V19" si="10">R12</f>
        <v>#N/A</v>
      </c>
      <c r="W11">
        <f t="shared" ref="W11:W19" si="11">S12</f>
        <v>12780</v>
      </c>
      <c r="Y11" s="1" t="e">
        <f t="shared" si="6"/>
        <v>#N/A</v>
      </c>
      <c r="Z11" s="1" t="e">
        <f t="shared" si="7"/>
        <v>#N/A</v>
      </c>
      <c r="AA11"/>
      <c r="AB11"/>
    </row>
    <row r="12" spans="1:28" x14ac:dyDescent="0.3">
      <c r="A12" s="412">
        <v>46118</v>
      </c>
      <c r="B12" s="414">
        <f>IF(E12&gt;0,COUNTIF($E$9:E12,"&gt;0"),"")</f>
        <v>3</v>
      </c>
      <c r="C12" s="888" t="s">
        <v>506</v>
      </c>
      <c r="D12" s="888">
        <f>'SEMANA ABRIL'!$I$33+'SEMANA ABRIL'!$I$34+'SEMANA ABRIL'!$I$35+'SEMANA ABRIL'!$I$36+'SEMANA ABRIL'!$I$37+'SEMANA ABRIL'!$I$38+'SEMANA ABRIL'!$I$39+'SEMANA ABRIL'!$I$40</f>
        <v>12780</v>
      </c>
      <c r="E12" s="889">
        <f>IF(D12&gt;0,CONFIG!$B$3,0)</f>
        <v>11000</v>
      </c>
      <c r="F12" s="453">
        <f t="shared" si="0"/>
        <v>1780</v>
      </c>
      <c r="G12" s="442"/>
      <c r="H12" s="424"/>
      <c r="I12" s="424"/>
      <c r="J12" s="424"/>
      <c r="K12" s="424"/>
      <c r="L12" s="424"/>
      <c r="M12" s="424"/>
      <c r="N12" s="424"/>
      <c r="O12" s="424"/>
      <c r="P12" s="93">
        <f t="shared" si="1"/>
        <v>3</v>
      </c>
      <c r="Q12" s="1" t="e">
        <f t="shared" si="2"/>
        <v>#N/A</v>
      </c>
      <c r="R12" s="1" t="e">
        <f t="shared" si="3"/>
        <v>#N/A</v>
      </c>
      <c r="S12" s="1">
        <f t="shared" si="4"/>
        <v>12780</v>
      </c>
      <c r="T12" s="534">
        <f t="shared" si="8"/>
        <v>4</v>
      </c>
      <c r="U12" t="e">
        <f t="shared" si="9"/>
        <v>#N/A</v>
      </c>
      <c r="V12" t="e">
        <f t="shared" si="10"/>
        <v>#N/A</v>
      </c>
      <c r="W12">
        <f t="shared" si="11"/>
        <v>11046</v>
      </c>
      <c r="Y12" s="63">
        <f t="shared" si="6"/>
        <v>12780</v>
      </c>
      <c r="Z12" s="63">
        <f t="shared" si="7"/>
        <v>11000</v>
      </c>
      <c r="AA12"/>
      <c r="AB12"/>
    </row>
    <row r="13" spans="1:28" x14ac:dyDescent="0.3">
      <c r="A13" s="412">
        <v>46119</v>
      </c>
      <c r="B13" s="414">
        <f>IF(E13&gt;0,COUNTIF($E$9:E13,"&gt;0"),"")</f>
        <v>4</v>
      </c>
      <c r="C13" s="888" t="s">
        <v>507</v>
      </c>
      <c r="D13" s="888">
        <f>'SEMANA ABRIL'!$I$45+'SEMANA ABRIL'!$I$46+'SEMANA ABRIL'!$I$47+'SEMANA ABRIL'!$I$48+'SEMANA ABRIL'!$I$49+'SEMANA ABRIL'!$I$50</f>
        <v>11046</v>
      </c>
      <c r="E13" s="889">
        <f>IF(D13&gt;0,CONFIG!$B$3,0)</f>
        <v>11000</v>
      </c>
      <c r="F13" s="453">
        <f t="shared" si="0"/>
        <v>46</v>
      </c>
      <c r="G13" s="442"/>
      <c r="H13" s="424"/>
      <c r="I13" s="424"/>
      <c r="J13" s="424"/>
      <c r="K13" s="424"/>
      <c r="L13" s="424"/>
      <c r="M13" s="424"/>
      <c r="N13" s="424"/>
      <c r="O13" s="424"/>
      <c r="P13" s="93">
        <f t="shared" si="1"/>
        <v>4</v>
      </c>
      <c r="Q13" s="1" t="e">
        <f t="shared" si="2"/>
        <v>#N/A</v>
      </c>
      <c r="R13" s="1" t="e">
        <f t="shared" si="3"/>
        <v>#N/A</v>
      </c>
      <c r="S13" s="1">
        <f t="shared" si="4"/>
        <v>11046</v>
      </c>
      <c r="T13" s="534">
        <f t="shared" si="8"/>
        <v>5</v>
      </c>
      <c r="U13" t="e">
        <f t="shared" si="9"/>
        <v>#N/A</v>
      </c>
      <c r="V13" t="e">
        <f t="shared" si="10"/>
        <v>#N/A</v>
      </c>
      <c r="W13">
        <f t="shared" si="11"/>
        <v>18036</v>
      </c>
      <c r="Y13" s="63">
        <f t="shared" si="6"/>
        <v>11046</v>
      </c>
      <c r="Z13" s="63">
        <f t="shared" si="7"/>
        <v>11000</v>
      </c>
      <c r="AA13"/>
      <c r="AB13"/>
    </row>
    <row r="14" spans="1:28" x14ac:dyDescent="0.3">
      <c r="A14" s="412">
        <v>46120</v>
      </c>
      <c r="B14" s="414">
        <f>IF(E14&gt;0,COUNTIF($E$9:E14,"&gt;0"),"")</f>
        <v>5</v>
      </c>
      <c r="C14" s="888" t="s">
        <v>502</v>
      </c>
      <c r="D14" s="888">
        <f>'SEMANA ABRIL'!$I$55</f>
        <v>18036</v>
      </c>
      <c r="E14" s="889">
        <f>IF(D14&gt;0,CONFIG!$B$3,0)</f>
        <v>11000</v>
      </c>
      <c r="F14" s="453">
        <f t="shared" si="0"/>
        <v>7036</v>
      </c>
      <c r="G14" s="442"/>
      <c r="H14" s="424"/>
      <c r="I14" s="424"/>
      <c r="J14" s="424"/>
      <c r="K14" s="424"/>
      <c r="L14" s="424"/>
      <c r="M14" s="424"/>
      <c r="N14" s="424"/>
      <c r="O14" s="424"/>
      <c r="P14" s="93">
        <f t="shared" si="1"/>
        <v>5</v>
      </c>
      <c r="Q14" s="1" t="e">
        <f t="shared" si="2"/>
        <v>#N/A</v>
      </c>
      <c r="R14" s="1" t="e">
        <f t="shared" si="3"/>
        <v>#N/A</v>
      </c>
      <c r="S14" s="1">
        <f t="shared" si="4"/>
        <v>18036</v>
      </c>
      <c r="T14" s="534">
        <f t="shared" si="8"/>
        <v>6</v>
      </c>
      <c r="U14" t="e">
        <f t="shared" si="9"/>
        <v>#N/A</v>
      </c>
      <c r="V14" t="e">
        <f t="shared" si="10"/>
        <v>#N/A</v>
      </c>
      <c r="W14">
        <f t="shared" si="11"/>
        <v>12060</v>
      </c>
      <c r="Y14" s="63">
        <f t="shared" si="6"/>
        <v>18036</v>
      </c>
      <c r="Z14" s="63">
        <f t="shared" si="7"/>
        <v>11000</v>
      </c>
      <c r="AA14"/>
      <c r="AB14"/>
    </row>
    <row r="15" spans="1:28" x14ac:dyDescent="0.3">
      <c r="A15" s="412">
        <v>46121</v>
      </c>
      <c r="B15" s="414">
        <f>IF(E15&gt;0,COUNTIF($E$9:E15,"&gt;0"),"")</f>
        <v>6</v>
      </c>
      <c r="C15" s="888" t="s">
        <v>503</v>
      </c>
      <c r="D15" s="888">
        <f>'SEMANA ABRIL'!$I$63</f>
        <v>12060</v>
      </c>
      <c r="E15" s="889">
        <f>IF(D15&gt;0,CONFIG!$B$3,0)</f>
        <v>11000</v>
      </c>
      <c r="F15" s="453">
        <f t="shared" si="0"/>
        <v>1060</v>
      </c>
      <c r="G15" s="442"/>
      <c r="H15" s="424"/>
      <c r="I15" s="424"/>
      <c r="J15" s="424"/>
      <c r="K15" s="424"/>
      <c r="L15" s="424"/>
      <c r="M15" s="424"/>
      <c r="N15" s="424"/>
      <c r="O15" s="424"/>
      <c r="P15" s="93">
        <f t="shared" si="1"/>
        <v>6</v>
      </c>
      <c r="Q15" s="1" t="e">
        <f t="shared" si="2"/>
        <v>#N/A</v>
      </c>
      <c r="R15" s="1" t="e">
        <f t="shared" si="3"/>
        <v>#N/A</v>
      </c>
      <c r="S15" s="1">
        <f t="shared" si="4"/>
        <v>12060</v>
      </c>
      <c r="T15" s="534">
        <f t="shared" si="8"/>
        <v>7</v>
      </c>
      <c r="U15">
        <f t="shared" si="9"/>
        <v>6720</v>
      </c>
      <c r="V15" t="e">
        <f t="shared" si="10"/>
        <v>#N/A</v>
      </c>
      <c r="W15" t="e">
        <f t="shared" si="11"/>
        <v>#N/A</v>
      </c>
      <c r="Y15" s="63">
        <f t="shared" si="6"/>
        <v>12060</v>
      </c>
      <c r="Z15" s="63">
        <f t="shared" si="7"/>
        <v>11000</v>
      </c>
      <c r="AA15"/>
      <c r="AB15"/>
    </row>
    <row r="16" spans="1:28" x14ac:dyDescent="0.3">
      <c r="A16" s="412">
        <v>46122</v>
      </c>
      <c r="B16" s="414">
        <f>IF(E16&gt;0,COUNTIF($E$9:E16,"&gt;0"),"")</f>
        <v>7</v>
      </c>
      <c r="C16" s="888" t="s">
        <v>504</v>
      </c>
      <c r="D16" s="888">
        <f>'SEMANA ABRIL'!$I$71</f>
        <v>6720</v>
      </c>
      <c r="E16" s="889">
        <f>IF(D16&gt;0,CONFIG!$B$3,0)</f>
        <v>11000</v>
      </c>
      <c r="F16" s="453">
        <f t="shared" si="0"/>
        <v>-4280</v>
      </c>
      <c r="G16" s="443" t="s">
        <v>508</v>
      </c>
      <c r="H16" s="424"/>
      <c r="I16" s="424"/>
      <c r="J16" s="424"/>
      <c r="K16" s="424"/>
      <c r="L16" s="424"/>
      <c r="M16" s="424"/>
      <c r="N16" s="424"/>
      <c r="O16" s="424"/>
      <c r="P16" s="93">
        <f t="shared" si="1"/>
        <v>7</v>
      </c>
      <c r="Q16" s="1">
        <f t="shared" si="2"/>
        <v>6720</v>
      </c>
      <c r="R16" s="1" t="e">
        <f t="shared" si="3"/>
        <v>#N/A</v>
      </c>
      <c r="S16" s="1" t="e">
        <f t="shared" si="4"/>
        <v>#N/A</v>
      </c>
      <c r="T16" s="534">
        <f t="shared" si="8"/>
        <v>8</v>
      </c>
      <c r="U16" t="e">
        <f t="shared" si="9"/>
        <v>#N/A</v>
      </c>
      <c r="V16" t="e">
        <f t="shared" si="10"/>
        <v>#N/A</v>
      </c>
      <c r="W16">
        <f t="shared" si="11"/>
        <v>11916</v>
      </c>
      <c r="Y16" s="63">
        <f t="shared" si="6"/>
        <v>6720</v>
      </c>
      <c r="Z16" s="63">
        <f t="shared" si="7"/>
        <v>11000</v>
      </c>
      <c r="AA16"/>
      <c r="AB16"/>
    </row>
    <row r="17" spans="1:28" x14ac:dyDescent="0.3">
      <c r="A17" s="412">
        <v>46125</v>
      </c>
      <c r="B17" s="414">
        <f>IF(E17&gt;0,COUNTIF($E$9:E17,"&gt;0"),"")</f>
        <v>8</v>
      </c>
      <c r="C17" s="888" t="s">
        <v>506</v>
      </c>
      <c r="D17" s="888">
        <f>'SEMANA ABRIL'!$I$79</f>
        <v>11916</v>
      </c>
      <c r="E17" s="889">
        <f>IF(D17&gt;0,CONFIG!$B$3,0)</f>
        <v>11000</v>
      </c>
      <c r="F17" s="453">
        <f t="shared" si="0"/>
        <v>916</v>
      </c>
      <c r="G17" s="443" t="s">
        <v>509</v>
      </c>
      <c r="H17" s="424"/>
      <c r="I17" s="424"/>
      <c r="J17" s="424"/>
      <c r="K17" s="424"/>
      <c r="L17" s="424"/>
      <c r="M17" s="424"/>
      <c r="N17" s="424"/>
      <c r="O17" s="424"/>
      <c r="P17" s="93">
        <f t="shared" si="1"/>
        <v>8</v>
      </c>
      <c r="Q17" s="1" t="e">
        <f t="shared" si="2"/>
        <v>#N/A</v>
      </c>
      <c r="R17" s="1" t="e">
        <f t="shared" si="3"/>
        <v>#N/A</v>
      </c>
      <c r="S17" s="1">
        <f t="shared" si="4"/>
        <v>11916</v>
      </c>
      <c r="T17" s="534">
        <f t="shared" si="8"/>
        <v>9</v>
      </c>
      <c r="U17">
        <f t="shared" si="9"/>
        <v>10242</v>
      </c>
      <c r="V17" t="e">
        <f t="shared" si="10"/>
        <v>#N/A</v>
      </c>
      <c r="W17" t="e">
        <f t="shared" si="11"/>
        <v>#N/A</v>
      </c>
      <c r="Y17" s="63">
        <f t="shared" si="6"/>
        <v>11916</v>
      </c>
      <c r="Z17" s="63">
        <f t="shared" si="7"/>
        <v>11000</v>
      </c>
      <c r="AA17"/>
      <c r="AB17"/>
    </row>
    <row r="18" spans="1:28" x14ac:dyDescent="0.3">
      <c r="A18" s="412">
        <v>46126</v>
      </c>
      <c r="B18" s="414">
        <f>IF(E18&gt;0,COUNTIF($E$9:E18,"&gt;0"),"")</f>
        <v>9</v>
      </c>
      <c r="C18" s="888" t="s">
        <v>507</v>
      </c>
      <c r="D18" s="888">
        <f>'SEMANA ABRIL'!$I$87+'SEMANA ABRIL'!$I$88</f>
        <v>10242</v>
      </c>
      <c r="E18" s="889">
        <f>IF(D18&gt;0,CONFIG!$B$3,0)</f>
        <v>11000</v>
      </c>
      <c r="F18" s="453">
        <f t="shared" si="0"/>
        <v>-758</v>
      </c>
      <c r="G18" s="442"/>
      <c r="H18" s="424"/>
      <c r="I18" s="424"/>
      <c r="J18" s="424"/>
      <c r="K18" s="424"/>
      <c r="L18" s="424"/>
      <c r="M18" s="424"/>
      <c r="N18" s="424"/>
      <c r="O18" s="424"/>
      <c r="P18" s="93">
        <f t="shared" si="1"/>
        <v>9</v>
      </c>
      <c r="Q18" s="1">
        <f t="shared" si="2"/>
        <v>10242</v>
      </c>
      <c r="R18" s="1" t="e">
        <f t="shared" si="3"/>
        <v>#N/A</v>
      </c>
      <c r="S18" s="1" t="e">
        <f t="shared" si="4"/>
        <v>#N/A</v>
      </c>
      <c r="T18" s="534">
        <f t="shared" si="8"/>
        <v>10</v>
      </c>
      <c r="U18">
        <f t="shared" si="9"/>
        <v>10668</v>
      </c>
      <c r="V18" t="e">
        <f t="shared" si="10"/>
        <v>#N/A</v>
      </c>
      <c r="W18" t="e">
        <f t="shared" si="11"/>
        <v>#N/A</v>
      </c>
      <c r="Y18" s="63">
        <f t="shared" si="6"/>
        <v>10242</v>
      </c>
      <c r="Z18" s="63">
        <f t="shared" si="7"/>
        <v>11000</v>
      </c>
      <c r="AA18"/>
      <c r="AB18"/>
    </row>
    <row r="19" spans="1:28" x14ac:dyDescent="0.3">
      <c r="A19" s="412">
        <v>46127</v>
      </c>
      <c r="B19" s="414">
        <f>IF(E19&gt;0,COUNTIF($E$9:E19,"&gt;0"),"")</f>
        <v>10</v>
      </c>
      <c r="C19" s="888" t="s">
        <v>502</v>
      </c>
      <c r="D19" s="888">
        <f>'SEMANA ABRIL'!$I$95+'SEMANA ABRIL'!$I$96</f>
        <v>10668</v>
      </c>
      <c r="E19" s="889">
        <f>IF(D19&gt;0,CONFIG!$B$3,0)</f>
        <v>11000</v>
      </c>
      <c r="F19" s="453">
        <f t="shared" si="0"/>
        <v>-332</v>
      </c>
      <c r="G19" s="442"/>
      <c r="H19" s="424"/>
      <c r="I19" s="424"/>
      <c r="J19" s="424"/>
      <c r="K19" s="424"/>
      <c r="L19" s="424"/>
      <c r="M19" s="424"/>
      <c r="N19" s="424"/>
      <c r="O19" s="424"/>
      <c r="P19" s="93">
        <f t="shared" si="1"/>
        <v>10</v>
      </c>
      <c r="Q19" s="1">
        <f t="shared" si="2"/>
        <v>10668</v>
      </c>
      <c r="R19" s="1" t="e">
        <f t="shared" si="3"/>
        <v>#N/A</v>
      </c>
      <c r="S19" s="1" t="e">
        <f t="shared" si="4"/>
        <v>#N/A</v>
      </c>
      <c r="T19" s="534">
        <f t="shared" si="8"/>
        <v>11</v>
      </c>
      <c r="U19" t="e">
        <f t="shared" si="9"/>
        <v>#N/A</v>
      </c>
      <c r="V19" t="e">
        <f t="shared" si="10"/>
        <v>#N/A</v>
      </c>
      <c r="W19">
        <f t="shared" si="11"/>
        <v>11964</v>
      </c>
      <c r="Y19" s="63">
        <f t="shared" si="6"/>
        <v>10668</v>
      </c>
      <c r="Z19" s="63">
        <f t="shared" si="7"/>
        <v>11000</v>
      </c>
      <c r="AA19"/>
      <c r="AB19"/>
    </row>
    <row r="20" spans="1:28" x14ac:dyDescent="0.3">
      <c r="A20" s="412">
        <v>46128</v>
      </c>
      <c r="B20" s="414">
        <f>IF(E20&gt;0,COUNTIF($E$9:E20,"&gt;0"),"")</f>
        <v>11</v>
      </c>
      <c r="C20" s="888" t="s">
        <v>503</v>
      </c>
      <c r="D20" s="888">
        <f>'SEMANA ABRIL'!$I$103+'SEMANA ABRIL'!$I$104+'SEMANA ABRIL'!$I$105</f>
        <v>11964</v>
      </c>
      <c r="E20" s="889">
        <f>IF(D20&gt;0,CONFIG!$B$3,0)</f>
        <v>11000</v>
      </c>
      <c r="F20" s="453">
        <f t="shared" si="0"/>
        <v>964</v>
      </c>
      <c r="G20" s="442"/>
      <c r="H20" s="424"/>
      <c r="I20" s="424"/>
      <c r="J20" s="424"/>
      <c r="K20" s="424"/>
      <c r="L20" s="424"/>
      <c r="M20" s="424"/>
      <c r="N20" s="424"/>
      <c r="O20" s="424"/>
      <c r="P20" s="93">
        <f t="shared" si="1"/>
        <v>11</v>
      </c>
      <c r="Q20" s="1" t="e">
        <f t="shared" si="2"/>
        <v>#N/A</v>
      </c>
      <c r="R20" s="1" t="e">
        <f t="shared" si="3"/>
        <v>#N/A</v>
      </c>
      <c r="S20" s="1">
        <f t="shared" si="4"/>
        <v>11964</v>
      </c>
      <c r="T20" s="534">
        <f t="shared" ref="T20:T30" si="12">P22</f>
        <v>12</v>
      </c>
      <c r="U20">
        <f t="shared" ref="U20:U30" si="13">Q22</f>
        <v>7872</v>
      </c>
      <c r="V20" t="e">
        <f t="shared" ref="V20:V30" si="14">R22</f>
        <v>#N/A</v>
      </c>
      <c r="W20" t="e">
        <f t="shared" ref="W20:W30" si="15">S22</f>
        <v>#N/A</v>
      </c>
      <c r="Y20" s="63">
        <f t="shared" si="6"/>
        <v>11964</v>
      </c>
      <c r="Z20" s="63">
        <f t="shared" si="7"/>
        <v>11000</v>
      </c>
      <c r="AA20"/>
      <c r="AB20"/>
    </row>
    <row r="21" spans="1:28" ht="27.6" x14ac:dyDescent="0.3">
      <c r="A21" s="412">
        <v>46129</v>
      </c>
      <c r="B21" s="414" t="str">
        <f>IF(E21&gt;0,COUNTIF($E$9:E21,"&gt;0"),"")</f>
        <v/>
      </c>
      <c r="C21" s="888" t="s">
        <v>504</v>
      </c>
      <c r="D21" s="888">
        <f>'SEMANA ABRIL'!$I$116</f>
        <v>0</v>
      </c>
      <c r="E21" s="889">
        <f>IF(D21&gt;0,CONFIG!$B$3,0)</f>
        <v>0</v>
      </c>
      <c r="F21" s="453">
        <f t="shared" si="0"/>
        <v>0</v>
      </c>
      <c r="G21" s="444" t="s">
        <v>510</v>
      </c>
      <c r="H21" s="424"/>
      <c r="I21" s="424"/>
      <c r="J21" s="424"/>
      <c r="K21" s="424"/>
      <c r="L21" s="424"/>
      <c r="M21" s="424"/>
      <c r="N21" s="424"/>
      <c r="O21" s="424"/>
      <c r="P21" s="93" t="str">
        <f t="shared" si="1"/>
        <v/>
      </c>
      <c r="Q21" s="1" t="e">
        <f t="shared" si="2"/>
        <v>#N/A</v>
      </c>
      <c r="R21" s="1" t="e">
        <f t="shared" si="3"/>
        <v>#N/A</v>
      </c>
      <c r="S21" s="1" t="e">
        <f t="shared" si="4"/>
        <v>#N/A</v>
      </c>
      <c r="T21" s="534">
        <f t="shared" si="12"/>
        <v>13</v>
      </c>
      <c r="U21" t="e">
        <f t="shared" si="13"/>
        <v>#N/A</v>
      </c>
      <c r="V21" t="e">
        <f t="shared" si="14"/>
        <v>#N/A</v>
      </c>
      <c r="W21">
        <f t="shared" si="15"/>
        <v>11112</v>
      </c>
      <c r="Y21" s="63">
        <f t="shared" si="6"/>
        <v>0</v>
      </c>
      <c r="Z21" s="63">
        <f t="shared" si="7"/>
        <v>0</v>
      </c>
      <c r="AA21"/>
      <c r="AB21"/>
    </row>
    <row r="22" spans="1:28" x14ac:dyDescent="0.3">
      <c r="A22" s="412">
        <v>46130</v>
      </c>
      <c r="B22" s="414">
        <f>IF(E22&gt;0,COUNTIF($E$9:E22,"&gt;0"),"")</f>
        <v>12</v>
      </c>
      <c r="C22" s="888" t="s">
        <v>511</v>
      </c>
      <c r="D22" s="888">
        <f>'SEMANA ABRIL'!$I$119+'SEMANA ABRIL'!$I$120</f>
        <v>7872</v>
      </c>
      <c r="E22" s="889">
        <f>IF(D22&gt;0,CONFIG!$B$3,0)</f>
        <v>11000</v>
      </c>
      <c r="F22" s="453">
        <f t="shared" si="0"/>
        <v>-3128</v>
      </c>
      <c r="G22" s="448" t="s">
        <v>512</v>
      </c>
      <c r="H22" s="424"/>
      <c r="I22" s="424"/>
      <c r="J22" s="424"/>
      <c r="K22" s="424"/>
      <c r="L22" s="424"/>
      <c r="M22" s="424"/>
      <c r="N22" s="424"/>
      <c r="O22" s="424"/>
      <c r="P22" s="93">
        <f t="shared" si="1"/>
        <v>12</v>
      </c>
      <c r="Q22" s="1">
        <f t="shared" si="2"/>
        <v>7872</v>
      </c>
      <c r="R22" s="1" t="e">
        <f t="shared" si="3"/>
        <v>#N/A</v>
      </c>
      <c r="S22" s="1" t="e">
        <f t="shared" si="4"/>
        <v>#N/A</v>
      </c>
      <c r="T22" s="534">
        <f t="shared" si="12"/>
        <v>14</v>
      </c>
      <c r="U22" t="e">
        <f t="shared" si="13"/>
        <v>#N/A</v>
      </c>
      <c r="V22" t="e">
        <f t="shared" si="14"/>
        <v>#N/A</v>
      </c>
      <c r="W22">
        <f t="shared" si="15"/>
        <v>11976</v>
      </c>
      <c r="Y22" s="63">
        <f t="shared" si="6"/>
        <v>7872</v>
      </c>
      <c r="Z22" s="63">
        <f t="shared" si="7"/>
        <v>11000</v>
      </c>
      <c r="AA22"/>
      <c r="AB22"/>
    </row>
    <row r="23" spans="1:28" x14ac:dyDescent="0.3">
      <c r="A23" s="412">
        <v>46132</v>
      </c>
      <c r="B23" s="414">
        <f>IF(E23&gt;0,COUNTIF($E$9:E23,"&gt;0"),"")</f>
        <v>13</v>
      </c>
      <c r="C23" s="888" t="s">
        <v>506</v>
      </c>
      <c r="D23" s="888">
        <f>'SEMANA ABRIL'!$I$127+'SEMANA ABRIL'!$I$128</f>
        <v>11112</v>
      </c>
      <c r="E23" s="889">
        <f>IF(D23&gt;0,CONFIG!$B$3,0)</f>
        <v>11000</v>
      </c>
      <c r="F23" s="453">
        <f t="shared" si="0"/>
        <v>112</v>
      </c>
      <c r="G23" s="442"/>
      <c r="H23" s="424"/>
      <c r="I23" s="424"/>
      <c r="J23" s="424"/>
      <c r="K23" s="424"/>
      <c r="L23" s="424"/>
      <c r="M23" s="424"/>
      <c r="N23" s="424"/>
      <c r="O23" s="424"/>
      <c r="P23" s="93">
        <f t="shared" si="1"/>
        <v>13</v>
      </c>
      <c r="Q23" s="1" t="e">
        <f t="shared" si="2"/>
        <v>#N/A</v>
      </c>
      <c r="R23" s="1" t="e">
        <f t="shared" si="3"/>
        <v>#N/A</v>
      </c>
      <c r="S23" s="1">
        <f t="shared" si="4"/>
        <v>11112</v>
      </c>
      <c r="T23" s="534">
        <f t="shared" si="12"/>
        <v>15</v>
      </c>
      <c r="U23">
        <f t="shared" si="13"/>
        <v>8610</v>
      </c>
      <c r="V23" t="e">
        <f t="shared" si="14"/>
        <v>#N/A</v>
      </c>
      <c r="W23" t="e">
        <f t="shared" si="15"/>
        <v>#N/A</v>
      </c>
      <c r="Y23" s="63">
        <f t="shared" si="6"/>
        <v>11112</v>
      </c>
      <c r="Z23" s="63">
        <f t="shared" si="7"/>
        <v>11000</v>
      </c>
      <c r="AA23"/>
      <c r="AB23"/>
    </row>
    <row r="24" spans="1:28" x14ac:dyDescent="0.3">
      <c r="A24" s="412">
        <v>46133</v>
      </c>
      <c r="B24" s="414">
        <f>IF(E24&gt;0,COUNTIF($E$9:E24,"&gt;0"),"")</f>
        <v>14</v>
      </c>
      <c r="C24" s="888" t="s">
        <v>507</v>
      </c>
      <c r="D24" s="888">
        <f>'SEMANA ABRIL'!$I$135+'SEMANA ABRIL'!$I$136</f>
        <v>11976</v>
      </c>
      <c r="E24" s="889">
        <f>IF(D24&gt;0,CONFIG!$B$3,0)</f>
        <v>11000</v>
      </c>
      <c r="F24" s="453">
        <f t="shared" si="0"/>
        <v>976</v>
      </c>
      <c r="G24" s="448" t="s">
        <v>513</v>
      </c>
      <c r="H24" s="424"/>
      <c r="I24" s="424"/>
      <c r="J24" s="424"/>
      <c r="K24" s="424"/>
      <c r="L24" s="424"/>
      <c r="M24" s="424"/>
      <c r="N24" s="424"/>
      <c r="O24" s="424"/>
      <c r="P24" s="93">
        <f t="shared" si="1"/>
        <v>14</v>
      </c>
      <c r="Q24" s="1" t="e">
        <f t="shared" si="2"/>
        <v>#N/A</v>
      </c>
      <c r="R24" s="1" t="e">
        <f t="shared" si="3"/>
        <v>#N/A</v>
      </c>
      <c r="S24" s="1">
        <f t="shared" si="4"/>
        <v>11976</v>
      </c>
      <c r="T24" s="534">
        <f t="shared" si="12"/>
        <v>16</v>
      </c>
      <c r="U24">
        <f t="shared" si="13"/>
        <v>8370</v>
      </c>
      <c r="V24" t="e">
        <f t="shared" si="14"/>
        <v>#N/A</v>
      </c>
      <c r="W24" t="e">
        <f t="shared" si="15"/>
        <v>#N/A</v>
      </c>
      <c r="Y24" s="63">
        <f t="shared" si="6"/>
        <v>11976</v>
      </c>
      <c r="Z24" s="63">
        <f t="shared" si="7"/>
        <v>11000</v>
      </c>
      <c r="AA24"/>
      <c r="AB24"/>
    </row>
    <row r="25" spans="1:28" x14ac:dyDescent="0.3">
      <c r="A25" s="412">
        <v>46134</v>
      </c>
      <c r="B25" s="414">
        <f>IF(E25&gt;0,COUNTIF($E$9:E25,"&gt;0"),"")</f>
        <v>15</v>
      </c>
      <c r="C25" s="888" t="s">
        <v>502</v>
      </c>
      <c r="D25" s="888">
        <f>'SEMANA ABRIL'!$I$143</f>
        <v>8610</v>
      </c>
      <c r="E25" s="889">
        <f>IF(D25&gt;0,CONFIG!$B$3,0)</f>
        <v>11000</v>
      </c>
      <c r="F25" s="453">
        <f t="shared" si="0"/>
        <v>-2390</v>
      </c>
      <c r="G25" s="443" t="s">
        <v>514</v>
      </c>
      <c r="H25" s="424"/>
      <c r="I25" s="424"/>
      <c r="J25" s="424"/>
      <c r="K25" s="424"/>
      <c r="L25" s="424"/>
      <c r="M25" s="424"/>
      <c r="N25" s="424"/>
      <c r="O25" s="424"/>
      <c r="P25" s="93">
        <f t="shared" si="1"/>
        <v>15</v>
      </c>
      <c r="Q25" s="1">
        <f t="shared" si="2"/>
        <v>8610</v>
      </c>
      <c r="R25" s="1" t="e">
        <f t="shared" si="3"/>
        <v>#N/A</v>
      </c>
      <c r="S25" s="1" t="e">
        <f t="shared" si="4"/>
        <v>#N/A</v>
      </c>
      <c r="T25" s="534">
        <f t="shared" si="12"/>
        <v>17</v>
      </c>
      <c r="U25">
        <f t="shared" si="13"/>
        <v>10164</v>
      </c>
      <c r="V25" t="e">
        <f t="shared" si="14"/>
        <v>#N/A</v>
      </c>
      <c r="W25" t="e">
        <f t="shared" si="15"/>
        <v>#N/A</v>
      </c>
      <c r="Y25" s="63">
        <f t="shared" si="6"/>
        <v>8610</v>
      </c>
      <c r="Z25" s="63">
        <f t="shared" si="7"/>
        <v>11000</v>
      </c>
      <c r="AA25"/>
      <c r="AB25"/>
    </row>
    <row r="26" spans="1:28" x14ac:dyDescent="0.3">
      <c r="A26" s="412">
        <v>46135</v>
      </c>
      <c r="B26" s="414">
        <f>IF(E26&gt;0,COUNTIF($E$9:E26,"&gt;0"),"")</f>
        <v>16</v>
      </c>
      <c r="C26" s="888" t="s">
        <v>503</v>
      </c>
      <c r="D26" s="888">
        <f>'SEMANA ABRIL'!$I$151+'SEMANA ABRIL'!$I$152</f>
        <v>8370</v>
      </c>
      <c r="E26" s="889">
        <f>IF(D26&gt;0,CONFIG!$B$3,0)</f>
        <v>11000</v>
      </c>
      <c r="F26" s="453">
        <f t="shared" si="0"/>
        <v>-2630</v>
      </c>
      <c r="G26" s="443" t="s">
        <v>515</v>
      </c>
      <c r="H26" s="424"/>
      <c r="I26" s="424"/>
      <c r="J26" s="424"/>
      <c r="K26" s="424"/>
      <c r="L26" s="424"/>
      <c r="M26" s="424"/>
      <c r="N26" s="424"/>
      <c r="O26" s="424"/>
      <c r="P26" s="93">
        <f t="shared" si="1"/>
        <v>16</v>
      </c>
      <c r="Q26" s="1">
        <f t="shared" si="2"/>
        <v>8370</v>
      </c>
      <c r="R26" s="1" t="e">
        <f t="shared" si="3"/>
        <v>#N/A</v>
      </c>
      <c r="S26" s="1" t="e">
        <f t="shared" si="4"/>
        <v>#N/A</v>
      </c>
      <c r="T26" s="534">
        <f t="shared" si="12"/>
        <v>18</v>
      </c>
      <c r="U26" t="e">
        <f t="shared" si="13"/>
        <v>#N/A</v>
      </c>
      <c r="V26" t="e">
        <f t="shared" si="14"/>
        <v>#N/A</v>
      </c>
      <c r="W26">
        <f t="shared" si="15"/>
        <v>13692</v>
      </c>
      <c r="Y26" s="63">
        <f t="shared" si="6"/>
        <v>8370</v>
      </c>
      <c r="Z26" s="63">
        <f t="shared" si="7"/>
        <v>11000</v>
      </c>
      <c r="AA26"/>
      <c r="AB26"/>
    </row>
    <row r="27" spans="1:28" x14ac:dyDescent="0.3">
      <c r="A27" s="412">
        <v>46136</v>
      </c>
      <c r="B27" s="414">
        <f>IF(E27&gt;0,COUNTIF($E$9:E27,"&gt;0"),"")</f>
        <v>17</v>
      </c>
      <c r="C27" s="888" t="s">
        <v>504</v>
      </c>
      <c r="D27" s="888">
        <f>'SEMANA ABRIL'!$I$160+'SEMANA ABRIL'!$I$161</f>
        <v>10164</v>
      </c>
      <c r="E27" s="889">
        <f>IF(D27&gt;0,CONFIG!$B$3,0)</f>
        <v>11000</v>
      </c>
      <c r="F27" s="453">
        <f t="shared" si="0"/>
        <v>-836</v>
      </c>
      <c r="G27" s="443" t="s">
        <v>516</v>
      </c>
      <c r="H27" s="424"/>
      <c r="I27" s="424"/>
      <c r="J27" s="424"/>
      <c r="K27" s="424"/>
      <c r="L27" s="424"/>
      <c r="M27" s="424"/>
      <c r="N27" s="424"/>
      <c r="O27" s="424"/>
      <c r="P27" s="93">
        <f t="shared" si="1"/>
        <v>17</v>
      </c>
      <c r="Q27" s="1">
        <f t="shared" si="2"/>
        <v>10164</v>
      </c>
      <c r="R27" s="1" t="e">
        <f t="shared" si="3"/>
        <v>#N/A</v>
      </c>
      <c r="S27" s="1" t="e">
        <f t="shared" si="4"/>
        <v>#N/A</v>
      </c>
      <c r="T27" s="534">
        <f t="shared" si="12"/>
        <v>19</v>
      </c>
      <c r="U27" t="e">
        <f t="shared" si="13"/>
        <v>#N/A</v>
      </c>
      <c r="V27" t="e">
        <f t="shared" si="14"/>
        <v>#N/A</v>
      </c>
      <c r="W27">
        <f t="shared" si="15"/>
        <v>20196</v>
      </c>
      <c r="Y27" s="63">
        <f>IF(COUNTIF($G26,"*Feriado*")&gt;0,NA(),$D27)</f>
        <v>10164</v>
      </c>
      <c r="Z27" s="63">
        <f>IF(COUNTIF($G26,"*Feriado*")&gt;0,NA(),$E27)</f>
        <v>11000</v>
      </c>
      <c r="AA27"/>
      <c r="AB27"/>
    </row>
    <row r="28" spans="1:28" x14ac:dyDescent="0.3">
      <c r="A28" s="412">
        <v>46137</v>
      </c>
      <c r="B28" s="414">
        <f>IF(E28&gt;0,COUNTIF($E$9:E28,"&gt;0"),"")</f>
        <v>18</v>
      </c>
      <c r="C28" s="888" t="s">
        <v>511</v>
      </c>
      <c r="D28" s="888">
        <f>'SEMANA ABRIL'!$I$168</f>
        <v>13692</v>
      </c>
      <c r="E28" s="889">
        <f>IF(D28&gt;0,CONFIG!$B$3,0)</f>
        <v>11000</v>
      </c>
      <c r="F28" s="453">
        <f t="shared" si="0"/>
        <v>2692</v>
      </c>
      <c r="G28" s="442"/>
      <c r="H28" s="424"/>
      <c r="I28" s="424"/>
      <c r="J28" s="424"/>
      <c r="K28" s="424"/>
      <c r="L28" s="424"/>
      <c r="M28" s="424"/>
      <c r="N28" s="424"/>
      <c r="O28" s="424"/>
      <c r="P28" s="93">
        <f t="shared" si="1"/>
        <v>18</v>
      </c>
      <c r="Q28" s="1" t="e">
        <f t="shared" si="2"/>
        <v>#N/A</v>
      </c>
      <c r="R28" s="1" t="e">
        <f t="shared" si="3"/>
        <v>#N/A</v>
      </c>
      <c r="S28" s="1">
        <f t="shared" si="4"/>
        <v>13692</v>
      </c>
      <c r="T28" s="534">
        <f t="shared" si="12"/>
        <v>20</v>
      </c>
      <c r="U28" t="e">
        <f t="shared" si="13"/>
        <v>#N/A</v>
      </c>
      <c r="V28" t="e">
        <f t="shared" si="14"/>
        <v>#N/A</v>
      </c>
      <c r="W28">
        <f t="shared" si="15"/>
        <v>11238</v>
      </c>
      <c r="Y28" s="63">
        <f>IF(COUNTIF($G28,"*Feriado*")&gt;0,NA(),$D28)</f>
        <v>13692</v>
      </c>
      <c r="Z28" s="63">
        <f>IF(COUNTIF($G28,"*Feriado*")&gt;0,NA(),$E28)</f>
        <v>11000</v>
      </c>
      <c r="AA28"/>
      <c r="AB28"/>
    </row>
    <row r="29" spans="1:28" x14ac:dyDescent="0.3">
      <c r="A29" s="412">
        <v>46139</v>
      </c>
      <c r="B29" s="414">
        <f>IF(E29&gt;0,COUNTIF($E$9:E29,"&gt;0"),"")</f>
        <v>19</v>
      </c>
      <c r="C29" s="888" t="s">
        <v>506</v>
      </c>
      <c r="D29" s="888">
        <f>'SEMANA ABRIL'!$I$176</f>
        <v>20196</v>
      </c>
      <c r="E29" s="889">
        <f>IF(D29&gt;0,CONFIG!$B$3,0)</f>
        <v>11000</v>
      </c>
      <c r="F29" s="453">
        <f t="shared" si="0"/>
        <v>9196</v>
      </c>
      <c r="G29" s="442"/>
      <c r="H29" s="424"/>
      <c r="I29" s="424"/>
      <c r="J29" s="424"/>
      <c r="K29" s="424"/>
      <c r="L29" s="424"/>
      <c r="M29" s="424"/>
      <c r="N29" s="424"/>
      <c r="O29" s="424"/>
      <c r="P29" s="93">
        <f t="shared" si="1"/>
        <v>19</v>
      </c>
      <c r="Q29" s="1" t="e">
        <f t="shared" si="2"/>
        <v>#N/A</v>
      </c>
      <c r="R29" s="1" t="e">
        <f t="shared" si="3"/>
        <v>#N/A</v>
      </c>
      <c r="S29" s="1">
        <f t="shared" si="4"/>
        <v>20196</v>
      </c>
      <c r="T29" s="534">
        <f t="shared" si="12"/>
        <v>21</v>
      </c>
      <c r="U29">
        <f t="shared" si="13"/>
        <v>9468</v>
      </c>
      <c r="V29" t="e">
        <f t="shared" si="14"/>
        <v>#N/A</v>
      </c>
      <c r="W29" t="e">
        <f t="shared" si="15"/>
        <v>#N/A</v>
      </c>
      <c r="Y29" s="63">
        <f>IF(COUNTIF($G29,"*Feriado*")&gt;0,NA(),$D29)</f>
        <v>20196</v>
      </c>
      <c r="Z29" s="63">
        <f>IF(COUNTIF($G29,"*Feriado*")&gt;0,NA(),$E29)</f>
        <v>11000</v>
      </c>
      <c r="AA29"/>
      <c r="AB29"/>
    </row>
    <row r="30" spans="1:28" x14ac:dyDescent="0.3">
      <c r="A30" s="412">
        <v>46140</v>
      </c>
      <c r="B30" s="414">
        <f>IF(E30&gt;0,COUNTIF($E$9:E30,"&gt;0"),"")</f>
        <v>20</v>
      </c>
      <c r="C30" s="888" t="s">
        <v>507</v>
      </c>
      <c r="D30" s="888">
        <f>'SEMANA ABRIL'!$I$185+'SEMANA ABRIL'!$I$186</f>
        <v>11238</v>
      </c>
      <c r="E30" s="889">
        <f>IF(D30&gt;0,CONFIG!$B$3,0)</f>
        <v>11000</v>
      </c>
      <c r="F30" s="453">
        <f t="shared" si="0"/>
        <v>238</v>
      </c>
      <c r="G30" s="443" t="s">
        <v>517</v>
      </c>
      <c r="H30" s="424"/>
      <c r="I30" s="424"/>
      <c r="J30" s="424"/>
      <c r="K30" s="424"/>
      <c r="L30" s="424"/>
      <c r="M30" s="424"/>
      <c r="N30" s="424"/>
      <c r="O30" s="424"/>
      <c r="P30" s="93">
        <f t="shared" si="1"/>
        <v>20</v>
      </c>
      <c r="Q30" s="1" t="e">
        <f t="shared" si="2"/>
        <v>#N/A</v>
      </c>
      <c r="R30" s="1" t="e">
        <f t="shared" si="3"/>
        <v>#N/A</v>
      </c>
      <c r="S30" s="1">
        <f t="shared" si="4"/>
        <v>11238</v>
      </c>
      <c r="T30" s="534">
        <f t="shared" si="12"/>
        <v>22</v>
      </c>
      <c r="U30" t="e">
        <f t="shared" si="13"/>
        <v>#N/A</v>
      </c>
      <c r="V30" t="e">
        <f t="shared" si="14"/>
        <v>#N/A</v>
      </c>
      <c r="W30">
        <f t="shared" si="15"/>
        <v>11880</v>
      </c>
      <c r="Y30" s="63">
        <f>IF(COUNTIF($G30,"*Feriado*")&gt;0,NA(),$D30)</f>
        <v>11238</v>
      </c>
      <c r="Z30" s="63">
        <f>IF(COUNTIF($G30,"*Feriado*")&gt;0,NA(),$E30)</f>
        <v>11000</v>
      </c>
      <c r="AA30"/>
      <c r="AB30"/>
    </row>
    <row r="31" spans="1:28" x14ac:dyDescent="0.3">
      <c r="A31" s="412">
        <v>46141</v>
      </c>
      <c r="B31" s="414">
        <f>IF(E31&gt;0,COUNTIF($E$9:E31,"&gt;0"),"")</f>
        <v>21</v>
      </c>
      <c r="C31" s="888" t="s">
        <v>502</v>
      </c>
      <c r="D31" s="888">
        <f>'SEMANA ABRIL'!$I$192</f>
        <v>9468</v>
      </c>
      <c r="E31" s="889">
        <f>IF(D31&gt;0,CONFIG!$B$3,0)</f>
        <v>11000</v>
      </c>
      <c r="F31" s="453">
        <f t="shared" si="0"/>
        <v>-1532</v>
      </c>
      <c r="G31" s="443" t="s">
        <v>518</v>
      </c>
      <c r="H31" s="424"/>
      <c r="I31" s="424"/>
      <c r="J31" s="424"/>
      <c r="K31" s="424"/>
      <c r="L31" s="424"/>
      <c r="M31" s="424"/>
      <c r="N31" s="424"/>
      <c r="O31" s="424"/>
      <c r="P31" s="93">
        <f t="shared" si="1"/>
        <v>21</v>
      </c>
      <c r="Q31" s="1">
        <f t="shared" si="2"/>
        <v>9468</v>
      </c>
      <c r="R31" s="1" t="e">
        <f t="shared" si="3"/>
        <v>#N/A</v>
      </c>
      <c r="S31" s="1" t="e">
        <f t="shared" si="4"/>
        <v>#N/A</v>
      </c>
      <c r="Y31" s="63">
        <f>IF(COUNTIF($G31,"*Feriado*")&gt;0,NA(),$D31)</f>
        <v>9468</v>
      </c>
      <c r="Z31" s="63">
        <f>IF(COUNTIF($G31,"*Feriado*")&gt;0,NA(),$E31)</f>
        <v>11000</v>
      </c>
    </row>
    <row r="32" spans="1:28" x14ac:dyDescent="0.3">
      <c r="A32" s="412">
        <v>46142</v>
      </c>
      <c r="B32" s="414">
        <f>IF(E32&gt;0,COUNTIF($E$9:E32,"&gt;0"),"")</f>
        <v>22</v>
      </c>
      <c r="C32" s="888" t="s">
        <v>503</v>
      </c>
      <c r="D32" s="888">
        <f>'SEMANA ABRIL'!$I$200+'SEMANA ABRIL'!$I$201</f>
        <v>11880</v>
      </c>
      <c r="E32" s="889">
        <f>IF(D32&gt;0,CONFIG!$B$3,0)</f>
        <v>11000</v>
      </c>
      <c r="F32" s="453">
        <f t="shared" si="0"/>
        <v>880</v>
      </c>
      <c r="G32" s="442"/>
      <c r="H32" s="424"/>
      <c r="I32" s="424"/>
      <c r="J32" s="424"/>
      <c r="K32" s="424"/>
      <c r="L32" s="424"/>
      <c r="M32" s="424"/>
      <c r="N32" s="424"/>
      <c r="O32" s="424"/>
      <c r="P32" s="93">
        <f t="shared" si="1"/>
        <v>22</v>
      </c>
      <c r="Q32" s="1" t="e">
        <f t="shared" si="2"/>
        <v>#N/A</v>
      </c>
      <c r="R32" s="1" t="e">
        <f t="shared" si="3"/>
        <v>#N/A</v>
      </c>
      <c r="S32" s="1">
        <f t="shared" si="4"/>
        <v>11880</v>
      </c>
      <c r="Y32" s="63">
        <f>IF(COUNTIF($G32,"*Feriado*")&gt;0,NA(),$D32)</f>
        <v>11880</v>
      </c>
      <c r="Z32" s="63">
        <f>IF(COUNTIF($G32,"*Feriado*")&gt;0,NA(),$E32)</f>
        <v>11000</v>
      </c>
    </row>
    <row r="33" spans="4:4" ht="15" customHeight="1" x14ac:dyDescent="0.3">
      <c r="D33" s="63"/>
    </row>
    <row r="34" spans="4:4" ht="14.25" customHeight="1" x14ac:dyDescent="0.3"/>
    <row r="35" spans="4:4" ht="14.25" customHeight="1" x14ac:dyDescent="0.3"/>
    <row r="36" spans="4:4" ht="14.25" customHeight="1" x14ac:dyDescent="0.3"/>
    <row r="37" spans="4:4" ht="14.25" customHeight="1" x14ac:dyDescent="0.3"/>
    <row r="38" spans="4:4" ht="14.25" customHeight="1" x14ac:dyDescent="0.3"/>
    <row r="39" spans="4:4" ht="14.25" customHeight="1" x14ac:dyDescent="0.3"/>
    <row r="40" spans="4:4" ht="14.25" customHeight="1" x14ac:dyDescent="0.3"/>
    <row r="41" spans="4:4" ht="14.25" customHeight="1" x14ac:dyDescent="0.3"/>
    <row r="42" spans="4:4" ht="14.25" customHeight="1" x14ac:dyDescent="0.3"/>
    <row r="43" spans="4:4" ht="14.25" customHeight="1" x14ac:dyDescent="0.3"/>
    <row r="44" spans="4:4" ht="14.25" customHeight="1" x14ac:dyDescent="0.3"/>
    <row r="45" spans="4:4" ht="14.25" customHeight="1" x14ac:dyDescent="0.3"/>
    <row r="46" spans="4:4" ht="14.25" customHeight="1" x14ac:dyDescent="0.3"/>
    <row r="47" spans="4:4" ht="14.25" customHeight="1" x14ac:dyDescent="0.3"/>
    <row r="48" spans="4: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G1"/>
  </mergeCells>
  <conditionalFormatting sqref="F9:F32">
    <cfRule type="cellIs" dxfId="259" priority="1" operator="greaterThan">
      <formula>0</formula>
    </cfRule>
    <cfRule type="cellIs" dxfId="258" priority="2" operator="lessThan">
      <formula>0</formula>
    </cfRule>
    <cfRule type="cellIs" dxfId="257"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5298-B6B3-4403-A250-58F22B2099C8}">
  <sheetPr>
    <tabColor rgb="FFC96B0A"/>
  </sheetPr>
  <dimension ref="B1:O291"/>
  <sheetViews>
    <sheetView showGridLines="0" topLeftCell="A177" zoomScale="90" zoomScaleNormal="90" workbookViewId="0">
      <selection activeCell="B67" sqref="B67:M67"/>
    </sheetView>
  </sheetViews>
  <sheetFormatPr defaultColWidth="8.5546875" defaultRowHeight="15" x14ac:dyDescent="0.25"/>
  <cols>
    <col min="1" max="1" width="2.5546875" style="116" customWidth="1"/>
    <col min="2" max="2" width="13.5546875" style="59" customWidth="1"/>
    <col min="3" max="3" width="7.5546875" style="59" customWidth="1"/>
    <col min="4" max="4" width="12.5546875" style="59" customWidth="1"/>
    <col min="5" max="5" width="9.33203125" style="59" customWidth="1"/>
    <col min="6" max="6" width="13.5546875" style="59" customWidth="1"/>
    <col min="7" max="7" width="6.5546875" style="59" customWidth="1"/>
    <col min="8" max="8" width="8" style="59" customWidth="1"/>
    <col min="9" max="9" width="7.5546875" style="59" customWidth="1"/>
    <col min="10" max="10" width="23" style="59" customWidth="1"/>
    <col min="11" max="11" width="9.33203125" style="59" customWidth="1"/>
    <col min="12" max="12" width="21" style="59" customWidth="1"/>
    <col min="13" max="13" width="18.33203125" style="59" customWidth="1"/>
    <col min="14" max="14" width="17.33203125" style="58" customWidth="1"/>
    <col min="15" max="15" width="8.5546875" style="116" customWidth="1"/>
    <col min="16" max="16384" width="8.5546875" style="116"/>
  </cols>
  <sheetData>
    <row r="1" spans="2:15" ht="21.75" customHeight="1" x14ac:dyDescent="0.25">
      <c r="B1" s="639" t="s">
        <v>519</v>
      </c>
      <c r="C1" s="639"/>
      <c r="D1" s="639"/>
      <c r="E1" s="639"/>
      <c r="F1" s="639"/>
      <c r="G1" s="639"/>
      <c r="H1" s="639"/>
      <c r="I1" s="639"/>
      <c r="J1" s="639"/>
      <c r="K1" s="639"/>
      <c r="L1" s="639"/>
      <c r="M1" s="639"/>
      <c r="N1" s="639"/>
    </row>
    <row r="2" spans="2:15" ht="15" customHeight="1" x14ac:dyDescent="0.25">
      <c r="B2" s="662"/>
      <c r="C2" s="662"/>
      <c r="D2" s="662"/>
      <c r="E2" s="662"/>
      <c r="F2" s="662"/>
      <c r="G2" s="662"/>
      <c r="H2" s="662"/>
      <c r="I2" s="662"/>
      <c r="J2" s="662"/>
      <c r="K2" s="662"/>
      <c r="L2" s="662"/>
      <c r="M2" s="662"/>
      <c r="N2" s="662"/>
    </row>
    <row r="3" spans="2:15" ht="17.25" customHeight="1" x14ac:dyDescent="0.25">
      <c r="B3" s="502" t="s">
        <v>46</v>
      </c>
      <c r="C3" s="656" t="s">
        <v>47</v>
      </c>
      <c r="D3" s="656"/>
      <c r="E3" s="656" t="s">
        <v>48</v>
      </c>
      <c r="F3" s="656"/>
      <c r="G3" s="656" t="s">
        <v>49</v>
      </c>
      <c r="H3" s="656"/>
      <c r="I3" s="656"/>
      <c r="J3" s="656"/>
      <c r="K3" s="656" t="s">
        <v>50</v>
      </c>
      <c r="L3" s="656"/>
      <c r="M3" s="529" t="s">
        <v>51</v>
      </c>
      <c r="N3" s="526" t="s">
        <v>52</v>
      </c>
    </row>
    <row r="4" spans="2:15" ht="17.25" customHeight="1" x14ac:dyDescent="0.25">
      <c r="B4" s="506" t="s">
        <v>520</v>
      </c>
      <c r="C4" s="670">
        <v>26010509</v>
      </c>
      <c r="D4" s="670"/>
      <c r="E4" s="670"/>
      <c r="F4" s="670"/>
      <c r="G4" s="670" t="s">
        <v>145</v>
      </c>
      <c r="H4" s="670"/>
      <c r="I4" s="670"/>
      <c r="J4" s="670"/>
      <c r="K4" s="670" t="s">
        <v>62</v>
      </c>
      <c r="L4" s="670"/>
      <c r="M4" s="507" t="s">
        <v>521</v>
      </c>
      <c r="N4" s="528">
        <v>46143</v>
      </c>
      <c r="O4" s="503" t="s">
        <v>522</v>
      </c>
    </row>
    <row r="5" spans="2:15" ht="17.25" customHeight="1" x14ac:dyDescent="0.25">
      <c r="B5" s="506" t="s">
        <v>523</v>
      </c>
      <c r="C5" s="669"/>
      <c r="D5" s="669"/>
      <c r="E5" s="669">
        <v>2633431</v>
      </c>
      <c r="F5" s="669"/>
      <c r="G5" s="669" t="s">
        <v>524</v>
      </c>
      <c r="H5" s="669"/>
      <c r="I5" s="669"/>
      <c r="J5" s="669"/>
      <c r="K5" s="669" t="s">
        <v>149</v>
      </c>
      <c r="L5" s="669"/>
      <c r="M5" s="508" t="s">
        <v>525</v>
      </c>
      <c r="N5" s="498">
        <v>46144</v>
      </c>
      <c r="O5" s="503" t="s">
        <v>526</v>
      </c>
    </row>
    <row r="6" spans="2:15" ht="17.25" customHeight="1" x14ac:dyDescent="0.25">
      <c r="B6" s="659" t="s">
        <v>527</v>
      </c>
      <c r="C6" s="659">
        <v>26020510</v>
      </c>
      <c r="D6" s="659"/>
      <c r="E6" s="659"/>
      <c r="F6" s="659"/>
      <c r="G6" s="659" t="s">
        <v>112</v>
      </c>
      <c r="H6" s="659"/>
      <c r="I6" s="659"/>
      <c r="J6" s="659"/>
      <c r="K6" s="659" t="s">
        <v>76</v>
      </c>
      <c r="L6" s="659"/>
      <c r="M6" s="505" t="s">
        <v>274</v>
      </c>
      <c r="N6" s="498">
        <v>46144</v>
      </c>
      <c r="O6" s="493"/>
    </row>
    <row r="7" spans="2:15" ht="17.25" customHeight="1" x14ac:dyDescent="0.25">
      <c r="B7" s="659"/>
      <c r="C7" s="659">
        <v>26020511</v>
      </c>
      <c r="D7" s="659"/>
      <c r="E7" s="659"/>
      <c r="F7" s="659"/>
      <c r="G7" s="659" t="s">
        <v>528</v>
      </c>
      <c r="H7" s="659"/>
      <c r="I7" s="659"/>
      <c r="J7" s="659"/>
      <c r="K7" s="659"/>
      <c r="L7" s="659"/>
      <c r="M7" s="504" t="s">
        <v>274</v>
      </c>
      <c r="N7" s="498">
        <v>46143</v>
      </c>
      <c r="O7" s="493"/>
    </row>
    <row r="8" spans="2:15" ht="17.25" customHeight="1" x14ac:dyDescent="0.25">
      <c r="B8" s="659"/>
      <c r="C8" s="659">
        <v>26020512</v>
      </c>
      <c r="D8" s="659"/>
      <c r="E8" s="659"/>
      <c r="F8" s="659"/>
      <c r="G8" s="659" t="s">
        <v>529</v>
      </c>
      <c r="H8" s="659"/>
      <c r="I8" s="659"/>
      <c r="J8" s="659"/>
      <c r="K8" s="659"/>
      <c r="L8" s="659"/>
      <c r="M8" s="505" t="s">
        <v>274</v>
      </c>
      <c r="N8" s="498">
        <v>46147</v>
      </c>
      <c r="O8" s="493"/>
    </row>
    <row r="9" spans="2:15" ht="17.25" customHeight="1" x14ac:dyDescent="0.25">
      <c r="B9" s="659"/>
      <c r="C9" s="659">
        <v>26020513</v>
      </c>
      <c r="D9" s="659"/>
      <c r="E9" s="659"/>
      <c r="F9" s="659"/>
      <c r="G9" s="659" t="s">
        <v>530</v>
      </c>
      <c r="H9" s="659"/>
      <c r="I9" s="659"/>
      <c r="J9" s="659"/>
      <c r="K9" s="659"/>
      <c r="L9" s="659"/>
      <c r="M9" s="504" t="s">
        <v>274</v>
      </c>
      <c r="N9" s="498">
        <v>46148</v>
      </c>
      <c r="O9" s="493"/>
    </row>
    <row r="10" spans="2:15" ht="17.25" customHeight="1" x14ac:dyDescent="0.25">
      <c r="B10" s="659"/>
      <c r="C10" s="659">
        <v>26020514</v>
      </c>
      <c r="D10" s="659"/>
      <c r="E10" s="659"/>
      <c r="F10" s="659"/>
      <c r="G10" s="659" t="s">
        <v>531</v>
      </c>
      <c r="H10" s="659"/>
      <c r="I10" s="659"/>
      <c r="J10" s="659"/>
      <c r="K10" s="659"/>
      <c r="L10" s="659"/>
      <c r="M10" s="505" t="s">
        <v>274</v>
      </c>
      <c r="N10" s="498">
        <v>46148</v>
      </c>
      <c r="O10" s="493"/>
    </row>
    <row r="11" spans="2:15" ht="17.25" customHeight="1" x14ac:dyDescent="0.25">
      <c r="B11" s="659"/>
      <c r="C11" s="659">
        <v>26020515</v>
      </c>
      <c r="D11" s="659"/>
      <c r="E11" s="659"/>
      <c r="F11" s="659"/>
      <c r="G11" s="659" t="s">
        <v>532</v>
      </c>
      <c r="H11" s="659"/>
      <c r="I11" s="659"/>
      <c r="J11" s="659"/>
      <c r="K11" s="659"/>
      <c r="L11" s="659"/>
      <c r="M11" s="504" t="s">
        <v>274</v>
      </c>
      <c r="N11" s="498">
        <v>46148</v>
      </c>
      <c r="O11" s="493"/>
    </row>
    <row r="12" spans="2:15" ht="17.25" customHeight="1" x14ac:dyDescent="0.25">
      <c r="B12" s="504" t="s">
        <v>533</v>
      </c>
      <c r="C12" s="659"/>
      <c r="D12" s="659"/>
      <c r="E12" s="659">
        <v>26020510</v>
      </c>
      <c r="F12" s="659"/>
      <c r="G12" s="659" t="s">
        <v>112</v>
      </c>
      <c r="H12" s="659"/>
      <c r="I12" s="659"/>
      <c r="J12" s="659"/>
      <c r="K12" s="659" t="s">
        <v>120</v>
      </c>
      <c r="L12" s="659"/>
      <c r="M12" s="504" t="s">
        <v>127</v>
      </c>
      <c r="N12" s="498">
        <v>46149</v>
      </c>
      <c r="O12" s="493"/>
    </row>
    <row r="13" spans="2:15" ht="17.25" customHeight="1" x14ac:dyDescent="0.25">
      <c r="B13" s="659" t="s">
        <v>534</v>
      </c>
      <c r="C13" s="659"/>
      <c r="D13" s="659"/>
      <c r="E13" s="659">
        <v>26020511</v>
      </c>
      <c r="F13" s="659"/>
      <c r="G13" s="659" t="s">
        <v>528</v>
      </c>
      <c r="H13" s="659"/>
      <c r="I13" s="659"/>
      <c r="J13" s="659"/>
      <c r="K13" s="659" t="s">
        <v>76</v>
      </c>
      <c r="L13" s="659"/>
      <c r="M13" s="504" t="s">
        <v>127</v>
      </c>
      <c r="N13" s="498">
        <v>46147</v>
      </c>
      <c r="O13" s="493"/>
    </row>
    <row r="14" spans="2:15" ht="17.25" customHeight="1" x14ac:dyDescent="0.25">
      <c r="B14" s="659"/>
      <c r="C14" s="659"/>
      <c r="D14" s="659"/>
      <c r="E14" s="659">
        <v>26020512</v>
      </c>
      <c r="F14" s="659"/>
      <c r="G14" s="659" t="s">
        <v>529</v>
      </c>
      <c r="H14" s="659"/>
      <c r="I14" s="659"/>
      <c r="J14" s="659"/>
      <c r="K14" s="659"/>
      <c r="L14" s="659"/>
      <c r="M14" s="504" t="s">
        <v>127</v>
      </c>
      <c r="N14" s="498">
        <v>46147</v>
      </c>
      <c r="O14" s="493"/>
    </row>
    <row r="15" spans="2:15" ht="17.25" customHeight="1" x14ac:dyDescent="0.25">
      <c r="B15" s="659"/>
      <c r="C15" s="659"/>
      <c r="D15" s="659"/>
      <c r="E15" s="659">
        <v>26020513</v>
      </c>
      <c r="F15" s="659"/>
      <c r="G15" s="659" t="s">
        <v>530</v>
      </c>
      <c r="H15" s="659"/>
      <c r="I15" s="659"/>
      <c r="J15" s="659"/>
      <c r="K15" s="659"/>
      <c r="L15" s="659"/>
      <c r="M15" s="504" t="s">
        <v>127</v>
      </c>
      <c r="N15" s="498">
        <v>46148</v>
      </c>
      <c r="O15" s="493"/>
    </row>
    <row r="16" spans="2:15" ht="17.25" customHeight="1" x14ac:dyDescent="0.25">
      <c r="B16" s="659"/>
      <c r="C16" s="659"/>
      <c r="D16" s="659"/>
      <c r="E16" s="659">
        <v>26020514</v>
      </c>
      <c r="F16" s="659"/>
      <c r="G16" s="659" t="s">
        <v>531</v>
      </c>
      <c r="H16" s="659"/>
      <c r="I16" s="659"/>
      <c r="J16" s="659"/>
      <c r="K16" s="659"/>
      <c r="L16" s="659"/>
      <c r="M16" s="504" t="s">
        <v>127</v>
      </c>
      <c r="N16" s="498">
        <v>46148</v>
      </c>
      <c r="O16" s="493"/>
    </row>
    <row r="17" spans="2:15" ht="17.25" customHeight="1" x14ac:dyDescent="0.25">
      <c r="B17" s="659"/>
      <c r="C17" s="659"/>
      <c r="D17" s="659"/>
      <c r="E17" s="659">
        <v>26020515</v>
      </c>
      <c r="F17" s="659"/>
      <c r="G17" s="659" t="s">
        <v>532</v>
      </c>
      <c r="H17" s="659"/>
      <c r="I17" s="659"/>
      <c r="J17" s="659"/>
      <c r="K17" s="659"/>
      <c r="L17" s="659"/>
      <c r="M17" s="504" t="s">
        <v>127</v>
      </c>
      <c r="N17" s="498">
        <v>46148</v>
      </c>
      <c r="O17" s="493"/>
    </row>
    <row r="18" spans="2:15" ht="17.25" customHeight="1" x14ac:dyDescent="0.25">
      <c r="B18" s="504" t="s">
        <v>535</v>
      </c>
      <c r="C18" s="659">
        <v>26010516</v>
      </c>
      <c r="D18" s="659"/>
      <c r="E18" s="659"/>
      <c r="F18" s="659"/>
      <c r="G18" s="659" t="s">
        <v>232</v>
      </c>
      <c r="H18" s="659"/>
      <c r="I18" s="659"/>
      <c r="J18" s="659"/>
      <c r="K18" s="659" t="s">
        <v>103</v>
      </c>
      <c r="L18" s="659"/>
      <c r="M18" s="504" t="s">
        <v>136</v>
      </c>
      <c r="N18" s="498">
        <v>46147</v>
      </c>
      <c r="O18" s="493"/>
    </row>
    <row r="19" spans="2:15" ht="17.25" customHeight="1" x14ac:dyDescent="0.25">
      <c r="B19" s="504" t="s">
        <v>536</v>
      </c>
      <c r="C19" s="659">
        <v>26010517</v>
      </c>
      <c r="D19" s="659"/>
      <c r="E19" s="659"/>
      <c r="F19" s="659"/>
      <c r="G19" s="659" t="s">
        <v>134</v>
      </c>
      <c r="H19" s="659"/>
      <c r="I19" s="659"/>
      <c r="J19" s="659"/>
      <c r="K19" s="659" t="s">
        <v>135</v>
      </c>
      <c r="L19" s="659"/>
      <c r="M19" s="504" t="s">
        <v>136</v>
      </c>
      <c r="N19" s="498">
        <v>46149</v>
      </c>
      <c r="O19" s="493"/>
    </row>
    <row r="20" spans="2:15" ht="17.25" customHeight="1" x14ac:dyDescent="0.25">
      <c r="B20" s="504" t="s">
        <v>537</v>
      </c>
      <c r="C20" s="659">
        <v>26010518</v>
      </c>
      <c r="D20" s="659"/>
      <c r="E20" s="659"/>
      <c r="F20" s="659"/>
      <c r="G20" s="659" t="s">
        <v>325</v>
      </c>
      <c r="H20" s="659"/>
      <c r="I20" s="659"/>
      <c r="J20" s="659"/>
      <c r="K20" s="659" t="s">
        <v>403</v>
      </c>
      <c r="L20" s="659"/>
      <c r="M20" s="504" t="s">
        <v>136</v>
      </c>
      <c r="N20" s="498">
        <v>46149</v>
      </c>
      <c r="O20" s="493"/>
    </row>
    <row r="21" spans="2:15" ht="17.25" customHeight="1" x14ac:dyDescent="0.25">
      <c r="B21" s="659" t="s">
        <v>538</v>
      </c>
      <c r="C21" s="659">
        <v>26010519</v>
      </c>
      <c r="D21" s="659"/>
      <c r="E21" s="659"/>
      <c r="F21" s="659"/>
      <c r="G21" s="659" t="s">
        <v>75</v>
      </c>
      <c r="H21" s="659"/>
      <c r="I21" s="659"/>
      <c r="J21" s="659"/>
      <c r="K21" s="659" t="s">
        <v>76</v>
      </c>
      <c r="L21" s="659"/>
      <c r="M21" s="504" t="s">
        <v>77</v>
      </c>
      <c r="N21" s="498">
        <v>46146</v>
      </c>
      <c r="O21" s="493"/>
    </row>
    <row r="22" spans="2:15" ht="17.25" customHeight="1" x14ac:dyDescent="0.25">
      <c r="B22" s="659"/>
      <c r="C22" s="659">
        <v>26010520</v>
      </c>
      <c r="D22" s="659"/>
      <c r="E22" s="659"/>
      <c r="F22" s="659"/>
      <c r="G22" s="659" t="s">
        <v>75</v>
      </c>
      <c r="H22" s="659"/>
      <c r="I22" s="659"/>
      <c r="J22" s="659"/>
      <c r="K22" s="659"/>
      <c r="L22" s="659"/>
      <c r="M22" s="504" t="s">
        <v>77</v>
      </c>
      <c r="N22" s="498">
        <v>46146</v>
      </c>
      <c r="O22" s="493"/>
    </row>
    <row r="23" spans="2:15" ht="17.25" customHeight="1" x14ac:dyDescent="0.25">
      <c r="B23" s="659"/>
      <c r="C23" s="659">
        <v>26010521</v>
      </c>
      <c r="D23" s="659"/>
      <c r="E23" s="659"/>
      <c r="F23" s="659"/>
      <c r="G23" s="659" t="s">
        <v>75</v>
      </c>
      <c r="H23" s="659"/>
      <c r="I23" s="659"/>
      <c r="J23" s="659"/>
      <c r="K23" s="659"/>
      <c r="L23" s="659"/>
      <c r="M23" s="504" t="s">
        <v>77</v>
      </c>
      <c r="N23" s="498">
        <v>46146</v>
      </c>
      <c r="O23" s="493"/>
    </row>
    <row r="24" spans="2:15" ht="17.25" customHeight="1" x14ac:dyDescent="0.25">
      <c r="B24" s="659"/>
      <c r="C24" s="659">
        <v>26010522</v>
      </c>
      <c r="D24" s="659"/>
      <c r="E24" s="660"/>
      <c r="F24" s="660"/>
      <c r="G24" s="659" t="s">
        <v>75</v>
      </c>
      <c r="H24" s="659"/>
      <c r="I24" s="659"/>
      <c r="J24" s="659"/>
      <c r="K24" s="659"/>
      <c r="L24" s="659"/>
      <c r="M24" s="504" t="s">
        <v>77</v>
      </c>
      <c r="N24" s="498">
        <v>46146</v>
      </c>
      <c r="O24" s="493"/>
    </row>
    <row r="25" spans="2:15" ht="17.25" customHeight="1" x14ac:dyDescent="0.25">
      <c r="B25" s="659"/>
      <c r="C25" s="659">
        <v>26010523</v>
      </c>
      <c r="D25" s="659"/>
      <c r="E25" s="660"/>
      <c r="F25" s="660"/>
      <c r="G25" s="659" t="s">
        <v>75</v>
      </c>
      <c r="H25" s="659"/>
      <c r="I25" s="659"/>
      <c r="J25" s="659"/>
      <c r="K25" s="659"/>
      <c r="L25" s="659"/>
      <c r="M25" s="504" t="s">
        <v>77</v>
      </c>
      <c r="N25" s="498">
        <v>46146</v>
      </c>
      <c r="O25" s="493"/>
    </row>
    <row r="26" spans="2:15" ht="17.25" customHeight="1" x14ac:dyDescent="0.25">
      <c r="B26" s="659"/>
      <c r="C26" s="659">
        <v>26010524</v>
      </c>
      <c r="D26" s="659"/>
      <c r="E26" s="659"/>
      <c r="F26" s="659"/>
      <c r="G26" s="659" t="s">
        <v>75</v>
      </c>
      <c r="H26" s="659"/>
      <c r="I26" s="659"/>
      <c r="J26" s="659"/>
      <c r="K26" s="659"/>
      <c r="L26" s="659"/>
      <c r="M26" s="504" t="s">
        <v>77</v>
      </c>
      <c r="N26" s="498">
        <v>46146</v>
      </c>
      <c r="O26" s="493"/>
    </row>
    <row r="27" spans="2:15" ht="17.25" customHeight="1" x14ac:dyDescent="0.25">
      <c r="B27" s="659"/>
      <c r="C27" s="659">
        <v>26010525</v>
      </c>
      <c r="D27" s="659"/>
      <c r="E27" s="659"/>
      <c r="F27" s="659"/>
      <c r="G27" s="659" t="s">
        <v>75</v>
      </c>
      <c r="H27" s="659"/>
      <c r="I27" s="659"/>
      <c r="J27" s="659"/>
      <c r="K27" s="659"/>
      <c r="L27" s="659"/>
      <c r="M27" s="504" t="s">
        <v>77</v>
      </c>
      <c r="N27" s="498">
        <v>46146</v>
      </c>
      <c r="O27" s="493"/>
    </row>
    <row r="28" spans="2:15" ht="17.25" customHeight="1" x14ac:dyDescent="0.25">
      <c r="B28" s="659"/>
      <c r="C28" s="659">
        <v>26010526</v>
      </c>
      <c r="D28" s="659"/>
      <c r="E28" s="659"/>
      <c r="F28" s="659"/>
      <c r="G28" s="659" t="s">
        <v>75</v>
      </c>
      <c r="H28" s="659"/>
      <c r="I28" s="659"/>
      <c r="J28" s="659"/>
      <c r="K28" s="659"/>
      <c r="L28" s="659"/>
      <c r="M28" s="504" t="s">
        <v>77</v>
      </c>
      <c r="N28" s="498">
        <v>46146</v>
      </c>
      <c r="O28" s="493"/>
    </row>
    <row r="29" spans="2:15" ht="17.25" customHeight="1" x14ac:dyDescent="0.25">
      <c r="B29" s="659"/>
      <c r="C29" s="659">
        <v>26010527</v>
      </c>
      <c r="D29" s="659"/>
      <c r="E29" s="659"/>
      <c r="F29" s="659"/>
      <c r="G29" s="659" t="s">
        <v>75</v>
      </c>
      <c r="H29" s="659"/>
      <c r="I29" s="659"/>
      <c r="J29" s="659"/>
      <c r="K29" s="659"/>
      <c r="L29" s="659"/>
      <c r="M29" s="504" t="s">
        <v>77</v>
      </c>
      <c r="N29" s="498">
        <v>46147</v>
      </c>
      <c r="O29" s="493"/>
    </row>
    <row r="30" spans="2:15" ht="17.25" customHeight="1" x14ac:dyDescent="0.25">
      <c r="B30" s="659"/>
      <c r="C30" s="659">
        <v>26010528</v>
      </c>
      <c r="D30" s="659"/>
      <c r="E30" s="659"/>
      <c r="F30" s="659"/>
      <c r="G30" s="659" t="s">
        <v>75</v>
      </c>
      <c r="H30" s="659"/>
      <c r="I30" s="659"/>
      <c r="J30" s="659"/>
      <c r="K30" s="659"/>
      <c r="L30" s="659"/>
      <c r="M30" s="504" t="s">
        <v>77</v>
      </c>
      <c r="N30" s="498">
        <v>46147</v>
      </c>
      <c r="O30" s="493"/>
    </row>
    <row r="31" spans="2:15" ht="17.25" customHeight="1" x14ac:dyDescent="0.25">
      <c r="B31" s="659"/>
      <c r="C31" s="659">
        <v>26010529</v>
      </c>
      <c r="D31" s="659"/>
      <c r="E31" s="659"/>
      <c r="F31" s="659"/>
      <c r="G31" s="659" t="s">
        <v>75</v>
      </c>
      <c r="H31" s="659"/>
      <c r="I31" s="659"/>
      <c r="J31" s="659"/>
      <c r="K31" s="659"/>
      <c r="L31" s="659"/>
      <c r="M31" s="504" t="s">
        <v>77</v>
      </c>
      <c r="N31" s="498">
        <v>46147</v>
      </c>
      <c r="O31" s="493"/>
    </row>
    <row r="32" spans="2:15" ht="17.25" customHeight="1" x14ac:dyDescent="0.25">
      <c r="B32" s="659"/>
      <c r="C32" s="659">
        <v>26010530</v>
      </c>
      <c r="D32" s="659"/>
      <c r="E32" s="659"/>
      <c r="F32" s="659"/>
      <c r="G32" s="659" t="s">
        <v>75</v>
      </c>
      <c r="H32" s="659"/>
      <c r="I32" s="659"/>
      <c r="J32" s="659"/>
      <c r="K32" s="659"/>
      <c r="L32" s="659"/>
      <c r="M32" s="504" t="s">
        <v>77</v>
      </c>
      <c r="N32" s="498">
        <v>46147</v>
      </c>
      <c r="O32" s="493"/>
    </row>
    <row r="33" spans="2:15" ht="17.25" customHeight="1" x14ac:dyDescent="0.25">
      <c r="B33" s="659"/>
      <c r="C33" s="659">
        <v>26010531</v>
      </c>
      <c r="D33" s="659"/>
      <c r="E33" s="660"/>
      <c r="F33" s="660"/>
      <c r="G33" s="659" t="s">
        <v>75</v>
      </c>
      <c r="H33" s="659"/>
      <c r="I33" s="659"/>
      <c r="J33" s="659"/>
      <c r="K33" s="659"/>
      <c r="L33" s="659"/>
      <c r="M33" s="504" t="s">
        <v>77</v>
      </c>
      <c r="N33" s="498">
        <v>46149</v>
      </c>
      <c r="O33" s="493"/>
    </row>
    <row r="34" spans="2:15" ht="17.25" customHeight="1" x14ac:dyDescent="0.25">
      <c r="B34" s="659"/>
      <c r="C34" s="659">
        <v>26010532</v>
      </c>
      <c r="D34" s="659"/>
      <c r="E34" s="659"/>
      <c r="F34" s="659"/>
      <c r="G34" s="659" t="s">
        <v>75</v>
      </c>
      <c r="H34" s="659"/>
      <c r="I34" s="659"/>
      <c r="J34" s="659"/>
      <c r="K34" s="659"/>
      <c r="L34" s="659"/>
      <c r="M34" s="504" t="s">
        <v>77</v>
      </c>
      <c r="N34" s="498">
        <v>46149</v>
      </c>
      <c r="O34" s="493"/>
    </row>
    <row r="35" spans="2:15" ht="17.25" customHeight="1" x14ac:dyDescent="0.25">
      <c r="B35" s="659"/>
      <c r="C35" s="659">
        <v>26010533</v>
      </c>
      <c r="D35" s="659"/>
      <c r="E35" s="660"/>
      <c r="F35" s="660"/>
      <c r="G35" s="659" t="s">
        <v>75</v>
      </c>
      <c r="H35" s="659"/>
      <c r="I35" s="659"/>
      <c r="J35" s="659"/>
      <c r="K35" s="659"/>
      <c r="L35" s="659"/>
      <c r="M35" s="504" t="s">
        <v>77</v>
      </c>
      <c r="N35" s="498">
        <v>46150</v>
      </c>
      <c r="O35" s="493"/>
    </row>
    <row r="36" spans="2:15" ht="17.25" customHeight="1" x14ac:dyDescent="0.25">
      <c r="B36" s="659"/>
      <c r="C36" s="659">
        <v>26010534</v>
      </c>
      <c r="D36" s="659"/>
      <c r="E36" s="659"/>
      <c r="F36" s="659"/>
      <c r="G36" s="659" t="s">
        <v>75</v>
      </c>
      <c r="H36" s="659"/>
      <c r="I36" s="659"/>
      <c r="J36" s="659"/>
      <c r="K36" s="659"/>
      <c r="L36" s="659"/>
      <c r="M36" s="504" t="s">
        <v>77</v>
      </c>
      <c r="N36" s="498">
        <v>46150</v>
      </c>
      <c r="O36" s="493"/>
    </row>
    <row r="37" spans="2:15" ht="17.25" customHeight="1" x14ac:dyDescent="0.25">
      <c r="B37" s="659"/>
      <c r="C37" s="659">
        <v>26010535</v>
      </c>
      <c r="D37" s="659"/>
      <c r="E37" s="659"/>
      <c r="F37" s="659"/>
      <c r="G37" s="659" t="s">
        <v>75</v>
      </c>
      <c r="H37" s="659"/>
      <c r="I37" s="659"/>
      <c r="J37" s="659"/>
      <c r="K37" s="659"/>
      <c r="L37" s="659"/>
      <c r="M37" s="504" t="s">
        <v>77</v>
      </c>
      <c r="N37" s="498">
        <v>46150</v>
      </c>
      <c r="O37" s="493"/>
    </row>
    <row r="38" spans="2:15" ht="17.25" customHeight="1" x14ac:dyDescent="0.25">
      <c r="B38" s="659"/>
      <c r="C38" s="659">
        <v>26010536</v>
      </c>
      <c r="D38" s="659"/>
      <c r="E38" s="659"/>
      <c r="F38" s="659"/>
      <c r="G38" s="659" t="s">
        <v>75</v>
      </c>
      <c r="H38" s="659"/>
      <c r="I38" s="659"/>
      <c r="J38" s="659"/>
      <c r="K38" s="659"/>
      <c r="L38" s="659"/>
      <c r="M38" s="504" t="s">
        <v>77</v>
      </c>
      <c r="N38" s="498">
        <v>46150</v>
      </c>
      <c r="O38" s="493"/>
    </row>
    <row r="39" spans="2:15" ht="17.25" customHeight="1" x14ac:dyDescent="0.25">
      <c r="B39" s="659"/>
      <c r="C39" s="659">
        <v>26010537</v>
      </c>
      <c r="D39" s="659"/>
      <c r="E39" s="659"/>
      <c r="F39" s="659"/>
      <c r="G39" s="659" t="s">
        <v>75</v>
      </c>
      <c r="H39" s="659"/>
      <c r="I39" s="659"/>
      <c r="J39" s="659"/>
      <c r="K39" s="659"/>
      <c r="L39" s="659"/>
      <c r="M39" s="504" t="s">
        <v>77</v>
      </c>
      <c r="N39" s="498">
        <v>46150</v>
      </c>
      <c r="O39" s="493"/>
    </row>
    <row r="40" spans="2:15" ht="17.25" customHeight="1" x14ac:dyDescent="0.25">
      <c r="B40" s="659"/>
      <c r="C40" s="659">
        <v>26010538</v>
      </c>
      <c r="D40" s="659"/>
      <c r="E40" s="659"/>
      <c r="F40" s="659"/>
      <c r="G40" s="659" t="s">
        <v>75</v>
      </c>
      <c r="H40" s="659"/>
      <c r="I40" s="659"/>
      <c r="J40" s="659"/>
      <c r="K40" s="659"/>
      <c r="L40" s="659"/>
      <c r="M40" s="504" t="s">
        <v>77</v>
      </c>
      <c r="N40" s="498">
        <v>46151</v>
      </c>
      <c r="O40" s="493"/>
    </row>
    <row r="41" spans="2:15" ht="17.25" customHeight="1" x14ac:dyDescent="0.25">
      <c r="B41" s="659" t="s">
        <v>539</v>
      </c>
      <c r="C41" s="659">
        <v>26010539</v>
      </c>
      <c r="D41" s="659"/>
      <c r="E41" s="660"/>
      <c r="F41" s="660"/>
      <c r="G41" s="659" t="s">
        <v>75</v>
      </c>
      <c r="H41" s="659"/>
      <c r="I41" s="659"/>
      <c r="J41" s="659"/>
      <c r="K41" s="659" t="s">
        <v>76</v>
      </c>
      <c r="L41" s="659"/>
      <c r="M41" s="504" t="s">
        <v>77</v>
      </c>
      <c r="N41" s="498">
        <v>46151</v>
      </c>
      <c r="O41" s="493"/>
    </row>
    <row r="42" spans="2:15" ht="17.25" customHeight="1" x14ac:dyDescent="0.25">
      <c r="B42" s="659"/>
      <c r="C42" s="659">
        <v>26010540</v>
      </c>
      <c r="D42" s="659"/>
      <c r="E42" s="659"/>
      <c r="F42" s="659"/>
      <c r="G42" s="659" t="s">
        <v>75</v>
      </c>
      <c r="H42" s="659"/>
      <c r="I42" s="659"/>
      <c r="J42" s="659"/>
      <c r="K42" s="659"/>
      <c r="L42" s="659"/>
      <c r="M42" s="504" t="s">
        <v>77</v>
      </c>
      <c r="N42" s="498">
        <v>46151</v>
      </c>
      <c r="O42" s="493"/>
    </row>
    <row r="43" spans="2:15" ht="17.25" customHeight="1" x14ac:dyDescent="0.25">
      <c r="B43" s="659"/>
      <c r="C43" s="659">
        <v>26010541</v>
      </c>
      <c r="D43" s="659"/>
      <c r="E43" s="659"/>
      <c r="F43" s="659"/>
      <c r="G43" s="659" t="s">
        <v>75</v>
      </c>
      <c r="H43" s="659"/>
      <c r="I43" s="659"/>
      <c r="J43" s="659"/>
      <c r="K43" s="659"/>
      <c r="L43" s="659"/>
      <c r="M43" s="504" t="s">
        <v>77</v>
      </c>
      <c r="N43" s="498">
        <v>46151</v>
      </c>
      <c r="O43" s="493"/>
    </row>
    <row r="44" spans="2:15" ht="17.25" customHeight="1" x14ac:dyDescent="0.25">
      <c r="B44" s="659"/>
      <c r="C44" s="659">
        <v>26010542</v>
      </c>
      <c r="D44" s="659"/>
      <c r="E44" s="659"/>
      <c r="F44" s="659"/>
      <c r="G44" s="659" t="s">
        <v>75</v>
      </c>
      <c r="H44" s="659"/>
      <c r="I44" s="659"/>
      <c r="J44" s="659"/>
      <c r="K44" s="659"/>
      <c r="L44" s="659"/>
      <c r="M44" s="504" t="s">
        <v>77</v>
      </c>
      <c r="N44" s="498">
        <v>46151</v>
      </c>
      <c r="O44" s="493"/>
    </row>
    <row r="45" spans="2:15" ht="17.25" customHeight="1" x14ac:dyDescent="0.25">
      <c r="B45" s="659"/>
      <c r="C45" s="659">
        <v>26010543</v>
      </c>
      <c r="D45" s="659"/>
      <c r="E45" s="659"/>
      <c r="F45" s="659"/>
      <c r="G45" s="659" t="s">
        <v>75</v>
      </c>
      <c r="H45" s="659"/>
      <c r="I45" s="659"/>
      <c r="J45" s="659"/>
      <c r="K45" s="659"/>
      <c r="L45" s="659"/>
      <c r="M45" s="504" t="s">
        <v>77</v>
      </c>
      <c r="N45" s="498">
        <v>46151</v>
      </c>
      <c r="O45" s="493"/>
    </row>
    <row r="46" spans="2:15" ht="17.25" customHeight="1" x14ac:dyDescent="0.25">
      <c r="B46" s="659"/>
      <c r="C46" s="659">
        <v>26010544</v>
      </c>
      <c r="D46" s="659"/>
      <c r="E46" s="659"/>
      <c r="F46" s="659"/>
      <c r="G46" s="659" t="s">
        <v>75</v>
      </c>
      <c r="H46" s="659"/>
      <c r="I46" s="659"/>
      <c r="J46" s="659"/>
      <c r="K46" s="659"/>
      <c r="L46" s="659"/>
      <c r="M46" s="504" t="s">
        <v>77</v>
      </c>
      <c r="N46" s="498">
        <v>46153</v>
      </c>
      <c r="O46" s="493"/>
    </row>
    <row r="47" spans="2:15" ht="17.25" customHeight="1" x14ac:dyDescent="0.25">
      <c r="B47" s="659"/>
      <c r="C47" s="659">
        <v>26010545</v>
      </c>
      <c r="D47" s="659"/>
      <c r="E47" s="659"/>
      <c r="F47" s="659"/>
      <c r="G47" s="659" t="s">
        <v>75</v>
      </c>
      <c r="H47" s="659"/>
      <c r="I47" s="659"/>
      <c r="J47" s="659"/>
      <c r="K47" s="659"/>
      <c r="L47" s="659"/>
      <c r="M47" s="504" t="s">
        <v>77</v>
      </c>
      <c r="N47" s="498">
        <v>46153</v>
      </c>
      <c r="O47" s="493"/>
    </row>
    <row r="48" spans="2:15" ht="17.25" customHeight="1" x14ac:dyDescent="0.25">
      <c r="B48" s="659"/>
      <c r="C48" s="659">
        <v>26010546</v>
      </c>
      <c r="D48" s="659"/>
      <c r="E48" s="659"/>
      <c r="F48" s="659"/>
      <c r="G48" s="659" t="s">
        <v>75</v>
      </c>
      <c r="H48" s="659"/>
      <c r="I48" s="659"/>
      <c r="J48" s="659"/>
      <c r="K48" s="659"/>
      <c r="L48" s="659"/>
      <c r="M48" s="504" t="s">
        <v>77</v>
      </c>
      <c r="N48" s="498">
        <v>46153</v>
      </c>
      <c r="O48" s="493"/>
    </row>
    <row r="49" spans="2:15" ht="17.25" customHeight="1" x14ac:dyDescent="0.25">
      <c r="B49" s="659"/>
      <c r="C49" s="659">
        <v>26010547</v>
      </c>
      <c r="D49" s="659"/>
      <c r="E49" s="660"/>
      <c r="F49" s="660"/>
      <c r="G49" s="659" t="s">
        <v>75</v>
      </c>
      <c r="H49" s="659"/>
      <c r="I49" s="659"/>
      <c r="J49" s="659"/>
      <c r="K49" s="659"/>
      <c r="L49" s="659"/>
      <c r="M49" s="504" t="s">
        <v>77</v>
      </c>
      <c r="N49" s="498">
        <v>46153</v>
      </c>
      <c r="O49" s="493"/>
    </row>
    <row r="50" spans="2:15" ht="17.25" customHeight="1" x14ac:dyDescent="0.25">
      <c r="B50" s="659"/>
      <c r="C50" s="659">
        <v>26010548</v>
      </c>
      <c r="D50" s="659"/>
      <c r="E50" s="659"/>
      <c r="F50" s="659"/>
      <c r="G50" s="659" t="s">
        <v>75</v>
      </c>
      <c r="H50" s="659"/>
      <c r="I50" s="659"/>
      <c r="J50" s="659"/>
      <c r="K50" s="659"/>
      <c r="L50" s="659"/>
      <c r="M50" s="504" t="s">
        <v>77</v>
      </c>
      <c r="N50" s="498">
        <v>46154</v>
      </c>
      <c r="O50" s="493"/>
    </row>
    <row r="51" spans="2:15" ht="17.25" customHeight="1" x14ac:dyDescent="0.25">
      <c r="B51" s="659"/>
      <c r="C51" s="659">
        <v>26010549</v>
      </c>
      <c r="D51" s="659"/>
      <c r="E51" s="659"/>
      <c r="F51" s="659"/>
      <c r="G51" s="659" t="s">
        <v>75</v>
      </c>
      <c r="H51" s="659"/>
      <c r="I51" s="659"/>
      <c r="J51" s="659"/>
      <c r="K51" s="659"/>
      <c r="L51" s="659"/>
      <c r="M51" s="504" t="s">
        <v>77</v>
      </c>
      <c r="N51" s="498">
        <v>46154</v>
      </c>
      <c r="O51" s="493"/>
    </row>
    <row r="52" spans="2:15" ht="17.25" customHeight="1" x14ac:dyDescent="0.25">
      <c r="B52" s="659"/>
      <c r="C52" s="659">
        <v>26010550</v>
      </c>
      <c r="D52" s="659"/>
      <c r="E52" s="659"/>
      <c r="F52" s="659"/>
      <c r="G52" s="659" t="s">
        <v>75</v>
      </c>
      <c r="H52" s="659"/>
      <c r="I52" s="659"/>
      <c r="J52" s="659"/>
      <c r="K52" s="659"/>
      <c r="L52" s="659"/>
      <c r="M52" s="504" t="s">
        <v>77</v>
      </c>
      <c r="N52" s="498">
        <v>46154</v>
      </c>
      <c r="O52" s="493"/>
    </row>
    <row r="53" spans="2:15" ht="17.25" customHeight="1" x14ac:dyDescent="0.25">
      <c r="B53" s="659"/>
      <c r="C53" s="659">
        <v>26010551</v>
      </c>
      <c r="D53" s="659"/>
      <c r="E53" s="659"/>
      <c r="F53" s="659"/>
      <c r="G53" s="659" t="s">
        <v>75</v>
      </c>
      <c r="H53" s="659"/>
      <c r="I53" s="659"/>
      <c r="J53" s="659"/>
      <c r="K53" s="659"/>
      <c r="L53" s="659"/>
      <c r="M53" s="504" t="s">
        <v>77</v>
      </c>
      <c r="N53" s="498">
        <v>46154</v>
      </c>
      <c r="O53" s="493"/>
    </row>
    <row r="54" spans="2:15" ht="17.25" customHeight="1" x14ac:dyDescent="0.25">
      <c r="B54" s="659"/>
      <c r="C54" s="659">
        <v>26010552</v>
      </c>
      <c r="D54" s="659"/>
      <c r="E54" s="659"/>
      <c r="F54" s="659"/>
      <c r="G54" s="659" t="s">
        <v>75</v>
      </c>
      <c r="H54" s="659"/>
      <c r="I54" s="659"/>
      <c r="J54" s="659"/>
      <c r="K54" s="659"/>
      <c r="L54" s="659"/>
      <c r="M54" s="504" t="s">
        <v>77</v>
      </c>
      <c r="N54" s="498">
        <v>46154</v>
      </c>
      <c r="O54" s="493"/>
    </row>
    <row r="55" spans="2:15" ht="17.25" customHeight="1" x14ac:dyDescent="0.25">
      <c r="B55" s="659"/>
      <c r="C55" s="659">
        <v>26010553</v>
      </c>
      <c r="D55" s="659"/>
      <c r="E55" s="660"/>
      <c r="F55" s="660"/>
      <c r="G55" s="659" t="s">
        <v>75</v>
      </c>
      <c r="H55" s="659"/>
      <c r="I55" s="659"/>
      <c r="J55" s="659"/>
      <c r="K55" s="659"/>
      <c r="L55" s="659"/>
      <c r="M55" s="504" t="s">
        <v>77</v>
      </c>
      <c r="N55" s="498">
        <v>46154</v>
      </c>
      <c r="O55" s="493"/>
    </row>
    <row r="56" spans="2:15" ht="17.25" customHeight="1" x14ac:dyDescent="0.25">
      <c r="B56" s="659"/>
      <c r="C56" s="659">
        <v>26010554</v>
      </c>
      <c r="D56" s="659"/>
      <c r="E56" s="659"/>
      <c r="F56" s="659"/>
      <c r="G56" s="659" t="s">
        <v>75</v>
      </c>
      <c r="H56" s="659"/>
      <c r="I56" s="659"/>
      <c r="J56" s="659"/>
      <c r="K56" s="659"/>
      <c r="L56" s="659"/>
      <c r="M56" s="504" t="s">
        <v>77</v>
      </c>
      <c r="N56" s="498">
        <v>46154</v>
      </c>
      <c r="O56" s="493"/>
    </row>
    <row r="57" spans="2:15" ht="17.25" customHeight="1" x14ac:dyDescent="0.25">
      <c r="B57" s="659"/>
      <c r="C57" s="659">
        <v>26010555</v>
      </c>
      <c r="D57" s="659"/>
      <c r="E57" s="659"/>
      <c r="F57" s="659"/>
      <c r="G57" s="659" t="s">
        <v>75</v>
      </c>
      <c r="H57" s="659"/>
      <c r="I57" s="659"/>
      <c r="J57" s="659"/>
      <c r="K57" s="659"/>
      <c r="L57" s="659"/>
      <c r="M57" s="504" t="s">
        <v>77</v>
      </c>
      <c r="N57" s="498">
        <v>46155</v>
      </c>
      <c r="O57" s="493"/>
    </row>
    <row r="58" spans="2:15" ht="17.25" customHeight="1" x14ac:dyDescent="0.25">
      <c r="B58" s="659"/>
      <c r="C58" s="659">
        <v>26010556</v>
      </c>
      <c r="D58" s="659"/>
      <c r="E58" s="659"/>
      <c r="F58" s="659"/>
      <c r="G58" s="659" t="s">
        <v>75</v>
      </c>
      <c r="H58" s="659"/>
      <c r="I58" s="659"/>
      <c r="J58" s="659"/>
      <c r="K58" s="659"/>
      <c r="L58" s="659"/>
      <c r="M58" s="504" t="s">
        <v>77</v>
      </c>
      <c r="N58" s="498">
        <v>46155</v>
      </c>
      <c r="O58" s="493"/>
    </row>
    <row r="59" spans="2:15" ht="17.25" customHeight="1" x14ac:dyDescent="0.25">
      <c r="B59" s="659"/>
      <c r="C59" s="659">
        <v>26010557</v>
      </c>
      <c r="D59" s="659"/>
      <c r="E59" s="659"/>
      <c r="F59" s="659"/>
      <c r="G59" s="659" t="s">
        <v>75</v>
      </c>
      <c r="H59" s="659"/>
      <c r="I59" s="659"/>
      <c r="J59" s="659"/>
      <c r="K59" s="659"/>
      <c r="L59" s="659"/>
      <c r="M59" s="504" t="s">
        <v>77</v>
      </c>
      <c r="N59" s="498">
        <v>46155</v>
      </c>
      <c r="O59" s="493"/>
    </row>
    <row r="60" spans="2:15" ht="17.25" customHeight="1" x14ac:dyDescent="0.25">
      <c r="B60" s="659"/>
      <c r="C60" s="659">
        <v>26010558</v>
      </c>
      <c r="D60" s="659"/>
      <c r="E60" s="660"/>
      <c r="F60" s="660"/>
      <c r="G60" s="659" t="s">
        <v>75</v>
      </c>
      <c r="H60" s="659"/>
      <c r="I60" s="659"/>
      <c r="J60" s="659"/>
      <c r="K60" s="659"/>
      <c r="L60" s="659"/>
      <c r="M60" s="504" t="s">
        <v>77</v>
      </c>
      <c r="N60" s="498">
        <v>46155</v>
      </c>
      <c r="O60" s="493"/>
    </row>
    <row r="61" spans="2:15" ht="17.25" customHeight="1" x14ac:dyDescent="0.25">
      <c r="B61" s="508" t="s">
        <v>540</v>
      </c>
      <c r="C61" s="669">
        <v>26010559</v>
      </c>
      <c r="D61" s="669"/>
      <c r="E61" s="669"/>
      <c r="F61" s="669"/>
      <c r="G61" s="669" t="s">
        <v>61</v>
      </c>
      <c r="H61" s="669"/>
      <c r="I61" s="669"/>
      <c r="J61" s="669"/>
      <c r="K61" s="669" t="s">
        <v>62</v>
      </c>
      <c r="L61" s="669"/>
      <c r="M61" s="508" t="s">
        <v>541</v>
      </c>
      <c r="N61" s="498">
        <v>46149</v>
      </c>
      <c r="O61" s="503" t="s">
        <v>522</v>
      </c>
    </row>
    <row r="62" spans="2:15" ht="17.25" customHeight="1" x14ac:dyDescent="0.25">
      <c r="B62" s="504" t="s">
        <v>542</v>
      </c>
      <c r="C62" s="659">
        <v>26070560</v>
      </c>
      <c r="D62" s="659"/>
      <c r="E62" s="659"/>
      <c r="F62" s="659"/>
      <c r="G62" s="659" t="s">
        <v>543</v>
      </c>
      <c r="H62" s="659"/>
      <c r="I62" s="659"/>
      <c r="J62" s="659"/>
      <c r="K62" s="659" t="s">
        <v>76</v>
      </c>
      <c r="L62" s="659"/>
      <c r="M62" s="504" t="s">
        <v>544</v>
      </c>
      <c r="N62" s="498">
        <v>46151</v>
      </c>
      <c r="O62" s="493"/>
    </row>
    <row r="63" spans="2:15" ht="17.25" customHeight="1" x14ac:dyDescent="0.25">
      <c r="B63" s="504" t="s">
        <v>545</v>
      </c>
      <c r="C63" s="659"/>
      <c r="D63" s="659"/>
      <c r="E63" s="659">
        <v>26070560</v>
      </c>
      <c r="F63" s="659"/>
      <c r="G63" s="659" t="s">
        <v>546</v>
      </c>
      <c r="H63" s="659"/>
      <c r="I63" s="659"/>
      <c r="J63" s="659"/>
      <c r="K63" s="659" t="s">
        <v>62</v>
      </c>
      <c r="L63" s="659"/>
      <c r="M63" s="504" t="s">
        <v>547</v>
      </c>
      <c r="N63" s="498">
        <v>46154</v>
      </c>
      <c r="O63" s="493"/>
    </row>
    <row r="64" spans="2:15" ht="17.25" customHeight="1" x14ac:dyDescent="0.25">
      <c r="B64" s="504" t="s">
        <v>548</v>
      </c>
      <c r="C64" s="659" t="s">
        <v>549</v>
      </c>
      <c r="D64" s="659"/>
      <c r="E64" s="659"/>
      <c r="F64" s="659"/>
      <c r="G64" s="659" t="s">
        <v>54</v>
      </c>
      <c r="H64" s="659"/>
      <c r="I64" s="659"/>
      <c r="J64" s="659"/>
      <c r="K64" s="659" t="s">
        <v>31</v>
      </c>
      <c r="L64" s="659"/>
      <c r="M64" s="505" t="s">
        <v>55</v>
      </c>
      <c r="N64" s="498">
        <v>46151</v>
      </c>
      <c r="O64" s="493"/>
    </row>
    <row r="65" spans="2:15" ht="17.25" customHeight="1" x14ac:dyDescent="0.25">
      <c r="B65" s="504" t="s">
        <v>550</v>
      </c>
      <c r="C65" s="659">
        <v>26010562</v>
      </c>
      <c r="D65" s="659"/>
      <c r="E65" s="659"/>
      <c r="F65" s="659"/>
      <c r="G65" s="659" t="s">
        <v>162</v>
      </c>
      <c r="H65" s="659"/>
      <c r="I65" s="659"/>
      <c r="J65" s="659"/>
      <c r="K65" s="659" t="s">
        <v>163</v>
      </c>
      <c r="L65" s="659"/>
      <c r="M65" s="504" t="s">
        <v>140</v>
      </c>
      <c r="N65" s="498">
        <v>46153</v>
      </c>
      <c r="O65" s="493"/>
    </row>
    <row r="66" spans="2:15" ht="17.25" customHeight="1" x14ac:dyDescent="0.25">
      <c r="B66" s="504" t="s">
        <v>551</v>
      </c>
      <c r="C66" s="659">
        <v>26010563</v>
      </c>
      <c r="D66" s="659"/>
      <c r="E66" s="659"/>
      <c r="F66" s="659"/>
      <c r="G66" s="659" t="s">
        <v>552</v>
      </c>
      <c r="H66" s="659"/>
      <c r="I66" s="659"/>
      <c r="J66" s="659"/>
      <c r="K66" s="659" t="s">
        <v>553</v>
      </c>
      <c r="L66" s="659"/>
      <c r="M66" s="504" t="s">
        <v>73</v>
      </c>
      <c r="N66" s="498">
        <v>46153</v>
      </c>
      <c r="O66" s="493"/>
    </row>
    <row r="67" spans="2:15" ht="17.25" customHeight="1" x14ac:dyDescent="0.25">
      <c r="B67" s="508" t="s">
        <v>554</v>
      </c>
      <c r="C67" s="669">
        <v>26010564</v>
      </c>
      <c r="D67" s="669"/>
      <c r="E67" s="669"/>
      <c r="F67" s="669"/>
      <c r="G67" s="669" t="s">
        <v>68</v>
      </c>
      <c r="H67" s="669"/>
      <c r="I67" s="669"/>
      <c r="J67" s="669"/>
      <c r="K67" s="669" t="s">
        <v>27</v>
      </c>
      <c r="L67" s="669"/>
      <c r="M67" s="508" t="s">
        <v>555</v>
      </c>
      <c r="N67" s="498">
        <v>46155</v>
      </c>
      <c r="O67" s="503" t="s">
        <v>556</v>
      </c>
    </row>
    <row r="68" spans="2:15" ht="17.25" customHeight="1" x14ac:dyDescent="0.25">
      <c r="B68" s="659" t="s">
        <v>557</v>
      </c>
      <c r="C68" s="659">
        <v>26010565</v>
      </c>
      <c r="D68" s="659"/>
      <c r="E68" s="660"/>
      <c r="F68" s="660"/>
      <c r="G68" s="659" t="s">
        <v>75</v>
      </c>
      <c r="H68" s="659"/>
      <c r="I68" s="659"/>
      <c r="J68" s="659"/>
      <c r="K68" s="659" t="s">
        <v>76</v>
      </c>
      <c r="L68" s="659"/>
      <c r="M68" s="504" t="s">
        <v>77</v>
      </c>
      <c r="N68" s="498">
        <v>46155</v>
      </c>
      <c r="O68" s="493"/>
    </row>
    <row r="69" spans="2:15" ht="17.25" customHeight="1" x14ac:dyDescent="0.25">
      <c r="B69" s="659"/>
      <c r="C69" s="659">
        <v>26010566</v>
      </c>
      <c r="D69" s="659"/>
      <c r="E69" s="659"/>
      <c r="F69" s="659"/>
      <c r="G69" s="659" t="s">
        <v>75</v>
      </c>
      <c r="H69" s="659"/>
      <c r="I69" s="659"/>
      <c r="J69" s="659"/>
      <c r="K69" s="659"/>
      <c r="L69" s="659"/>
      <c r="M69" s="504" t="s">
        <v>77</v>
      </c>
      <c r="N69" s="498">
        <v>46155</v>
      </c>
      <c r="O69" s="493"/>
    </row>
    <row r="70" spans="2:15" ht="17.25" customHeight="1" x14ac:dyDescent="0.25">
      <c r="B70" s="659"/>
      <c r="C70" s="659">
        <v>26010567</v>
      </c>
      <c r="D70" s="659"/>
      <c r="E70" s="659"/>
      <c r="F70" s="659"/>
      <c r="G70" s="659" t="s">
        <v>75</v>
      </c>
      <c r="H70" s="659"/>
      <c r="I70" s="659"/>
      <c r="J70" s="659"/>
      <c r="K70" s="659"/>
      <c r="L70" s="659"/>
      <c r="M70" s="504" t="s">
        <v>77</v>
      </c>
      <c r="N70" s="498">
        <v>46155</v>
      </c>
      <c r="O70" s="493"/>
    </row>
    <row r="71" spans="2:15" ht="17.25" customHeight="1" x14ac:dyDescent="0.25">
      <c r="B71" s="659"/>
      <c r="C71" s="659">
        <v>26010568</v>
      </c>
      <c r="D71" s="659"/>
      <c r="E71" s="659"/>
      <c r="F71" s="659"/>
      <c r="G71" s="659" t="s">
        <v>75</v>
      </c>
      <c r="H71" s="659"/>
      <c r="I71" s="659"/>
      <c r="J71" s="659"/>
      <c r="K71" s="659"/>
      <c r="L71" s="659"/>
      <c r="M71" s="504" t="s">
        <v>77</v>
      </c>
      <c r="N71" s="498">
        <v>46156</v>
      </c>
      <c r="O71" s="493"/>
    </row>
    <row r="72" spans="2:15" ht="17.25" customHeight="1" x14ac:dyDescent="0.25">
      <c r="B72" s="659"/>
      <c r="C72" s="659">
        <v>26010569</v>
      </c>
      <c r="D72" s="659"/>
      <c r="E72" s="659"/>
      <c r="F72" s="659"/>
      <c r="G72" s="659" t="s">
        <v>75</v>
      </c>
      <c r="H72" s="659"/>
      <c r="I72" s="659"/>
      <c r="J72" s="659"/>
      <c r="K72" s="659"/>
      <c r="L72" s="659"/>
      <c r="M72" s="504" t="s">
        <v>77</v>
      </c>
      <c r="N72" s="498">
        <v>46156</v>
      </c>
      <c r="O72" s="493"/>
    </row>
    <row r="73" spans="2:15" ht="17.25" customHeight="1" x14ac:dyDescent="0.25">
      <c r="B73" s="659"/>
      <c r="C73" s="659">
        <v>26010570</v>
      </c>
      <c r="D73" s="659"/>
      <c r="E73" s="659"/>
      <c r="F73" s="659"/>
      <c r="G73" s="659" t="s">
        <v>75</v>
      </c>
      <c r="H73" s="659"/>
      <c r="I73" s="659"/>
      <c r="J73" s="659"/>
      <c r="K73" s="659"/>
      <c r="L73" s="659"/>
      <c r="M73" s="504" t="s">
        <v>77</v>
      </c>
      <c r="N73" s="498">
        <v>46156</v>
      </c>
      <c r="O73" s="493"/>
    </row>
    <row r="74" spans="2:15" ht="17.25" customHeight="1" x14ac:dyDescent="0.25">
      <c r="B74" s="659"/>
      <c r="C74" s="659">
        <v>26010571</v>
      </c>
      <c r="D74" s="659"/>
      <c r="E74" s="659"/>
      <c r="F74" s="659"/>
      <c r="G74" s="659" t="s">
        <v>75</v>
      </c>
      <c r="H74" s="659"/>
      <c r="I74" s="659"/>
      <c r="J74" s="659"/>
      <c r="K74" s="659"/>
      <c r="L74" s="659"/>
      <c r="M74" s="504" t="s">
        <v>77</v>
      </c>
      <c r="N74" s="498">
        <v>46156</v>
      </c>
      <c r="O74" s="493"/>
    </row>
    <row r="75" spans="2:15" ht="17.25" customHeight="1" x14ac:dyDescent="0.25">
      <c r="B75" s="659"/>
      <c r="C75" s="659">
        <v>26010572</v>
      </c>
      <c r="D75" s="659"/>
      <c r="E75" s="659"/>
      <c r="F75" s="659"/>
      <c r="G75" s="659" t="s">
        <v>75</v>
      </c>
      <c r="H75" s="659"/>
      <c r="I75" s="659"/>
      <c r="J75" s="659"/>
      <c r="K75" s="659"/>
      <c r="L75" s="659"/>
      <c r="M75" s="504" t="s">
        <v>77</v>
      </c>
      <c r="N75" s="498">
        <v>46157</v>
      </c>
      <c r="O75" s="493"/>
    </row>
    <row r="76" spans="2:15" ht="17.25" customHeight="1" x14ac:dyDescent="0.25">
      <c r="B76" s="659"/>
      <c r="C76" s="659">
        <v>26010573</v>
      </c>
      <c r="D76" s="659"/>
      <c r="E76" s="659"/>
      <c r="F76" s="659"/>
      <c r="G76" s="659" t="s">
        <v>75</v>
      </c>
      <c r="H76" s="659"/>
      <c r="I76" s="659"/>
      <c r="J76" s="659"/>
      <c r="K76" s="659"/>
      <c r="L76" s="659"/>
      <c r="M76" s="504" t="s">
        <v>77</v>
      </c>
      <c r="N76" s="498">
        <v>46157</v>
      </c>
      <c r="O76" s="493"/>
    </row>
    <row r="77" spans="2:15" ht="17.25" customHeight="1" x14ac:dyDescent="0.25">
      <c r="B77" s="659"/>
      <c r="C77" s="659">
        <v>26010574</v>
      </c>
      <c r="D77" s="659"/>
      <c r="E77" s="660"/>
      <c r="F77" s="660"/>
      <c r="G77" s="659" t="s">
        <v>75</v>
      </c>
      <c r="H77" s="659"/>
      <c r="I77" s="659"/>
      <c r="J77" s="659"/>
      <c r="K77" s="659"/>
      <c r="L77" s="659"/>
      <c r="M77" s="504" t="s">
        <v>77</v>
      </c>
      <c r="N77" s="498">
        <v>46157</v>
      </c>
      <c r="O77" s="493"/>
    </row>
    <row r="78" spans="2:15" ht="17.25" customHeight="1" x14ac:dyDescent="0.25">
      <c r="B78" s="659"/>
      <c r="C78" s="659">
        <v>26010575</v>
      </c>
      <c r="D78" s="659"/>
      <c r="E78" s="660"/>
      <c r="F78" s="660"/>
      <c r="G78" s="659" t="s">
        <v>75</v>
      </c>
      <c r="H78" s="659"/>
      <c r="I78" s="659"/>
      <c r="J78" s="659"/>
      <c r="K78" s="659"/>
      <c r="L78" s="659"/>
      <c r="M78" s="504" t="s">
        <v>77</v>
      </c>
      <c r="N78" s="498">
        <v>46157</v>
      </c>
      <c r="O78" s="493"/>
    </row>
    <row r="79" spans="2:15" ht="17.25" customHeight="1" x14ac:dyDescent="0.25">
      <c r="B79" s="659"/>
      <c r="C79" s="659">
        <v>26010576</v>
      </c>
      <c r="D79" s="659"/>
      <c r="E79" s="659"/>
      <c r="F79" s="659"/>
      <c r="G79" s="659" t="s">
        <v>167</v>
      </c>
      <c r="H79" s="659"/>
      <c r="I79" s="659"/>
      <c r="J79" s="659"/>
      <c r="K79" s="659"/>
      <c r="L79" s="659"/>
      <c r="M79" s="504" t="s">
        <v>77</v>
      </c>
      <c r="N79" s="498">
        <v>46156</v>
      </c>
      <c r="O79" s="493"/>
    </row>
    <row r="80" spans="2:15" ht="17.25" customHeight="1" x14ac:dyDescent="0.25">
      <c r="B80" s="659"/>
      <c r="C80" s="659">
        <v>26010577</v>
      </c>
      <c r="D80" s="659"/>
      <c r="E80" s="659"/>
      <c r="F80" s="659"/>
      <c r="G80" s="659" t="s">
        <v>167</v>
      </c>
      <c r="H80" s="659"/>
      <c r="I80" s="659"/>
      <c r="J80" s="659"/>
      <c r="K80" s="659"/>
      <c r="L80" s="659"/>
      <c r="M80" s="504" t="s">
        <v>77</v>
      </c>
      <c r="N80" s="498">
        <v>46156</v>
      </c>
      <c r="O80" s="493"/>
    </row>
    <row r="81" spans="2:15" ht="17.25" customHeight="1" x14ac:dyDescent="0.25">
      <c r="B81" s="659"/>
      <c r="C81" s="659">
        <v>26010578</v>
      </c>
      <c r="D81" s="659"/>
      <c r="E81" s="659"/>
      <c r="F81" s="659"/>
      <c r="G81" s="659" t="s">
        <v>167</v>
      </c>
      <c r="H81" s="659"/>
      <c r="I81" s="659"/>
      <c r="J81" s="659"/>
      <c r="K81" s="659"/>
      <c r="L81" s="659"/>
      <c r="M81" s="504" t="s">
        <v>77</v>
      </c>
      <c r="N81" s="498">
        <v>46156</v>
      </c>
      <c r="O81" s="493"/>
    </row>
    <row r="82" spans="2:15" ht="17.25" customHeight="1" x14ac:dyDescent="0.25">
      <c r="B82" s="659"/>
      <c r="C82" s="659">
        <v>26010579</v>
      </c>
      <c r="D82" s="659"/>
      <c r="E82" s="660"/>
      <c r="F82" s="660"/>
      <c r="G82" s="659" t="s">
        <v>167</v>
      </c>
      <c r="H82" s="659"/>
      <c r="I82" s="659"/>
      <c r="J82" s="659"/>
      <c r="K82" s="659"/>
      <c r="L82" s="659"/>
      <c r="M82" s="504" t="s">
        <v>77</v>
      </c>
      <c r="N82" s="498">
        <v>46156</v>
      </c>
      <c r="O82" s="493"/>
    </row>
    <row r="83" spans="2:15" ht="17.25" customHeight="1" x14ac:dyDescent="0.25">
      <c r="B83" s="659"/>
      <c r="C83" s="659">
        <v>26010580</v>
      </c>
      <c r="D83" s="659"/>
      <c r="E83" s="659"/>
      <c r="F83" s="659"/>
      <c r="G83" s="659" t="s">
        <v>75</v>
      </c>
      <c r="H83" s="659"/>
      <c r="I83" s="659"/>
      <c r="J83" s="659"/>
      <c r="K83" s="659"/>
      <c r="L83" s="659"/>
      <c r="M83" s="504" t="s">
        <v>77</v>
      </c>
      <c r="N83" s="498">
        <v>46157</v>
      </c>
      <c r="O83" s="493"/>
    </row>
    <row r="84" spans="2:15" ht="17.25" customHeight="1" x14ac:dyDescent="0.25">
      <c r="B84" s="659"/>
      <c r="C84" s="659">
        <v>26010581</v>
      </c>
      <c r="D84" s="659"/>
      <c r="E84" s="659"/>
      <c r="F84" s="659"/>
      <c r="G84" s="659" t="s">
        <v>75</v>
      </c>
      <c r="H84" s="659"/>
      <c r="I84" s="659"/>
      <c r="J84" s="659"/>
      <c r="K84" s="659"/>
      <c r="L84" s="659"/>
      <c r="M84" s="504" t="s">
        <v>77</v>
      </c>
      <c r="N84" s="498">
        <v>46157</v>
      </c>
      <c r="O84" s="493"/>
    </row>
    <row r="85" spans="2:15" ht="17.25" customHeight="1" x14ac:dyDescent="0.25">
      <c r="B85" s="659"/>
      <c r="C85" s="659">
        <v>26010582</v>
      </c>
      <c r="D85" s="659"/>
      <c r="E85" s="659"/>
      <c r="F85" s="659"/>
      <c r="G85" s="659" t="s">
        <v>75</v>
      </c>
      <c r="H85" s="659"/>
      <c r="I85" s="659"/>
      <c r="J85" s="659"/>
      <c r="K85" s="659"/>
      <c r="L85" s="659"/>
      <c r="M85" s="504" t="s">
        <v>77</v>
      </c>
      <c r="N85" s="498">
        <v>46158</v>
      </c>
      <c r="O85" s="493"/>
    </row>
    <row r="86" spans="2:15" ht="17.25" customHeight="1" x14ac:dyDescent="0.25">
      <c r="B86" s="659"/>
      <c r="C86" s="659">
        <v>26010583</v>
      </c>
      <c r="D86" s="659"/>
      <c r="E86" s="659"/>
      <c r="F86" s="659"/>
      <c r="G86" s="659" t="s">
        <v>75</v>
      </c>
      <c r="H86" s="659"/>
      <c r="I86" s="659"/>
      <c r="J86" s="659"/>
      <c r="K86" s="659"/>
      <c r="L86" s="659"/>
      <c r="M86" s="504" t="s">
        <v>77</v>
      </c>
      <c r="N86" s="498">
        <v>46158</v>
      </c>
      <c r="O86" s="493"/>
    </row>
    <row r="87" spans="2:15" ht="17.25" customHeight="1" x14ac:dyDescent="0.25">
      <c r="B87" s="659"/>
      <c r="C87" s="659">
        <v>26010584</v>
      </c>
      <c r="D87" s="659"/>
      <c r="E87" s="659"/>
      <c r="F87" s="659"/>
      <c r="G87" s="659" t="s">
        <v>75</v>
      </c>
      <c r="H87" s="659"/>
      <c r="I87" s="659"/>
      <c r="J87" s="659"/>
      <c r="K87" s="659"/>
      <c r="L87" s="659"/>
      <c r="M87" s="504" t="s">
        <v>77</v>
      </c>
      <c r="N87" s="498">
        <v>46158</v>
      </c>
      <c r="O87" s="493"/>
    </row>
    <row r="88" spans="2:15" ht="17.25" customHeight="1" x14ac:dyDescent="0.25">
      <c r="B88" s="659"/>
      <c r="C88" s="659">
        <v>26010585</v>
      </c>
      <c r="D88" s="659"/>
      <c r="E88" s="659"/>
      <c r="F88" s="659"/>
      <c r="G88" s="659" t="s">
        <v>75</v>
      </c>
      <c r="H88" s="659"/>
      <c r="I88" s="659"/>
      <c r="J88" s="659"/>
      <c r="K88" s="659"/>
      <c r="L88" s="659"/>
      <c r="M88" s="504" t="s">
        <v>77</v>
      </c>
      <c r="N88" s="498">
        <v>46158</v>
      </c>
      <c r="O88" s="493"/>
    </row>
    <row r="89" spans="2:15" ht="17.25" customHeight="1" x14ac:dyDescent="0.25">
      <c r="B89" s="659"/>
      <c r="C89" s="659">
        <v>26010586</v>
      </c>
      <c r="D89" s="659"/>
      <c r="E89" s="659"/>
      <c r="F89" s="659"/>
      <c r="G89" s="659" t="s">
        <v>75</v>
      </c>
      <c r="H89" s="659"/>
      <c r="I89" s="659"/>
      <c r="J89" s="659"/>
      <c r="K89" s="659"/>
      <c r="L89" s="659"/>
      <c r="M89" s="504" t="s">
        <v>77</v>
      </c>
      <c r="N89" s="498">
        <v>46158</v>
      </c>
      <c r="O89" s="493"/>
    </row>
    <row r="90" spans="2:15" ht="17.25" customHeight="1" x14ac:dyDescent="0.25">
      <c r="B90" s="659"/>
      <c r="C90" s="659">
        <v>26010587</v>
      </c>
      <c r="D90" s="659"/>
      <c r="E90" s="660"/>
      <c r="F90" s="660"/>
      <c r="G90" s="659" t="s">
        <v>75</v>
      </c>
      <c r="H90" s="659"/>
      <c r="I90" s="659"/>
      <c r="J90" s="659"/>
      <c r="K90" s="659"/>
      <c r="L90" s="659"/>
      <c r="M90" s="504" t="s">
        <v>77</v>
      </c>
      <c r="N90" s="498">
        <v>46158</v>
      </c>
      <c r="O90" s="493"/>
    </row>
    <row r="91" spans="2:15" ht="17.25" customHeight="1" x14ac:dyDescent="0.25">
      <c r="B91" s="659"/>
      <c r="C91" s="659">
        <v>26010588</v>
      </c>
      <c r="D91" s="659"/>
      <c r="E91" s="659"/>
      <c r="F91" s="659"/>
      <c r="G91" s="659" t="s">
        <v>75</v>
      </c>
      <c r="H91" s="659"/>
      <c r="I91" s="659"/>
      <c r="J91" s="659"/>
      <c r="K91" s="659"/>
      <c r="L91" s="659"/>
      <c r="M91" s="504" t="s">
        <v>77</v>
      </c>
      <c r="N91" s="498">
        <v>46160</v>
      </c>
      <c r="O91" s="493"/>
    </row>
    <row r="92" spans="2:15" ht="17.25" customHeight="1" x14ac:dyDescent="0.25">
      <c r="B92" s="659"/>
      <c r="C92" s="659">
        <v>26010589</v>
      </c>
      <c r="D92" s="659"/>
      <c r="E92" s="660"/>
      <c r="F92" s="660"/>
      <c r="G92" s="659" t="s">
        <v>75</v>
      </c>
      <c r="H92" s="659"/>
      <c r="I92" s="659"/>
      <c r="J92" s="659"/>
      <c r="K92" s="659"/>
      <c r="L92" s="659"/>
      <c r="M92" s="504" t="s">
        <v>77</v>
      </c>
      <c r="N92" s="498">
        <v>46160</v>
      </c>
      <c r="O92" s="493"/>
    </row>
    <row r="93" spans="2:15" ht="17.25" customHeight="1" x14ac:dyDescent="0.25">
      <c r="B93" s="504" t="s">
        <v>558</v>
      </c>
      <c r="C93" s="659">
        <v>26010590</v>
      </c>
      <c r="D93" s="659"/>
      <c r="E93" s="659"/>
      <c r="F93" s="659"/>
      <c r="G93" s="659" t="s">
        <v>559</v>
      </c>
      <c r="H93" s="659"/>
      <c r="I93" s="659"/>
      <c r="J93" s="659"/>
      <c r="K93" s="659" t="s">
        <v>226</v>
      </c>
      <c r="L93" s="659"/>
      <c r="M93" s="505" t="s">
        <v>349</v>
      </c>
      <c r="N93" s="498">
        <v>46157</v>
      </c>
      <c r="O93" s="493"/>
    </row>
    <row r="94" spans="2:15" ht="17.25" customHeight="1" x14ac:dyDescent="0.25">
      <c r="B94" s="504" t="s">
        <v>560</v>
      </c>
      <c r="C94" s="659" t="s">
        <v>561</v>
      </c>
      <c r="D94" s="659"/>
      <c r="E94" s="659"/>
      <c r="F94" s="659"/>
      <c r="G94" s="659" t="s">
        <v>54</v>
      </c>
      <c r="H94" s="659"/>
      <c r="I94" s="659"/>
      <c r="J94" s="659"/>
      <c r="K94" s="659" t="s">
        <v>31</v>
      </c>
      <c r="L94" s="659"/>
      <c r="M94" s="504" t="s">
        <v>55</v>
      </c>
      <c r="N94" s="498">
        <v>46158</v>
      </c>
      <c r="O94" s="493"/>
    </row>
    <row r="95" spans="2:15" ht="17.25" customHeight="1" x14ac:dyDescent="0.25">
      <c r="B95" s="669" t="s">
        <v>562</v>
      </c>
      <c r="C95" s="669">
        <v>26010592</v>
      </c>
      <c r="D95" s="669"/>
      <c r="E95" s="669"/>
      <c r="F95" s="669"/>
      <c r="G95" s="669" t="s">
        <v>75</v>
      </c>
      <c r="H95" s="669"/>
      <c r="I95" s="669"/>
      <c r="J95" s="669"/>
      <c r="K95" s="669" t="s">
        <v>76</v>
      </c>
      <c r="L95" s="669"/>
      <c r="M95" s="509" t="s">
        <v>77</v>
      </c>
      <c r="N95" s="510">
        <v>46160</v>
      </c>
      <c r="O95" s="493"/>
    </row>
    <row r="96" spans="2:15" ht="17.25" customHeight="1" x14ac:dyDescent="0.25">
      <c r="B96" s="669"/>
      <c r="C96" s="671">
        <v>26010593</v>
      </c>
      <c r="D96" s="671"/>
      <c r="E96" s="672"/>
      <c r="F96" s="672"/>
      <c r="G96" s="670" t="s">
        <v>75</v>
      </c>
      <c r="H96" s="670"/>
      <c r="I96" s="670"/>
      <c r="J96" s="670"/>
      <c r="K96" s="669"/>
      <c r="L96" s="669"/>
      <c r="M96" s="511" t="s">
        <v>77</v>
      </c>
      <c r="N96" s="510">
        <v>46160</v>
      </c>
      <c r="O96" s="493"/>
    </row>
    <row r="97" spans="2:15" ht="17.25" customHeight="1" x14ac:dyDescent="0.25">
      <c r="B97" s="669"/>
      <c r="C97" s="669">
        <v>26010594</v>
      </c>
      <c r="D97" s="669"/>
      <c r="E97" s="673"/>
      <c r="F97" s="673"/>
      <c r="G97" s="669" t="s">
        <v>75</v>
      </c>
      <c r="H97" s="669"/>
      <c r="I97" s="669"/>
      <c r="J97" s="669"/>
      <c r="K97" s="669"/>
      <c r="L97" s="669"/>
      <c r="M97" s="509" t="s">
        <v>77</v>
      </c>
      <c r="N97" s="510">
        <v>46162</v>
      </c>
      <c r="O97" s="493"/>
    </row>
    <row r="98" spans="2:15" ht="17.25" customHeight="1" x14ac:dyDescent="0.25">
      <c r="B98" s="669"/>
      <c r="C98" s="671">
        <v>26010595</v>
      </c>
      <c r="D98" s="671"/>
      <c r="E98" s="670"/>
      <c r="F98" s="670"/>
      <c r="G98" s="670" t="s">
        <v>75</v>
      </c>
      <c r="H98" s="670"/>
      <c r="I98" s="670"/>
      <c r="J98" s="670"/>
      <c r="K98" s="669"/>
      <c r="L98" s="669"/>
      <c r="M98" s="506" t="s">
        <v>77</v>
      </c>
      <c r="N98" s="510">
        <v>46162</v>
      </c>
      <c r="O98" s="493"/>
    </row>
    <row r="99" spans="2:15" ht="17.25" customHeight="1" x14ac:dyDescent="0.25">
      <c r="B99" s="669"/>
      <c r="C99" s="669">
        <v>26010596</v>
      </c>
      <c r="D99" s="669"/>
      <c r="E99" s="669"/>
      <c r="F99" s="669"/>
      <c r="G99" s="669" t="s">
        <v>75</v>
      </c>
      <c r="H99" s="669"/>
      <c r="I99" s="669"/>
      <c r="J99" s="669"/>
      <c r="K99" s="669"/>
      <c r="L99" s="669"/>
      <c r="M99" s="509" t="s">
        <v>77</v>
      </c>
      <c r="N99" s="510">
        <v>46162</v>
      </c>
      <c r="O99" s="493"/>
    </row>
    <row r="100" spans="2:15" ht="17.25" customHeight="1" x14ac:dyDescent="0.25">
      <c r="B100" s="669"/>
      <c r="C100" s="671">
        <v>26010597</v>
      </c>
      <c r="D100" s="671"/>
      <c r="E100" s="670"/>
      <c r="F100" s="670"/>
      <c r="G100" s="670" t="s">
        <v>75</v>
      </c>
      <c r="H100" s="670"/>
      <c r="I100" s="670"/>
      <c r="J100" s="670"/>
      <c r="K100" s="669"/>
      <c r="L100" s="669"/>
      <c r="M100" s="506" t="s">
        <v>77</v>
      </c>
      <c r="N100" s="510">
        <v>46162</v>
      </c>
      <c r="O100" s="493"/>
    </row>
    <row r="101" spans="2:15" ht="17.25" customHeight="1" x14ac:dyDescent="0.25">
      <c r="B101" s="669"/>
      <c r="C101" s="669">
        <v>26010598</v>
      </c>
      <c r="D101" s="669"/>
      <c r="E101" s="669"/>
      <c r="F101" s="669"/>
      <c r="G101" s="669" t="s">
        <v>75</v>
      </c>
      <c r="H101" s="669"/>
      <c r="I101" s="669"/>
      <c r="J101" s="669"/>
      <c r="K101" s="669"/>
      <c r="L101" s="669"/>
      <c r="M101" s="509" t="s">
        <v>77</v>
      </c>
      <c r="N101" s="510">
        <v>46162</v>
      </c>
      <c r="O101" s="493"/>
    </row>
    <row r="102" spans="2:15" ht="17.25" customHeight="1" x14ac:dyDescent="0.25">
      <c r="B102" s="669"/>
      <c r="C102" s="671">
        <v>26010599</v>
      </c>
      <c r="D102" s="671"/>
      <c r="E102" s="670"/>
      <c r="F102" s="670"/>
      <c r="G102" s="670" t="s">
        <v>75</v>
      </c>
      <c r="H102" s="670"/>
      <c r="I102" s="670"/>
      <c r="J102" s="670"/>
      <c r="K102" s="669"/>
      <c r="L102" s="669"/>
      <c r="M102" s="506" t="s">
        <v>77</v>
      </c>
      <c r="N102" s="510">
        <v>46162</v>
      </c>
      <c r="O102" s="493"/>
    </row>
    <row r="103" spans="2:15" ht="17.25" customHeight="1" x14ac:dyDescent="0.25">
      <c r="B103" s="669"/>
      <c r="C103" s="669">
        <v>26010600</v>
      </c>
      <c r="D103" s="669"/>
      <c r="E103" s="673"/>
      <c r="F103" s="673"/>
      <c r="G103" s="669" t="s">
        <v>75</v>
      </c>
      <c r="H103" s="669"/>
      <c r="I103" s="669"/>
      <c r="J103" s="669"/>
      <c r="K103" s="669"/>
      <c r="L103" s="669"/>
      <c r="M103" s="509" t="s">
        <v>77</v>
      </c>
      <c r="N103" s="510">
        <v>46162</v>
      </c>
      <c r="O103" s="493"/>
    </row>
    <row r="104" spans="2:15" ht="17.25" customHeight="1" x14ac:dyDescent="0.25">
      <c r="B104" s="669"/>
      <c r="C104" s="671">
        <v>26010601</v>
      </c>
      <c r="D104" s="671"/>
      <c r="E104" s="672"/>
      <c r="F104" s="672"/>
      <c r="G104" s="670" t="s">
        <v>75</v>
      </c>
      <c r="H104" s="670"/>
      <c r="I104" s="670"/>
      <c r="J104" s="670"/>
      <c r="K104" s="669"/>
      <c r="L104" s="669"/>
      <c r="M104" s="506" t="s">
        <v>77</v>
      </c>
      <c r="N104" s="510">
        <v>46163</v>
      </c>
      <c r="O104" s="493"/>
    </row>
    <row r="105" spans="2:15" ht="17.25" customHeight="1" x14ac:dyDescent="0.25">
      <c r="B105" s="669"/>
      <c r="C105" s="669">
        <v>26010602</v>
      </c>
      <c r="D105" s="669"/>
      <c r="E105" s="669"/>
      <c r="F105" s="669"/>
      <c r="G105" s="669" t="s">
        <v>75</v>
      </c>
      <c r="H105" s="669"/>
      <c r="I105" s="669"/>
      <c r="J105" s="669"/>
      <c r="K105" s="669"/>
      <c r="L105" s="669"/>
      <c r="M105" s="509" t="s">
        <v>77</v>
      </c>
      <c r="N105" s="510">
        <v>46163</v>
      </c>
      <c r="O105" s="493"/>
    </row>
    <row r="106" spans="2:15" ht="17.25" customHeight="1" x14ac:dyDescent="0.25">
      <c r="B106" s="669"/>
      <c r="C106" s="671">
        <v>26010603</v>
      </c>
      <c r="D106" s="671"/>
      <c r="E106" s="670"/>
      <c r="F106" s="670"/>
      <c r="G106" s="670" t="s">
        <v>75</v>
      </c>
      <c r="H106" s="670"/>
      <c r="I106" s="670"/>
      <c r="J106" s="670"/>
      <c r="K106" s="669"/>
      <c r="L106" s="669"/>
      <c r="M106" s="506" t="s">
        <v>77</v>
      </c>
      <c r="N106" s="510">
        <v>46163</v>
      </c>
      <c r="O106" s="493"/>
    </row>
    <row r="107" spans="2:15" ht="17.25" customHeight="1" x14ac:dyDescent="0.25">
      <c r="B107" s="669"/>
      <c r="C107" s="669">
        <v>26010604</v>
      </c>
      <c r="D107" s="669"/>
      <c r="E107" s="669"/>
      <c r="F107" s="669"/>
      <c r="G107" s="669" t="s">
        <v>75</v>
      </c>
      <c r="H107" s="669"/>
      <c r="I107" s="669"/>
      <c r="J107" s="669"/>
      <c r="K107" s="669"/>
      <c r="L107" s="669"/>
      <c r="M107" s="509" t="s">
        <v>77</v>
      </c>
      <c r="N107" s="510">
        <v>46163</v>
      </c>
      <c r="O107" s="493"/>
    </row>
    <row r="108" spans="2:15" ht="17.25" customHeight="1" x14ac:dyDescent="0.25">
      <c r="B108" s="669"/>
      <c r="C108" s="671">
        <v>26010605</v>
      </c>
      <c r="D108" s="671"/>
      <c r="E108" s="670"/>
      <c r="F108" s="670"/>
      <c r="G108" s="670" t="s">
        <v>75</v>
      </c>
      <c r="H108" s="670"/>
      <c r="I108" s="670"/>
      <c r="J108" s="670"/>
      <c r="K108" s="669"/>
      <c r="L108" s="669"/>
      <c r="M108" s="506" t="s">
        <v>77</v>
      </c>
      <c r="N108" s="510">
        <v>46163</v>
      </c>
      <c r="O108" s="493"/>
    </row>
    <row r="109" spans="2:15" ht="17.25" customHeight="1" x14ac:dyDescent="0.25">
      <c r="B109" s="669"/>
      <c r="C109" s="669">
        <v>26010606</v>
      </c>
      <c r="D109" s="669"/>
      <c r="E109" s="669"/>
      <c r="F109" s="669"/>
      <c r="G109" s="669" t="s">
        <v>75</v>
      </c>
      <c r="H109" s="669"/>
      <c r="I109" s="669"/>
      <c r="J109" s="669"/>
      <c r="K109" s="669"/>
      <c r="L109" s="669"/>
      <c r="M109" s="509" t="s">
        <v>77</v>
      </c>
      <c r="N109" s="510">
        <v>46163</v>
      </c>
      <c r="O109" s="493"/>
    </row>
    <row r="110" spans="2:15" ht="17.25" customHeight="1" x14ac:dyDescent="0.25">
      <c r="B110" s="669"/>
      <c r="C110" s="671">
        <v>26010607</v>
      </c>
      <c r="D110" s="671"/>
      <c r="E110" s="671"/>
      <c r="F110" s="671"/>
      <c r="G110" s="671" t="s">
        <v>75</v>
      </c>
      <c r="H110" s="671"/>
      <c r="I110" s="671"/>
      <c r="J110" s="671"/>
      <c r="K110" s="669"/>
      <c r="L110" s="669"/>
      <c r="M110" s="511" t="s">
        <v>77</v>
      </c>
      <c r="N110" s="510">
        <v>46163</v>
      </c>
      <c r="O110" s="493"/>
    </row>
    <row r="111" spans="2:15" ht="17.25" customHeight="1" x14ac:dyDescent="0.25">
      <c r="B111" s="669"/>
      <c r="C111" s="669">
        <v>26010608</v>
      </c>
      <c r="D111" s="669"/>
      <c r="E111" s="669"/>
      <c r="F111" s="669"/>
      <c r="G111" s="669" t="s">
        <v>75</v>
      </c>
      <c r="H111" s="669"/>
      <c r="I111" s="669"/>
      <c r="J111" s="669"/>
      <c r="K111" s="669"/>
      <c r="L111" s="669"/>
      <c r="M111" s="509" t="s">
        <v>77</v>
      </c>
      <c r="N111" s="510">
        <v>46163</v>
      </c>
      <c r="O111" s="493"/>
    </row>
    <row r="112" spans="2:15" ht="17.25" customHeight="1" x14ac:dyDescent="0.25">
      <c r="B112" s="669"/>
      <c r="C112" s="671">
        <v>26010609</v>
      </c>
      <c r="D112" s="671"/>
      <c r="E112" s="672"/>
      <c r="F112" s="672"/>
      <c r="G112" s="670" t="s">
        <v>75</v>
      </c>
      <c r="H112" s="670"/>
      <c r="I112" s="670"/>
      <c r="J112" s="670"/>
      <c r="K112" s="669"/>
      <c r="L112" s="669"/>
      <c r="M112" s="506" t="s">
        <v>77</v>
      </c>
      <c r="N112" s="510">
        <v>46164</v>
      </c>
      <c r="O112" s="493"/>
    </row>
    <row r="113" spans="2:15" ht="17.25" customHeight="1" x14ac:dyDescent="0.25">
      <c r="B113" s="669"/>
      <c r="C113" s="669">
        <v>26010610</v>
      </c>
      <c r="D113" s="669"/>
      <c r="E113" s="669"/>
      <c r="F113" s="669"/>
      <c r="G113" s="669" t="s">
        <v>75</v>
      </c>
      <c r="H113" s="669"/>
      <c r="I113" s="669"/>
      <c r="J113" s="669"/>
      <c r="K113" s="669"/>
      <c r="L113" s="669"/>
      <c r="M113" s="509" t="s">
        <v>77</v>
      </c>
      <c r="N113" s="510">
        <v>46164</v>
      </c>
      <c r="O113" s="493"/>
    </row>
    <row r="114" spans="2:15" ht="17.25" customHeight="1" x14ac:dyDescent="0.25">
      <c r="B114" s="669"/>
      <c r="C114" s="671">
        <v>26010611</v>
      </c>
      <c r="D114" s="671"/>
      <c r="E114" s="670"/>
      <c r="F114" s="670"/>
      <c r="G114" s="670" t="s">
        <v>75</v>
      </c>
      <c r="H114" s="670"/>
      <c r="I114" s="670"/>
      <c r="J114" s="670"/>
      <c r="K114" s="669"/>
      <c r="L114" s="669"/>
      <c r="M114" s="506" t="s">
        <v>77</v>
      </c>
      <c r="N114" s="510">
        <v>46164</v>
      </c>
      <c r="O114" s="493"/>
    </row>
    <row r="115" spans="2:15" ht="17.25" customHeight="1" x14ac:dyDescent="0.25">
      <c r="B115" s="669"/>
      <c r="C115" s="669">
        <v>26010612</v>
      </c>
      <c r="D115" s="669"/>
      <c r="E115" s="669"/>
      <c r="F115" s="669"/>
      <c r="G115" s="669" t="s">
        <v>75</v>
      </c>
      <c r="H115" s="669"/>
      <c r="I115" s="669"/>
      <c r="J115" s="669"/>
      <c r="K115" s="669"/>
      <c r="L115" s="669"/>
      <c r="M115" s="509" t="s">
        <v>77</v>
      </c>
      <c r="N115" s="510">
        <v>46164</v>
      </c>
      <c r="O115" s="493"/>
    </row>
    <row r="116" spans="2:15" ht="17.25" customHeight="1" x14ac:dyDescent="0.25">
      <c r="B116" s="669"/>
      <c r="C116" s="671">
        <v>26010613</v>
      </c>
      <c r="D116" s="671"/>
      <c r="E116" s="670"/>
      <c r="F116" s="670"/>
      <c r="G116" s="670" t="s">
        <v>75</v>
      </c>
      <c r="H116" s="670"/>
      <c r="I116" s="670"/>
      <c r="J116" s="670"/>
      <c r="K116" s="669"/>
      <c r="L116" s="669"/>
      <c r="M116" s="506" t="s">
        <v>77</v>
      </c>
      <c r="N116" s="510">
        <v>46165</v>
      </c>
      <c r="O116" s="493"/>
    </row>
    <row r="117" spans="2:15" ht="17.25" customHeight="1" x14ac:dyDescent="0.25">
      <c r="B117" s="669"/>
      <c r="C117" s="669">
        <v>26010614</v>
      </c>
      <c r="D117" s="669"/>
      <c r="E117" s="669"/>
      <c r="F117" s="669"/>
      <c r="G117" s="669" t="s">
        <v>75</v>
      </c>
      <c r="H117" s="669"/>
      <c r="I117" s="669"/>
      <c r="J117" s="669"/>
      <c r="K117" s="669"/>
      <c r="L117" s="669"/>
      <c r="M117" s="509" t="s">
        <v>77</v>
      </c>
      <c r="N117" s="510">
        <v>46165</v>
      </c>
      <c r="O117" s="493"/>
    </row>
    <row r="118" spans="2:15" ht="17.25" customHeight="1" x14ac:dyDescent="0.25">
      <c r="B118" s="669"/>
      <c r="C118" s="671">
        <v>26010615</v>
      </c>
      <c r="D118" s="671"/>
      <c r="E118" s="670"/>
      <c r="F118" s="670"/>
      <c r="G118" s="670" t="s">
        <v>75</v>
      </c>
      <c r="H118" s="670"/>
      <c r="I118" s="670"/>
      <c r="J118" s="670"/>
      <c r="K118" s="669"/>
      <c r="L118" s="669"/>
      <c r="M118" s="506" t="s">
        <v>77</v>
      </c>
      <c r="N118" s="510">
        <v>46165</v>
      </c>
      <c r="O118" s="493"/>
    </row>
    <row r="119" spans="2:15" ht="17.25" customHeight="1" x14ac:dyDescent="0.25">
      <c r="B119" s="669"/>
      <c r="C119" s="669">
        <v>26010616</v>
      </c>
      <c r="D119" s="669"/>
      <c r="E119" s="673"/>
      <c r="F119" s="673"/>
      <c r="G119" s="669" t="s">
        <v>75</v>
      </c>
      <c r="H119" s="669"/>
      <c r="I119" s="669"/>
      <c r="J119" s="669"/>
      <c r="K119" s="669"/>
      <c r="L119" s="669"/>
      <c r="M119" s="509" t="s">
        <v>77</v>
      </c>
      <c r="N119" s="510">
        <v>46165</v>
      </c>
      <c r="O119" s="493"/>
    </row>
    <row r="120" spans="2:15" ht="17.25" customHeight="1" x14ac:dyDescent="0.25">
      <c r="B120" s="659" t="s">
        <v>563</v>
      </c>
      <c r="C120" s="659"/>
      <c r="D120" s="659"/>
      <c r="E120" s="659">
        <v>26030505</v>
      </c>
      <c r="F120" s="659"/>
      <c r="G120" s="659" t="s">
        <v>271</v>
      </c>
      <c r="H120" s="659"/>
      <c r="I120" s="659"/>
      <c r="J120" s="659"/>
      <c r="K120" s="659" t="s">
        <v>103</v>
      </c>
      <c r="L120" s="659"/>
      <c r="M120" s="505" t="s">
        <v>106</v>
      </c>
      <c r="N120" s="498">
        <v>46160</v>
      </c>
      <c r="O120" s="493"/>
    </row>
    <row r="121" spans="2:15" ht="17.25" customHeight="1" x14ac:dyDescent="0.25">
      <c r="B121" s="659"/>
      <c r="C121" s="659"/>
      <c r="D121" s="659"/>
      <c r="E121" s="659">
        <v>26030506</v>
      </c>
      <c r="F121" s="659"/>
      <c r="G121" s="659" t="s">
        <v>269</v>
      </c>
      <c r="H121" s="659"/>
      <c r="I121" s="659"/>
      <c r="J121" s="659"/>
      <c r="K121" s="659"/>
      <c r="L121" s="659"/>
      <c r="M121" s="504" t="s">
        <v>106</v>
      </c>
      <c r="N121" s="498">
        <v>46160</v>
      </c>
      <c r="O121" s="493"/>
    </row>
    <row r="122" spans="2:15" ht="17.25" customHeight="1" x14ac:dyDescent="0.25">
      <c r="B122" s="659"/>
      <c r="C122" s="659"/>
      <c r="D122" s="659"/>
      <c r="E122" s="659">
        <v>26030507</v>
      </c>
      <c r="F122" s="659"/>
      <c r="G122" s="659" t="s">
        <v>97</v>
      </c>
      <c r="H122" s="659"/>
      <c r="I122" s="659"/>
      <c r="J122" s="659"/>
      <c r="K122" s="659"/>
      <c r="L122" s="659"/>
      <c r="M122" s="505" t="s">
        <v>106</v>
      </c>
      <c r="N122" s="498">
        <v>46160</v>
      </c>
      <c r="O122" s="493"/>
    </row>
    <row r="123" spans="2:15" ht="17.25" customHeight="1" x14ac:dyDescent="0.25">
      <c r="B123" s="504" t="s">
        <v>564</v>
      </c>
      <c r="C123" s="659">
        <v>26040617</v>
      </c>
      <c r="D123" s="659"/>
      <c r="E123" s="659"/>
      <c r="F123" s="659"/>
      <c r="G123" s="659" t="s">
        <v>260</v>
      </c>
      <c r="H123" s="659"/>
      <c r="I123" s="659"/>
      <c r="J123" s="659"/>
      <c r="K123" s="659" t="s">
        <v>312</v>
      </c>
      <c r="L123" s="659"/>
      <c r="M123" s="505" t="s">
        <v>136</v>
      </c>
      <c r="N123" s="498">
        <v>46160</v>
      </c>
      <c r="O123" s="493"/>
    </row>
    <row r="124" spans="2:15" ht="17.25" customHeight="1" x14ac:dyDescent="0.25">
      <c r="B124" s="504" t="s">
        <v>565</v>
      </c>
      <c r="C124" s="659">
        <v>26010618</v>
      </c>
      <c r="D124" s="659"/>
      <c r="E124" s="659"/>
      <c r="F124" s="659"/>
      <c r="G124" s="659" t="s">
        <v>566</v>
      </c>
      <c r="H124" s="659"/>
      <c r="I124" s="659"/>
      <c r="J124" s="659"/>
      <c r="K124" s="659" t="s">
        <v>444</v>
      </c>
      <c r="L124" s="659"/>
      <c r="M124" s="504" t="s">
        <v>106</v>
      </c>
      <c r="N124" s="498">
        <v>46161</v>
      </c>
      <c r="O124" s="493"/>
    </row>
    <row r="125" spans="2:15" ht="17.25" customHeight="1" x14ac:dyDescent="0.25">
      <c r="B125" s="508" t="s">
        <v>567</v>
      </c>
      <c r="C125" s="669">
        <v>26010619</v>
      </c>
      <c r="D125" s="669"/>
      <c r="E125" s="669"/>
      <c r="F125" s="669"/>
      <c r="G125" s="669" t="s">
        <v>152</v>
      </c>
      <c r="H125" s="669"/>
      <c r="I125" s="669"/>
      <c r="J125" s="669"/>
      <c r="K125" s="669" t="s">
        <v>153</v>
      </c>
      <c r="L125" s="669"/>
      <c r="M125" s="509" t="s">
        <v>136</v>
      </c>
      <c r="N125" s="510">
        <v>46162</v>
      </c>
      <c r="O125" s="493"/>
    </row>
    <row r="126" spans="2:15" ht="17.25" customHeight="1" x14ac:dyDescent="0.25">
      <c r="B126" s="508" t="s">
        <v>568</v>
      </c>
      <c r="C126" s="669">
        <v>26010620</v>
      </c>
      <c r="D126" s="669"/>
      <c r="E126" s="670"/>
      <c r="F126" s="670"/>
      <c r="G126" s="670" t="s">
        <v>334</v>
      </c>
      <c r="H126" s="670"/>
      <c r="I126" s="670"/>
      <c r="J126" s="670"/>
      <c r="K126" s="670" t="s">
        <v>35</v>
      </c>
      <c r="L126" s="670"/>
      <c r="M126" s="506" t="s">
        <v>322</v>
      </c>
      <c r="N126" s="510">
        <v>46163</v>
      </c>
      <c r="O126" s="493"/>
    </row>
    <row r="127" spans="2:15" ht="17.25" customHeight="1" x14ac:dyDescent="0.25">
      <c r="B127" s="508" t="s">
        <v>569</v>
      </c>
      <c r="C127" s="669">
        <v>26010621</v>
      </c>
      <c r="D127" s="669"/>
      <c r="E127" s="669"/>
      <c r="F127" s="669"/>
      <c r="G127" s="669" t="s">
        <v>570</v>
      </c>
      <c r="H127" s="669"/>
      <c r="I127" s="669"/>
      <c r="J127" s="669"/>
      <c r="K127" s="669" t="s">
        <v>571</v>
      </c>
      <c r="L127" s="669"/>
      <c r="M127" s="509" t="s">
        <v>572</v>
      </c>
      <c r="N127" s="510">
        <v>46165</v>
      </c>
      <c r="O127" s="493"/>
    </row>
    <row r="128" spans="2:15" ht="17.25" customHeight="1" x14ac:dyDescent="0.25">
      <c r="B128" s="504" t="s">
        <v>573</v>
      </c>
      <c r="C128" s="659">
        <v>26010622</v>
      </c>
      <c r="D128" s="659"/>
      <c r="E128" s="659" t="s">
        <v>574</v>
      </c>
      <c r="F128" s="659"/>
      <c r="G128" s="659" t="s">
        <v>358</v>
      </c>
      <c r="H128" s="659"/>
      <c r="I128" s="659"/>
      <c r="J128" s="659"/>
      <c r="K128" s="659" t="s">
        <v>76</v>
      </c>
      <c r="L128" s="659"/>
      <c r="M128" s="504" t="s">
        <v>343</v>
      </c>
      <c r="N128" s="498">
        <v>46160</v>
      </c>
      <c r="O128" s="493"/>
    </row>
    <row r="129" spans="2:15" ht="17.25" customHeight="1" x14ac:dyDescent="0.25">
      <c r="B129" s="508" t="s">
        <v>976</v>
      </c>
      <c r="C129" s="669">
        <v>26010623</v>
      </c>
      <c r="D129" s="669"/>
      <c r="E129" s="669"/>
      <c r="F129" s="669"/>
      <c r="G129" s="669" t="s">
        <v>138</v>
      </c>
      <c r="H129" s="669"/>
      <c r="I129" s="669"/>
      <c r="J129" s="669"/>
      <c r="K129" s="669" t="s">
        <v>240</v>
      </c>
      <c r="L129" s="669"/>
      <c r="M129" s="509" t="s">
        <v>241</v>
      </c>
      <c r="N129" s="510">
        <v>46162</v>
      </c>
      <c r="O129" s="493"/>
    </row>
    <row r="130" spans="2:15" ht="17.25" customHeight="1" x14ac:dyDescent="0.25">
      <c r="B130" s="670" t="s">
        <v>977</v>
      </c>
      <c r="C130" s="670">
        <v>26010624</v>
      </c>
      <c r="D130" s="670"/>
      <c r="E130" s="670"/>
      <c r="F130" s="670"/>
      <c r="G130" s="670" t="s">
        <v>86</v>
      </c>
      <c r="H130" s="670"/>
      <c r="I130" s="670"/>
      <c r="J130" s="670"/>
      <c r="K130" s="670" t="s">
        <v>27</v>
      </c>
      <c r="L130" s="670"/>
      <c r="M130" s="506" t="s">
        <v>355</v>
      </c>
      <c r="N130" s="510">
        <v>46162</v>
      </c>
      <c r="O130" s="493"/>
    </row>
    <row r="131" spans="2:15" ht="17.25" customHeight="1" x14ac:dyDescent="0.25">
      <c r="B131" s="670"/>
      <c r="C131" s="669">
        <v>26010625</v>
      </c>
      <c r="D131" s="669"/>
      <c r="E131" s="673"/>
      <c r="F131" s="673"/>
      <c r="G131" s="669" t="s">
        <v>86</v>
      </c>
      <c r="H131" s="669"/>
      <c r="I131" s="669"/>
      <c r="J131" s="669"/>
      <c r="K131" s="670"/>
      <c r="L131" s="670"/>
      <c r="M131" s="509" t="s">
        <v>544</v>
      </c>
      <c r="N131" s="510">
        <v>46163</v>
      </c>
      <c r="O131" s="493"/>
    </row>
    <row r="132" spans="2:15" ht="17.25" customHeight="1" x14ac:dyDescent="0.25">
      <c r="B132" s="670"/>
      <c r="C132" s="670">
        <v>26010626</v>
      </c>
      <c r="D132" s="670"/>
      <c r="E132" s="674"/>
      <c r="F132" s="670"/>
      <c r="G132" s="670" t="s">
        <v>86</v>
      </c>
      <c r="H132" s="670"/>
      <c r="I132" s="670"/>
      <c r="J132" s="670"/>
      <c r="K132" s="670"/>
      <c r="L132" s="670"/>
      <c r="M132" s="506" t="s">
        <v>986</v>
      </c>
      <c r="N132" s="510">
        <v>46164</v>
      </c>
      <c r="O132" s="493"/>
    </row>
    <row r="133" spans="2:15" ht="17.25" customHeight="1" x14ac:dyDescent="0.25">
      <c r="B133" s="670"/>
      <c r="C133" s="669">
        <v>26010627</v>
      </c>
      <c r="D133" s="669"/>
      <c r="E133" s="673"/>
      <c r="F133" s="673"/>
      <c r="G133" s="669" t="s">
        <v>86</v>
      </c>
      <c r="H133" s="669"/>
      <c r="I133" s="669"/>
      <c r="J133" s="669"/>
      <c r="K133" s="670"/>
      <c r="L133" s="670"/>
      <c r="M133" s="509" t="s">
        <v>544</v>
      </c>
      <c r="N133" s="510">
        <v>46167</v>
      </c>
      <c r="O133" s="493"/>
    </row>
    <row r="134" spans="2:15" ht="17.25" customHeight="1" x14ac:dyDescent="0.25">
      <c r="B134" s="669" t="s">
        <v>982</v>
      </c>
      <c r="C134" s="670">
        <v>26010628</v>
      </c>
      <c r="D134" s="670"/>
      <c r="E134" s="674"/>
      <c r="F134" s="670"/>
      <c r="G134" s="670" t="s">
        <v>75</v>
      </c>
      <c r="H134" s="670"/>
      <c r="I134" s="670"/>
      <c r="J134" s="670"/>
      <c r="K134" s="669" t="s">
        <v>76</v>
      </c>
      <c r="L134" s="669"/>
      <c r="M134" s="506" t="s">
        <v>77</v>
      </c>
      <c r="N134" s="510">
        <v>46165</v>
      </c>
      <c r="O134" s="493"/>
    </row>
    <row r="135" spans="2:15" ht="17.25" customHeight="1" x14ac:dyDescent="0.25">
      <c r="B135" s="669"/>
      <c r="C135" s="669">
        <v>26010629</v>
      </c>
      <c r="D135" s="669"/>
      <c r="E135" s="669"/>
      <c r="F135" s="669"/>
      <c r="G135" s="669" t="s">
        <v>75</v>
      </c>
      <c r="H135" s="669"/>
      <c r="I135" s="669"/>
      <c r="J135" s="669"/>
      <c r="K135" s="669"/>
      <c r="L135" s="669"/>
      <c r="M135" s="509" t="s">
        <v>77</v>
      </c>
      <c r="N135" s="510">
        <v>46168</v>
      </c>
      <c r="O135" s="493"/>
    </row>
    <row r="136" spans="2:15" ht="17.25" customHeight="1" x14ac:dyDescent="0.25">
      <c r="B136" s="669"/>
      <c r="C136" s="670">
        <v>26010630</v>
      </c>
      <c r="D136" s="670"/>
      <c r="E136" s="670"/>
      <c r="F136" s="670"/>
      <c r="G136" s="670" t="s">
        <v>75</v>
      </c>
      <c r="H136" s="670"/>
      <c r="I136" s="670"/>
      <c r="J136" s="670"/>
      <c r="K136" s="669"/>
      <c r="L136" s="669"/>
      <c r="M136" s="506" t="s">
        <v>77</v>
      </c>
      <c r="N136" s="510">
        <v>46168</v>
      </c>
      <c r="O136" s="493"/>
    </row>
    <row r="137" spans="2:15" ht="17.25" customHeight="1" x14ac:dyDescent="0.25">
      <c r="B137" s="669"/>
      <c r="C137" s="669">
        <v>26010631</v>
      </c>
      <c r="D137" s="669"/>
      <c r="E137" s="669"/>
      <c r="F137" s="669"/>
      <c r="G137" s="669" t="s">
        <v>75</v>
      </c>
      <c r="H137" s="669"/>
      <c r="I137" s="669"/>
      <c r="J137" s="669"/>
      <c r="K137" s="669"/>
      <c r="L137" s="669"/>
      <c r="M137" s="509" t="s">
        <v>77</v>
      </c>
      <c r="N137" s="510">
        <v>46168</v>
      </c>
      <c r="O137" s="493"/>
    </row>
    <row r="138" spans="2:15" ht="17.25" customHeight="1" x14ac:dyDescent="0.25">
      <c r="B138" s="669"/>
      <c r="C138" s="671">
        <v>26010632</v>
      </c>
      <c r="D138" s="671"/>
      <c r="E138" s="671"/>
      <c r="F138" s="671"/>
      <c r="G138" s="670" t="s">
        <v>75</v>
      </c>
      <c r="H138" s="670"/>
      <c r="I138" s="670"/>
      <c r="J138" s="670"/>
      <c r="K138" s="669"/>
      <c r="L138" s="669"/>
      <c r="M138" s="506" t="s">
        <v>77</v>
      </c>
      <c r="N138" s="510">
        <v>46167</v>
      </c>
      <c r="O138" s="493"/>
    </row>
    <row r="139" spans="2:15" ht="17.25" customHeight="1" x14ac:dyDescent="0.25">
      <c r="B139" s="669"/>
      <c r="C139" s="669">
        <v>26010633</v>
      </c>
      <c r="D139" s="669"/>
      <c r="E139" s="669"/>
      <c r="F139" s="669"/>
      <c r="G139" s="669" t="s">
        <v>75</v>
      </c>
      <c r="H139" s="669"/>
      <c r="I139" s="669"/>
      <c r="J139" s="669"/>
      <c r="K139" s="669"/>
      <c r="L139" s="669"/>
      <c r="M139" s="509" t="s">
        <v>77</v>
      </c>
      <c r="N139" s="510">
        <v>46167</v>
      </c>
      <c r="O139" s="493"/>
    </row>
    <row r="140" spans="2:15" ht="17.25" customHeight="1" x14ac:dyDescent="0.25">
      <c r="B140" s="669"/>
      <c r="C140" s="670">
        <v>26010634</v>
      </c>
      <c r="D140" s="670"/>
      <c r="E140" s="670"/>
      <c r="F140" s="670"/>
      <c r="G140" s="670" t="s">
        <v>75</v>
      </c>
      <c r="H140" s="670"/>
      <c r="I140" s="670"/>
      <c r="J140" s="670"/>
      <c r="K140" s="669"/>
      <c r="L140" s="669"/>
      <c r="M140" s="506" t="s">
        <v>77</v>
      </c>
      <c r="N140" s="510">
        <v>46167</v>
      </c>
      <c r="O140" s="493"/>
    </row>
    <row r="141" spans="2:15" ht="17.25" customHeight="1" x14ac:dyDescent="0.25">
      <c r="B141" s="669"/>
      <c r="C141" s="669">
        <v>26010635</v>
      </c>
      <c r="D141" s="669"/>
      <c r="E141" s="669"/>
      <c r="F141" s="669"/>
      <c r="G141" s="669" t="s">
        <v>75</v>
      </c>
      <c r="H141" s="669"/>
      <c r="I141" s="669"/>
      <c r="J141" s="669"/>
      <c r="K141" s="669"/>
      <c r="L141" s="669"/>
      <c r="M141" s="509" t="s">
        <v>77</v>
      </c>
      <c r="N141" s="510">
        <v>46167</v>
      </c>
      <c r="O141" s="493"/>
    </row>
    <row r="142" spans="2:15" ht="17.25" customHeight="1" x14ac:dyDescent="0.25">
      <c r="B142" s="669"/>
      <c r="C142" s="670">
        <v>26010636</v>
      </c>
      <c r="D142" s="670"/>
      <c r="E142" s="674"/>
      <c r="F142" s="670"/>
      <c r="G142" s="670" t="s">
        <v>75</v>
      </c>
      <c r="H142" s="670"/>
      <c r="I142" s="670"/>
      <c r="J142" s="670"/>
      <c r="K142" s="669"/>
      <c r="L142" s="669"/>
      <c r="M142" s="506" t="s">
        <v>77</v>
      </c>
      <c r="N142" s="510">
        <v>46167</v>
      </c>
      <c r="O142" s="493"/>
    </row>
    <row r="143" spans="2:15" ht="17.25" customHeight="1" x14ac:dyDescent="0.25">
      <c r="B143" s="669"/>
      <c r="C143" s="669">
        <v>26010637</v>
      </c>
      <c r="D143" s="669"/>
      <c r="E143" s="669"/>
      <c r="F143" s="669"/>
      <c r="G143" s="669" t="s">
        <v>118</v>
      </c>
      <c r="H143" s="669"/>
      <c r="I143" s="669"/>
      <c r="J143" s="669"/>
      <c r="K143" s="669"/>
      <c r="L143" s="669"/>
      <c r="M143" s="509" t="s">
        <v>77</v>
      </c>
      <c r="N143" s="510">
        <v>46167</v>
      </c>
      <c r="O143" s="493"/>
    </row>
    <row r="144" spans="2:15" ht="17.25" customHeight="1" x14ac:dyDescent="0.25">
      <c r="B144" s="669"/>
      <c r="C144" s="670">
        <v>26010638</v>
      </c>
      <c r="D144" s="670"/>
      <c r="E144" s="670"/>
      <c r="F144" s="670"/>
      <c r="G144" s="670" t="s">
        <v>118</v>
      </c>
      <c r="H144" s="670"/>
      <c r="I144" s="670"/>
      <c r="J144" s="670"/>
      <c r="K144" s="669"/>
      <c r="L144" s="669"/>
      <c r="M144" s="506" t="s">
        <v>77</v>
      </c>
      <c r="N144" s="510">
        <v>46167</v>
      </c>
      <c r="O144" s="493"/>
    </row>
    <row r="145" spans="2:15" ht="17.25" customHeight="1" x14ac:dyDescent="0.25">
      <c r="B145" s="669"/>
      <c r="C145" s="669">
        <v>26010639</v>
      </c>
      <c r="D145" s="669"/>
      <c r="E145" s="669"/>
      <c r="F145" s="669"/>
      <c r="G145" s="669" t="s">
        <v>118</v>
      </c>
      <c r="H145" s="669"/>
      <c r="I145" s="669"/>
      <c r="J145" s="669"/>
      <c r="K145" s="669"/>
      <c r="L145" s="669"/>
      <c r="M145" s="509" t="s">
        <v>77</v>
      </c>
      <c r="N145" s="510">
        <v>46167</v>
      </c>
      <c r="O145" s="493"/>
    </row>
    <row r="146" spans="2:15" ht="17.25" customHeight="1" x14ac:dyDescent="0.25">
      <c r="B146" s="669"/>
      <c r="C146" s="670">
        <v>26010640</v>
      </c>
      <c r="D146" s="670"/>
      <c r="E146" s="670"/>
      <c r="F146" s="670"/>
      <c r="G146" s="670" t="s">
        <v>118</v>
      </c>
      <c r="H146" s="670"/>
      <c r="I146" s="670"/>
      <c r="J146" s="670"/>
      <c r="K146" s="669"/>
      <c r="L146" s="669"/>
      <c r="M146" s="506" t="s">
        <v>77</v>
      </c>
      <c r="N146" s="510">
        <v>46168</v>
      </c>
      <c r="O146" s="493"/>
    </row>
    <row r="147" spans="2:15" ht="17.25" customHeight="1" x14ac:dyDescent="0.25">
      <c r="B147" s="669"/>
      <c r="C147" s="669">
        <v>26010641</v>
      </c>
      <c r="D147" s="669"/>
      <c r="E147" s="669"/>
      <c r="F147" s="669"/>
      <c r="G147" s="669" t="s">
        <v>118</v>
      </c>
      <c r="H147" s="669"/>
      <c r="I147" s="669"/>
      <c r="J147" s="669"/>
      <c r="K147" s="669"/>
      <c r="L147" s="669"/>
      <c r="M147" s="509" t="s">
        <v>77</v>
      </c>
      <c r="N147" s="510">
        <v>46168</v>
      </c>
      <c r="O147" s="493"/>
    </row>
    <row r="148" spans="2:15" ht="17.25" customHeight="1" x14ac:dyDescent="0.25">
      <c r="B148" s="669"/>
      <c r="C148" s="670">
        <v>26010642</v>
      </c>
      <c r="D148" s="670"/>
      <c r="E148" s="670"/>
      <c r="F148" s="670"/>
      <c r="G148" s="670" t="s">
        <v>118</v>
      </c>
      <c r="H148" s="670"/>
      <c r="I148" s="670"/>
      <c r="J148" s="670"/>
      <c r="K148" s="669"/>
      <c r="L148" s="669"/>
      <c r="M148" s="506" t="s">
        <v>77</v>
      </c>
      <c r="N148" s="510">
        <v>46168</v>
      </c>
      <c r="O148" s="493"/>
    </row>
    <row r="149" spans="2:15" ht="17.25" customHeight="1" x14ac:dyDescent="0.25">
      <c r="B149" s="669"/>
      <c r="C149" s="669">
        <v>26010643</v>
      </c>
      <c r="D149" s="669"/>
      <c r="E149" s="673"/>
      <c r="F149" s="673"/>
      <c r="G149" s="669" t="s">
        <v>118</v>
      </c>
      <c r="H149" s="669"/>
      <c r="I149" s="669"/>
      <c r="J149" s="669"/>
      <c r="K149" s="669"/>
      <c r="L149" s="669"/>
      <c r="M149" s="509" t="s">
        <v>77</v>
      </c>
      <c r="N149" s="510">
        <v>46168</v>
      </c>
      <c r="O149" s="493"/>
    </row>
    <row r="150" spans="2:15" ht="17.25" customHeight="1" x14ac:dyDescent="0.25">
      <c r="B150" s="669"/>
      <c r="C150" s="671">
        <v>26010644</v>
      </c>
      <c r="D150" s="671"/>
      <c r="E150" s="671"/>
      <c r="F150" s="671"/>
      <c r="G150" s="670" t="s">
        <v>75</v>
      </c>
      <c r="H150" s="670"/>
      <c r="I150" s="670"/>
      <c r="J150" s="670"/>
      <c r="K150" s="669"/>
      <c r="L150" s="669"/>
      <c r="M150" s="506" t="s">
        <v>77</v>
      </c>
      <c r="N150" s="510">
        <v>46169</v>
      </c>
      <c r="O150" s="493"/>
    </row>
    <row r="151" spans="2:15" ht="17.25" customHeight="1" x14ac:dyDescent="0.25">
      <c r="B151" s="669"/>
      <c r="C151" s="669">
        <v>26010645</v>
      </c>
      <c r="D151" s="669"/>
      <c r="E151" s="669"/>
      <c r="F151" s="669"/>
      <c r="G151" s="669" t="s">
        <v>75</v>
      </c>
      <c r="H151" s="669"/>
      <c r="I151" s="669"/>
      <c r="J151" s="669"/>
      <c r="K151" s="669"/>
      <c r="L151" s="669"/>
      <c r="M151" s="509" t="s">
        <v>77</v>
      </c>
      <c r="N151" s="510">
        <v>46169</v>
      </c>
      <c r="O151" s="493"/>
    </row>
    <row r="152" spans="2:15" ht="17.25" customHeight="1" x14ac:dyDescent="0.25">
      <c r="B152" s="669"/>
      <c r="C152" s="670">
        <v>26010646</v>
      </c>
      <c r="D152" s="670"/>
      <c r="E152" s="670"/>
      <c r="F152" s="670"/>
      <c r="G152" s="670" t="s">
        <v>75</v>
      </c>
      <c r="H152" s="670"/>
      <c r="I152" s="670"/>
      <c r="J152" s="670"/>
      <c r="K152" s="669"/>
      <c r="L152" s="669"/>
      <c r="M152" s="506" t="s">
        <v>77</v>
      </c>
      <c r="N152" s="510">
        <v>46169</v>
      </c>
      <c r="O152" s="493"/>
    </row>
    <row r="153" spans="2:15" ht="17.25" customHeight="1" x14ac:dyDescent="0.25">
      <c r="B153" s="669"/>
      <c r="C153" s="669">
        <v>26010647</v>
      </c>
      <c r="D153" s="669"/>
      <c r="E153" s="669"/>
      <c r="F153" s="669"/>
      <c r="G153" s="669" t="s">
        <v>75</v>
      </c>
      <c r="H153" s="669"/>
      <c r="I153" s="669"/>
      <c r="J153" s="669"/>
      <c r="K153" s="669"/>
      <c r="L153" s="669"/>
      <c r="M153" s="509" t="s">
        <v>77</v>
      </c>
      <c r="N153" s="510">
        <v>46170</v>
      </c>
      <c r="O153" s="493"/>
    </row>
    <row r="154" spans="2:15" ht="17.25" customHeight="1" x14ac:dyDescent="0.25">
      <c r="B154" s="669"/>
      <c r="C154" s="670">
        <v>26010648</v>
      </c>
      <c r="D154" s="670"/>
      <c r="E154" s="670"/>
      <c r="F154" s="670"/>
      <c r="G154" s="670" t="s">
        <v>75</v>
      </c>
      <c r="H154" s="670"/>
      <c r="I154" s="670"/>
      <c r="J154" s="670"/>
      <c r="K154" s="669"/>
      <c r="L154" s="669"/>
      <c r="M154" s="506" t="s">
        <v>77</v>
      </c>
      <c r="N154" s="510">
        <v>46170</v>
      </c>
      <c r="O154" s="493"/>
    </row>
    <row r="155" spans="2:15" ht="17.25" customHeight="1" x14ac:dyDescent="0.25">
      <c r="B155" s="669"/>
      <c r="C155" s="669">
        <v>26010649</v>
      </c>
      <c r="D155" s="669"/>
      <c r="E155" s="669"/>
      <c r="F155" s="669"/>
      <c r="G155" s="669" t="s">
        <v>75</v>
      </c>
      <c r="H155" s="669"/>
      <c r="I155" s="669"/>
      <c r="J155" s="669"/>
      <c r="K155" s="669"/>
      <c r="L155" s="669"/>
      <c r="M155" s="509" t="s">
        <v>77</v>
      </c>
      <c r="N155" s="510">
        <v>46171</v>
      </c>
      <c r="O155" s="493"/>
    </row>
    <row r="156" spans="2:15" ht="17.25" customHeight="1" x14ac:dyDescent="0.25">
      <c r="B156" s="669"/>
      <c r="C156" s="670">
        <v>26010650</v>
      </c>
      <c r="D156" s="670"/>
      <c r="E156" s="670"/>
      <c r="F156" s="670"/>
      <c r="G156" s="670" t="s">
        <v>75</v>
      </c>
      <c r="H156" s="670"/>
      <c r="I156" s="670"/>
      <c r="J156" s="670"/>
      <c r="K156" s="669"/>
      <c r="L156" s="669"/>
      <c r="M156" s="506" t="s">
        <v>77</v>
      </c>
      <c r="N156" s="510">
        <v>46171</v>
      </c>
      <c r="O156" s="493"/>
    </row>
    <row r="157" spans="2:15" ht="17.25" customHeight="1" x14ac:dyDescent="0.25">
      <c r="B157" s="669"/>
      <c r="C157" s="669">
        <v>26010651</v>
      </c>
      <c r="D157" s="669"/>
      <c r="E157" s="669"/>
      <c r="F157" s="669"/>
      <c r="G157" s="669" t="s">
        <v>75</v>
      </c>
      <c r="H157" s="669"/>
      <c r="I157" s="669"/>
      <c r="J157" s="669"/>
      <c r="K157" s="669"/>
      <c r="L157" s="669"/>
      <c r="M157" s="509" t="s">
        <v>77</v>
      </c>
      <c r="N157" s="510">
        <v>46171</v>
      </c>
      <c r="O157" s="493"/>
    </row>
    <row r="158" spans="2:15" ht="17.25" customHeight="1" x14ac:dyDescent="0.25">
      <c r="B158" s="669"/>
      <c r="C158" s="670">
        <v>26010652</v>
      </c>
      <c r="D158" s="670"/>
      <c r="E158" s="670"/>
      <c r="F158" s="670"/>
      <c r="G158" s="670" t="s">
        <v>75</v>
      </c>
      <c r="H158" s="670"/>
      <c r="I158" s="670"/>
      <c r="J158" s="670"/>
      <c r="K158" s="669"/>
      <c r="L158" s="669"/>
      <c r="M158" s="506" t="s">
        <v>77</v>
      </c>
      <c r="N158" s="510">
        <v>46171</v>
      </c>
      <c r="O158" s="493"/>
    </row>
    <row r="159" spans="2:15" ht="17.25" customHeight="1" x14ac:dyDescent="0.25">
      <c r="B159" s="669" t="s">
        <v>989</v>
      </c>
      <c r="C159" s="669">
        <v>26010653</v>
      </c>
      <c r="D159" s="669"/>
      <c r="E159" s="669"/>
      <c r="F159" s="669"/>
      <c r="G159" s="669" t="s">
        <v>351</v>
      </c>
      <c r="H159" s="669"/>
      <c r="I159" s="669"/>
      <c r="J159" s="669"/>
      <c r="K159" s="669" t="s">
        <v>62</v>
      </c>
      <c r="L159" s="669"/>
      <c r="M159" s="509" t="s">
        <v>237</v>
      </c>
      <c r="N159" s="510">
        <v>46167</v>
      </c>
      <c r="O159" s="493"/>
    </row>
    <row r="160" spans="2:15" ht="17.25" customHeight="1" x14ac:dyDescent="0.25">
      <c r="B160" s="669"/>
      <c r="C160" s="669">
        <v>26010654</v>
      </c>
      <c r="D160" s="669"/>
      <c r="E160" s="669"/>
      <c r="F160" s="669"/>
      <c r="G160" s="669" t="s">
        <v>64</v>
      </c>
      <c r="H160" s="669"/>
      <c r="I160" s="669"/>
      <c r="J160" s="669"/>
      <c r="K160" s="669"/>
      <c r="L160" s="669"/>
      <c r="M160" s="509" t="s">
        <v>442</v>
      </c>
      <c r="N160" s="510">
        <v>46168</v>
      </c>
      <c r="O160" s="493"/>
    </row>
    <row r="161" spans="2:15" ht="17.25" customHeight="1" x14ac:dyDescent="0.25">
      <c r="B161" s="508" t="s">
        <v>990</v>
      </c>
      <c r="C161" s="669">
        <v>26010655</v>
      </c>
      <c r="D161" s="669"/>
      <c r="E161" s="669"/>
      <c r="F161" s="669"/>
      <c r="G161" s="669" t="s">
        <v>395</v>
      </c>
      <c r="H161" s="669"/>
      <c r="I161" s="669"/>
      <c r="J161" s="669"/>
      <c r="K161" s="669" t="s">
        <v>72</v>
      </c>
      <c r="L161" s="669"/>
      <c r="M161" s="509" t="s">
        <v>991</v>
      </c>
      <c r="N161" s="510">
        <v>46168</v>
      </c>
      <c r="O161" s="493"/>
    </row>
    <row r="162" spans="2:15" ht="17.25" customHeight="1" x14ac:dyDescent="0.25">
      <c r="B162" s="508" t="s">
        <v>992</v>
      </c>
      <c r="C162" s="669" t="s">
        <v>998</v>
      </c>
      <c r="D162" s="669"/>
      <c r="E162" s="669"/>
      <c r="F162" s="669"/>
      <c r="G162" s="669" t="s">
        <v>54</v>
      </c>
      <c r="H162" s="669"/>
      <c r="I162" s="669"/>
      <c r="J162" s="669"/>
      <c r="K162" s="669" t="s">
        <v>31</v>
      </c>
      <c r="L162" s="669"/>
      <c r="M162" s="509" t="s">
        <v>55</v>
      </c>
      <c r="N162" s="510">
        <v>46169</v>
      </c>
      <c r="O162" s="493"/>
    </row>
    <row r="163" spans="2:15" ht="17.25" customHeight="1" x14ac:dyDescent="0.25">
      <c r="B163" s="669" t="s">
        <v>1001</v>
      </c>
      <c r="C163" s="669">
        <v>26010657</v>
      </c>
      <c r="D163" s="669"/>
      <c r="E163" s="673"/>
      <c r="F163" s="673"/>
      <c r="G163" s="669" t="s">
        <v>75</v>
      </c>
      <c r="H163" s="669"/>
      <c r="I163" s="669"/>
      <c r="J163" s="669"/>
      <c r="K163" s="669" t="s">
        <v>76</v>
      </c>
      <c r="L163" s="669"/>
      <c r="M163" s="509" t="s">
        <v>77</v>
      </c>
      <c r="N163" s="510">
        <v>46174</v>
      </c>
      <c r="O163" s="493"/>
    </row>
    <row r="164" spans="2:15" ht="17.25" customHeight="1" x14ac:dyDescent="0.25">
      <c r="B164" s="669"/>
      <c r="C164" s="669">
        <v>26010658</v>
      </c>
      <c r="D164" s="669"/>
      <c r="E164" s="669"/>
      <c r="F164" s="669"/>
      <c r="G164" s="669" t="s">
        <v>75</v>
      </c>
      <c r="H164" s="669"/>
      <c r="I164" s="669"/>
      <c r="J164" s="669"/>
      <c r="K164" s="669"/>
      <c r="L164" s="669"/>
      <c r="M164" s="509" t="s">
        <v>77</v>
      </c>
      <c r="N164" s="510">
        <v>46174</v>
      </c>
      <c r="O164" s="493"/>
    </row>
    <row r="165" spans="2:15" ht="17.25" customHeight="1" x14ac:dyDescent="0.25">
      <c r="B165" s="669"/>
      <c r="C165" s="669">
        <v>26010659</v>
      </c>
      <c r="D165" s="669"/>
      <c r="E165" s="669"/>
      <c r="F165" s="669"/>
      <c r="G165" s="669" t="s">
        <v>75</v>
      </c>
      <c r="H165" s="669"/>
      <c r="I165" s="669"/>
      <c r="J165" s="669"/>
      <c r="K165" s="669"/>
      <c r="L165" s="669"/>
      <c r="M165" s="509" t="s">
        <v>77</v>
      </c>
      <c r="N165" s="510">
        <v>46174</v>
      </c>
      <c r="O165" s="493"/>
    </row>
    <row r="166" spans="2:15" ht="17.25" customHeight="1" x14ac:dyDescent="0.25">
      <c r="B166" s="669"/>
      <c r="C166" s="669">
        <v>26010660</v>
      </c>
      <c r="D166" s="669"/>
      <c r="E166" s="669"/>
      <c r="F166" s="669"/>
      <c r="G166" s="669" t="s">
        <v>75</v>
      </c>
      <c r="H166" s="669"/>
      <c r="I166" s="669"/>
      <c r="J166" s="669"/>
      <c r="K166" s="669"/>
      <c r="L166" s="669"/>
      <c r="M166" s="509" t="s">
        <v>77</v>
      </c>
      <c r="N166" s="510">
        <v>46174</v>
      </c>
      <c r="O166" s="493"/>
    </row>
    <row r="167" spans="2:15" ht="17.25" customHeight="1" x14ac:dyDescent="0.25">
      <c r="B167" s="669"/>
      <c r="C167" s="669">
        <v>26010661</v>
      </c>
      <c r="D167" s="669"/>
      <c r="E167" s="669"/>
      <c r="F167" s="669"/>
      <c r="G167" s="669" t="s">
        <v>75</v>
      </c>
      <c r="H167" s="669"/>
      <c r="I167" s="669"/>
      <c r="J167" s="669"/>
      <c r="K167" s="669"/>
      <c r="L167" s="669"/>
      <c r="M167" s="509" t="s">
        <v>77</v>
      </c>
      <c r="N167" s="510">
        <v>46174</v>
      </c>
      <c r="O167" s="493"/>
    </row>
    <row r="168" spans="2:15" ht="17.25" customHeight="1" x14ac:dyDescent="0.25">
      <c r="B168" s="669"/>
      <c r="C168" s="669">
        <v>26010662</v>
      </c>
      <c r="D168" s="669"/>
      <c r="E168" s="669"/>
      <c r="F168" s="669"/>
      <c r="G168" s="669" t="s">
        <v>75</v>
      </c>
      <c r="H168" s="669"/>
      <c r="I168" s="669"/>
      <c r="J168" s="669"/>
      <c r="K168" s="669"/>
      <c r="L168" s="669"/>
      <c r="M168" s="509" t="s">
        <v>77</v>
      </c>
      <c r="N168" s="510">
        <v>46175</v>
      </c>
      <c r="O168" s="493"/>
    </row>
    <row r="169" spans="2:15" ht="17.25" customHeight="1" x14ac:dyDescent="0.25">
      <c r="B169" s="669"/>
      <c r="C169" s="669">
        <v>26010663</v>
      </c>
      <c r="D169" s="669"/>
      <c r="E169" s="673"/>
      <c r="F169" s="673"/>
      <c r="G169" s="669" t="s">
        <v>75</v>
      </c>
      <c r="H169" s="669"/>
      <c r="I169" s="669"/>
      <c r="J169" s="669"/>
      <c r="K169" s="669"/>
      <c r="L169" s="669"/>
      <c r="M169" s="509" t="s">
        <v>77</v>
      </c>
      <c r="N169" s="510">
        <v>46175</v>
      </c>
      <c r="O169" s="493"/>
    </row>
    <row r="170" spans="2:15" ht="17.25" customHeight="1" x14ac:dyDescent="0.25">
      <c r="B170" s="669"/>
      <c r="C170" s="669">
        <v>26010664</v>
      </c>
      <c r="D170" s="669"/>
      <c r="E170" s="669"/>
      <c r="F170" s="669"/>
      <c r="G170" s="669" t="s">
        <v>75</v>
      </c>
      <c r="H170" s="669"/>
      <c r="I170" s="669"/>
      <c r="J170" s="669"/>
      <c r="K170" s="669"/>
      <c r="L170" s="669"/>
      <c r="M170" s="509" t="s">
        <v>77</v>
      </c>
      <c r="N170" s="510">
        <v>46175</v>
      </c>
      <c r="O170" s="493"/>
    </row>
    <row r="171" spans="2:15" ht="17.25" customHeight="1" x14ac:dyDescent="0.25">
      <c r="B171" s="669"/>
      <c r="C171" s="669">
        <v>26010665</v>
      </c>
      <c r="D171" s="669"/>
      <c r="E171" s="673"/>
      <c r="F171" s="673"/>
      <c r="G171" s="669" t="s">
        <v>75</v>
      </c>
      <c r="H171" s="669"/>
      <c r="I171" s="669"/>
      <c r="J171" s="669"/>
      <c r="K171" s="669"/>
      <c r="L171" s="669"/>
      <c r="M171" s="509" t="s">
        <v>77</v>
      </c>
      <c r="N171" s="510">
        <v>46175</v>
      </c>
      <c r="O171" s="493"/>
    </row>
    <row r="172" spans="2:15" ht="17.25" customHeight="1" x14ac:dyDescent="0.25">
      <c r="B172" s="669"/>
      <c r="C172" s="669">
        <v>26010666</v>
      </c>
      <c r="D172" s="669"/>
      <c r="E172" s="669"/>
      <c r="F172" s="669"/>
      <c r="G172" s="669" t="s">
        <v>75</v>
      </c>
      <c r="H172" s="669"/>
      <c r="I172" s="669"/>
      <c r="J172" s="669"/>
      <c r="K172" s="669"/>
      <c r="L172" s="669"/>
      <c r="M172" s="509" t="s">
        <v>77</v>
      </c>
      <c r="N172" s="510">
        <v>46175</v>
      </c>
      <c r="O172" s="493"/>
    </row>
    <row r="173" spans="2:15" ht="17.25" customHeight="1" x14ac:dyDescent="0.25">
      <c r="B173" s="669"/>
      <c r="C173" s="669">
        <v>26010667</v>
      </c>
      <c r="D173" s="669"/>
      <c r="E173" s="669"/>
      <c r="F173" s="669"/>
      <c r="G173" s="669" t="s">
        <v>75</v>
      </c>
      <c r="H173" s="669"/>
      <c r="I173" s="669"/>
      <c r="J173" s="669"/>
      <c r="K173" s="669"/>
      <c r="L173" s="669"/>
      <c r="M173" s="509" t="s">
        <v>77</v>
      </c>
      <c r="N173" s="510">
        <v>46175</v>
      </c>
      <c r="O173" s="493"/>
    </row>
    <row r="174" spans="2:15" ht="17.25" customHeight="1" x14ac:dyDescent="0.25">
      <c r="B174" s="669"/>
      <c r="C174" s="669">
        <v>26010668</v>
      </c>
      <c r="D174" s="669"/>
      <c r="E174" s="669"/>
      <c r="F174" s="669"/>
      <c r="G174" s="669" t="s">
        <v>75</v>
      </c>
      <c r="H174" s="669"/>
      <c r="I174" s="669"/>
      <c r="J174" s="669"/>
      <c r="K174" s="669"/>
      <c r="L174" s="669"/>
      <c r="M174" s="509" t="s">
        <v>77</v>
      </c>
      <c r="N174" s="510">
        <v>46175</v>
      </c>
      <c r="O174" s="493"/>
    </row>
    <row r="175" spans="2:15" ht="17.25" customHeight="1" x14ac:dyDescent="0.25">
      <c r="B175" s="669"/>
      <c r="C175" s="669">
        <v>26010669</v>
      </c>
      <c r="D175" s="669"/>
      <c r="E175" s="669"/>
      <c r="F175" s="669"/>
      <c r="G175" s="669" t="s">
        <v>75</v>
      </c>
      <c r="H175" s="669"/>
      <c r="I175" s="669"/>
      <c r="J175" s="669"/>
      <c r="K175" s="669"/>
      <c r="L175" s="669"/>
      <c r="M175" s="509" t="s">
        <v>77</v>
      </c>
      <c r="N175" s="510">
        <v>46175</v>
      </c>
      <c r="O175" s="493"/>
    </row>
    <row r="176" spans="2:15" ht="17.25" customHeight="1" x14ac:dyDescent="0.25">
      <c r="B176" s="669"/>
      <c r="C176" s="669">
        <v>26010670</v>
      </c>
      <c r="D176" s="669"/>
      <c r="E176" s="669"/>
      <c r="F176" s="669"/>
      <c r="G176" s="669" t="s">
        <v>75</v>
      </c>
      <c r="H176" s="669"/>
      <c r="I176" s="669"/>
      <c r="J176" s="669"/>
      <c r="K176" s="669"/>
      <c r="L176" s="669"/>
      <c r="M176" s="509" t="s">
        <v>77</v>
      </c>
      <c r="N176" s="510">
        <v>46176</v>
      </c>
      <c r="O176" s="493"/>
    </row>
    <row r="177" spans="2:15" ht="17.25" customHeight="1" x14ac:dyDescent="0.25">
      <c r="B177" s="669"/>
      <c r="C177" s="669">
        <v>26010671</v>
      </c>
      <c r="D177" s="669"/>
      <c r="E177" s="673"/>
      <c r="F177" s="673"/>
      <c r="G177" s="669" t="s">
        <v>75</v>
      </c>
      <c r="H177" s="669"/>
      <c r="I177" s="669"/>
      <c r="J177" s="669"/>
      <c r="K177" s="669"/>
      <c r="L177" s="669"/>
      <c r="M177" s="509" t="s">
        <v>77</v>
      </c>
      <c r="N177" s="510">
        <v>46176</v>
      </c>
      <c r="O177" s="493"/>
    </row>
    <row r="178" spans="2:15" ht="17.25" customHeight="1" x14ac:dyDescent="0.25">
      <c r="B178" s="669"/>
      <c r="C178" s="669">
        <v>26010672</v>
      </c>
      <c r="D178" s="669"/>
      <c r="E178" s="669"/>
      <c r="F178" s="669"/>
      <c r="G178" s="669" t="s">
        <v>75</v>
      </c>
      <c r="H178" s="669"/>
      <c r="I178" s="669"/>
      <c r="J178" s="669"/>
      <c r="K178" s="669"/>
      <c r="L178" s="669"/>
      <c r="M178" s="509" t="s">
        <v>77</v>
      </c>
      <c r="N178" s="510">
        <v>46176</v>
      </c>
      <c r="O178" s="493"/>
    </row>
    <row r="179" spans="2:15" ht="17.25" customHeight="1" x14ac:dyDescent="0.25">
      <c r="B179" s="669"/>
      <c r="C179" s="669">
        <v>26010673</v>
      </c>
      <c r="D179" s="669"/>
      <c r="E179" s="669"/>
      <c r="F179" s="669"/>
      <c r="G179" s="669" t="s">
        <v>75</v>
      </c>
      <c r="H179" s="669"/>
      <c r="I179" s="669"/>
      <c r="J179" s="669"/>
      <c r="K179" s="669"/>
      <c r="L179" s="669"/>
      <c r="M179" s="509" t="s">
        <v>77</v>
      </c>
      <c r="N179" s="510">
        <v>46176</v>
      </c>
      <c r="O179" s="493"/>
    </row>
    <row r="180" spans="2:15" ht="17.25" customHeight="1" x14ac:dyDescent="0.25">
      <c r="B180" s="669"/>
      <c r="C180" s="669">
        <v>26010674</v>
      </c>
      <c r="D180" s="669"/>
      <c r="E180" s="669"/>
      <c r="F180" s="669"/>
      <c r="G180" s="669" t="s">
        <v>75</v>
      </c>
      <c r="H180" s="669"/>
      <c r="I180" s="669"/>
      <c r="J180" s="669"/>
      <c r="K180" s="669"/>
      <c r="L180" s="669"/>
      <c r="M180" s="509" t="s">
        <v>77</v>
      </c>
      <c r="N180" s="510">
        <v>46176</v>
      </c>
      <c r="O180" s="493"/>
    </row>
    <row r="181" spans="2:15" ht="17.25" customHeight="1" x14ac:dyDescent="0.25">
      <c r="B181" s="669"/>
      <c r="C181" s="669">
        <v>26010675</v>
      </c>
      <c r="D181" s="669"/>
      <c r="E181" s="669"/>
      <c r="F181" s="669"/>
      <c r="G181" s="669" t="s">
        <v>75</v>
      </c>
      <c r="H181" s="669"/>
      <c r="I181" s="669"/>
      <c r="J181" s="669"/>
      <c r="K181" s="669"/>
      <c r="L181" s="669"/>
      <c r="M181" s="509" t="s">
        <v>77</v>
      </c>
      <c r="N181" s="510">
        <v>46176</v>
      </c>
      <c r="O181" s="493"/>
    </row>
    <row r="182" spans="2:15" ht="17.25" customHeight="1" x14ac:dyDescent="0.25">
      <c r="B182" s="669"/>
      <c r="C182" s="669">
        <v>26010676</v>
      </c>
      <c r="D182" s="669"/>
      <c r="E182" s="669"/>
      <c r="F182" s="669"/>
      <c r="G182" s="669" t="s">
        <v>75</v>
      </c>
      <c r="H182" s="669"/>
      <c r="I182" s="669"/>
      <c r="J182" s="669"/>
      <c r="K182" s="669"/>
      <c r="L182" s="669"/>
      <c r="M182" s="509" t="s">
        <v>77</v>
      </c>
      <c r="N182" s="510">
        <v>46176</v>
      </c>
      <c r="O182" s="493"/>
    </row>
    <row r="183" spans="2:15" ht="17.25" customHeight="1" x14ac:dyDescent="0.25">
      <c r="B183" s="669"/>
      <c r="C183" s="669">
        <v>26010677</v>
      </c>
      <c r="D183" s="669"/>
      <c r="E183" s="669"/>
      <c r="F183" s="669"/>
      <c r="G183" s="669" t="s">
        <v>75</v>
      </c>
      <c r="H183" s="669"/>
      <c r="I183" s="669"/>
      <c r="J183" s="669"/>
      <c r="K183" s="669"/>
      <c r="L183" s="669"/>
      <c r="M183" s="509" t="s">
        <v>77</v>
      </c>
      <c r="N183" s="510">
        <v>46177</v>
      </c>
      <c r="O183" s="493"/>
    </row>
    <row r="184" spans="2:15" ht="17.25" customHeight="1" x14ac:dyDescent="0.25">
      <c r="B184" s="669"/>
      <c r="C184" s="669">
        <v>26010678</v>
      </c>
      <c r="D184" s="669"/>
      <c r="E184" s="669"/>
      <c r="F184" s="669"/>
      <c r="G184" s="669" t="s">
        <v>75</v>
      </c>
      <c r="H184" s="669"/>
      <c r="I184" s="669"/>
      <c r="J184" s="669"/>
      <c r="K184" s="669"/>
      <c r="L184" s="669"/>
      <c r="M184" s="509" t="s">
        <v>77</v>
      </c>
      <c r="N184" s="510">
        <v>46177</v>
      </c>
      <c r="O184" s="493"/>
    </row>
    <row r="185" spans="2:15" ht="17.25" customHeight="1" x14ac:dyDescent="0.25">
      <c r="B185" s="669"/>
      <c r="C185" s="669">
        <v>26010679</v>
      </c>
      <c r="D185" s="669"/>
      <c r="E185" s="669"/>
      <c r="F185" s="669"/>
      <c r="G185" s="669" t="s">
        <v>75</v>
      </c>
      <c r="H185" s="669"/>
      <c r="I185" s="669"/>
      <c r="J185" s="669"/>
      <c r="K185" s="669"/>
      <c r="L185" s="669"/>
      <c r="M185" s="509" t="s">
        <v>77</v>
      </c>
      <c r="N185" s="510">
        <v>46177</v>
      </c>
      <c r="O185" s="493"/>
    </row>
    <row r="186" spans="2:15" ht="17.25" customHeight="1" x14ac:dyDescent="0.25">
      <c r="B186" s="669"/>
      <c r="C186" s="669">
        <v>26010680</v>
      </c>
      <c r="D186" s="669"/>
      <c r="E186" s="669"/>
      <c r="F186" s="669"/>
      <c r="G186" s="669" t="s">
        <v>75</v>
      </c>
      <c r="H186" s="669"/>
      <c r="I186" s="669"/>
      <c r="J186" s="669"/>
      <c r="K186" s="669"/>
      <c r="L186" s="669"/>
      <c r="M186" s="509" t="s">
        <v>77</v>
      </c>
      <c r="N186" s="510">
        <v>46177</v>
      </c>
      <c r="O186" s="493"/>
    </row>
    <row r="187" spans="2:15" ht="17.25" customHeight="1" x14ac:dyDescent="0.25">
      <c r="B187" s="669"/>
      <c r="C187" s="669">
        <v>26010681</v>
      </c>
      <c r="D187" s="669"/>
      <c r="E187" s="673"/>
      <c r="F187" s="673"/>
      <c r="G187" s="669" t="s">
        <v>75</v>
      </c>
      <c r="H187" s="669"/>
      <c r="I187" s="669"/>
      <c r="J187" s="669"/>
      <c r="K187" s="669"/>
      <c r="L187" s="669"/>
      <c r="M187" s="509" t="s">
        <v>77</v>
      </c>
      <c r="N187" s="510">
        <v>46177</v>
      </c>
      <c r="O187" s="493"/>
    </row>
    <row r="188" spans="2:15" ht="17.25" customHeight="1" x14ac:dyDescent="0.25">
      <c r="B188" s="669" t="s">
        <v>1002</v>
      </c>
      <c r="C188" s="669">
        <v>26040682</v>
      </c>
      <c r="D188" s="669"/>
      <c r="E188" s="669"/>
      <c r="F188" s="669"/>
      <c r="G188" s="669" t="s">
        <v>260</v>
      </c>
      <c r="H188" s="669"/>
      <c r="I188" s="669"/>
      <c r="J188" s="669"/>
      <c r="K188" s="669" t="s">
        <v>259</v>
      </c>
      <c r="L188" s="669"/>
      <c r="M188" s="509" t="s">
        <v>1011</v>
      </c>
      <c r="N188" s="510">
        <v>46169</v>
      </c>
      <c r="O188" s="493"/>
    </row>
    <row r="189" spans="2:15" ht="17.25" customHeight="1" x14ac:dyDescent="0.25">
      <c r="B189" s="669"/>
      <c r="C189" s="669">
        <v>26040683</v>
      </c>
      <c r="D189" s="669"/>
      <c r="E189" s="669"/>
      <c r="F189" s="669"/>
      <c r="G189" s="669" t="s">
        <v>1004</v>
      </c>
      <c r="H189" s="669"/>
      <c r="I189" s="669"/>
      <c r="J189" s="669"/>
      <c r="K189" s="669"/>
      <c r="L189" s="669"/>
      <c r="M189" s="509" t="s">
        <v>1011</v>
      </c>
      <c r="N189" s="510">
        <v>46170</v>
      </c>
      <c r="O189" s="493"/>
    </row>
    <row r="190" spans="2:15" ht="17.25" customHeight="1" x14ac:dyDescent="0.25">
      <c r="B190" s="508" t="s">
        <v>1003</v>
      </c>
      <c r="C190" s="669">
        <v>26040684</v>
      </c>
      <c r="D190" s="669"/>
      <c r="E190" s="669"/>
      <c r="F190" s="669"/>
      <c r="G190" s="669" t="s">
        <v>1004</v>
      </c>
      <c r="H190" s="669"/>
      <c r="I190" s="669"/>
      <c r="J190" s="669"/>
      <c r="K190" s="669" t="s">
        <v>265</v>
      </c>
      <c r="L190" s="669"/>
      <c r="M190" s="509" t="s">
        <v>1006</v>
      </c>
      <c r="N190" s="510">
        <v>46171</v>
      </c>
      <c r="O190" s="493"/>
    </row>
    <row r="191" spans="2:15" ht="17.25" customHeight="1" x14ac:dyDescent="0.25">
      <c r="B191" s="508" t="s">
        <v>1020</v>
      </c>
      <c r="C191" s="669">
        <v>26010685</v>
      </c>
      <c r="D191" s="669"/>
      <c r="E191" s="669"/>
      <c r="F191" s="669"/>
      <c r="G191" s="669" t="s">
        <v>130</v>
      </c>
      <c r="H191" s="669"/>
      <c r="I191" s="669"/>
      <c r="J191" s="669"/>
      <c r="K191" s="669" t="s">
        <v>131</v>
      </c>
      <c r="L191" s="669"/>
      <c r="M191" s="509" t="s">
        <v>442</v>
      </c>
      <c r="N191" s="510">
        <v>46172</v>
      </c>
      <c r="O191" s="493"/>
    </row>
    <row r="192" spans="2:15" ht="17.25" customHeight="1" x14ac:dyDescent="0.25">
      <c r="B192" s="508" t="s">
        <v>1021</v>
      </c>
      <c r="C192" s="669">
        <v>26010686</v>
      </c>
      <c r="D192" s="669"/>
      <c r="E192" s="669"/>
      <c r="F192" s="669"/>
      <c r="G192" s="669" t="s">
        <v>162</v>
      </c>
      <c r="H192" s="669"/>
      <c r="I192" s="669"/>
      <c r="J192" s="669"/>
      <c r="K192" s="669" t="s">
        <v>163</v>
      </c>
      <c r="L192" s="669"/>
      <c r="M192" s="509" t="s">
        <v>140</v>
      </c>
      <c r="N192" s="510">
        <v>46172</v>
      </c>
      <c r="O192" s="493"/>
    </row>
    <row r="193" spans="14:14" ht="18" customHeight="1" x14ac:dyDescent="0.25">
      <c r="N193" s="117"/>
    </row>
    <row r="194" spans="14:14" ht="18" customHeight="1" x14ac:dyDescent="0.25">
      <c r="N194" s="117"/>
    </row>
    <row r="195" spans="14:14" ht="18" customHeight="1" x14ac:dyDescent="0.25">
      <c r="N195" s="117"/>
    </row>
    <row r="196" spans="14:14" ht="18" customHeight="1" x14ac:dyDescent="0.25">
      <c r="N196" s="117"/>
    </row>
    <row r="197" spans="14:14" ht="18" customHeight="1" x14ac:dyDescent="0.25">
      <c r="N197" s="117"/>
    </row>
    <row r="198" spans="14:14" ht="18" customHeight="1" x14ac:dyDescent="0.25">
      <c r="N198" s="117"/>
    </row>
    <row r="199" spans="14:14" ht="18" customHeight="1" x14ac:dyDescent="0.25">
      <c r="N199" s="117"/>
    </row>
    <row r="200" spans="14:14" ht="18" customHeight="1" x14ac:dyDescent="0.25">
      <c r="N200" s="117"/>
    </row>
    <row r="201" spans="14:14" ht="18" customHeight="1" x14ac:dyDescent="0.25">
      <c r="N201" s="117"/>
    </row>
    <row r="202" spans="14:14" ht="18" customHeight="1" x14ac:dyDescent="0.25">
      <c r="N202" s="117"/>
    </row>
    <row r="203" spans="14:14" ht="18" customHeight="1" x14ac:dyDescent="0.25">
      <c r="N203" s="117"/>
    </row>
    <row r="204" spans="14:14" ht="18" customHeight="1" x14ac:dyDescent="0.25">
      <c r="N204" s="117"/>
    </row>
    <row r="205" spans="14:14" ht="18" customHeight="1" x14ac:dyDescent="0.25">
      <c r="N205" s="117"/>
    </row>
    <row r="206" spans="14:14" ht="18" customHeight="1" x14ac:dyDescent="0.25">
      <c r="N206" s="117"/>
    </row>
    <row r="207" spans="14:14" ht="18" customHeight="1" x14ac:dyDescent="0.25">
      <c r="N207" s="117"/>
    </row>
    <row r="208" spans="14:14" ht="18" customHeight="1" x14ac:dyDescent="0.25">
      <c r="N208" s="117"/>
    </row>
    <row r="209" spans="14:14" ht="18" customHeight="1" x14ac:dyDescent="0.25">
      <c r="N209" s="117"/>
    </row>
    <row r="210" spans="14:14" ht="18" customHeight="1" x14ac:dyDescent="0.25">
      <c r="N210" s="117"/>
    </row>
    <row r="211" spans="14:14" ht="18" customHeight="1" x14ac:dyDescent="0.25">
      <c r="N211" s="117"/>
    </row>
    <row r="212" spans="14:14" ht="18" customHeight="1" x14ac:dyDescent="0.25">
      <c r="N212" s="117"/>
    </row>
    <row r="213" spans="14:14" ht="18" customHeight="1" x14ac:dyDescent="0.25">
      <c r="N213" s="117"/>
    </row>
    <row r="214" spans="14:14" ht="18" customHeight="1" x14ac:dyDescent="0.25">
      <c r="N214" s="117"/>
    </row>
    <row r="215" spans="14:14" ht="18" customHeight="1" x14ac:dyDescent="0.25">
      <c r="N215" s="117"/>
    </row>
    <row r="216" spans="14:14" ht="18" customHeight="1" x14ac:dyDescent="0.25">
      <c r="N216" s="117"/>
    </row>
    <row r="217" spans="14:14" ht="18" customHeight="1" x14ac:dyDescent="0.25">
      <c r="N217" s="117"/>
    </row>
    <row r="218" spans="14:14" ht="18" customHeight="1" x14ac:dyDescent="0.25">
      <c r="N218" s="117"/>
    </row>
    <row r="219" spans="14:14" ht="18" customHeight="1" x14ac:dyDescent="0.25">
      <c r="N219" s="117"/>
    </row>
    <row r="220" spans="14:14" ht="18" customHeight="1" x14ac:dyDescent="0.25">
      <c r="N220" s="117"/>
    </row>
    <row r="221" spans="14:14" ht="18" customHeight="1" x14ac:dyDescent="0.25">
      <c r="N221" s="117"/>
    </row>
    <row r="222" spans="14:14" ht="18" customHeight="1" x14ac:dyDescent="0.25">
      <c r="N222" s="117"/>
    </row>
    <row r="223" spans="14:14" ht="18" customHeight="1" x14ac:dyDescent="0.25">
      <c r="N223" s="117"/>
    </row>
    <row r="224" spans="14:14" ht="18" customHeight="1" x14ac:dyDescent="0.25">
      <c r="N224" s="117"/>
    </row>
    <row r="225" spans="14:14" ht="18" customHeight="1" x14ac:dyDescent="0.25">
      <c r="N225" s="117"/>
    </row>
    <row r="226" spans="14:14" ht="18" customHeight="1" x14ac:dyDescent="0.25">
      <c r="N226" s="117"/>
    </row>
    <row r="227" spans="14:14" ht="18" customHeight="1" x14ac:dyDescent="0.25">
      <c r="N227" s="117"/>
    </row>
    <row r="228" spans="14:14" ht="18" customHeight="1" x14ac:dyDescent="0.25">
      <c r="N228" s="117"/>
    </row>
    <row r="229" spans="14:14" ht="18" customHeight="1" x14ac:dyDescent="0.25">
      <c r="N229" s="117"/>
    </row>
    <row r="230" spans="14:14" ht="18" customHeight="1" x14ac:dyDescent="0.25">
      <c r="N230" s="117"/>
    </row>
    <row r="231" spans="14:14" ht="18" customHeight="1" x14ac:dyDescent="0.25">
      <c r="N231" s="117"/>
    </row>
    <row r="232" spans="14:14" ht="18" customHeight="1" x14ac:dyDescent="0.25">
      <c r="N232" s="117"/>
    </row>
    <row r="233" spans="14:14" ht="18" customHeight="1" x14ac:dyDescent="0.25">
      <c r="N233" s="117"/>
    </row>
    <row r="234" spans="14:14" ht="18" customHeight="1" x14ac:dyDescent="0.25">
      <c r="N234" s="117"/>
    </row>
    <row r="235" spans="14:14" ht="18" customHeight="1" x14ac:dyDescent="0.25">
      <c r="N235" s="117"/>
    </row>
    <row r="236" spans="14:14" ht="18" customHeight="1" x14ac:dyDescent="0.25">
      <c r="N236" s="117"/>
    </row>
    <row r="237" spans="14:14" ht="18" customHeight="1" x14ac:dyDescent="0.25">
      <c r="N237" s="117"/>
    </row>
    <row r="238" spans="14:14" ht="18" customHeight="1" x14ac:dyDescent="0.25">
      <c r="N238" s="117"/>
    </row>
    <row r="239" spans="14:14" ht="18" customHeight="1" x14ac:dyDescent="0.25">
      <c r="N239" s="117"/>
    </row>
    <row r="240" spans="14:14" ht="18" customHeight="1" x14ac:dyDescent="0.25">
      <c r="N240" s="117"/>
    </row>
    <row r="241" spans="14:14" ht="18" customHeight="1" x14ac:dyDescent="0.25">
      <c r="N241" s="117"/>
    </row>
    <row r="242" spans="14:14" ht="18" customHeight="1" x14ac:dyDescent="0.25">
      <c r="N242" s="117"/>
    </row>
    <row r="243" spans="14:14" ht="18" customHeight="1" x14ac:dyDescent="0.25">
      <c r="N243" s="117"/>
    </row>
    <row r="244" spans="14:14" ht="18" customHeight="1" x14ac:dyDescent="0.25">
      <c r="N244" s="117"/>
    </row>
    <row r="245" spans="14:14" ht="18" customHeight="1" x14ac:dyDescent="0.25">
      <c r="N245" s="117"/>
    </row>
    <row r="246" spans="14:14" ht="18" customHeight="1" x14ac:dyDescent="0.25">
      <c r="N246" s="117"/>
    </row>
    <row r="247" spans="14:14" ht="18" customHeight="1" x14ac:dyDescent="0.25">
      <c r="N247" s="117"/>
    </row>
    <row r="248" spans="14:14" ht="18" customHeight="1" x14ac:dyDescent="0.25">
      <c r="N248" s="117"/>
    </row>
    <row r="249" spans="14:14" ht="18" customHeight="1" x14ac:dyDescent="0.25">
      <c r="N249" s="117"/>
    </row>
    <row r="250" spans="14:14" ht="18" customHeight="1" x14ac:dyDescent="0.25">
      <c r="N250" s="117"/>
    </row>
    <row r="251" spans="14:14" ht="18" customHeight="1" x14ac:dyDescent="0.25">
      <c r="N251" s="117"/>
    </row>
    <row r="252" spans="14:14" ht="18" customHeight="1" x14ac:dyDescent="0.25">
      <c r="N252" s="117"/>
    </row>
    <row r="253" spans="14:14" ht="18" customHeight="1" x14ac:dyDescent="0.25">
      <c r="N253" s="117"/>
    </row>
    <row r="254" spans="14:14" ht="18" customHeight="1" x14ac:dyDescent="0.25">
      <c r="N254" s="117"/>
    </row>
    <row r="255" spans="14:14" ht="18" customHeight="1" x14ac:dyDescent="0.25">
      <c r="N255" s="117"/>
    </row>
    <row r="256" spans="14:14" ht="18" customHeight="1" x14ac:dyDescent="0.25">
      <c r="N256" s="117"/>
    </row>
    <row r="257" spans="14:14" ht="18" customHeight="1" x14ac:dyDescent="0.25">
      <c r="N257" s="117"/>
    </row>
    <row r="258" spans="14:14" ht="18" customHeight="1" x14ac:dyDescent="0.25">
      <c r="N258" s="117"/>
    </row>
    <row r="259" spans="14:14" ht="18" customHeight="1" x14ac:dyDescent="0.25">
      <c r="N259" s="117"/>
    </row>
    <row r="260" spans="14:14" ht="18" customHeight="1" x14ac:dyDescent="0.25">
      <c r="N260" s="117"/>
    </row>
    <row r="261" spans="14:14" ht="18" customHeight="1" x14ac:dyDescent="0.25">
      <c r="N261" s="117"/>
    </row>
    <row r="262" spans="14:14" ht="18" customHeight="1" x14ac:dyDescent="0.25">
      <c r="N262" s="117"/>
    </row>
    <row r="263" spans="14:14" ht="18" customHeight="1" x14ac:dyDescent="0.25">
      <c r="N263" s="117"/>
    </row>
    <row r="264" spans="14:14" ht="18" customHeight="1" x14ac:dyDescent="0.25">
      <c r="N264" s="117"/>
    </row>
    <row r="265" spans="14:14" ht="18" customHeight="1" x14ac:dyDescent="0.25">
      <c r="N265" s="117"/>
    </row>
    <row r="266" spans="14:14" ht="18" customHeight="1" x14ac:dyDescent="0.25">
      <c r="N266" s="117"/>
    </row>
    <row r="267" spans="14:14" ht="18" customHeight="1" x14ac:dyDescent="0.25">
      <c r="N267" s="117"/>
    </row>
    <row r="268" spans="14:14" ht="18" customHeight="1" x14ac:dyDescent="0.25">
      <c r="N268" s="117"/>
    </row>
    <row r="269" spans="14:14" ht="18" customHeight="1" x14ac:dyDescent="0.25">
      <c r="N269" s="117"/>
    </row>
    <row r="270" spans="14:14" ht="18" customHeight="1" x14ac:dyDescent="0.25">
      <c r="N270" s="117"/>
    </row>
    <row r="271" spans="14:14" ht="18" customHeight="1" x14ac:dyDescent="0.25">
      <c r="N271" s="117"/>
    </row>
    <row r="272" spans="14:14" ht="18" customHeight="1" x14ac:dyDescent="0.25">
      <c r="N272" s="117"/>
    </row>
    <row r="273" spans="14:14" ht="18" customHeight="1" x14ac:dyDescent="0.25">
      <c r="N273" s="117"/>
    </row>
    <row r="274" spans="14:14" ht="18" customHeight="1" x14ac:dyDescent="0.25">
      <c r="N274" s="117"/>
    </row>
    <row r="275" spans="14:14" ht="18" customHeight="1" x14ac:dyDescent="0.25">
      <c r="N275" s="117"/>
    </row>
    <row r="276" spans="14:14" ht="18" customHeight="1" x14ac:dyDescent="0.25">
      <c r="N276" s="117"/>
    </row>
    <row r="277" spans="14:14" ht="18" customHeight="1" x14ac:dyDescent="0.25">
      <c r="N277" s="117"/>
    </row>
    <row r="278" spans="14:14" ht="18" customHeight="1" x14ac:dyDescent="0.25">
      <c r="N278" s="117"/>
    </row>
    <row r="279" spans="14:14" ht="18" customHeight="1" x14ac:dyDescent="0.25">
      <c r="N279" s="117"/>
    </row>
    <row r="280" spans="14:14" ht="18" customHeight="1" x14ac:dyDescent="0.25">
      <c r="N280" s="117"/>
    </row>
    <row r="281" spans="14:14" ht="18" customHeight="1" x14ac:dyDescent="0.25">
      <c r="N281" s="117"/>
    </row>
    <row r="282" spans="14:14" ht="18" customHeight="1" x14ac:dyDescent="0.25">
      <c r="N282" s="117"/>
    </row>
    <row r="283" spans="14:14" ht="18" customHeight="1" x14ac:dyDescent="0.25">
      <c r="N283" s="117"/>
    </row>
    <row r="284" spans="14:14" ht="18" customHeight="1" x14ac:dyDescent="0.25">
      <c r="N284" s="117"/>
    </row>
    <row r="285" spans="14:14" ht="18" customHeight="1" x14ac:dyDescent="0.25">
      <c r="N285" s="117"/>
    </row>
    <row r="286" spans="14:14" ht="18" customHeight="1" x14ac:dyDescent="0.25">
      <c r="N286" s="117"/>
    </row>
    <row r="287" spans="14:14" ht="18" customHeight="1" x14ac:dyDescent="0.25">
      <c r="N287" s="117"/>
    </row>
    <row r="288" spans="14:14" ht="18" customHeight="1" x14ac:dyDescent="0.25">
      <c r="N288" s="117"/>
    </row>
    <row r="289" spans="14:14" ht="18" customHeight="1" x14ac:dyDescent="0.25">
      <c r="N289" s="117"/>
    </row>
    <row r="290" spans="14:14" ht="18" customHeight="1" x14ac:dyDescent="0.25">
      <c r="N290" s="117"/>
    </row>
    <row r="291" spans="14:14" ht="18" customHeight="1" x14ac:dyDescent="0.25">
      <c r="N291" s="117"/>
    </row>
  </sheetData>
  <mergeCells count="623">
    <mergeCell ref="C192:D192"/>
    <mergeCell ref="E192:F192"/>
    <mergeCell ref="G192:J192"/>
    <mergeCell ref="K192:L192"/>
    <mergeCell ref="C190:D190"/>
    <mergeCell ref="E190:F190"/>
    <mergeCell ref="G190:J190"/>
    <mergeCell ref="K190:L190"/>
    <mergeCell ref="C191:D191"/>
    <mergeCell ref="E191:F191"/>
    <mergeCell ref="G191:J191"/>
    <mergeCell ref="K191:L191"/>
    <mergeCell ref="C188:D188"/>
    <mergeCell ref="E188:F188"/>
    <mergeCell ref="G188:J188"/>
    <mergeCell ref="C189:D189"/>
    <mergeCell ref="E189:F189"/>
    <mergeCell ref="G189:J189"/>
    <mergeCell ref="C186:D186"/>
    <mergeCell ref="E186:F186"/>
    <mergeCell ref="G186:J186"/>
    <mergeCell ref="C187:D187"/>
    <mergeCell ref="E187:F187"/>
    <mergeCell ref="G187:J187"/>
    <mergeCell ref="E166:F166"/>
    <mergeCell ref="G166:J166"/>
    <mergeCell ref="C167:D167"/>
    <mergeCell ref="E178:F178"/>
    <mergeCell ref="G178:J178"/>
    <mergeCell ref="C179:D179"/>
    <mergeCell ref="E179:F179"/>
    <mergeCell ref="C182:D182"/>
    <mergeCell ref="E182:F182"/>
    <mergeCell ref="G182:J182"/>
    <mergeCell ref="C177:D177"/>
    <mergeCell ref="E177:F177"/>
    <mergeCell ref="G177:J177"/>
    <mergeCell ref="C178:D178"/>
    <mergeCell ref="C180:D180"/>
    <mergeCell ref="E180:F180"/>
    <mergeCell ref="G180:J180"/>
    <mergeCell ref="C181:D181"/>
    <mergeCell ref="E181:F181"/>
    <mergeCell ref="G181:J181"/>
    <mergeCell ref="G179:J179"/>
    <mergeCell ref="G185:J185"/>
    <mergeCell ref="G174:J174"/>
    <mergeCell ref="C175:D175"/>
    <mergeCell ref="E175:F175"/>
    <mergeCell ref="G175:J175"/>
    <mergeCell ref="C176:D176"/>
    <mergeCell ref="E176:F176"/>
    <mergeCell ref="G176:J176"/>
    <mergeCell ref="C174:D174"/>
    <mergeCell ref="E174:F174"/>
    <mergeCell ref="B163:B187"/>
    <mergeCell ref="C169:D169"/>
    <mergeCell ref="E169:F169"/>
    <mergeCell ref="G169:J169"/>
    <mergeCell ref="C170:D170"/>
    <mergeCell ref="E170:F170"/>
    <mergeCell ref="G170:J170"/>
    <mergeCell ref="C171:D171"/>
    <mergeCell ref="E171:F171"/>
    <mergeCell ref="G171:J171"/>
    <mergeCell ref="C172:D172"/>
    <mergeCell ref="E172:F172"/>
    <mergeCell ref="G172:J172"/>
    <mergeCell ref="E165:F165"/>
    <mergeCell ref="G165:J165"/>
    <mergeCell ref="C166:D166"/>
    <mergeCell ref="C183:D183"/>
    <mergeCell ref="E183:F183"/>
    <mergeCell ref="G183:J183"/>
    <mergeCell ref="C184:D184"/>
    <mergeCell ref="E184:F184"/>
    <mergeCell ref="G184:J184"/>
    <mergeCell ref="C185:D185"/>
    <mergeCell ref="E185:F185"/>
    <mergeCell ref="K134:L158"/>
    <mergeCell ref="C173:D173"/>
    <mergeCell ref="E173:F173"/>
    <mergeCell ref="G173:J173"/>
    <mergeCell ref="B159:B160"/>
    <mergeCell ref="K159:L160"/>
    <mergeCell ref="C168:D168"/>
    <mergeCell ref="E168:F168"/>
    <mergeCell ref="G168:J168"/>
    <mergeCell ref="C163:D163"/>
    <mergeCell ref="E163:F163"/>
    <mergeCell ref="G163:J163"/>
    <mergeCell ref="C164:D164"/>
    <mergeCell ref="E164:F164"/>
    <mergeCell ref="G164:J164"/>
    <mergeCell ref="C165:D165"/>
    <mergeCell ref="K161:L161"/>
    <mergeCell ref="C162:D162"/>
    <mergeCell ref="E162:F162"/>
    <mergeCell ref="G162:J162"/>
    <mergeCell ref="K162:L162"/>
    <mergeCell ref="E167:F167"/>
    <mergeCell ref="G167:J167"/>
    <mergeCell ref="K163:L187"/>
    <mergeCell ref="C160:D160"/>
    <mergeCell ref="E160:F160"/>
    <mergeCell ref="G160:J160"/>
    <mergeCell ref="C161:D161"/>
    <mergeCell ref="E161:F161"/>
    <mergeCell ref="G161:J161"/>
    <mergeCell ref="C148:D148"/>
    <mergeCell ref="E148:F148"/>
    <mergeCell ref="G148:J148"/>
    <mergeCell ref="C149:D149"/>
    <mergeCell ref="E149:F149"/>
    <mergeCell ref="G149:J149"/>
    <mergeCell ref="C158:D158"/>
    <mergeCell ref="E158:F158"/>
    <mergeCell ref="G158:J158"/>
    <mergeCell ref="C151:D151"/>
    <mergeCell ref="E151:F151"/>
    <mergeCell ref="G151:J151"/>
    <mergeCell ref="C152:D152"/>
    <mergeCell ref="E152:F152"/>
    <mergeCell ref="G152:J152"/>
    <mergeCell ref="C153:D153"/>
    <mergeCell ref="C156:D156"/>
    <mergeCell ref="C159:D159"/>
    <mergeCell ref="B130:B133"/>
    <mergeCell ref="K130:L133"/>
    <mergeCell ref="C157:D157"/>
    <mergeCell ref="E157:F157"/>
    <mergeCell ref="G157:J157"/>
    <mergeCell ref="E153:F153"/>
    <mergeCell ref="G153:J153"/>
    <mergeCell ref="G147:J147"/>
    <mergeCell ref="E150:F150"/>
    <mergeCell ref="G150:J150"/>
    <mergeCell ref="C145:D145"/>
    <mergeCell ref="E145:F145"/>
    <mergeCell ref="G145:J145"/>
    <mergeCell ref="C146:D146"/>
    <mergeCell ref="E146:F146"/>
    <mergeCell ref="G146:J146"/>
    <mergeCell ref="C147:D147"/>
    <mergeCell ref="E147:F147"/>
    <mergeCell ref="C143:D143"/>
    <mergeCell ref="E143:F143"/>
    <mergeCell ref="G143:J143"/>
    <mergeCell ref="C144:D144"/>
    <mergeCell ref="C150:D150"/>
    <mergeCell ref="B134:B158"/>
    <mergeCell ref="E159:F159"/>
    <mergeCell ref="G159:J159"/>
    <mergeCell ref="C154:D154"/>
    <mergeCell ref="E154:F154"/>
    <mergeCell ref="G154:J154"/>
    <mergeCell ref="C155:D155"/>
    <mergeCell ref="E155:F155"/>
    <mergeCell ref="G155:J155"/>
    <mergeCell ref="E156:F156"/>
    <mergeCell ref="G156:J156"/>
    <mergeCell ref="E144:F144"/>
    <mergeCell ref="G144:J144"/>
    <mergeCell ref="C141:D141"/>
    <mergeCell ref="E141:F141"/>
    <mergeCell ref="G141:J141"/>
    <mergeCell ref="C142:D142"/>
    <mergeCell ref="E142:F142"/>
    <mergeCell ref="G142:J142"/>
    <mergeCell ref="C139:D139"/>
    <mergeCell ref="E139:F139"/>
    <mergeCell ref="G139:J139"/>
    <mergeCell ref="C140:D140"/>
    <mergeCell ref="E140:F140"/>
    <mergeCell ref="G140:J140"/>
    <mergeCell ref="C137:D137"/>
    <mergeCell ref="E137:F137"/>
    <mergeCell ref="G137:J137"/>
    <mergeCell ref="C138:D138"/>
    <mergeCell ref="E138:F138"/>
    <mergeCell ref="G138:J138"/>
    <mergeCell ref="C135:D135"/>
    <mergeCell ref="E135:F135"/>
    <mergeCell ref="G135:J135"/>
    <mergeCell ref="C136:D136"/>
    <mergeCell ref="E136:F136"/>
    <mergeCell ref="G136:J136"/>
    <mergeCell ref="C133:D133"/>
    <mergeCell ref="E133:F133"/>
    <mergeCell ref="G133:J133"/>
    <mergeCell ref="C134:D134"/>
    <mergeCell ref="E134:F134"/>
    <mergeCell ref="G134:J134"/>
    <mergeCell ref="C131:D131"/>
    <mergeCell ref="E131:F131"/>
    <mergeCell ref="G131:J131"/>
    <mergeCell ref="C132:D132"/>
    <mergeCell ref="E132:F132"/>
    <mergeCell ref="G132:J132"/>
    <mergeCell ref="C129:D129"/>
    <mergeCell ref="E129:F129"/>
    <mergeCell ref="G129:J129"/>
    <mergeCell ref="K129:L129"/>
    <mergeCell ref="C130:D130"/>
    <mergeCell ref="E130:F130"/>
    <mergeCell ref="G130:J130"/>
    <mergeCell ref="C127:D127"/>
    <mergeCell ref="E127:F127"/>
    <mergeCell ref="G127:J127"/>
    <mergeCell ref="K127:L127"/>
    <mergeCell ref="C128:D128"/>
    <mergeCell ref="E128:F128"/>
    <mergeCell ref="G128:J128"/>
    <mergeCell ref="K128:L128"/>
    <mergeCell ref="C125:D125"/>
    <mergeCell ref="E125:F125"/>
    <mergeCell ref="G125:J125"/>
    <mergeCell ref="K125:L125"/>
    <mergeCell ref="C126:D126"/>
    <mergeCell ref="E126:F126"/>
    <mergeCell ref="G126:J126"/>
    <mergeCell ref="K126:L126"/>
    <mergeCell ref="C123:D123"/>
    <mergeCell ref="E123:F123"/>
    <mergeCell ref="G123:J123"/>
    <mergeCell ref="K123:L123"/>
    <mergeCell ref="C124:D124"/>
    <mergeCell ref="E124:F124"/>
    <mergeCell ref="G124:J124"/>
    <mergeCell ref="K124:L124"/>
    <mergeCell ref="K120:L122"/>
    <mergeCell ref="C121:D121"/>
    <mergeCell ref="E121:F121"/>
    <mergeCell ref="G121:J121"/>
    <mergeCell ref="C122:D122"/>
    <mergeCell ref="E122:F122"/>
    <mergeCell ref="G122:J122"/>
    <mergeCell ref="C118:D118"/>
    <mergeCell ref="E118:F118"/>
    <mergeCell ref="G118:J118"/>
    <mergeCell ref="C119:D119"/>
    <mergeCell ref="E119:F119"/>
    <mergeCell ref="G119:J119"/>
    <mergeCell ref="K95:L119"/>
    <mergeCell ref="E98:F98"/>
    <mergeCell ref="G98:J98"/>
    <mergeCell ref="E103:F103"/>
    <mergeCell ref="G103:J103"/>
    <mergeCell ref="C104:D104"/>
    <mergeCell ref="E104:F104"/>
    <mergeCell ref="G104:J104"/>
    <mergeCell ref="C101:D101"/>
    <mergeCell ref="E101:F101"/>
    <mergeCell ref="G101:J101"/>
    <mergeCell ref="C117:D117"/>
    <mergeCell ref="E117:F117"/>
    <mergeCell ref="G117:J117"/>
    <mergeCell ref="C107:D107"/>
    <mergeCell ref="E107:F107"/>
    <mergeCell ref="G107:J107"/>
    <mergeCell ref="C108:D108"/>
    <mergeCell ref="E108:F108"/>
    <mergeCell ref="G108:J108"/>
    <mergeCell ref="G115:J115"/>
    <mergeCell ref="C110:D110"/>
    <mergeCell ref="E110:F110"/>
    <mergeCell ref="C113:D113"/>
    <mergeCell ref="E113:F113"/>
    <mergeCell ref="G113:J113"/>
    <mergeCell ref="C114:D114"/>
    <mergeCell ref="G95:J95"/>
    <mergeCell ref="C116:D116"/>
    <mergeCell ref="E116:F116"/>
    <mergeCell ref="G116:J116"/>
    <mergeCell ref="C105:D105"/>
    <mergeCell ref="E105:F105"/>
    <mergeCell ref="G105:J105"/>
    <mergeCell ref="C106:D106"/>
    <mergeCell ref="E106:F106"/>
    <mergeCell ref="G106:J106"/>
    <mergeCell ref="C103:D103"/>
    <mergeCell ref="C102:D102"/>
    <mergeCell ref="E102:F102"/>
    <mergeCell ref="G102:J102"/>
    <mergeCell ref="C100:D100"/>
    <mergeCell ref="E100:F100"/>
    <mergeCell ref="G100:J100"/>
    <mergeCell ref="C96:D96"/>
    <mergeCell ref="E96:F96"/>
    <mergeCell ref="G96:J96"/>
    <mergeCell ref="C97:D97"/>
    <mergeCell ref="E97:F97"/>
    <mergeCell ref="G97:J97"/>
    <mergeCell ref="C98:D98"/>
    <mergeCell ref="B120:B122"/>
    <mergeCell ref="C120:D120"/>
    <mergeCell ref="E120:F120"/>
    <mergeCell ref="G120:J120"/>
    <mergeCell ref="B95:B119"/>
    <mergeCell ref="C95:D95"/>
    <mergeCell ref="E95:F95"/>
    <mergeCell ref="G110:J110"/>
    <mergeCell ref="C111:D111"/>
    <mergeCell ref="E111:F111"/>
    <mergeCell ref="G111:J111"/>
    <mergeCell ref="C112:D112"/>
    <mergeCell ref="E112:F112"/>
    <mergeCell ref="G112:J112"/>
    <mergeCell ref="C109:D109"/>
    <mergeCell ref="E109:F109"/>
    <mergeCell ref="G109:J109"/>
    <mergeCell ref="E114:F114"/>
    <mergeCell ref="G114:J114"/>
    <mergeCell ref="C115:D115"/>
    <mergeCell ref="E115:F115"/>
    <mergeCell ref="C99:D99"/>
    <mergeCell ref="E99:F99"/>
    <mergeCell ref="G99:J99"/>
    <mergeCell ref="C93:D93"/>
    <mergeCell ref="E93:F93"/>
    <mergeCell ref="G93:J93"/>
    <mergeCell ref="K93:L93"/>
    <mergeCell ref="C94:D94"/>
    <mergeCell ref="E94:F94"/>
    <mergeCell ref="G94:J94"/>
    <mergeCell ref="K94:L94"/>
    <mergeCell ref="C91:D91"/>
    <mergeCell ref="E91:F91"/>
    <mergeCell ref="G91:J91"/>
    <mergeCell ref="C92:D92"/>
    <mergeCell ref="E92:F92"/>
    <mergeCell ref="G92:J92"/>
    <mergeCell ref="C89:D89"/>
    <mergeCell ref="E89:F89"/>
    <mergeCell ref="G89:J89"/>
    <mergeCell ref="C90:D90"/>
    <mergeCell ref="E90:F90"/>
    <mergeCell ref="G90:J90"/>
    <mergeCell ref="C87:D87"/>
    <mergeCell ref="E87:F87"/>
    <mergeCell ref="G87:J87"/>
    <mergeCell ref="C88:D88"/>
    <mergeCell ref="E88:F88"/>
    <mergeCell ref="G88:J88"/>
    <mergeCell ref="C85:D85"/>
    <mergeCell ref="E85:F85"/>
    <mergeCell ref="G85:J85"/>
    <mergeCell ref="C86:D86"/>
    <mergeCell ref="E86:F86"/>
    <mergeCell ref="G86:J86"/>
    <mergeCell ref="C83:D83"/>
    <mergeCell ref="E83:F83"/>
    <mergeCell ref="G83:J83"/>
    <mergeCell ref="C84:D84"/>
    <mergeCell ref="E84:F84"/>
    <mergeCell ref="G84:J84"/>
    <mergeCell ref="C81:D81"/>
    <mergeCell ref="E81:F81"/>
    <mergeCell ref="G81:J81"/>
    <mergeCell ref="C82:D82"/>
    <mergeCell ref="E82:F82"/>
    <mergeCell ref="G82:J82"/>
    <mergeCell ref="C79:D79"/>
    <mergeCell ref="E79:F79"/>
    <mergeCell ref="G79:J79"/>
    <mergeCell ref="C80:D80"/>
    <mergeCell ref="E80:F80"/>
    <mergeCell ref="G80:J80"/>
    <mergeCell ref="E77:F77"/>
    <mergeCell ref="G77:J77"/>
    <mergeCell ref="C78:D78"/>
    <mergeCell ref="E78:F78"/>
    <mergeCell ref="G78:J78"/>
    <mergeCell ref="C75:D75"/>
    <mergeCell ref="E75:F75"/>
    <mergeCell ref="G75:J75"/>
    <mergeCell ref="C76:D76"/>
    <mergeCell ref="E76:F76"/>
    <mergeCell ref="G76:J76"/>
    <mergeCell ref="B68:B92"/>
    <mergeCell ref="C68:D68"/>
    <mergeCell ref="E68:F68"/>
    <mergeCell ref="G68:J68"/>
    <mergeCell ref="K68:L92"/>
    <mergeCell ref="C69:D69"/>
    <mergeCell ref="E69:F69"/>
    <mergeCell ref="G69:J69"/>
    <mergeCell ref="C70:D70"/>
    <mergeCell ref="E70:F70"/>
    <mergeCell ref="C73:D73"/>
    <mergeCell ref="E73:F73"/>
    <mergeCell ref="G73:J73"/>
    <mergeCell ref="C74:D74"/>
    <mergeCell ref="E74:F74"/>
    <mergeCell ref="G74:J74"/>
    <mergeCell ref="G70:J70"/>
    <mergeCell ref="C71:D71"/>
    <mergeCell ref="E71:F71"/>
    <mergeCell ref="G71:J71"/>
    <mergeCell ref="C72:D72"/>
    <mergeCell ref="E72:F72"/>
    <mergeCell ref="G72:J72"/>
    <mergeCell ref="C77:D77"/>
    <mergeCell ref="C66:D66"/>
    <mergeCell ref="E66:F66"/>
    <mergeCell ref="G66:J66"/>
    <mergeCell ref="K66:L66"/>
    <mergeCell ref="C67:D67"/>
    <mergeCell ref="E67:F67"/>
    <mergeCell ref="G67:J67"/>
    <mergeCell ref="K67:L67"/>
    <mergeCell ref="C64:D64"/>
    <mergeCell ref="E64:F64"/>
    <mergeCell ref="G64:J64"/>
    <mergeCell ref="K64:L64"/>
    <mergeCell ref="C65:D65"/>
    <mergeCell ref="E65:F65"/>
    <mergeCell ref="G65:J65"/>
    <mergeCell ref="K65:L65"/>
    <mergeCell ref="K61:L61"/>
    <mergeCell ref="C62:D62"/>
    <mergeCell ref="E62:F62"/>
    <mergeCell ref="G62:J62"/>
    <mergeCell ref="K62:L62"/>
    <mergeCell ref="C63:D63"/>
    <mergeCell ref="E63:F63"/>
    <mergeCell ref="G63:J63"/>
    <mergeCell ref="K63:L63"/>
    <mergeCell ref="C60:D60"/>
    <mergeCell ref="E60:F60"/>
    <mergeCell ref="G60:J60"/>
    <mergeCell ref="C61:D61"/>
    <mergeCell ref="E61:F61"/>
    <mergeCell ref="G61:J61"/>
    <mergeCell ref="C58:D58"/>
    <mergeCell ref="E58:F58"/>
    <mergeCell ref="G58:J58"/>
    <mergeCell ref="C59:D59"/>
    <mergeCell ref="E59:F59"/>
    <mergeCell ref="G59:J59"/>
    <mergeCell ref="E56:F56"/>
    <mergeCell ref="G56:J56"/>
    <mergeCell ref="C57:D57"/>
    <mergeCell ref="E57:F57"/>
    <mergeCell ref="G57:J57"/>
    <mergeCell ref="C54:D54"/>
    <mergeCell ref="E54:F54"/>
    <mergeCell ref="G54:J54"/>
    <mergeCell ref="C55:D55"/>
    <mergeCell ref="E55:F55"/>
    <mergeCell ref="G55:J55"/>
    <mergeCell ref="B41:B60"/>
    <mergeCell ref="C41:D41"/>
    <mergeCell ref="E41:F41"/>
    <mergeCell ref="G41:J41"/>
    <mergeCell ref="C48:D48"/>
    <mergeCell ref="E48:F48"/>
    <mergeCell ref="G48:J48"/>
    <mergeCell ref="C49:D49"/>
    <mergeCell ref="E49:F49"/>
    <mergeCell ref="G49:J49"/>
    <mergeCell ref="C46:D46"/>
    <mergeCell ref="E46:F46"/>
    <mergeCell ref="G46:J46"/>
    <mergeCell ref="C47:D47"/>
    <mergeCell ref="E47:F47"/>
    <mergeCell ref="G47:J47"/>
    <mergeCell ref="C52:D52"/>
    <mergeCell ref="E52:F52"/>
    <mergeCell ref="G52:J52"/>
    <mergeCell ref="C53:D53"/>
    <mergeCell ref="E53:F53"/>
    <mergeCell ref="G53:J53"/>
    <mergeCell ref="C50:D50"/>
    <mergeCell ref="E50:F50"/>
    <mergeCell ref="K41:L60"/>
    <mergeCell ref="C42:D42"/>
    <mergeCell ref="E42:F42"/>
    <mergeCell ref="G42:J42"/>
    <mergeCell ref="C43:D43"/>
    <mergeCell ref="E43:F43"/>
    <mergeCell ref="C39:D39"/>
    <mergeCell ref="E39:F39"/>
    <mergeCell ref="G39:J39"/>
    <mergeCell ref="C40:D40"/>
    <mergeCell ref="E40:F40"/>
    <mergeCell ref="G40:J40"/>
    <mergeCell ref="G43:J43"/>
    <mergeCell ref="C44:D44"/>
    <mergeCell ref="E44:F44"/>
    <mergeCell ref="G44:J44"/>
    <mergeCell ref="C45:D45"/>
    <mergeCell ref="E45:F45"/>
    <mergeCell ref="G45:J45"/>
    <mergeCell ref="G50:J50"/>
    <mergeCell ref="C51:D51"/>
    <mergeCell ref="E51:F51"/>
    <mergeCell ref="G51:J51"/>
    <mergeCell ref="C56:D56"/>
    <mergeCell ref="C37:D37"/>
    <mergeCell ref="E37:F37"/>
    <mergeCell ref="G37:J37"/>
    <mergeCell ref="C38:D38"/>
    <mergeCell ref="E38:F38"/>
    <mergeCell ref="G38:J38"/>
    <mergeCell ref="C35:D35"/>
    <mergeCell ref="E35:F35"/>
    <mergeCell ref="G35:J35"/>
    <mergeCell ref="C36:D36"/>
    <mergeCell ref="E36:F36"/>
    <mergeCell ref="G36:J36"/>
    <mergeCell ref="C33:D33"/>
    <mergeCell ref="E33:F33"/>
    <mergeCell ref="G33:J33"/>
    <mergeCell ref="C34:D34"/>
    <mergeCell ref="E34:F34"/>
    <mergeCell ref="G34:J34"/>
    <mergeCell ref="C31:D31"/>
    <mergeCell ref="E31:F31"/>
    <mergeCell ref="G31:J31"/>
    <mergeCell ref="C32:D32"/>
    <mergeCell ref="E32:F32"/>
    <mergeCell ref="G32:J32"/>
    <mergeCell ref="C29:D29"/>
    <mergeCell ref="E29:F29"/>
    <mergeCell ref="G29:J29"/>
    <mergeCell ref="C30:D30"/>
    <mergeCell ref="E30:F30"/>
    <mergeCell ref="G30:J30"/>
    <mergeCell ref="C27:D27"/>
    <mergeCell ref="E27:F27"/>
    <mergeCell ref="G27:J27"/>
    <mergeCell ref="C28:D28"/>
    <mergeCell ref="E28:F28"/>
    <mergeCell ref="G28:J28"/>
    <mergeCell ref="C20:D20"/>
    <mergeCell ref="E20:F20"/>
    <mergeCell ref="G20:J20"/>
    <mergeCell ref="K20:L20"/>
    <mergeCell ref="B21:B40"/>
    <mergeCell ref="C21:D21"/>
    <mergeCell ref="E21:F21"/>
    <mergeCell ref="G21:J21"/>
    <mergeCell ref="K21:L40"/>
    <mergeCell ref="C22:D22"/>
    <mergeCell ref="C25:D25"/>
    <mergeCell ref="E25:F25"/>
    <mergeCell ref="G25:J25"/>
    <mergeCell ref="C26:D26"/>
    <mergeCell ref="E26:F26"/>
    <mergeCell ref="G26:J26"/>
    <mergeCell ref="E22:F22"/>
    <mergeCell ref="G22:J22"/>
    <mergeCell ref="C23:D23"/>
    <mergeCell ref="E23:F23"/>
    <mergeCell ref="G23:J23"/>
    <mergeCell ref="C24:D24"/>
    <mergeCell ref="E24:F24"/>
    <mergeCell ref="G24:J24"/>
    <mergeCell ref="C18:D18"/>
    <mergeCell ref="E18:F18"/>
    <mergeCell ref="G18:J18"/>
    <mergeCell ref="K18:L18"/>
    <mergeCell ref="C19:D19"/>
    <mergeCell ref="E19:F19"/>
    <mergeCell ref="G19:J19"/>
    <mergeCell ref="K19:L19"/>
    <mergeCell ref="E15:F15"/>
    <mergeCell ref="G15:J15"/>
    <mergeCell ref="C16:D16"/>
    <mergeCell ref="E16:F16"/>
    <mergeCell ref="G16:J16"/>
    <mergeCell ref="C17:D17"/>
    <mergeCell ref="E17:F17"/>
    <mergeCell ref="G17:J17"/>
    <mergeCell ref="B13:B17"/>
    <mergeCell ref="C13:D13"/>
    <mergeCell ref="E13:F13"/>
    <mergeCell ref="G13:J13"/>
    <mergeCell ref="K13:L17"/>
    <mergeCell ref="C14:D14"/>
    <mergeCell ref="E14:F14"/>
    <mergeCell ref="G14:J14"/>
    <mergeCell ref="C15:D15"/>
    <mergeCell ref="G5:J5"/>
    <mergeCell ref="K5:L5"/>
    <mergeCell ref="C11:D11"/>
    <mergeCell ref="E11:F11"/>
    <mergeCell ref="G11:J11"/>
    <mergeCell ref="C12:D12"/>
    <mergeCell ref="E12:F12"/>
    <mergeCell ref="G12:J12"/>
    <mergeCell ref="C9:D9"/>
    <mergeCell ref="E9:F9"/>
    <mergeCell ref="G9:J9"/>
    <mergeCell ref="C10:D10"/>
    <mergeCell ref="E10:F10"/>
    <mergeCell ref="G10:J10"/>
    <mergeCell ref="K12:L12"/>
    <mergeCell ref="B6:B11"/>
    <mergeCell ref="C6:D6"/>
    <mergeCell ref="E6:F6"/>
    <mergeCell ref="G6:J6"/>
    <mergeCell ref="K6:L11"/>
    <mergeCell ref="B188:B189"/>
    <mergeCell ref="K188:L189"/>
    <mergeCell ref="B1:N2"/>
    <mergeCell ref="C3:D3"/>
    <mergeCell ref="E3:F3"/>
    <mergeCell ref="G3:J3"/>
    <mergeCell ref="K3:L3"/>
    <mergeCell ref="C4:D4"/>
    <mergeCell ref="E4:F4"/>
    <mergeCell ref="G4:J4"/>
    <mergeCell ref="C7:D7"/>
    <mergeCell ref="E7:F7"/>
    <mergeCell ref="G7:J7"/>
    <mergeCell ref="C8:D8"/>
    <mergeCell ref="E8:F8"/>
    <mergeCell ref="G8:J8"/>
    <mergeCell ref="K4:L4"/>
    <mergeCell ref="C5:D5"/>
    <mergeCell ref="E5:F5"/>
  </mergeCells>
  <conditionalFormatting sqref="B4">
    <cfRule type="expression" dxfId="256" priority="3">
      <formula>AND(COUNTA($C$4:$C$4)+COUNTA($E$4:$E$4)&gt;0,COUNTIFS($N$4:$N$4,"",$C$4:$C$4,"&lt;&gt;")+COUNTIFS($N$4:$N$4,"",$E$4:$E$4,"&lt;&gt;")=0)</formula>
    </cfRule>
  </conditionalFormatting>
  <conditionalFormatting sqref="B5">
    <cfRule type="expression" dxfId="255" priority="4">
      <formula>AND(COUNTA($C$5:$C$5)+COUNTA($E$5:$E$5)&gt;0,COUNTIFS($N$5:$N$5,"",$C$5:$C$5,"&lt;&gt;")+COUNTIFS($N$5:$N$5,"",$E$5:$E$5,"&lt;&gt;")=0)</formula>
    </cfRule>
  </conditionalFormatting>
  <conditionalFormatting sqref="B6">
    <cfRule type="expression" dxfId="254" priority="5">
      <formula>AND(COUNTA($C$6:$C$11)+COUNTA($E$6:$E$11)&gt;0,COUNTIFS($N$6:$N$11,"",$C$6:$C$11,"&lt;&gt;")+COUNTIFS($N$6:$N$11,"",$E$6:$E$11,"&lt;&gt;")=0)</formula>
    </cfRule>
  </conditionalFormatting>
  <conditionalFormatting sqref="B12">
    <cfRule type="expression" dxfId="253" priority="6">
      <formula>AND(COUNTA($C$12:$C$12)+COUNTA($E$12:$E$12)&gt;0,COUNTIFS($N$12:$N$12,"",$C$12:$C$12,"&lt;&gt;")+COUNTIFS($N$12:$N$12,"",$E$12:$E$12,"&lt;&gt;")=0)</formula>
    </cfRule>
  </conditionalFormatting>
  <conditionalFormatting sqref="B13">
    <cfRule type="expression" dxfId="252" priority="7">
      <formula>AND(COUNTA($C$13:$C$17)+COUNTA($E$13:$E$17)&gt;0,COUNTIFS($N$13:$N$17,"",$C$13:$C$17,"&lt;&gt;")+COUNTIFS($N$13:$N$17,"",$E$13:$E$17,"&lt;&gt;")=0)</formula>
    </cfRule>
  </conditionalFormatting>
  <conditionalFormatting sqref="B18">
    <cfRule type="expression" dxfId="251" priority="8">
      <formula>AND(COUNTA($C$18:$C$18)+COUNTA($E$18:$E$18)&gt;0,COUNTIFS($N$18:$N$18,"",$C$18:$C$18,"&lt;&gt;")+COUNTIFS($N$18:$N$18,"",$E$18:$E$18,"&lt;&gt;")=0)</formula>
    </cfRule>
  </conditionalFormatting>
  <conditionalFormatting sqref="B19">
    <cfRule type="expression" dxfId="250" priority="9">
      <formula>AND(COUNTA($C$19:$C$19)+COUNTA($E$19:$E$19)&gt;0,COUNTIFS($N$19:$N$19,"",$C$19:$C$19,"&lt;&gt;")+COUNTIFS($N$19:$N$19,"",$E$19:$E$19,"&lt;&gt;")=0)</formula>
    </cfRule>
  </conditionalFormatting>
  <conditionalFormatting sqref="B20">
    <cfRule type="expression" dxfId="249" priority="10">
      <formula>AND(COUNTA($C$20:$C$20)+COUNTA($E$20:$E$20)&gt;0,COUNTIFS($N$20:$N$20,"",$C$20:$C$20,"&lt;&gt;")+COUNTIFS($N$20:$N$20,"",$E$20:$E$20,"&lt;&gt;")=0)</formula>
    </cfRule>
  </conditionalFormatting>
  <conditionalFormatting sqref="B21">
    <cfRule type="expression" dxfId="248" priority="11">
      <formula>AND(COUNTA($C$21:$C$40)+COUNTA($E$21:$E$40)&gt;0,COUNTIFS($N$21:$N$40,"",$C$21:$C$40,"&lt;&gt;")+COUNTIFS($N$21:$N$40,"",$E$21:$E$40,"&lt;&gt;")=0)</formula>
    </cfRule>
  </conditionalFormatting>
  <conditionalFormatting sqref="B41">
    <cfRule type="expression" dxfId="247" priority="12">
      <formula>AND(COUNTA($C$41:$C$60)+COUNTA($E$41:$E$60)&gt;0,COUNTIFS($N$41:$N$60,"",$C$41:$C$60,"&lt;&gt;")+COUNTIFS($N$41:$N$60,"",$E$41:$E$60,"&lt;&gt;")=0)</formula>
    </cfRule>
  </conditionalFormatting>
  <conditionalFormatting sqref="B61">
    <cfRule type="expression" dxfId="246" priority="13">
      <formula>AND(COUNTA($C$61:$C$61)+COUNTA($E$61:$E$61)&gt;0,COUNTIFS($N$61:$N$61,"",$C$61:$C$61,"&lt;&gt;")+COUNTIFS($N$61:$N$61,"",$E$61:$E$61,"&lt;&gt;")=0)</formula>
    </cfRule>
  </conditionalFormatting>
  <conditionalFormatting sqref="B62">
    <cfRule type="expression" dxfId="245" priority="14">
      <formula>AND(COUNTA($C$62:$C$62)+COUNTA($E$62:$E$62)&gt;0,COUNTIFS($N$62:$N$62,"",$C$62:$C$62,"&lt;&gt;")+COUNTIFS($N$62:$N$62,"",$E$62:$E$62,"&lt;&gt;")=0)</formula>
    </cfRule>
  </conditionalFormatting>
  <conditionalFormatting sqref="B63">
    <cfRule type="expression" dxfId="244" priority="15">
      <formula>AND(COUNTA($C$63:$C$63)+COUNTA($E$63:$E$63)&gt;0,COUNTIFS($N$63:$N$63,"",$C$63:$C$63,"&lt;&gt;")+COUNTIFS($N$63:$N$63,"",$E$63:$E$63,"&lt;&gt;")=0)</formula>
    </cfRule>
  </conditionalFormatting>
  <conditionalFormatting sqref="B64">
    <cfRule type="expression" dxfId="243" priority="16">
      <formula>AND(COUNTA($C$64:$C$64)+COUNTA($E$64:$E$64)&gt;0,COUNTIFS($N$64:$N$64,"",$C$64:$C$64,"&lt;&gt;")+COUNTIFS($N$64:$N$64,"",$E$64:$E$64,"&lt;&gt;")=0)</formula>
    </cfRule>
  </conditionalFormatting>
  <conditionalFormatting sqref="B65">
    <cfRule type="expression" dxfId="242" priority="17">
      <formula>AND(COUNTA($C$65:$C$65)+COUNTA($E$65:$E$65)&gt;0,COUNTIFS($N$65:$N$65,"",$C$65:$C$65,"&lt;&gt;")+COUNTIFS($N$65:$N$65,"",$E$65:$E$65,"&lt;&gt;")=0)</formula>
    </cfRule>
  </conditionalFormatting>
  <conditionalFormatting sqref="B66">
    <cfRule type="expression" dxfId="241" priority="18">
      <formula>AND(COUNTA($C$66:$C$66)+COUNTA($E$66:$E$66)&gt;0,COUNTIFS($N$66:$N$66,"",$C$66:$C$66,"&lt;&gt;")+COUNTIFS($N$66:$N$66,"",$E$66:$E$66,"&lt;&gt;")=0)</formula>
    </cfRule>
  </conditionalFormatting>
  <conditionalFormatting sqref="B67">
    <cfRule type="expression" dxfId="240" priority="19">
      <formula>AND(COUNTA($C$67:$C$67)+COUNTA($E$67:$E$67)&gt;0,COUNTIFS($N$67:$N$67,"",$C$67:$C$67,"&lt;&gt;")+COUNTIFS($N$67:$N$67,"",$E$67:$E$67,"&lt;&gt;")=0)</formula>
    </cfRule>
  </conditionalFormatting>
  <conditionalFormatting sqref="B68">
    <cfRule type="expression" dxfId="239" priority="20">
      <formula>AND(COUNTA($C$68:$C$92)+COUNTA($E$68:$E$92)&gt;0,COUNTIFS($N$68:$N$92,"",$C$68:$C$92,"&lt;&gt;")+COUNTIFS($N$68:$N$92,"",$E$68:$E$92,"&lt;&gt;")=0)</formula>
    </cfRule>
  </conditionalFormatting>
  <conditionalFormatting sqref="B93">
    <cfRule type="expression" dxfId="238" priority="21">
      <formula>AND(COUNTA($C$93:$C$93)+COUNTA($E$93:$E$93)&gt;0,COUNTIFS($N$93:$N$93,"",$C$93:$C$93,"&lt;&gt;")+COUNTIFS($N$93:$N$93,"",$E$93:$E$93,"&lt;&gt;")=0)</formula>
    </cfRule>
  </conditionalFormatting>
  <conditionalFormatting sqref="B94">
    <cfRule type="expression" dxfId="237" priority="22">
      <formula>AND(COUNTA($C$94:$C$94)+COUNTA($E$94:$E$94)&gt;0,COUNTIFS($N$94:$N$94,"",$C$94:$C$94,"&lt;&gt;")+COUNTIFS($N$94:$N$94,"",$E$94:$E$94,"&lt;&gt;")=0)</formula>
    </cfRule>
  </conditionalFormatting>
  <conditionalFormatting sqref="B95">
    <cfRule type="expression" dxfId="236" priority="23">
      <formula>AND(COUNTA($C$95:$C$119)+COUNTA($E$95:$E$119)&gt;0,COUNTIFS($N$95:$N$119,"",$C$95:$C$119,"&lt;&gt;")+COUNTIFS($N$95:$N$119,"",$E$95:$E$119,"&lt;&gt;")=0)</formula>
    </cfRule>
  </conditionalFormatting>
  <conditionalFormatting sqref="B120">
    <cfRule type="expression" dxfId="235" priority="24">
      <formula>AND(COUNTA($C$120:$C$122)+COUNTA($E$120:$E$122)&gt;0,COUNTIFS($N$120:$N$122,"",$C$120:$C$122,"&lt;&gt;")+COUNTIFS($N$120:$N$122,"",$E$120:$E$122,"&lt;&gt;")=0)</formula>
    </cfRule>
  </conditionalFormatting>
  <conditionalFormatting sqref="B123">
    <cfRule type="expression" dxfId="234" priority="25">
      <formula>AND(COUNTA($C$123:$C$123)+COUNTA($E$123:$E$123)&gt;0,COUNTIFS($N$123:$N$123,"",$C$123:$C$123,"&lt;&gt;")+COUNTIFS($N$123:$N$123,"",$E$123:$E$123,"&lt;&gt;")=0)</formula>
    </cfRule>
  </conditionalFormatting>
  <conditionalFormatting sqref="B124">
    <cfRule type="expression" dxfId="233" priority="26">
      <formula>AND(COUNTA($C$124:$C$124)+COUNTA($E$124:$E$124)&gt;0,COUNTIFS($N$124:$N$124,"",$C$124:$C$124,"&lt;&gt;")+COUNTIFS($N$124:$N$124,"",$E$124:$E$124,"&lt;&gt;")=0)</formula>
    </cfRule>
  </conditionalFormatting>
  <conditionalFormatting sqref="B125">
    <cfRule type="expression" dxfId="232" priority="27">
      <formula>AND(COUNTA($C$125:$C$125)+COUNTA($E$125:$E$125)&gt;0,COUNTIFS($N$125:$N$125,"",$C$125:$C$125,"&lt;&gt;")+COUNTIFS($N$125:$N$125,"",$E$125:$E$125,"&lt;&gt;")=0)</formula>
    </cfRule>
  </conditionalFormatting>
  <conditionalFormatting sqref="B126">
    <cfRule type="expression" dxfId="231" priority="28">
      <formula>AND(COUNTA($C$126:$C$126)+COUNTA($E$126:$E$126)&gt;0,COUNTIFS($N$126:$N$126,"",$C$126:$C$126,"&lt;&gt;")+COUNTIFS($N$126:$N$126,"",$E$126:$E$126,"&lt;&gt;")=0)</formula>
    </cfRule>
  </conditionalFormatting>
  <conditionalFormatting sqref="B127">
    <cfRule type="expression" dxfId="230" priority="29">
      <formula>AND(COUNTA($C$127:$C$127)+COUNTA($E$127:$E$127)&gt;0,COUNTIFS($N$127:$N$127,"",$C$127:$C$127,"&lt;&gt;")+COUNTIFS($N$127:$N$127,"",$E$127:$E$127,"&lt;&gt;")=0)</formula>
    </cfRule>
  </conditionalFormatting>
  <conditionalFormatting sqref="B128">
    <cfRule type="expression" dxfId="229" priority="30">
      <formula>AND(COUNTA($C$128:$C$128)+COUNTA($E$128:$E$128)&gt;0,COUNTIFS($N$128:$N$128,"",$C$128:$C$128,"&lt;&gt;")+COUNTIFS($N$128:$N$128,"",$E$128:$E$128,"&lt;&gt;")=0)</formula>
    </cfRule>
  </conditionalFormatting>
  <conditionalFormatting sqref="B129">
    <cfRule type="expression" dxfId="228" priority="31">
      <formula>AND(COUNTA($C$129:$C$129)+COUNTA($E$129:$E$129)&gt;0,COUNTIFS($N$129:$N$129,"",$C$129:$C$129,"&lt;&gt;")+COUNTIFS($N$129:$N$129,"",$E$129:$E$129,"&lt;&gt;")=0)</formula>
    </cfRule>
  </conditionalFormatting>
  <conditionalFormatting sqref="B130">
    <cfRule type="expression" dxfId="227" priority="32">
      <formula>AND(COUNTA($C$130:$C$133)+COUNTA($E$130:$E$133)&gt;0,COUNTIFS($N$130:$N$133,"",$C$130:$C$133,"&lt;&gt;")+COUNTIFS($N$130:$N$133,"",$E$130:$E$133,"&lt;&gt;")=0)</formula>
    </cfRule>
  </conditionalFormatting>
  <conditionalFormatting sqref="B134">
    <cfRule type="expression" dxfId="226" priority="33">
      <formula>AND(COUNTA($C$134:$C$158)+COUNTA($E$134:$E$158)&gt;0,COUNTIFS($N$134:$N$158,"",$C$134:$C$158,"&lt;&gt;")+COUNTIFS($N$134:$N$158,"",$E$134:$E$158,"&lt;&gt;")=0)</formula>
    </cfRule>
  </conditionalFormatting>
  <conditionalFormatting sqref="B159">
    <cfRule type="expression" dxfId="225" priority="34">
      <formula>AND(COUNTA($C$159:$C$160)+COUNTA($E$159:$E$160)&gt;0,COUNTIFS($N$159:$N$160,"",$C$159:$C$160,"&lt;&gt;")+COUNTIFS($N$159:$N$160,"",$E$159:$E$160,"&lt;&gt;")=0)</formula>
    </cfRule>
  </conditionalFormatting>
  <conditionalFormatting sqref="B161">
    <cfRule type="expression" dxfId="224" priority="35">
      <formula>AND(COUNTA($C$161:$C$161)+COUNTA($E$161:$E$161)&gt;0,COUNTIFS($N$161:$N$161,"",$C$161:$C$161,"&lt;&gt;")+COUNTIFS($N$161:$N$161,"",$E$161:$E$161,"&lt;&gt;")=0)</formula>
    </cfRule>
  </conditionalFormatting>
  <conditionalFormatting sqref="B162">
    <cfRule type="expression" dxfId="223" priority="36">
      <formula>AND(COUNTA($C$162:$C$162)+COUNTA($E$162:$E$162)&gt;0,COUNTIFS($N$162:$N$162,"",$C$162:$C$162,"&lt;&gt;")+COUNTIFS($N$162:$N$162,"",$E$162:$E$162,"&lt;&gt;")=0)</formula>
    </cfRule>
  </conditionalFormatting>
  <conditionalFormatting sqref="B163">
    <cfRule type="expression" dxfId="222" priority="37">
      <formula>AND(COUNTA($C$163:$C$187)+COUNTA($E$163:$E$187)&gt;0,COUNTIFS($N$163:$N$187,"",$C$163:$C$187,"&lt;&gt;")+COUNTIFS($N$163:$N$187,"",$E$163:$E$187,"&lt;&gt;")=0)</formula>
    </cfRule>
  </conditionalFormatting>
  <conditionalFormatting sqref="B188">
    <cfRule type="expression" dxfId="221" priority="38">
      <formula>AND(COUNTA($C$188:$C$189)+COUNTA($E$188:$E$189)&gt;0,COUNTIFS($N$188:$N$189,"",$C$188:$C$189,"&lt;&gt;")+COUNTIFS($N$188:$N$189,"",$E$188:$E$189,"&lt;&gt;")=0)</formula>
    </cfRule>
  </conditionalFormatting>
  <conditionalFormatting sqref="B190">
    <cfRule type="expression" dxfId="220" priority="39">
      <formula>AND(COUNTA($C$190:$C$190)+COUNTA($E$190:$E$190)&gt;0,COUNTIFS($N$190:$N$190,"",$C$190:$C$190,"&lt;&gt;")+COUNTIFS($N$190:$N$190,"",$E$190:$E$190,"&lt;&gt;")=0)</formula>
    </cfRule>
  </conditionalFormatting>
  <conditionalFormatting sqref="B191">
    <cfRule type="expression" dxfId="219" priority="40">
      <formula>AND(COUNTA($C$191:$C$191)+COUNTA($E$191:$E$191)&gt;0,COUNTIFS($N$191:$N$191,"",$C$191:$C$191,"&lt;&gt;")+COUNTIFS($N$191:$N$191,"",$E$191:$E$191,"&lt;&gt;")=0)</formula>
    </cfRule>
  </conditionalFormatting>
  <conditionalFormatting sqref="B192">
    <cfRule type="expression" dxfId="218" priority="41">
      <formula>AND(COUNTA($C$192:$C$192)+COUNTA($E$192:$E$192)&gt;0,COUNTIFS($N$192:$N$192,"",$C$192:$C$192,"&lt;&gt;")+COUNTIFS($N$192:$N$192,"",$E$192:$E$192,"&lt;&gt;")=0)</formula>
    </cfRule>
  </conditionalFormatting>
  <conditionalFormatting sqref="C4:J492 M4:N492">
    <cfRule type="expression" dxfId="217" priority="1">
      <formula>$N4&lt;&gt;""</formula>
    </cfRule>
  </conditionalFormatting>
  <conditionalFormatting sqref="K4">
    <cfRule type="expression" dxfId="216" priority="42">
      <formula>AND(COUNTA($C$4:$C$4)+COUNTA($E$4:$E$4)&gt;0,COUNTIFS($N$4:$N$4,"",$C$4:$C$4,"&lt;&gt;")+COUNTIFS($N$4:$N$4,"",$E$4:$E$4,"&lt;&gt;")=0)</formula>
    </cfRule>
  </conditionalFormatting>
  <conditionalFormatting sqref="K5">
    <cfRule type="expression" dxfId="215" priority="43">
      <formula>AND(COUNTA($C$5:$C$5)+COUNTA($E$5:$E$5)&gt;0,COUNTIFS($N$5:$N$5,"",$C$5:$C$5,"&lt;&gt;")+COUNTIFS($N$5:$N$5,"",$E$5:$E$5,"&lt;&gt;")=0)</formula>
    </cfRule>
  </conditionalFormatting>
  <conditionalFormatting sqref="K6">
    <cfRule type="expression" dxfId="214" priority="44">
      <formula>AND(COUNTA($C$6:$C$11)+COUNTA($E$6:$E$11)&gt;0,COUNTIFS($N$6:$N$11,"",$C$6:$C$11,"&lt;&gt;")+COUNTIFS($N$6:$N$11,"",$E$6:$E$11,"&lt;&gt;")=0)</formula>
    </cfRule>
  </conditionalFormatting>
  <conditionalFormatting sqref="K12">
    <cfRule type="expression" dxfId="213" priority="45">
      <formula>AND(COUNTA($C$12:$C$12)+COUNTA($E$12:$E$12)&gt;0,COUNTIFS($N$12:$N$12,"",$C$12:$C$12,"&lt;&gt;")+COUNTIFS($N$12:$N$12,"",$E$12:$E$12,"&lt;&gt;")=0)</formula>
    </cfRule>
  </conditionalFormatting>
  <conditionalFormatting sqref="K13">
    <cfRule type="expression" dxfId="212" priority="46">
      <formula>AND(COUNTA($C$13:$C$17)+COUNTA($E$13:$E$17)&gt;0,COUNTIFS($N$13:$N$17,"",$C$13:$C$17,"&lt;&gt;")+COUNTIFS($N$13:$N$17,"",$E$13:$E$17,"&lt;&gt;")=0)</formula>
    </cfRule>
  </conditionalFormatting>
  <conditionalFormatting sqref="K18">
    <cfRule type="expression" dxfId="211" priority="47">
      <formula>AND(COUNTA($C$18:$C$18)+COUNTA($E$18:$E$18)&gt;0,COUNTIFS($N$18:$N$18,"",$C$18:$C$18,"&lt;&gt;")+COUNTIFS($N$18:$N$18,"",$E$18:$E$18,"&lt;&gt;")=0)</formula>
    </cfRule>
  </conditionalFormatting>
  <conditionalFormatting sqref="K19">
    <cfRule type="expression" dxfId="210" priority="48">
      <formula>AND(COUNTA($C$19:$C$19)+COUNTA($E$19:$E$19)&gt;0,COUNTIFS($N$19:$N$19,"",$C$19:$C$19,"&lt;&gt;")+COUNTIFS($N$19:$N$19,"",$E$19:$E$19,"&lt;&gt;")=0)</formula>
    </cfRule>
  </conditionalFormatting>
  <conditionalFormatting sqref="K20">
    <cfRule type="expression" dxfId="209" priority="49">
      <formula>AND(COUNTA($C$20:$C$20)+COUNTA($E$20:$E$20)&gt;0,COUNTIFS($N$20:$N$20,"",$C$20:$C$20,"&lt;&gt;")+COUNTIFS($N$20:$N$20,"",$E$20:$E$20,"&lt;&gt;")=0)</formula>
    </cfRule>
  </conditionalFormatting>
  <conditionalFormatting sqref="K21">
    <cfRule type="expression" dxfId="208" priority="50">
      <formula>AND(COUNTA($C$21:$C$40)+COUNTA($E$21:$E$40)&gt;0,COUNTIFS($N$21:$N$40,"",$C$21:$C$40,"&lt;&gt;")+COUNTIFS($N$21:$N$40,"",$E$21:$E$40,"&lt;&gt;")=0)</formula>
    </cfRule>
  </conditionalFormatting>
  <conditionalFormatting sqref="K41">
    <cfRule type="expression" dxfId="207" priority="51">
      <formula>AND(COUNTA($C$41:$C$60)+COUNTA($E$41:$E$60)&gt;0,COUNTIFS($N$41:$N$60,"",$C$41:$C$60,"&lt;&gt;")+COUNTIFS($N$41:$N$60,"",$E$41:$E$60,"&lt;&gt;")=0)</formula>
    </cfRule>
  </conditionalFormatting>
  <conditionalFormatting sqref="K61">
    <cfRule type="expression" dxfId="206" priority="52">
      <formula>AND(COUNTA($C$61:$C$61)+COUNTA($E$61:$E$61)&gt;0,COUNTIFS($N$61:$N$61,"",$C$61:$C$61,"&lt;&gt;")+COUNTIFS($N$61:$N$61,"",$E$61:$E$61,"&lt;&gt;")=0)</formula>
    </cfRule>
  </conditionalFormatting>
  <conditionalFormatting sqref="K62">
    <cfRule type="expression" dxfId="205" priority="53">
      <formula>AND(COUNTA($C$62:$C$62)+COUNTA($E$62:$E$62)&gt;0,COUNTIFS($N$62:$N$62,"",$C$62:$C$62,"&lt;&gt;")+COUNTIFS($N$62:$N$62,"",$E$62:$E$62,"&lt;&gt;")=0)</formula>
    </cfRule>
  </conditionalFormatting>
  <conditionalFormatting sqref="K63">
    <cfRule type="expression" dxfId="204" priority="54">
      <formula>AND(COUNTA($C$63:$C$63)+COUNTA($E$63:$E$63)&gt;0,COUNTIFS($N$63:$N$63,"",$C$63:$C$63,"&lt;&gt;")+COUNTIFS($N$63:$N$63,"",$E$63:$E$63,"&lt;&gt;")=0)</formula>
    </cfRule>
  </conditionalFormatting>
  <conditionalFormatting sqref="K64">
    <cfRule type="expression" dxfId="203" priority="55">
      <formula>AND(COUNTA($C$64:$C$64)+COUNTA($E$64:$E$64)&gt;0,COUNTIFS($N$64:$N$64,"",$C$64:$C$64,"&lt;&gt;")+COUNTIFS($N$64:$N$64,"",$E$64:$E$64,"&lt;&gt;")=0)</formula>
    </cfRule>
  </conditionalFormatting>
  <conditionalFormatting sqref="K65">
    <cfRule type="expression" dxfId="202" priority="56">
      <formula>AND(COUNTA($C$65:$C$65)+COUNTA($E$65:$E$65)&gt;0,COUNTIFS($N$65:$N$65,"",$C$65:$C$65,"&lt;&gt;")+COUNTIFS($N$65:$N$65,"",$E$65:$E$65,"&lt;&gt;")=0)</formula>
    </cfRule>
  </conditionalFormatting>
  <conditionalFormatting sqref="K66">
    <cfRule type="expression" dxfId="201" priority="57">
      <formula>AND(COUNTA($C$66:$C$66)+COUNTA($E$66:$E$66)&gt;0,COUNTIFS($N$66:$N$66,"",$C$66:$C$66,"&lt;&gt;")+COUNTIFS($N$66:$N$66,"",$E$66:$E$66,"&lt;&gt;")=0)</formula>
    </cfRule>
  </conditionalFormatting>
  <conditionalFormatting sqref="K67">
    <cfRule type="expression" dxfId="200" priority="58">
      <formula>AND(COUNTA($C$67:$C$67)+COUNTA($E$67:$E$67)&gt;0,COUNTIFS($N$67:$N$67,"",$C$67:$C$67,"&lt;&gt;")+COUNTIFS($N$67:$N$67,"",$E$67:$E$67,"&lt;&gt;")=0)</formula>
    </cfRule>
  </conditionalFormatting>
  <conditionalFormatting sqref="K68">
    <cfRule type="expression" dxfId="199" priority="59">
      <formula>AND(COUNTA($C$68:$C$92)+COUNTA($E$68:$E$92)&gt;0,COUNTIFS($N$68:$N$92,"",$C$68:$C$92,"&lt;&gt;")+COUNTIFS($N$68:$N$92,"",$E$68:$E$92,"&lt;&gt;")=0)</formula>
    </cfRule>
  </conditionalFormatting>
  <conditionalFormatting sqref="K93">
    <cfRule type="expression" dxfId="198" priority="60">
      <formula>AND(COUNTA($C$93:$C$93)+COUNTA($E$93:$E$93)&gt;0,COUNTIFS($N$93:$N$93,"",$C$93:$C$93,"&lt;&gt;")+COUNTIFS($N$93:$N$93,"",$E$93:$E$93,"&lt;&gt;")=0)</formula>
    </cfRule>
  </conditionalFormatting>
  <conditionalFormatting sqref="K94">
    <cfRule type="expression" dxfId="197" priority="61">
      <formula>AND(COUNTA($C$94:$C$94)+COUNTA($E$94:$E$94)&gt;0,COUNTIFS($N$94:$N$94,"",$C$94:$C$94,"&lt;&gt;")+COUNTIFS($N$94:$N$94,"",$E$94:$E$94,"&lt;&gt;")=0)</formula>
    </cfRule>
  </conditionalFormatting>
  <conditionalFormatting sqref="K95">
    <cfRule type="expression" dxfId="196" priority="62">
      <formula>AND(COUNTA($C$95:$C$119)+COUNTA($E$95:$E$119)&gt;0,COUNTIFS($N$95:$N$119,"",$C$95:$C$119,"&lt;&gt;")+COUNTIFS($N$95:$N$119,"",$E$95:$E$119,"&lt;&gt;")=0)</formula>
    </cfRule>
  </conditionalFormatting>
  <conditionalFormatting sqref="K120">
    <cfRule type="expression" dxfId="195" priority="63">
      <formula>AND(COUNTA($C$120:$C$122)+COUNTA($E$120:$E$122)&gt;0,COUNTIFS($N$120:$N$122,"",$C$120:$C$122,"&lt;&gt;")+COUNTIFS($N$120:$N$122,"",$E$120:$E$122,"&lt;&gt;")=0)</formula>
    </cfRule>
  </conditionalFormatting>
  <conditionalFormatting sqref="K123">
    <cfRule type="expression" dxfId="194" priority="64">
      <formula>AND(COUNTA($C$123:$C$123)+COUNTA($E$123:$E$123)&gt;0,COUNTIFS($N$123:$N$123,"",$C$123:$C$123,"&lt;&gt;")+COUNTIFS($N$123:$N$123,"",$E$123:$E$123,"&lt;&gt;")=0)</formula>
    </cfRule>
  </conditionalFormatting>
  <conditionalFormatting sqref="K124">
    <cfRule type="expression" dxfId="193" priority="65">
      <formula>AND(COUNTA($C$124:$C$124)+COUNTA($E$124:$E$124)&gt;0,COUNTIFS($N$124:$N$124,"",$C$124:$C$124,"&lt;&gt;")+COUNTIFS($N$124:$N$124,"",$E$124:$E$124,"&lt;&gt;")=0)</formula>
    </cfRule>
  </conditionalFormatting>
  <conditionalFormatting sqref="K125">
    <cfRule type="expression" dxfId="192" priority="66">
      <formula>AND(COUNTA($C$125:$C$125)+COUNTA($E$125:$E$125)&gt;0,COUNTIFS($N$125:$N$125,"",$C$125:$C$125,"&lt;&gt;")+COUNTIFS($N$125:$N$125,"",$E$125:$E$125,"&lt;&gt;")=0)</formula>
    </cfRule>
  </conditionalFormatting>
  <conditionalFormatting sqref="K126">
    <cfRule type="expression" dxfId="191" priority="67">
      <formula>AND(COUNTA($C$126:$C$126)+COUNTA($E$126:$E$126)&gt;0,COUNTIFS($N$126:$N$126,"",$C$126:$C$126,"&lt;&gt;")+COUNTIFS($N$126:$N$126,"",$E$126:$E$126,"&lt;&gt;")=0)</formula>
    </cfRule>
  </conditionalFormatting>
  <conditionalFormatting sqref="K127">
    <cfRule type="expression" dxfId="190" priority="68">
      <formula>AND(COUNTA($C$127:$C$127)+COUNTA($E$127:$E$127)&gt;0,COUNTIFS($N$127:$N$127,"",$C$127:$C$127,"&lt;&gt;")+COUNTIFS($N$127:$N$127,"",$E$127:$E$127,"&lt;&gt;")=0)</formula>
    </cfRule>
  </conditionalFormatting>
  <conditionalFormatting sqref="K128">
    <cfRule type="expression" dxfId="189" priority="69">
      <formula>AND(COUNTA($C$128:$C$128)+COUNTA($E$128:$E$128)&gt;0,COUNTIFS($N$128:$N$128,"",$C$128:$C$128,"&lt;&gt;")+COUNTIFS($N$128:$N$128,"",$E$128:$E$128,"&lt;&gt;")=0)</formula>
    </cfRule>
  </conditionalFormatting>
  <conditionalFormatting sqref="K129">
    <cfRule type="expression" dxfId="188" priority="70">
      <formula>AND(COUNTA($C$129:$C$129)+COUNTA($E$129:$E$129)&gt;0,COUNTIFS($N$129:$N$129,"",$C$129:$C$129,"&lt;&gt;")+COUNTIFS($N$129:$N$129,"",$E$129:$E$129,"&lt;&gt;")=0)</formula>
    </cfRule>
  </conditionalFormatting>
  <conditionalFormatting sqref="K130">
    <cfRule type="expression" dxfId="187" priority="71">
      <formula>AND(COUNTA($C$130:$C$133)+COUNTA($E$130:$E$133)&gt;0,COUNTIFS($N$130:$N$133,"",$C$130:$C$133,"&lt;&gt;")+COUNTIFS($N$130:$N$133,"",$E$130:$E$133,"&lt;&gt;")=0)</formula>
    </cfRule>
  </conditionalFormatting>
  <conditionalFormatting sqref="K134">
    <cfRule type="expression" dxfId="186" priority="72">
      <formula>AND(COUNTA($C$134:$C$158)+COUNTA($E$134:$E$158)&gt;0,COUNTIFS($N$134:$N$158,"",$C$134:$C$158,"&lt;&gt;")+COUNTIFS($N$134:$N$158,"",$E$134:$E$158,"&lt;&gt;")=0)</formula>
    </cfRule>
  </conditionalFormatting>
  <conditionalFormatting sqref="K159">
    <cfRule type="expression" dxfId="185" priority="73">
      <formula>AND(COUNTA($C$159:$C$160)+COUNTA($E$159:$E$160)&gt;0,COUNTIFS($N$159:$N$160,"",$C$159:$C$160,"&lt;&gt;")+COUNTIFS($N$159:$N$160,"",$E$159:$E$160,"&lt;&gt;")=0)</formula>
    </cfRule>
  </conditionalFormatting>
  <conditionalFormatting sqref="K161">
    <cfRule type="expression" dxfId="184" priority="74">
      <formula>AND(COUNTA($C$161:$C$161)+COUNTA($E$161:$E$161)&gt;0,COUNTIFS($N$161:$N$161,"",$C$161:$C$161,"&lt;&gt;")+COUNTIFS($N$161:$N$161,"",$E$161:$E$161,"&lt;&gt;")=0)</formula>
    </cfRule>
  </conditionalFormatting>
  <conditionalFormatting sqref="K162">
    <cfRule type="expression" dxfId="183" priority="75">
      <formula>AND(COUNTA($C$162:$C$162)+COUNTA($E$162:$E$162)&gt;0,COUNTIFS($N$162:$N$162,"",$C$162:$C$162,"&lt;&gt;")+COUNTIFS($N$162:$N$162,"",$E$162:$E$162,"&lt;&gt;")=0)</formula>
    </cfRule>
  </conditionalFormatting>
  <conditionalFormatting sqref="K163">
    <cfRule type="expression" dxfId="182" priority="76">
      <formula>AND(COUNTA($C$163:$C$187)+COUNTA($E$163:$E$187)&gt;0,COUNTIFS($N$163:$N$187,"",$C$163:$C$187,"&lt;&gt;")+COUNTIFS($N$163:$N$187,"",$E$163:$E$187,"&lt;&gt;")=0)</formula>
    </cfRule>
  </conditionalFormatting>
  <conditionalFormatting sqref="K188">
    <cfRule type="expression" dxfId="181" priority="77">
      <formula>AND(COUNTA($C$188:$C$189)+COUNTA($E$188:$E$189)&gt;0,COUNTIFS($N$188:$N$189,"",$C$188:$C$189,"&lt;&gt;")+COUNTIFS($N$188:$N$189,"",$E$188:$E$189,"&lt;&gt;")=0)</formula>
    </cfRule>
  </conditionalFormatting>
  <conditionalFormatting sqref="K190">
    <cfRule type="expression" dxfId="180" priority="78">
      <formula>AND(COUNTA($C$190:$C$190)+COUNTA($E$190:$E$190)&gt;0,COUNTIFS($N$190:$N$190,"",$C$190:$C$190,"&lt;&gt;")+COUNTIFS($N$190:$N$190,"",$E$190:$E$190,"&lt;&gt;")=0)</formula>
    </cfRule>
  </conditionalFormatting>
  <conditionalFormatting sqref="K191">
    <cfRule type="expression" dxfId="179" priority="79">
      <formula>AND(COUNTA($C$191:$C$191)+COUNTA($E$191:$E$191)&gt;0,COUNTIFS($N$191:$N$191,"",$C$191:$C$191,"&lt;&gt;")+COUNTIFS($N$191:$N$191,"",$E$191:$E$191,"&lt;&gt;")=0)</formula>
    </cfRule>
  </conditionalFormatting>
  <conditionalFormatting sqref="K192">
    <cfRule type="expression" dxfId="178" priority="80">
      <formula>AND(COUNTA($C$192:$C$192)+COUNTA($E$192:$E$192)&gt;0,COUNTIFS($N$192:$N$192,"",$C$192:$C$192,"&lt;&gt;")+COUNTIFS($N$192:$N$192,"",$E$192:$E$192,"&lt;&gt;")=0)</formula>
    </cfRule>
  </conditionalFormatting>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5E13-E173-47F2-97FA-F107B4BBEB72}">
  <sheetPr>
    <tabColor rgb="FF2F3A4A"/>
  </sheetPr>
  <dimension ref="A1:AP225"/>
  <sheetViews>
    <sheetView showGridLines="0" topLeftCell="A20" zoomScale="90" zoomScaleNormal="90" workbookViewId="0">
      <selection activeCell="A127" sqref="A127:D127"/>
    </sheetView>
  </sheetViews>
  <sheetFormatPr defaultColWidth="8.5546875" defaultRowHeight="14.4" x14ac:dyDescent="0.3"/>
  <cols>
    <col min="1" max="1" width="32.5546875" style="64" customWidth="1"/>
    <col min="2" max="2" width="28" style="1" customWidth="1"/>
    <col min="3" max="3" width="14" style="1" customWidth="1"/>
    <col min="4" max="4" width="13" style="1" customWidth="1"/>
    <col min="5" max="5" width="10" style="1" customWidth="1"/>
    <col min="6" max="6" width="13" style="1" customWidth="1"/>
    <col min="7" max="7" width="14.44140625" style="1" customWidth="1"/>
    <col min="8"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46143</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c r="AP3" s="65">
        <v>600</v>
      </c>
    </row>
    <row r="4" spans="1:42" ht="21" customHeight="1" x14ac:dyDescent="0.3">
      <c r="A4" s="120"/>
      <c r="B4" s="109" t="s">
        <v>499</v>
      </c>
      <c r="C4" s="108">
        <v>600</v>
      </c>
      <c r="D4" s="104">
        <f>'SEMANA ABRIL'!D201-'SEMANA ABRIL'!H201</f>
        <v>245</v>
      </c>
      <c r="E4" s="107" t="s">
        <v>184</v>
      </c>
      <c r="F4" s="871">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95</v>
      </c>
      <c r="G4" s="106">
        <f t="shared" ref="G4:G9" si="0">IFERROR(ROUNDUP(D4/F4,0),"")</f>
        <v>3</v>
      </c>
      <c r="H4" s="105">
        <v>255</v>
      </c>
      <c r="I4" s="104">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3060</v>
      </c>
      <c r="AA4" t="s">
        <v>185</v>
      </c>
      <c r="AB4" t="s">
        <v>1423</v>
      </c>
      <c r="AH4" s="900">
        <v>600</v>
      </c>
      <c r="AO4" s="900">
        <v>125</v>
      </c>
    </row>
    <row r="5" spans="1:42" ht="21" customHeight="1" x14ac:dyDescent="0.3">
      <c r="A5" s="120"/>
      <c r="B5" s="109" t="s">
        <v>492</v>
      </c>
      <c r="C5" s="108">
        <v>600</v>
      </c>
      <c r="D5" s="104">
        <v>361</v>
      </c>
      <c r="E5" s="107" t="s">
        <v>184</v>
      </c>
      <c r="F5" s="871">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190</v>
      </c>
      <c r="G5" s="106">
        <f t="shared" si="0"/>
        <v>2</v>
      </c>
      <c r="H5" s="105">
        <v>361</v>
      </c>
      <c r="I5" s="104">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2166</v>
      </c>
      <c r="AA5" t="s">
        <v>183</v>
      </c>
      <c r="AB5" t="s">
        <v>1423</v>
      </c>
      <c r="AO5" s="900">
        <v>180</v>
      </c>
    </row>
    <row r="6" spans="1:42" ht="21" customHeight="1" x14ac:dyDescent="0.3">
      <c r="A6" s="120"/>
      <c r="B6" s="109" t="s">
        <v>25</v>
      </c>
      <c r="C6" s="108">
        <v>400</v>
      </c>
      <c r="D6" s="104">
        <v>875</v>
      </c>
      <c r="E6" s="107" t="s">
        <v>184</v>
      </c>
      <c r="F6" s="871">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125</v>
      </c>
      <c r="G6" s="106">
        <f t="shared" si="0"/>
        <v>7</v>
      </c>
      <c r="H6" s="105">
        <v>534</v>
      </c>
      <c r="I6" s="104">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6408</v>
      </c>
      <c r="AA6" t="s">
        <v>499</v>
      </c>
      <c r="AB6" t="s">
        <v>1423</v>
      </c>
      <c r="AO6" s="900">
        <v>200</v>
      </c>
    </row>
    <row r="7" spans="1:42" ht="21" customHeight="1" x14ac:dyDescent="0.3">
      <c r="A7" s="12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 t="shared" si="0"/>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2" ht="21" customHeight="1" x14ac:dyDescent="0.3">
      <c r="A8" s="120"/>
      <c r="B8" s="109"/>
      <c r="C8" s="108"/>
      <c r="D8" s="104"/>
      <c r="E8" s="107" t="s">
        <v>184</v>
      </c>
      <c r="F8" s="871"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106" t="str">
        <f t="shared" si="0"/>
        <v/>
      </c>
      <c r="H8" s="105"/>
      <c r="I8" s="104"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2" ht="21" customHeight="1" x14ac:dyDescent="0.3">
      <c r="A9" s="824"/>
      <c r="B9" s="818"/>
      <c r="C9" s="819"/>
      <c r="D9" s="820"/>
      <c r="E9" s="821" t="s">
        <v>184</v>
      </c>
      <c r="F9" s="872" t="str">
        <f>IF($B9="","",IF(SUMIFS(CONFIG_PALETES!$C:$C,CONFIG_PALETES!$A:$A,TRIM($B9),CONFIG_PALETES!$B:$B,$C9&amp;" ml")&gt;0,SUMIFS(CONFIG_PALETES!$C:$C,CONFIG_PALETES!$A:$A,TRIM($B9),CONFIG_PALETES!$B:$B,$C9&amp;" ml"),IF(SUMIFS(CONFIG_PALETES!$C:$C,CONFIG_PALETES!$A:$A,"GERAL",CONFIG_PALETES!$B:$B,$C9&amp;" ml")&gt;0,SUMIFS(CONFIG_PALETES!$C:$C,CONFIG_PALETES!$A:$A,"GERAL",CONFIG_PALETES!$B:$B,$C9&amp;" ml"),"")))</f>
        <v/>
      </c>
      <c r="G9" s="822" t="str">
        <f t="shared" si="0"/>
        <v/>
      </c>
      <c r="H9" s="823"/>
      <c r="I9" s="820" t="str">
        <f>IF(H9="","",H9*IF(SUMIFS(CONFIG_PALETES!$D:$D,CONFIG_PALETES!$A:$A,IF(ISNUMBER(SEARCH("ESPUMA",$B9)),"ESPUMA",IF(OR(ISNUMBER(SEARCH("OLEO DE COCO",$B9)),ISNUMBER(SEARCH("ÓLEO DE COCO",$B9)),ISNUMBER(SEARCH("COPRA",$B9))),"ÓLEO DE COCO",IF(ISNUMBER(SEARCH("CORANTE",$B9)),"CORANTE",TRIM($B9)))),CONFIG_PALETES!$B:$B,$C9&amp;" ml")&gt;0,SUMIFS(CONFIG_PALETES!$D:$D,CONFIG_PALETES!$A:$A,IF(ISNUMBER(SEARCH("ESPUMA",$B9)),"ESPUMA",IF(OR(ISNUMBER(SEARCH("OLEO DE COCO",$B9)),ISNUMBER(SEARCH("ÓLEO DE COCO",$B9)),ISNUMBER(SEARCH("COPRA",$B9))),"ÓLEO DE COCO",IF(ISNUMBER(SEARCH("CORANTE",$B9)),"CORANTE",TRIM($B9)))),CONFIG_PALETES!$B:$B,$C9&amp;" ml"),IF(SUMIFS(CONFIG_PALETES!$D:$D,CONFIG_PALETES!$A:$A,"GERAL",CONFIG_PALETES!$B:$B,$C9&amp;" ml")&gt;0,SUMIFS(CONFIG_PALETES!$D:$D,CONFIG_PALETES!$A:$A,"GERAL",CONFIG_PALETES!$B:$B,$C9&amp;" ml"),12)))</f>
        <v/>
      </c>
      <c r="AA9" t="s">
        <v>58</v>
      </c>
      <c r="AB9" t="s">
        <v>1423</v>
      </c>
      <c r="AO9" s="900">
        <v>600</v>
      </c>
    </row>
    <row r="10" spans="1:42" ht="15" customHeight="1" x14ac:dyDescent="0.3">
      <c r="A10" s="899"/>
      <c r="B10" s="846" t="s">
        <v>186</v>
      </c>
      <c r="C10" s="847"/>
      <c r="D10" s="848">
        <f>SUM(D3:D9)</f>
        <v>1481</v>
      </c>
      <c r="E10" s="849"/>
      <c r="F10" s="856" t="s">
        <v>1400</v>
      </c>
      <c r="G10" s="850">
        <f>SUM(G3:G9)</f>
        <v>12</v>
      </c>
      <c r="H10" s="848">
        <f>SUM(H3:H9)</f>
        <v>1150</v>
      </c>
      <c r="I10" s="848">
        <f>SUM(I3:I9)</f>
        <v>11634</v>
      </c>
      <c r="J10" s="63">
        <f>D10</f>
        <v>1481</v>
      </c>
      <c r="K10" s="93">
        <f>G10</f>
        <v>12</v>
      </c>
      <c r="L10" s="63">
        <f>H10</f>
        <v>1150</v>
      </c>
      <c r="M10" s="63">
        <f>I10</f>
        <v>11634</v>
      </c>
      <c r="N10" s="587" cm="1">
        <f t="array" ref="N10">IF(H10=0,"",SUMPRODUCT(IFERROR(INT(H4:H9/F4:F9),0)))</f>
        <v>7</v>
      </c>
      <c r="O10" s="770">
        <f>IF(N10="","",MAX(0,G10-N10))</f>
        <v>5</v>
      </c>
      <c r="AA10" t="s">
        <v>496</v>
      </c>
      <c r="AB10" t="s">
        <v>1423</v>
      </c>
    </row>
    <row r="11" spans="1:42" ht="6" customHeight="1" x14ac:dyDescent="0.3">
      <c r="C11" s="65"/>
      <c r="AA11" t="s">
        <v>37</v>
      </c>
      <c r="AB11" t="s">
        <v>1423</v>
      </c>
    </row>
    <row r="12" spans="1:42" ht="15" customHeight="1" x14ac:dyDescent="0.3">
      <c r="A12" s="75">
        <v>46144</v>
      </c>
      <c r="B12" s="113" t="s">
        <v>49</v>
      </c>
      <c r="C12" s="112" t="s">
        <v>176</v>
      </c>
      <c r="D12" s="111" t="s">
        <v>177</v>
      </c>
      <c r="E12" s="111" t="s">
        <v>178</v>
      </c>
      <c r="F12" s="860" t="s">
        <v>179</v>
      </c>
      <c r="G12" s="111" t="s">
        <v>180</v>
      </c>
      <c r="H12" s="111" t="s">
        <v>181</v>
      </c>
      <c r="I12" s="111" t="s">
        <v>182</v>
      </c>
      <c r="AA12" t="s">
        <v>1080</v>
      </c>
      <c r="AB12" t="s">
        <v>1423</v>
      </c>
    </row>
    <row r="13" spans="1:42" ht="21" customHeight="1" x14ac:dyDescent="0.3">
      <c r="A13" s="120"/>
      <c r="B13" s="109" t="s">
        <v>25</v>
      </c>
      <c r="C13" s="108">
        <v>400</v>
      </c>
      <c r="D13" s="104">
        <v>341</v>
      </c>
      <c r="E13" s="107" t="s">
        <v>184</v>
      </c>
      <c r="F13" s="871">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125</v>
      </c>
      <c r="G13" s="106">
        <f>IFERROR(ROUNDUP(D13/F13,0),"")</f>
        <v>3</v>
      </c>
      <c r="H13" s="105">
        <v>341</v>
      </c>
      <c r="I13" s="104">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4092</v>
      </c>
      <c r="AA13" t="s">
        <v>489</v>
      </c>
      <c r="AB13" t="s">
        <v>1423</v>
      </c>
    </row>
    <row r="14" spans="1:42" ht="21" customHeight="1" x14ac:dyDescent="0.3">
      <c r="A14" s="120"/>
      <c r="B14" s="109" t="s">
        <v>575</v>
      </c>
      <c r="C14" s="108">
        <v>400</v>
      </c>
      <c r="D14" s="104">
        <v>2330</v>
      </c>
      <c r="E14" s="107" t="s">
        <v>184</v>
      </c>
      <c r="F14" s="871">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110</v>
      </c>
      <c r="G14" s="106">
        <f>IFERROR(ROUNDUP(D14/F14,0),"")</f>
        <v>22</v>
      </c>
      <c r="H14" s="105">
        <v>686</v>
      </c>
      <c r="I14" s="104">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8232</v>
      </c>
      <c r="AA14" t="s">
        <v>43</v>
      </c>
      <c r="AB14" t="s">
        <v>1425</v>
      </c>
    </row>
    <row r="15" spans="1:42" ht="21" customHeight="1" x14ac:dyDescent="0.3">
      <c r="A15" s="12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120"/>
      <c r="B16" s="109"/>
      <c r="C16" s="108"/>
      <c r="D16" s="104"/>
      <c r="E16" s="107" t="s">
        <v>184</v>
      </c>
      <c r="F16" s="871"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106" t="str">
        <f>IFERROR(ROUNDUP(D16/F16,0),"")</f>
        <v/>
      </c>
      <c r="H16" s="105"/>
      <c r="I16" s="104"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21" customHeight="1" x14ac:dyDescent="0.3">
      <c r="A17" s="824"/>
      <c r="B17" s="818"/>
      <c r="C17" s="819"/>
      <c r="D17" s="820"/>
      <c r="E17" s="821" t="s">
        <v>184</v>
      </c>
      <c r="F17" s="872" t="str">
        <f>IF($B17="","",IF(SUMIFS(CONFIG_PALETES!$C:$C,CONFIG_PALETES!$A:$A,TRIM($B17),CONFIG_PALETES!$B:$B,$C17&amp;" ml")&gt;0,SUMIFS(CONFIG_PALETES!$C:$C,CONFIG_PALETES!$A:$A,TRIM($B17),CONFIG_PALETES!$B:$B,$C17&amp;" ml"),IF(SUMIFS(CONFIG_PALETES!$C:$C,CONFIG_PALETES!$A:$A,"GERAL",CONFIG_PALETES!$B:$B,$C17&amp;" ml")&gt;0,SUMIFS(CONFIG_PALETES!$C:$C,CONFIG_PALETES!$A:$A,"GERAL",CONFIG_PALETES!$B:$B,$C17&amp;" ml"),"")))</f>
        <v/>
      </c>
      <c r="G17" s="822" t="str">
        <f>IFERROR(ROUNDUP(D17/F17,0),"")</f>
        <v/>
      </c>
      <c r="H17" s="823"/>
      <c r="I17" s="820" t="str">
        <f>IF(H17="","",H17*IF(SUMIFS(CONFIG_PALETES!$D:$D,CONFIG_PALETES!$A:$A,IF(ISNUMBER(SEARCH("ESPUMA",$B17)),"ESPUMA",IF(OR(ISNUMBER(SEARCH("OLEO DE COCO",$B17)),ISNUMBER(SEARCH("ÓLEO DE COCO",$B17)),ISNUMBER(SEARCH("COPRA",$B17))),"ÓLEO DE COCO",IF(ISNUMBER(SEARCH("CORANTE",$B17)),"CORANTE",TRIM($B17)))),CONFIG_PALETES!$B:$B,$C17&amp;" ml")&gt;0,SUMIFS(CONFIG_PALETES!$D:$D,CONFIG_PALETES!$A:$A,IF(ISNUMBER(SEARCH("ESPUMA",$B17)),"ESPUMA",IF(OR(ISNUMBER(SEARCH("OLEO DE COCO",$B17)),ISNUMBER(SEARCH("ÓLEO DE COCO",$B17)),ISNUMBER(SEARCH("COPRA",$B17))),"ÓLEO DE COCO",IF(ISNUMBER(SEARCH("CORANTE",$B17)),"CORANTE",TRIM($B17)))),CONFIG_PALETES!$B:$B,$C17&amp;" ml"),IF(SUMIFS(CONFIG_PALETES!$D:$D,CONFIG_PALETES!$A:$A,"GERAL",CONFIG_PALETES!$B:$B,$C17&amp;" ml")&gt;0,SUMIFS(CONFIG_PALETES!$D:$D,CONFIG_PALETES!$A:$A,"GERAL",CONFIG_PALETES!$B:$B,$C17&amp;" ml"),12)))</f>
        <v/>
      </c>
      <c r="AA17" t="s">
        <v>236</v>
      </c>
      <c r="AB17" t="s">
        <v>1425</v>
      </c>
    </row>
    <row r="18" spans="1:28" ht="15" customHeight="1" x14ac:dyDescent="0.3">
      <c r="A18" s="899"/>
      <c r="B18" s="846" t="s">
        <v>186</v>
      </c>
      <c r="C18" s="847"/>
      <c r="D18" s="848">
        <f>SUM(D11:D17)</f>
        <v>2671</v>
      </c>
      <c r="E18" s="849"/>
      <c r="F18" s="856" t="s">
        <v>1400</v>
      </c>
      <c r="G18" s="850">
        <f>SUM(G11:G17)</f>
        <v>25</v>
      </c>
      <c r="H18" s="848">
        <f>SUM(H11:H17)</f>
        <v>1027</v>
      </c>
      <c r="I18" s="848">
        <f>SUM(I11:I17)</f>
        <v>12324</v>
      </c>
      <c r="J18" s="63">
        <f>D18</f>
        <v>2671</v>
      </c>
      <c r="K18" s="93">
        <f>G18</f>
        <v>25</v>
      </c>
      <c r="L18" s="63">
        <f>H18</f>
        <v>1027</v>
      </c>
      <c r="M18" s="63">
        <f>I18</f>
        <v>12324</v>
      </c>
      <c r="N18" s="587" cm="1">
        <f t="array" ref="N18">IF(H18=0,"",SUMPRODUCT(IFERROR(INT(H13:H17/F13:F17),0)))</f>
        <v>8</v>
      </c>
      <c r="O18" s="770">
        <f>IF(N18="","",MAX(0,G18-N18))</f>
        <v>17</v>
      </c>
      <c r="AA18" t="s">
        <v>593</v>
      </c>
      <c r="AB18" t="s">
        <v>1426</v>
      </c>
    </row>
    <row r="19" spans="1:28" ht="6" customHeight="1" x14ac:dyDescent="0.3">
      <c r="C19" s="65"/>
      <c r="AA19" t="s">
        <v>139</v>
      </c>
      <c r="AB19" t="s">
        <v>1425</v>
      </c>
    </row>
    <row r="20" spans="1:28" ht="15" customHeight="1" x14ac:dyDescent="0.3">
      <c r="A20" s="75">
        <v>46146</v>
      </c>
      <c r="B20" s="113" t="s">
        <v>49</v>
      </c>
      <c r="C20" s="112" t="s">
        <v>176</v>
      </c>
      <c r="D20" s="111" t="s">
        <v>177</v>
      </c>
      <c r="E20" s="111" t="s">
        <v>178</v>
      </c>
      <c r="F20" s="860" t="s">
        <v>179</v>
      </c>
      <c r="G20" s="111" t="s">
        <v>180</v>
      </c>
      <c r="H20" s="111" t="s">
        <v>181</v>
      </c>
      <c r="I20" s="111" t="s">
        <v>182</v>
      </c>
      <c r="AA20" t="s">
        <v>189</v>
      </c>
      <c r="AB20" t="s">
        <v>1425</v>
      </c>
    </row>
    <row r="21" spans="1:28" ht="21" customHeight="1" x14ac:dyDescent="0.3">
      <c r="A21" s="120"/>
      <c r="B21" s="109" t="s">
        <v>575</v>
      </c>
      <c r="C21" s="108">
        <v>400</v>
      </c>
      <c r="D21" s="104">
        <f>D14-H14</f>
        <v>1644</v>
      </c>
      <c r="E21" s="107" t="s">
        <v>184</v>
      </c>
      <c r="F21" s="871">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110</v>
      </c>
      <c r="G21" s="106">
        <f>IFERROR(ROUNDUP(D21/F21,0),"")</f>
        <v>15</v>
      </c>
      <c r="H21" s="105">
        <v>1479</v>
      </c>
      <c r="I21" s="104">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17748</v>
      </c>
      <c r="AA21" t="s">
        <v>403</v>
      </c>
      <c r="AB21" t="s">
        <v>1425</v>
      </c>
    </row>
    <row r="22" spans="1:28" ht="21" customHeight="1" x14ac:dyDescent="0.3">
      <c r="A22" s="12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2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120"/>
      <c r="B24" s="109"/>
      <c r="C24" s="108"/>
      <c r="D24" s="104"/>
      <c r="E24" s="107" t="s">
        <v>184</v>
      </c>
      <c r="F24" s="871"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106" t="str">
        <f>IFERROR(ROUNDUP(D24/F24,0),"")</f>
        <v/>
      </c>
      <c r="H24" s="105"/>
      <c r="I24" s="104"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21" customHeight="1" x14ac:dyDescent="0.3">
      <c r="A25" s="824"/>
      <c r="B25" s="818"/>
      <c r="C25" s="819"/>
      <c r="D25" s="820"/>
      <c r="E25" s="821" t="s">
        <v>184</v>
      </c>
      <c r="F25" s="872" t="str">
        <f>IF($B25="","",IF(SUMIFS(CONFIG_PALETES!$C:$C,CONFIG_PALETES!$A:$A,TRIM($B25),CONFIG_PALETES!$B:$B,$C25&amp;" ml")&gt;0,SUMIFS(CONFIG_PALETES!$C:$C,CONFIG_PALETES!$A:$A,TRIM($B25),CONFIG_PALETES!$B:$B,$C25&amp;" ml"),IF(SUMIFS(CONFIG_PALETES!$C:$C,CONFIG_PALETES!$A:$A,"GERAL",CONFIG_PALETES!$B:$B,$C25&amp;" ml")&gt;0,SUMIFS(CONFIG_PALETES!$C:$C,CONFIG_PALETES!$A:$A,"GERAL",CONFIG_PALETES!$B:$B,$C25&amp;" ml"),"")))</f>
        <v/>
      </c>
      <c r="G25" s="822" t="str">
        <f>IFERROR(ROUNDUP(D25/F25,0),"")</f>
        <v/>
      </c>
      <c r="H25" s="823"/>
      <c r="I25" s="820" t="str">
        <f>IF(H25="","",H25*IF(SUMIFS(CONFIG_PALETES!$D:$D,CONFIG_PALETES!$A:$A,IF(ISNUMBER(SEARCH("ESPUMA",$B25)),"ESPUMA",IF(OR(ISNUMBER(SEARCH("OLEO DE COCO",$B25)),ISNUMBER(SEARCH("ÓLEO DE COCO",$B25)),ISNUMBER(SEARCH("COPRA",$B25))),"ÓLEO DE COCO",IF(ISNUMBER(SEARCH("CORANTE",$B25)),"CORANTE",TRIM($B25)))),CONFIG_PALETES!$B:$B,$C25&amp;" ml")&gt;0,SUMIFS(CONFIG_PALETES!$D:$D,CONFIG_PALETES!$A:$A,IF(ISNUMBER(SEARCH("ESPUMA",$B25)),"ESPUMA",IF(OR(ISNUMBER(SEARCH("OLEO DE COCO",$B25)),ISNUMBER(SEARCH("ÓLEO DE COCO",$B25)),ISNUMBER(SEARCH("COPRA",$B25))),"ÓLEO DE COCO",IF(ISNUMBER(SEARCH("CORANTE",$B25)),"CORANTE",TRIM($B25)))),CONFIG_PALETES!$B:$B,$C25&amp;" ml"),IF(SUMIFS(CONFIG_PALETES!$D:$D,CONFIG_PALETES!$A:$A,"GERAL",CONFIG_PALETES!$B:$B,$C25&amp;" ml")&gt;0,SUMIFS(CONFIG_PALETES!$D:$D,CONFIG_PALETES!$A:$A,"GERAL",CONFIG_PALETES!$B:$B,$C25&amp;" ml"),12)))</f>
        <v/>
      </c>
      <c r="AA25" t="s">
        <v>1159</v>
      </c>
      <c r="AB25" t="s">
        <v>1423</v>
      </c>
    </row>
    <row r="26" spans="1:28" ht="15" customHeight="1" x14ac:dyDescent="0.3">
      <c r="A26" s="899"/>
      <c r="B26" s="846" t="s">
        <v>186</v>
      </c>
      <c r="C26" s="847"/>
      <c r="D26" s="848">
        <f>SUM(D19:D25)</f>
        <v>1644</v>
      </c>
      <c r="E26" s="849"/>
      <c r="F26" s="856" t="s">
        <v>1400</v>
      </c>
      <c r="G26" s="850">
        <f>SUM(G19:G25)</f>
        <v>15</v>
      </c>
      <c r="H26" s="848">
        <f>SUM(H19:H25)</f>
        <v>1479</v>
      </c>
      <c r="I26" s="848">
        <f>SUM(I19:I25)</f>
        <v>17748</v>
      </c>
      <c r="J26" s="63">
        <f>D26</f>
        <v>1644</v>
      </c>
      <c r="K26" s="93">
        <f>G26</f>
        <v>15</v>
      </c>
      <c r="L26" s="63">
        <f>H26</f>
        <v>1479</v>
      </c>
      <c r="M26" s="63">
        <f>I26</f>
        <v>17748</v>
      </c>
      <c r="N26" s="587" cm="1">
        <f t="array" ref="N26">IF(H26=0,"",SUMPRODUCT(IFERROR(INT(H21:H25/F21:F25),0)))</f>
        <v>13</v>
      </c>
      <c r="O26" s="770">
        <f>IF(N26="","",MAX(0,G26-N26))</f>
        <v>2</v>
      </c>
      <c r="AA26" t="s">
        <v>287</v>
      </c>
      <c r="AB26" t="s">
        <v>1427</v>
      </c>
    </row>
    <row r="27" spans="1:28" ht="6" customHeight="1" x14ac:dyDescent="0.3">
      <c r="C27" s="65"/>
      <c r="AA27" t="s">
        <v>996</v>
      </c>
      <c r="AB27" t="s">
        <v>1426</v>
      </c>
    </row>
    <row r="28" spans="1:28" ht="15" customHeight="1" x14ac:dyDescent="0.3">
      <c r="A28" s="75">
        <v>46147</v>
      </c>
      <c r="B28" s="113" t="s">
        <v>49</v>
      </c>
      <c r="C28" s="112" t="s">
        <v>176</v>
      </c>
      <c r="D28" s="111" t="s">
        <v>177</v>
      </c>
      <c r="E28" s="111" t="s">
        <v>178</v>
      </c>
      <c r="F28" s="860" t="s">
        <v>179</v>
      </c>
      <c r="G28" s="111" t="s">
        <v>180</v>
      </c>
      <c r="H28" s="111" t="s">
        <v>181</v>
      </c>
      <c r="I28" s="111" t="s">
        <v>182</v>
      </c>
      <c r="AA28" t="s">
        <v>288</v>
      </c>
      <c r="AB28" t="s">
        <v>1426</v>
      </c>
    </row>
    <row r="29" spans="1:28" ht="21" customHeight="1" x14ac:dyDescent="0.3">
      <c r="A29" s="120"/>
      <c r="B29" s="109" t="s">
        <v>576</v>
      </c>
      <c r="C29" s="108">
        <v>400</v>
      </c>
      <c r="D29" s="104">
        <v>250</v>
      </c>
      <c r="E29" s="107" t="s">
        <v>184</v>
      </c>
      <c r="F29" s="871">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125</v>
      </c>
      <c r="G29" s="106">
        <f t="shared" ref="G29:G34" si="1">IFERROR(ROUNDUP(D29/F29,0),"")</f>
        <v>2</v>
      </c>
      <c r="H29" s="105">
        <v>251</v>
      </c>
      <c r="I29" s="104">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3012</v>
      </c>
      <c r="AA29" t="s">
        <v>93</v>
      </c>
      <c r="AB29" t="s">
        <v>1428</v>
      </c>
    </row>
    <row r="30" spans="1:28" ht="21" customHeight="1" x14ac:dyDescent="0.3">
      <c r="A30" s="120"/>
      <c r="B30" s="109" t="s">
        <v>402</v>
      </c>
      <c r="C30" s="108">
        <v>400</v>
      </c>
      <c r="D30" s="104">
        <v>250</v>
      </c>
      <c r="E30" s="107" t="s">
        <v>184</v>
      </c>
      <c r="F30" s="871">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125</v>
      </c>
      <c r="G30" s="106">
        <f t="shared" si="1"/>
        <v>2</v>
      </c>
      <c r="H30" s="105">
        <v>50</v>
      </c>
      <c r="I30" s="104">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600</v>
      </c>
      <c r="AA30" t="s">
        <v>406</v>
      </c>
      <c r="AB30" t="s">
        <v>1428</v>
      </c>
    </row>
    <row r="31" spans="1:28" ht="21" customHeight="1" x14ac:dyDescent="0.3">
      <c r="A31" s="120"/>
      <c r="B31" s="109" t="s">
        <v>577</v>
      </c>
      <c r="C31" s="108">
        <v>200</v>
      </c>
      <c r="D31" s="104">
        <v>330</v>
      </c>
      <c r="E31" s="107" t="s">
        <v>184</v>
      </c>
      <c r="F31" s="871">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330</v>
      </c>
      <c r="G31" s="106">
        <f t="shared" si="1"/>
        <v>1</v>
      </c>
      <c r="H31" s="105">
        <v>333</v>
      </c>
      <c r="I31" s="104">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1998</v>
      </c>
      <c r="AA31" t="s">
        <v>407</v>
      </c>
      <c r="AB31" t="s">
        <v>1428</v>
      </c>
    </row>
    <row r="32" spans="1:28" ht="21" customHeight="1" x14ac:dyDescent="0.3">
      <c r="A32" s="120"/>
      <c r="B32" s="109" t="s">
        <v>578</v>
      </c>
      <c r="C32" s="108">
        <v>200</v>
      </c>
      <c r="D32" s="104">
        <v>330</v>
      </c>
      <c r="E32" s="107" t="s">
        <v>184</v>
      </c>
      <c r="F32" s="871">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330</v>
      </c>
      <c r="G32" s="106">
        <f t="shared" si="1"/>
        <v>1</v>
      </c>
      <c r="H32" s="105">
        <v>331</v>
      </c>
      <c r="I32" s="104">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1986</v>
      </c>
      <c r="AA32" t="s">
        <v>95</v>
      </c>
      <c r="AB32" t="s">
        <v>1428</v>
      </c>
    </row>
    <row r="33" spans="1:28" ht="21" customHeight="1" x14ac:dyDescent="0.3">
      <c r="A33" s="120"/>
      <c r="B33" s="109" t="s">
        <v>579</v>
      </c>
      <c r="C33" s="108">
        <v>200</v>
      </c>
      <c r="D33" s="104">
        <v>330</v>
      </c>
      <c r="E33" s="107" t="s">
        <v>184</v>
      </c>
      <c r="F33" s="871">
        <f>IF($B33="","",IF(SUMIFS(CONFIG_PALETES!$C:$C,CONFIG_PALETES!$A:$A,TRIM($B33),CONFIG_PALETES!$B:$B,$C33&amp;" ml")&gt;0,SUMIFS(CONFIG_PALETES!$C:$C,CONFIG_PALETES!$A:$A,TRIM($B33),CONFIG_PALETES!$B:$B,$C33&amp;" ml"),IF(SUMIFS(CONFIG_PALETES!$C:$C,CONFIG_PALETES!$A:$A,"GERAL",CONFIG_PALETES!$B:$B,$C33&amp;" ml")&gt;0,SUMIFS(CONFIG_PALETES!$C:$C,CONFIG_PALETES!$A:$A,"GERAL",CONFIG_PALETES!$B:$B,$C33&amp;" ml"),"")))</f>
        <v>330</v>
      </c>
      <c r="G33" s="106">
        <f t="shared" si="1"/>
        <v>1</v>
      </c>
      <c r="H33" s="105">
        <v>174</v>
      </c>
      <c r="I33" s="104">
        <f>IF(H33="","",H33*IF(SUMIFS(CONFIG_PALETES!$D:$D,CONFIG_PALETES!$A:$A,IF(ISNUMBER(SEARCH("ESPUMA",$B33)),"ESPUMA",IF(OR(ISNUMBER(SEARCH("OLEO DE COCO",$B33)),ISNUMBER(SEARCH("ÓLEO DE COCO",$B33)),ISNUMBER(SEARCH("COPRA",$B33))),"ÓLEO DE COCO",IF(ISNUMBER(SEARCH("CORANTE",$B33)),"CORANTE",TRIM($B33)))),CONFIG_PALETES!$B:$B,$C33&amp;" ml")&gt;0,SUMIFS(CONFIG_PALETES!$D:$D,CONFIG_PALETES!$A:$A,IF(ISNUMBER(SEARCH("ESPUMA",$B33)),"ESPUMA",IF(OR(ISNUMBER(SEARCH("OLEO DE COCO",$B33)),ISNUMBER(SEARCH("ÓLEO DE COCO",$B33)),ISNUMBER(SEARCH("COPRA",$B33))),"ÓLEO DE COCO",IF(ISNUMBER(SEARCH("CORANTE",$B33)),"CORANTE",TRIM($B33)))),CONFIG_PALETES!$B:$B,$C33&amp;" ml"),IF(SUMIFS(CONFIG_PALETES!$D:$D,CONFIG_PALETES!$A:$A,"GERAL",CONFIG_PALETES!$B:$B,$C33&amp;" ml")&gt;0,SUMIFS(CONFIG_PALETES!$D:$D,CONFIG_PALETES!$A:$A,"GERAL",CONFIG_PALETES!$B:$B,$C33&amp;" ml"),12)))</f>
        <v>1044</v>
      </c>
      <c r="AA33" t="s">
        <v>471</v>
      </c>
      <c r="AB33" t="s">
        <v>1428</v>
      </c>
    </row>
    <row r="34" spans="1:28" ht="21" customHeight="1" x14ac:dyDescent="0.3">
      <c r="A34" s="824"/>
      <c r="B34" s="818"/>
      <c r="C34" s="819"/>
      <c r="D34" s="820"/>
      <c r="E34" s="821" t="s">
        <v>184</v>
      </c>
      <c r="F34" s="872" t="str">
        <f>IF($B34="","",IF(SUMIFS(CONFIG_PALETES!$C:$C,CONFIG_PALETES!$A:$A,TRIM($B34),CONFIG_PALETES!$B:$B,$C34&amp;" ml")&gt;0,SUMIFS(CONFIG_PALETES!$C:$C,CONFIG_PALETES!$A:$A,TRIM($B34),CONFIG_PALETES!$B:$B,$C34&amp;" ml"),IF(SUMIFS(CONFIG_PALETES!$C:$C,CONFIG_PALETES!$A:$A,"GERAL",CONFIG_PALETES!$B:$B,$C34&amp;" ml")&gt;0,SUMIFS(CONFIG_PALETES!$C:$C,CONFIG_PALETES!$A:$A,"GERAL",CONFIG_PALETES!$B:$B,$C34&amp;" ml"),"")))</f>
        <v/>
      </c>
      <c r="G34" s="822" t="str">
        <f t="shared" si="1"/>
        <v/>
      </c>
      <c r="H34" s="823"/>
      <c r="I34" s="820" t="str">
        <f>IF(H34="","",H34*IF(SUMIFS(CONFIG_PALETES!$D:$D,CONFIG_PALETES!$A:$A,IF(ISNUMBER(SEARCH("ESPUMA",$B34)),"ESPUMA",IF(OR(ISNUMBER(SEARCH("OLEO DE COCO",$B34)),ISNUMBER(SEARCH("ÓLEO DE COCO",$B34)),ISNUMBER(SEARCH("COPRA",$B34))),"ÓLEO DE COCO",IF(ISNUMBER(SEARCH("CORANTE",$B34)),"CORANTE",TRIM($B34)))),CONFIG_PALETES!$B:$B,$C34&amp;" ml")&gt;0,SUMIFS(CONFIG_PALETES!$D:$D,CONFIG_PALETES!$A:$A,IF(ISNUMBER(SEARCH("ESPUMA",$B34)),"ESPUMA",IF(OR(ISNUMBER(SEARCH("OLEO DE COCO",$B34)),ISNUMBER(SEARCH("ÓLEO DE COCO",$B34)),ISNUMBER(SEARCH("COPRA",$B34))),"ÓLEO DE COCO",IF(ISNUMBER(SEARCH("CORANTE",$B34)),"CORANTE",TRIM($B34)))),CONFIG_PALETES!$B:$B,$C34&amp;" ml"),IF(SUMIFS(CONFIG_PALETES!$D:$D,CONFIG_PALETES!$A:$A,"GERAL",CONFIG_PALETES!$B:$B,$C34&amp;" ml")&gt;0,SUMIFS(CONFIG_PALETES!$D:$D,CONFIG_PALETES!$A:$A,"GERAL",CONFIG_PALETES!$B:$B,$C34&amp;" ml"),12)))</f>
        <v/>
      </c>
      <c r="AA34" t="s">
        <v>292</v>
      </c>
      <c r="AB34" t="s">
        <v>1428</v>
      </c>
    </row>
    <row r="35" spans="1:28" ht="15" customHeight="1" x14ac:dyDescent="0.3">
      <c r="A35" s="899"/>
      <c r="B35" s="846" t="s">
        <v>186</v>
      </c>
      <c r="C35" s="847"/>
      <c r="D35" s="848">
        <f>SUM(D28:D34)</f>
        <v>1490</v>
      </c>
      <c r="E35" s="849"/>
      <c r="F35" s="856" t="s">
        <v>1400</v>
      </c>
      <c r="G35" s="850">
        <f>SUM(G28:G34)</f>
        <v>7</v>
      </c>
      <c r="H35" s="848">
        <f>SUM(H28:H34)</f>
        <v>1139</v>
      </c>
      <c r="I35" s="848">
        <f>SUM(I28:I34)</f>
        <v>8640</v>
      </c>
      <c r="J35" s="63">
        <f>D35</f>
        <v>1490</v>
      </c>
      <c r="K35" s="93">
        <f>G35</f>
        <v>7</v>
      </c>
      <c r="L35" s="63">
        <f>H35</f>
        <v>1139</v>
      </c>
      <c r="M35" s="63">
        <f>I35</f>
        <v>8640</v>
      </c>
      <c r="N35" s="587" cm="1">
        <f t="array" ref="N35">IF(H35=0,"",SUMPRODUCT(IFERROR(INT(H29:H34/F29:F34),0)))</f>
        <v>4</v>
      </c>
      <c r="O35" s="770">
        <f>IF(N35="","",MAX(0,G35-N35))</f>
        <v>3</v>
      </c>
      <c r="AA35" t="s">
        <v>1193</v>
      </c>
      <c r="AB35" t="s">
        <v>1428</v>
      </c>
    </row>
    <row r="36" spans="1:28" ht="6" customHeight="1" x14ac:dyDescent="0.3">
      <c r="C36" s="65"/>
      <c r="AA36" t="s">
        <v>294</v>
      </c>
      <c r="AB36" t="s">
        <v>1428</v>
      </c>
    </row>
    <row r="37" spans="1:28" ht="15" customHeight="1" x14ac:dyDescent="0.3">
      <c r="A37" s="75">
        <v>46148</v>
      </c>
      <c r="B37" s="113" t="s">
        <v>49</v>
      </c>
      <c r="C37" s="112" t="s">
        <v>176</v>
      </c>
      <c r="D37" s="111" t="s">
        <v>177</v>
      </c>
      <c r="E37" s="111" t="s">
        <v>178</v>
      </c>
      <c r="F37" s="860" t="s">
        <v>179</v>
      </c>
      <c r="G37" s="111" t="s">
        <v>180</v>
      </c>
      <c r="H37" s="111" t="s">
        <v>181</v>
      </c>
      <c r="I37" s="111" t="s">
        <v>182</v>
      </c>
      <c r="AA37" t="s">
        <v>591</v>
      </c>
      <c r="AB37" t="s">
        <v>1428</v>
      </c>
    </row>
    <row r="38" spans="1:28" ht="21" customHeight="1" x14ac:dyDescent="0.3">
      <c r="A38" s="120"/>
      <c r="B38" s="109" t="s">
        <v>579</v>
      </c>
      <c r="C38" s="108">
        <v>200</v>
      </c>
      <c r="D38" s="104">
        <f>D33-H33</f>
        <v>156</v>
      </c>
      <c r="E38" s="107" t="s">
        <v>184</v>
      </c>
      <c r="F38" s="871">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330</v>
      </c>
      <c r="G38" s="106">
        <f t="shared" ref="G38:G46" si="2">IFERROR(ROUNDUP(D38/F38,0),"")</f>
        <v>1</v>
      </c>
      <c r="H38" s="105">
        <v>156</v>
      </c>
      <c r="I38" s="104">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936</v>
      </c>
      <c r="AA38" t="s">
        <v>590</v>
      </c>
      <c r="AB38" t="s">
        <v>1428</v>
      </c>
    </row>
    <row r="39" spans="1:28" ht="21" customHeight="1" x14ac:dyDescent="0.3">
      <c r="A39" s="120"/>
      <c r="B39" s="109" t="s">
        <v>580</v>
      </c>
      <c r="C39" s="108">
        <v>200</v>
      </c>
      <c r="D39" s="104">
        <v>330</v>
      </c>
      <c r="E39" s="107" t="s">
        <v>184</v>
      </c>
      <c r="F39" s="871">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330</v>
      </c>
      <c r="G39" s="106">
        <f t="shared" si="2"/>
        <v>1</v>
      </c>
      <c r="H39" s="105">
        <v>334</v>
      </c>
      <c r="I39" s="104">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2004</v>
      </c>
      <c r="AA39" t="s">
        <v>592</v>
      </c>
      <c r="AB39" t="s">
        <v>1428</v>
      </c>
    </row>
    <row r="40" spans="1:28" ht="21" customHeight="1" x14ac:dyDescent="0.3">
      <c r="A40" s="120"/>
      <c r="B40" s="109" t="s">
        <v>581</v>
      </c>
      <c r="C40" s="108">
        <v>200</v>
      </c>
      <c r="D40" s="104">
        <v>330</v>
      </c>
      <c r="E40" s="107" t="s">
        <v>184</v>
      </c>
      <c r="F40" s="871">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330</v>
      </c>
      <c r="G40" s="106">
        <f t="shared" si="2"/>
        <v>1</v>
      </c>
      <c r="H40" s="105">
        <v>333</v>
      </c>
      <c r="I40" s="104">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1998</v>
      </c>
      <c r="AA40" t="s">
        <v>473</v>
      </c>
      <c r="AB40" t="s">
        <v>1428</v>
      </c>
    </row>
    <row r="41" spans="1:28" ht="21" customHeight="1" x14ac:dyDescent="0.3">
      <c r="A41" s="120"/>
      <c r="B41" s="109" t="s">
        <v>582</v>
      </c>
      <c r="C41" s="108">
        <v>200</v>
      </c>
      <c r="D41" s="104">
        <v>330</v>
      </c>
      <c r="E41" s="107" t="s">
        <v>184</v>
      </c>
      <c r="F41" s="871">
        <f>IF($B41="","",IF(SUMIFS(CONFIG_PALETES!$C:$C,CONFIG_PALETES!$A:$A,TRIM($B41),CONFIG_PALETES!$B:$B,$C41&amp;" ml")&gt;0,SUMIFS(CONFIG_PALETES!$C:$C,CONFIG_PALETES!$A:$A,TRIM($B41),CONFIG_PALETES!$B:$B,$C41&amp;" ml"),IF(SUMIFS(CONFIG_PALETES!$C:$C,CONFIG_PALETES!$A:$A,"GERAL",CONFIG_PALETES!$B:$B,$C41&amp;" ml")&gt;0,SUMIFS(CONFIG_PALETES!$C:$C,CONFIG_PALETES!$A:$A,"GERAL",CONFIG_PALETES!$B:$B,$C41&amp;" ml"),"")))</f>
        <v>330</v>
      </c>
      <c r="G41" s="106">
        <f t="shared" si="2"/>
        <v>1</v>
      </c>
      <c r="H41" s="105">
        <v>330</v>
      </c>
      <c r="I41" s="104">
        <f>IF(H41="","",H41*IF(SUMIFS(CONFIG_PALETES!$D:$D,CONFIG_PALETES!$A:$A,IF(ISNUMBER(SEARCH("ESPUMA",$B41)),"ESPUMA",IF(OR(ISNUMBER(SEARCH("OLEO DE COCO",$B41)),ISNUMBER(SEARCH("ÓLEO DE COCO",$B41)),ISNUMBER(SEARCH("COPRA",$B41))),"ÓLEO DE COCO",IF(ISNUMBER(SEARCH("CORANTE",$B41)),"CORANTE",TRIM($B41)))),CONFIG_PALETES!$B:$B,$C41&amp;" ml")&gt;0,SUMIFS(CONFIG_PALETES!$D:$D,CONFIG_PALETES!$A:$A,IF(ISNUMBER(SEARCH("ESPUMA",$B41)),"ESPUMA",IF(OR(ISNUMBER(SEARCH("OLEO DE COCO",$B41)),ISNUMBER(SEARCH("ÓLEO DE COCO",$B41)),ISNUMBER(SEARCH("COPRA",$B41))),"ÓLEO DE COCO",IF(ISNUMBER(SEARCH("CORANTE",$B41)),"CORANTE",TRIM($B41)))),CONFIG_PALETES!$B:$B,$C41&amp;" ml"),IF(SUMIFS(CONFIG_PALETES!$D:$D,CONFIG_PALETES!$A:$A,"GERAL",CONFIG_PALETES!$B:$B,$C41&amp;" ml")&gt;0,SUMIFS(CONFIG_PALETES!$D:$D,CONFIG_PALETES!$A:$A,"GERAL",CONFIG_PALETES!$B:$B,$C41&amp;" ml"),12)))</f>
        <v>1980</v>
      </c>
      <c r="AA41" t="s">
        <v>296</v>
      </c>
      <c r="AB41" t="s">
        <v>1428</v>
      </c>
    </row>
    <row r="42" spans="1:28" ht="21" customHeight="1" x14ac:dyDescent="0.3">
      <c r="A42" s="120"/>
      <c r="B42" s="109" t="s">
        <v>583</v>
      </c>
      <c r="C42" s="108">
        <v>200</v>
      </c>
      <c r="D42" s="104">
        <v>330</v>
      </c>
      <c r="E42" s="107" t="s">
        <v>184</v>
      </c>
      <c r="F42" s="871">
        <f>IF($B42="","",IF(SUMIFS(CONFIG_PALETES!$C:$C,CONFIG_PALETES!$A:$A,TRIM($B42),CONFIG_PALETES!$B:$B,$C42&amp;" ml")&gt;0,SUMIFS(CONFIG_PALETES!$C:$C,CONFIG_PALETES!$A:$A,TRIM($B42),CONFIG_PALETES!$B:$B,$C42&amp;" ml"),IF(SUMIFS(CONFIG_PALETES!$C:$C,CONFIG_PALETES!$A:$A,"GERAL",CONFIG_PALETES!$B:$B,$C42&amp;" ml")&gt;0,SUMIFS(CONFIG_PALETES!$C:$C,CONFIG_PALETES!$A:$A,"GERAL",CONFIG_PALETES!$B:$B,$C42&amp;" ml"),"")))</f>
        <v>330</v>
      </c>
      <c r="G42" s="106">
        <f t="shared" si="2"/>
        <v>1</v>
      </c>
      <c r="H42" s="105">
        <v>332</v>
      </c>
      <c r="I42" s="104">
        <f>IF(H42="","",H42*IF(SUMIFS(CONFIG_PALETES!$D:$D,CONFIG_PALETES!$A:$A,IF(ISNUMBER(SEARCH("ESPUMA",$B42)),"ESPUMA",IF(OR(ISNUMBER(SEARCH("OLEO DE COCO",$B42)),ISNUMBER(SEARCH("ÓLEO DE COCO",$B42)),ISNUMBER(SEARCH("COPRA",$B42))),"ÓLEO DE COCO",IF(ISNUMBER(SEARCH("CORANTE",$B42)),"CORANTE",TRIM($B42)))),CONFIG_PALETES!$B:$B,$C42&amp;" ml")&gt;0,SUMIFS(CONFIG_PALETES!$D:$D,CONFIG_PALETES!$A:$A,IF(ISNUMBER(SEARCH("ESPUMA",$B42)),"ESPUMA",IF(OR(ISNUMBER(SEARCH("OLEO DE COCO",$B42)),ISNUMBER(SEARCH("ÓLEO DE COCO",$B42)),ISNUMBER(SEARCH("COPRA",$B42))),"ÓLEO DE COCO",IF(ISNUMBER(SEARCH("CORANTE",$B42)),"CORANTE",TRIM($B42)))),CONFIG_PALETES!$B:$B,$C42&amp;" ml"),IF(SUMIFS(CONFIG_PALETES!$D:$D,CONFIG_PALETES!$A:$A,"GERAL",CONFIG_PALETES!$B:$B,$C42&amp;" ml")&gt;0,SUMIFS(CONFIG_PALETES!$D:$D,CONFIG_PALETES!$A:$A,"GERAL",CONFIG_PALETES!$B:$B,$C42&amp;" ml"),12)))</f>
        <v>1992</v>
      </c>
      <c r="AA42" t="s">
        <v>472</v>
      </c>
      <c r="AB42" t="s">
        <v>1428</v>
      </c>
    </row>
    <row r="43" spans="1:28" ht="21" customHeight="1" x14ac:dyDescent="0.3">
      <c r="A43" s="120"/>
      <c r="B43" s="109" t="s">
        <v>584</v>
      </c>
      <c r="C43" s="108">
        <v>200</v>
      </c>
      <c r="D43" s="104">
        <v>330</v>
      </c>
      <c r="E43" s="107" t="s">
        <v>184</v>
      </c>
      <c r="F43" s="871">
        <f>IF($B43="","",IF(SUMIFS(CONFIG_PALETES!$C:$C,CONFIG_PALETES!$A:$A,TRIM($B43),CONFIG_PALETES!$B:$B,$C43&amp;" ml")&gt;0,SUMIFS(CONFIG_PALETES!$C:$C,CONFIG_PALETES!$A:$A,TRIM($B43),CONFIG_PALETES!$B:$B,$C43&amp;" ml"),IF(SUMIFS(CONFIG_PALETES!$C:$C,CONFIG_PALETES!$A:$A,"GERAL",CONFIG_PALETES!$B:$B,$C43&amp;" ml")&gt;0,SUMIFS(CONFIG_PALETES!$C:$C,CONFIG_PALETES!$A:$A,"GERAL",CONFIG_PALETES!$B:$B,$C43&amp;" ml"),"")))</f>
        <v>330</v>
      </c>
      <c r="G43" s="106">
        <f t="shared" si="2"/>
        <v>1</v>
      </c>
      <c r="H43" s="105">
        <v>336</v>
      </c>
      <c r="I43" s="104">
        <f>IF(H43="","",H43*IF(SUMIFS(CONFIG_PALETES!$D:$D,CONFIG_PALETES!$A:$A,IF(ISNUMBER(SEARCH("ESPUMA",$B43)),"ESPUMA",IF(OR(ISNUMBER(SEARCH("OLEO DE COCO",$B43)),ISNUMBER(SEARCH("ÓLEO DE COCO",$B43)),ISNUMBER(SEARCH("COPRA",$B43))),"ÓLEO DE COCO",IF(ISNUMBER(SEARCH("CORANTE",$B43)),"CORANTE",TRIM($B43)))),CONFIG_PALETES!$B:$B,$C43&amp;" ml")&gt;0,SUMIFS(CONFIG_PALETES!$D:$D,CONFIG_PALETES!$A:$A,IF(ISNUMBER(SEARCH("ESPUMA",$B43)),"ESPUMA",IF(OR(ISNUMBER(SEARCH("OLEO DE COCO",$B43)),ISNUMBER(SEARCH("ÓLEO DE COCO",$B43)),ISNUMBER(SEARCH("COPRA",$B43))),"ÓLEO DE COCO",IF(ISNUMBER(SEARCH("CORANTE",$B43)),"CORANTE",TRIM($B43)))),CONFIG_PALETES!$B:$B,$C43&amp;" ml"),IF(SUMIFS(CONFIG_PALETES!$D:$D,CONFIG_PALETES!$A:$A,"GERAL",CONFIG_PALETES!$B:$B,$C43&amp;" ml")&gt;0,SUMIFS(CONFIG_PALETES!$D:$D,CONFIG_PALETES!$A:$A,"GERAL",CONFIG_PALETES!$B:$B,$C43&amp;" ml"),12)))</f>
        <v>2016</v>
      </c>
      <c r="AA43" t="s">
        <v>293</v>
      </c>
      <c r="AB43" t="s">
        <v>1428</v>
      </c>
    </row>
    <row r="44" spans="1:28" ht="21" customHeight="1" x14ac:dyDescent="0.3">
      <c r="A44" s="120"/>
      <c r="B44" s="109" t="s">
        <v>585</v>
      </c>
      <c r="C44" s="108">
        <v>200</v>
      </c>
      <c r="D44" s="104">
        <v>330</v>
      </c>
      <c r="E44" s="107" t="s">
        <v>184</v>
      </c>
      <c r="F44" s="871">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330</v>
      </c>
      <c r="G44" s="106">
        <f t="shared" si="2"/>
        <v>1</v>
      </c>
      <c r="H44" s="105">
        <v>64</v>
      </c>
      <c r="I44" s="104">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384</v>
      </c>
      <c r="AA44" t="s">
        <v>101</v>
      </c>
      <c r="AB44" t="s">
        <v>1428</v>
      </c>
    </row>
    <row r="45" spans="1:28" ht="21" customHeight="1" x14ac:dyDescent="0.3">
      <c r="A45" s="120"/>
      <c r="B45" s="109" t="s">
        <v>586</v>
      </c>
      <c r="C45" s="108">
        <v>200</v>
      </c>
      <c r="D45" s="104">
        <v>330</v>
      </c>
      <c r="E45" s="107" t="s">
        <v>184</v>
      </c>
      <c r="F45" s="871">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330</v>
      </c>
      <c r="G45" s="106">
        <f t="shared" si="2"/>
        <v>1</v>
      </c>
      <c r="H45" s="105">
        <v>208</v>
      </c>
      <c r="I45" s="104">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1248</v>
      </c>
      <c r="AA45" t="s">
        <v>474</v>
      </c>
      <c r="AB45" t="s">
        <v>1428</v>
      </c>
    </row>
    <row r="46" spans="1:28" ht="21" customHeight="1" x14ac:dyDescent="0.3">
      <c r="A46" s="824"/>
      <c r="B46" s="818"/>
      <c r="C46" s="819"/>
      <c r="D46" s="820"/>
      <c r="E46" s="821" t="s">
        <v>184</v>
      </c>
      <c r="F46" s="872"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822" t="str">
        <f t="shared" si="2"/>
        <v/>
      </c>
      <c r="H46" s="823"/>
      <c r="I46" s="820"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AA46" t="s">
        <v>295</v>
      </c>
      <c r="AB46" t="s">
        <v>1428</v>
      </c>
    </row>
    <row r="47" spans="1:28" ht="15" customHeight="1" x14ac:dyDescent="0.3">
      <c r="A47" s="899"/>
      <c r="B47" s="846" t="s">
        <v>186</v>
      </c>
      <c r="C47" s="847"/>
      <c r="D47" s="848">
        <f>SUM(D40:D46)</f>
        <v>1980</v>
      </c>
      <c r="E47" s="849"/>
      <c r="F47" s="856" t="s">
        <v>1400</v>
      </c>
      <c r="G47" s="850">
        <f>SUM(G40:G46)</f>
        <v>6</v>
      </c>
      <c r="H47" s="848">
        <f>SUM(H40:H46)</f>
        <v>1603</v>
      </c>
      <c r="I47" s="848">
        <f>SUM(I40:I46)</f>
        <v>9618</v>
      </c>
      <c r="J47" s="63">
        <f>D47</f>
        <v>1980</v>
      </c>
      <c r="K47" s="93">
        <f>G47</f>
        <v>6</v>
      </c>
      <c r="L47" s="63">
        <f>H47</f>
        <v>1603</v>
      </c>
      <c r="M47" s="63">
        <f>I47</f>
        <v>9618</v>
      </c>
      <c r="N47" s="587" cm="1">
        <f t="array" ref="N47">IF(H47=0,"",SUMPRODUCT(IFERROR(INT(H38:H46/F38:F46),0)))</f>
        <v>5</v>
      </c>
      <c r="O47" s="770">
        <f>IF(N47="","",MAX(0,G47-N47))</f>
        <v>1</v>
      </c>
      <c r="AA47" t="s">
        <v>97</v>
      </c>
      <c r="AB47" t="s">
        <v>1428</v>
      </c>
    </row>
    <row r="48" spans="1:28" ht="6" customHeight="1" x14ac:dyDescent="0.3">
      <c r="C48" s="65"/>
      <c r="AA48" t="s">
        <v>475</v>
      </c>
      <c r="AB48" t="s">
        <v>1428</v>
      </c>
    </row>
    <row r="49" spans="1:28" ht="15" customHeight="1" x14ac:dyDescent="0.3">
      <c r="A49" s="75">
        <v>46149</v>
      </c>
      <c r="B49" s="113" t="s">
        <v>49</v>
      </c>
      <c r="C49" s="112" t="s">
        <v>176</v>
      </c>
      <c r="D49" s="111" t="s">
        <v>177</v>
      </c>
      <c r="E49" s="111" t="s">
        <v>178</v>
      </c>
      <c r="F49" s="860" t="s">
        <v>179</v>
      </c>
      <c r="G49" s="111" t="s">
        <v>180</v>
      </c>
      <c r="H49" s="111" t="s">
        <v>181</v>
      </c>
      <c r="I49" s="111" t="s">
        <v>182</v>
      </c>
      <c r="AA49" t="s">
        <v>491</v>
      </c>
      <c r="AB49" t="s">
        <v>1425</v>
      </c>
    </row>
    <row r="50" spans="1:28" ht="21" customHeight="1" x14ac:dyDescent="0.3">
      <c r="A50" s="120"/>
      <c r="B50" s="109" t="s">
        <v>586</v>
      </c>
      <c r="C50" s="108">
        <v>200</v>
      </c>
      <c r="D50" s="104">
        <f>D45-H45</f>
        <v>122</v>
      </c>
      <c r="E50" s="107" t="s">
        <v>184</v>
      </c>
      <c r="F50" s="871">
        <f>IF($B50="","",IF(SUMIFS(CONFIG_PALETES!$C:$C,CONFIG_PALETES!$A:$A,TRIM($B50),CONFIG_PALETES!$B:$B,$C50&amp;" ml")&gt;0,SUMIFS(CONFIG_PALETES!$C:$C,CONFIG_PALETES!$A:$A,TRIM($B50),CONFIG_PALETES!$B:$B,$C50&amp;" ml"),IF(SUMIFS(CONFIG_PALETES!$C:$C,CONFIG_PALETES!$A:$A,"GERAL",CONFIG_PALETES!$B:$B,$C50&amp;" ml")&gt;0,SUMIFS(CONFIG_PALETES!$C:$C,CONFIG_PALETES!$A:$A,"GERAL",CONFIG_PALETES!$B:$B,$C50&amp;" ml"),"")))</f>
        <v>330</v>
      </c>
      <c r="G50" s="106">
        <f t="shared" ref="G50:G56" si="3">IFERROR(ROUNDUP(D50/F50,0),"")</f>
        <v>1</v>
      </c>
      <c r="H50" s="105">
        <v>123</v>
      </c>
      <c r="I50" s="104">
        <f>IF(H50="","",H50*IF(SUMIFS(CONFIG_PALETES!$D:$D,CONFIG_PALETES!$A:$A,IF(ISNUMBER(SEARCH("ESPUMA",$B50)),"ESPUMA",IF(OR(ISNUMBER(SEARCH("OLEO DE COCO",$B50)),ISNUMBER(SEARCH("ÓLEO DE COCO",$B50)),ISNUMBER(SEARCH("COPRA",$B50))),"ÓLEO DE COCO",IF(ISNUMBER(SEARCH("CORANTE",$B50)),"CORANTE",TRIM($B50)))),CONFIG_PALETES!$B:$B,$C50&amp;" ml")&gt;0,SUMIFS(CONFIG_PALETES!$D:$D,CONFIG_PALETES!$A:$A,IF(ISNUMBER(SEARCH("ESPUMA",$B50)),"ESPUMA",IF(OR(ISNUMBER(SEARCH("OLEO DE COCO",$B50)),ISNUMBER(SEARCH("ÓLEO DE COCO",$B50)),ISNUMBER(SEARCH("COPRA",$B50))),"ÓLEO DE COCO",IF(ISNUMBER(SEARCH("CORANTE",$B50)),"CORANTE",TRIM($B50)))),CONFIG_PALETES!$B:$B,$C50&amp;" ml"),IF(SUMIFS(CONFIG_PALETES!$D:$D,CONFIG_PALETES!$A:$A,"GERAL",CONFIG_PALETES!$B:$B,$C50&amp;" ml")&gt;0,SUMIFS(CONFIG_PALETES!$D:$D,CONFIG_PALETES!$A:$A,"GERAL",CONFIG_PALETES!$B:$B,$C50&amp;" ml"),12)))</f>
        <v>738</v>
      </c>
      <c r="AA50" t="s">
        <v>1162</v>
      </c>
      <c r="AB50" t="s">
        <v>1424</v>
      </c>
    </row>
    <row r="51" spans="1:28" ht="21" customHeight="1" x14ac:dyDescent="0.3">
      <c r="A51" s="120"/>
      <c r="B51" s="109" t="s">
        <v>585</v>
      </c>
      <c r="C51" s="108">
        <v>200</v>
      </c>
      <c r="D51" s="104">
        <f>D44-H44</f>
        <v>266</v>
      </c>
      <c r="E51" s="107" t="s">
        <v>184</v>
      </c>
      <c r="F51" s="871">
        <f>IF($B51="","",IF(SUMIFS(CONFIG_PALETES!$C:$C,CONFIG_PALETES!$A:$A,TRIM($B51),CONFIG_PALETES!$B:$B,$C51&amp;" ml")&gt;0,SUMIFS(CONFIG_PALETES!$C:$C,CONFIG_PALETES!$A:$A,TRIM($B51),CONFIG_PALETES!$B:$B,$C51&amp;" ml"),IF(SUMIFS(CONFIG_PALETES!$C:$C,CONFIG_PALETES!$A:$A,"GERAL",CONFIG_PALETES!$B:$B,$C51&amp;" ml")&gt;0,SUMIFS(CONFIG_PALETES!$C:$C,CONFIG_PALETES!$A:$A,"GERAL",CONFIG_PALETES!$B:$B,$C51&amp;" ml"),"")))</f>
        <v>330</v>
      </c>
      <c r="G51" s="106">
        <f t="shared" si="3"/>
        <v>1</v>
      </c>
      <c r="H51" s="105">
        <v>269</v>
      </c>
      <c r="I51" s="104">
        <f>IF(H51="","",H51*IF(SUMIFS(CONFIG_PALETES!$D:$D,CONFIG_PALETES!$A:$A,IF(ISNUMBER(SEARCH("ESPUMA",$B51)),"ESPUMA",IF(OR(ISNUMBER(SEARCH("OLEO DE COCO",$B51)),ISNUMBER(SEARCH("ÓLEO DE COCO",$B51)),ISNUMBER(SEARCH("COPRA",$B51))),"ÓLEO DE COCO",IF(ISNUMBER(SEARCH("CORANTE",$B51)),"CORANTE",TRIM($B51)))),CONFIG_PALETES!$B:$B,$C51&amp;" ml")&gt;0,SUMIFS(CONFIG_PALETES!$D:$D,CONFIG_PALETES!$A:$A,IF(ISNUMBER(SEARCH("ESPUMA",$B51)),"ESPUMA",IF(OR(ISNUMBER(SEARCH("OLEO DE COCO",$B51)),ISNUMBER(SEARCH("ÓLEO DE COCO",$B51)),ISNUMBER(SEARCH("COPRA",$B51))),"ÓLEO DE COCO",IF(ISNUMBER(SEARCH("CORANTE",$B51)),"CORANTE",TRIM($B51)))),CONFIG_PALETES!$B:$B,$C51&amp;" ml"),IF(SUMIFS(CONFIG_PALETES!$D:$D,CONFIG_PALETES!$A:$A,"GERAL",CONFIG_PALETES!$B:$B,$C51&amp;" ml")&gt;0,SUMIFS(CONFIG_PALETES!$D:$D,CONFIG_PALETES!$A:$A,"GERAL",CONFIG_PALETES!$B:$B,$C51&amp;" ml"),12)))</f>
        <v>1614</v>
      </c>
      <c r="AA51" t="s">
        <v>39</v>
      </c>
      <c r="AB51" t="s">
        <v>1423</v>
      </c>
    </row>
    <row r="52" spans="1:28" ht="21" customHeight="1" x14ac:dyDescent="0.3">
      <c r="A52" s="120"/>
      <c r="B52" s="109" t="s">
        <v>587</v>
      </c>
      <c r="C52" s="108">
        <v>200</v>
      </c>
      <c r="D52" s="104">
        <v>660</v>
      </c>
      <c r="E52" s="107" t="s">
        <v>184</v>
      </c>
      <c r="F52" s="871">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330</v>
      </c>
      <c r="G52" s="106">
        <f t="shared" si="3"/>
        <v>2</v>
      </c>
      <c r="H52" s="105">
        <v>668</v>
      </c>
      <c r="I52" s="104">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4008</v>
      </c>
      <c r="AA52" t="s">
        <v>240</v>
      </c>
      <c r="AB52" t="s">
        <v>1425</v>
      </c>
    </row>
    <row r="53" spans="1:28" ht="21" customHeight="1" x14ac:dyDescent="0.3">
      <c r="A53" s="120"/>
      <c r="B53" s="109" t="s">
        <v>402</v>
      </c>
      <c r="C53" s="108">
        <v>400</v>
      </c>
      <c r="D53" s="104">
        <v>200</v>
      </c>
      <c r="E53" s="107" t="s">
        <v>184</v>
      </c>
      <c r="F53" s="871">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125</v>
      </c>
      <c r="G53" s="106">
        <f t="shared" si="3"/>
        <v>2</v>
      </c>
      <c r="H53" s="105">
        <v>200</v>
      </c>
      <c r="I53" s="104">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2400</v>
      </c>
      <c r="AA53" t="s">
        <v>596</v>
      </c>
      <c r="AB53" t="s">
        <v>1425</v>
      </c>
    </row>
    <row r="54" spans="1:28" ht="21" customHeight="1" x14ac:dyDescent="0.3">
      <c r="A54" s="120"/>
      <c r="B54" s="109" t="s">
        <v>403</v>
      </c>
      <c r="C54" s="108">
        <v>400</v>
      </c>
      <c r="D54" s="104">
        <v>250</v>
      </c>
      <c r="E54" s="107" t="s">
        <v>184</v>
      </c>
      <c r="F54" s="871">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125</v>
      </c>
      <c r="G54" s="106">
        <f t="shared" si="3"/>
        <v>2</v>
      </c>
      <c r="H54" s="105">
        <v>252</v>
      </c>
      <c r="I54" s="104">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3024</v>
      </c>
      <c r="AA54" t="s">
        <v>33</v>
      </c>
      <c r="AB54" t="s">
        <v>1425</v>
      </c>
    </row>
    <row r="55" spans="1:28" ht="21" customHeight="1" x14ac:dyDescent="0.3">
      <c r="A55" s="120"/>
      <c r="B55" s="109" t="s">
        <v>195</v>
      </c>
      <c r="C55" s="108">
        <v>600</v>
      </c>
      <c r="D55" s="104">
        <v>665</v>
      </c>
      <c r="E55" s="107" t="s">
        <v>184</v>
      </c>
      <c r="F55" s="871">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95</v>
      </c>
      <c r="G55" s="106">
        <f t="shared" si="3"/>
        <v>7</v>
      </c>
      <c r="H55" s="105">
        <v>105</v>
      </c>
      <c r="I55" s="104">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1260</v>
      </c>
      <c r="AA55" t="s">
        <v>571</v>
      </c>
      <c r="AB55" t="s">
        <v>1425</v>
      </c>
    </row>
    <row r="56" spans="1:28" ht="21" customHeight="1" x14ac:dyDescent="0.3">
      <c r="A56" s="824"/>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 t="shared" si="3"/>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2163</v>
      </c>
      <c r="E57" s="849"/>
      <c r="F57" s="856" t="s">
        <v>1400</v>
      </c>
      <c r="G57" s="848">
        <f>SUM(G50:G56)</f>
        <v>15</v>
      </c>
      <c r="H57" s="848">
        <f>SUM(H50:H56)</f>
        <v>1617</v>
      </c>
      <c r="I57" s="848">
        <f>SUM(I50:I56)</f>
        <v>13044</v>
      </c>
      <c r="J57" s="63">
        <f>D57</f>
        <v>2163</v>
      </c>
      <c r="K57" s="93">
        <f>G57</f>
        <v>15</v>
      </c>
      <c r="L57" s="63">
        <f>H57</f>
        <v>1617</v>
      </c>
      <c r="M57" s="63">
        <f>I57</f>
        <v>13044</v>
      </c>
      <c r="N57" s="587" cm="1">
        <f t="array" ref="N57">IF(H57=0,"",SUMPRODUCT(IFERROR(INT(H50:H56/F50:F56),0)))</f>
        <v>6</v>
      </c>
      <c r="O57" s="770">
        <f>IF(N57="","",MAX(0,G57-N57))</f>
        <v>9</v>
      </c>
      <c r="AA57" t="s">
        <v>595</v>
      </c>
      <c r="AB57" t="s">
        <v>1425</v>
      </c>
    </row>
    <row r="58" spans="1:28" ht="6" customHeight="1" x14ac:dyDescent="0.3">
      <c r="C58" s="65"/>
      <c r="AA58" t="s">
        <v>483</v>
      </c>
      <c r="AB58" t="s">
        <v>1422</v>
      </c>
    </row>
    <row r="59" spans="1:28" ht="15" customHeight="1" x14ac:dyDescent="0.3">
      <c r="A59" s="75">
        <v>46150</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20"/>
      <c r="B60" s="109" t="s">
        <v>195</v>
      </c>
      <c r="C60" s="108">
        <v>600</v>
      </c>
      <c r="D60" s="104">
        <f>D55-H55</f>
        <v>560</v>
      </c>
      <c r="E60" s="107" t="s">
        <v>184</v>
      </c>
      <c r="F60" s="871">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95</v>
      </c>
      <c r="G60" s="106">
        <f>IFERROR(ROUNDUP(D60/F60,0),"")</f>
        <v>6</v>
      </c>
      <c r="H60" s="105">
        <v>531</v>
      </c>
      <c r="I60" s="104">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6372</v>
      </c>
      <c r="AA60" t="s">
        <v>577</v>
      </c>
      <c r="AB60" t="s">
        <v>1422</v>
      </c>
    </row>
    <row r="61" spans="1:28" ht="21" customHeight="1" x14ac:dyDescent="0.3">
      <c r="A61" s="12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2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2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24"/>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560</v>
      </c>
      <c r="E65" s="849"/>
      <c r="F65" s="856" t="s">
        <v>1400</v>
      </c>
      <c r="G65" s="850">
        <f>SUM(G58:G64)</f>
        <v>6</v>
      </c>
      <c r="H65" s="848">
        <f>SUM(H58:H64)</f>
        <v>531</v>
      </c>
      <c r="I65" s="848">
        <f>SUM(I58:I64)</f>
        <v>6372</v>
      </c>
      <c r="J65" s="63">
        <f>D65</f>
        <v>560</v>
      </c>
      <c r="K65" s="93">
        <f>G65</f>
        <v>6</v>
      </c>
      <c r="L65" s="63">
        <f>H65</f>
        <v>531</v>
      </c>
      <c r="M65" s="63">
        <f>I65</f>
        <v>6372</v>
      </c>
      <c r="N65" s="587" cm="1">
        <f t="array" ref="N65">IF(H65=0,"",SUMPRODUCT(IFERROR(INT(H60:H64/F60:F64),0)))</f>
        <v>5</v>
      </c>
      <c r="O65" s="770">
        <f>IF(N65="","",MAX(0,G65-N65))</f>
        <v>1</v>
      </c>
      <c r="AA65" t="s">
        <v>114</v>
      </c>
      <c r="AB65" t="s">
        <v>1422</v>
      </c>
    </row>
    <row r="66" spans="1:28" ht="6" customHeight="1" x14ac:dyDescent="0.3">
      <c r="C66" s="65"/>
      <c r="AA66" t="s">
        <v>487</v>
      </c>
      <c r="AB66" t="s">
        <v>1422</v>
      </c>
    </row>
    <row r="67" spans="1:28" ht="15" customHeight="1" x14ac:dyDescent="0.3">
      <c r="A67" s="75">
        <v>46151</v>
      </c>
      <c r="B67" s="113" t="s">
        <v>49</v>
      </c>
      <c r="C67" s="112" t="s">
        <v>176</v>
      </c>
      <c r="D67" s="111" t="s">
        <v>177</v>
      </c>
      <c r="E67" s="111" t="s">
        <v>178</v>
      </c>
      <c r="F67" s="860" t="s">
        <v>179</v>
      </c>
      <c r="G67" s="111" t="s">
        <v>180</v>
      </c>
      <c r="H67" s="111" t="s">
        <v>181</v>
      </c>
      <c r="I67" s="111" t="s">
        <v>182</v>
      </c>
      <c r="AA67" t="s">
        <v>488</v>
      </c>
      <c r="AB67" t="s">
        <v>1422</v>
      </c>
    </row>
    <row r="68" spans="1:28" ht="21" customHeight="1" x14ac:dyDescent="0.3">
      <c r="A68" s="120"/>
      <c r="B68" s="109" t="s">
        <v>25</v>
      </c>
      <c r="C68" s="108">
        <v>600</v>
      </c>
      <c r="D68" s="104">
        <f>D60-H60</f>
        <v>29</v>
      </c>
      <c r="E68" s="107" t="s">
        <v>184</v>
      </c>
      <c r="F68" s="871">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95</v>
      </c>
      <c r="G68" s="106">
        <f>IFERROR(ROUNDUP(D68/F68,0),"")</f>
        <v>1</v>
      </c>
      <c r="H68" s="105">
        <v>37</v>
      </c>
      <c r="I68" s="104">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444</v>
      </c>
      <c r="AA68" t="s">
        <v>477</v>
      </c>
      <c r="AB68" t="s">
        <v>1422</v>
      </c>
    </row>
    <row r="69" spans="1:28" ht="21" customHeight="1" x14ac:dyDescent="0.3">
      <c r="A69" s="120"/>
      <c r="B69" s="109" t="s">
        <v>588</v>
      </c>
      <c r="C69" s="108">
        <v>600</v>
      </c>
      <c r="D69" s="104">
        <v>650</v>
      </c>
      <c r="E69" s="107" t="s">
        <v>184</v>
      </c>
      <c r="F69" s="871">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95</v>
      </c>
      <c r="G69" s="106">
        <f>IFERROR(ROUNDUP(D69/F69,0),"")</f>
        <v>7</v>
      </c>
      <c r="H69" s="105">
        <v>641</v>
      </c>
      <c r="I69" s="104">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7692</v>
      </c>
      <c r="AA69" t="s">
        <v>1189</v>
      </c>
      <c r="AB69" t="s">
        <v>1422</v>
      </c>
    </row>
    <row r="70" spans="1:28" ht="21" customHeight="1" x14ac:dyDescent="0.3">
      <c r="A70" s="12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IFERROR(ROUNDUP(D70/F70,0),"")</f>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2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IFERROR(ROUNDUP(D71/F71,0),"")</f>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824"/>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IFERROR(ROUNDUP(D72/F72,0),"")</f>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15" customHeight="1" x14ac:dyDescent="0.3">
      <c r="A73" s="899"/>
      <c r="B73" s="846" t="s">
        <v>186</v>
      </c>
      <c r="C73" s="847"/>
      <c r="D73" s="848">
        <f>SUM(D66:D72)</f>
        <v>679</v>
      </c>
      <c r="E73" s="849"/>
      <c r="F73" s="856" t="s">
        <v>1400</v>
      </c>
      <c r="G73" s="850">
        <f>SUM(G66:G72)</f>
        <v>8</v>
      </c>
      <c r="H73" s="848">
        <f>SUM(H66:H72)</f>
        <v>678</v>
      </c>
      <c r="I73" s="848">
        <f>SUM(I66:I72)</f>
        <v>8136</v>
      </c>
      <c r="J73" s="63">
        <f>D73</f>
        <v>679</v>
      </c>
      <c r="K73" s="93">
        <f>G73</f>
        <v>8</v>
      </c>
      <c r="L73" s="63">
        <f>H73</f>
        <v>678</v>
      </c>
      <c r="M73" s="63">
        <f>I73</f>
        <v>8136</v>
      </c>
      <c r="N73" s="587" cm="1">
        <f t="array" ref="N73">IF(H73=0,"",SUMPRODUCT(IFERROR(INT(H68:H72/F68:F72),0)))</f>
        <v>6</v>
      </c>
      <c r="O73" s="770">
        <f>IF(N73="","",MAX(0,G73-N73))</f>
        <v>2</v>
      </c>
      <c r="AA73" t="s">
        <v>1191</v>
      </c>
      <c r="AB73" t="s">
        <v>1422</v>
      </c>
    </row>
    <row r="74" spans="1:28" ht="6" customHeight="1" x14ac:dyDescent="0.3">
      <c r="C74" s="65"/>
      <c r="AA74" t="s">
        <v>481</v>
      </c>
      <c r="AB74" t="s">
        <v>1422</v>
      </c>
    </row>
    <row r="75" spans="1:28" ht="15" customHeight="1" x14ac:dyDescent="0.3">
      <c r="A75" s="75">
        <v>46153</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20"/>
      <c r="B76" s="109" t="s">
        <v>589</v>
      </c>
      <c r="C76" s="108">
        <v>600</v>
      </c>
      <c r="D76" s="104">
        <v>200</v>
      </c>
      <c r="E76" s="107" t="s">
        <v>184</v>
      </c>
      <c r="F76" s="871">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95</v>
      </c>
      <c r="G76" s="106">
        <f t="shared" ref="G76:G81" si="4">IFERROR(ROUNDUP(D76/F76,0),"")</f>
        <v>3</v>
      </c>
      <c r="H76" s="105">
        <v>202</v>
      </c>
      <c r="I76" s="104">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2424</v>
      </c>
      <c r="AA76" t="s">
        <v>1192</v>
      </c>
      <c r="AB76" t="s">
        <v>1422</v>
      </c>
    </row>
    <row r="77" spans="1:28" ht="21" customHeight="1" x14ac:dyDescent="0.3">
      <c r="A77" s="120"/>
      <c r="B77" s="109" t="s">
        <v>553</v>
      </c>
      <c r="C77" s="108">
        <v>600</v>
      </c>
      <c r="D77" s="104">
        <v>285</v>
      </c>
      <c r="E77" s="107" t="s">
        <v>184</v>
      </c>
      <c r="F77" s="871">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95</v>
      </c>
      <c r="G77" s="106">
        <f t="shared" si="4"/>
        <v>3</v>
      </c>
      <c r="H77" s="105">
        <v>81</v>
      </c>
      <c r="I77" s="104">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972</v>
      </c>
      <c r="AA77" t="s">
        <v>480</v>
      </c>
      <c r="AB77" t="s">
        <v>1422</v>
      </c>
    </row>
    <row r="78" spans="1:28" ht="21" customHeight="1" x14ac:dyDescent="0.3">
      <c r="A78" s="12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 t="shared" si="4"/>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2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 t="shared" si="4"/>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120"/>
      <c r="B80" s="109"/>
      <c r="C80" s="108"/>
      <c r="D80" s="104"/>
      <c r="E80" s="107" t="s">
        <v>184</v>
      </c>
      <c r="F80" s="871"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106" t="str">
        <f t="shared" si="4"/>
        <v/>
      </c>
      <c r="H80" s="105"/>
      <c r="I80" s="104"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21" customHeight="1" x14ac:dyDescent="0.3">
      <c r="A81" s="824"/>
      <c r="B81" s="818"/>
      <c r="C81" s="819"/>
      <c r="D81" s="820"/>
      <c r="E81" s="821" t="s">
        <v>184</v>
      </c>
      <c r="F81" s="872" t="str">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
      </c>
      <c r="G81" s="822" t="str">
        <f t="shared" si="4"/>
        <v/>
      </c>
      <c r="H81" s="823"/>
      <c r="I81" s="820" t="str">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
      </c>
      <c r="AA81" t="s">
        <v>486</v>
      </c>
      <c r="AB81" t="s">
        <v>1422</v>
      </c>
    </row>
    <row r="82" spans="1:28" ht="15" customHeight="1" x14ac:dyDescent="0.3">
      <c r="A82" s="899"/>
      <c r="B82" s="846" t="s">
        <v>186</v>
      </c>
      <c r="C82" s="847"/>
      <c r="D82" s="848">
        <f>SUM(D75:D81)</f>
        <v>485</v>
      </c>
      <c r="E82" s="849"/>
      <c r="F82" s="856" t="s">
        <v>1400</v>
      </c>
      <c r="G82" s="850">
        <f>SUM(G75:G81)</f>
        <v>6</v>
      </c>
      <c r="H82" s="848">
        <f>SUM(H75:H81)</f>
        <v>283</v>
      </c>
      <c r="I82" s="848">
        <f>SUM(I75:I81)</f>
        <v>3396</v>
      </c>
      <c r="J82" s="63">
        <f>D82</f>
        <v>485</v>
      </c>
      <c r="K82" s="93">
        <f>G82</f>
        <v>6</v>
      </c>
      <c r="L82" s="63">
        <f>H82</f>
        <v>283</v>
      </c>
      <c r="M82" s="63">
        <f>I82</f>
        <v>3396</v>
      </c>
      <c r="N82" s="587" cm="1">
        <f t="array" ref="N82">IF(H82=0,"",SUMPRODUCT(IFERROR(INT(H76:H81/F76:F81),0)))</f>
        <v>2</v>
      </c>
      <c r="O82" s="770">
        <f>IF(N82="","",MAX(0,G82-N82))</f>
        <v>4</v>
      </c>
      <c r="AA82" t="s">
        <v>485</v>
      </c>
      <c r="AB82" t="s">
        <v>1422</v>
      </c>
    </row>
    <row r="83" spans="1:28" ht="6" customHeight="1" x14ac:dyDescent="0.3">
      <c r="C83" s="65"/>
      <c r="AA83" t="s">
        <v>583</v>
      </c>
      <c r="AB83" t="s">
        <v>1422</v>
      </c>
    </row>
    <row r="84" spans="1:28" ht="15" customHeight="1" x14ac:dyDescent="0.3">
      <c r="A84" s="75">
        <v>46154</v>
      </c>
      <c r="B84" s="113" t="s">
        <v>49</v>
      </c>
      <c r="C84" s="112" t="s">
        <v>176</v>
      </c>
      <c r="D84" s="111" t="s">
        <v>177</v>
      </c>
      <c r="E84" s="111" t="s">
        <v>178</v>
      </c>
      <c r="F84" s="860" t="s">
        <v>179</v>
      </c>
      <c r="G84" s="111" t="s">
        <v>180</v>
      </c>
      <c r="H84" s="111" t="s">
        <v>181</v>
      </c>
      <c r="I84" s="111" t="s">
        <v>182</v>
      </c>
      <c r="AA84" t="s">
        <v>584</v>
      </c>
      <c r="AB84" t="s">
        <v>1422</v>
      </c>
    </row>
    <row r="85" spans="1:28" ht="21" customHeight="1" x14ac:dyDescent="0.3">
      <c r="A85" s="120"/>
      <c r="B85" s="109" t="s">
        <v>553</v>
      </c>
      <c r="C85" s="108">
        <v>600</v>
      </c>
      <c r="D85" s="104">
        <f>D77-H77</f>
        <v>204</v>
      </c>
      <c r="E85" s="107" t="s">
        <v>184</v>
      </c>
      <c r="F85" s="871">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95</v>
      </c>
      <c r="G85" s="106">
        <f>IFERROR(ROUNDUP(D85/F85,0),"")</f>
        <v>3</v>
      </c>
      <c r="H85" s="105">
        <v>205</v>
      </c>
      <c r="I85" s="104">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2460</v>
      </c>
      <c r="AA85" t="s">
        <v>579</v>
      </c>
      <c r="AB85" t="s">
        <v>1422</v>
      </c>
    </row>
    <row r="86" spans="1:28" ht="21" customHeight="1" x14ac:dyDescent="0.3">
      <c r="A86" s="120"/>
      <c r="B86" s="109" t="s">
        <v>498</v>
      </c>
      <c r="C86" s="108">
        <v>600</v>
      </c>
      <c r="D86" s="104">
        <v>1045</v>
      </c>
      <c r="E86" s="107" t="s">
        <v>184</v>
      </c>
      <c r="F86" s="871">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95</v>
      </c>
      <c r="G86" s="106">
        <f>IFERROR(ROUNDUP(D86/F86,0),"")</f>
        <v>11</v>
      </c>
      <c r="H86" s="105">
        <v>700</v>
      </c>
      <c r="I86" s="104">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8400</v>
      </c>
      <c r="AA86" t="s">
        <v>484</v>
      </c>
      <c r="AB86" t="s">
        <v>1422</v>
      </c>
    </row>
    <row r="87" spans="1:28" ht="21" customHeight="1" x14ac:dyDescent="0.3">
      <c r="A87" s="120"/>
      <c r="B87" s="109"/>
      <c r="C87" s="108"/>
      <c r="D87" s="104"/>
      <c r="E87" s="107" t="s">
        <v>184</v>
      </c>
      <c r="F87" s="871"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06" t="str">
        <f>IFERROR(ROUNDUP(D87/F87,0),"")</f>
        <v/>
      </c>
      <c r="H87" s="105"/>
      <c r="I87" s="104"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AA87" t="s">
        <v>580</v>
      </c>
      <c r="AB87" t="s">
        <v>1422</v>
      </c>
    </row>
    <row r="88" spans="1:28" ht="21" customHeight="1" x14ac:dyDescent="0.3">
      <c r="A88" s="120"/>
      <c r="B88" s="109"/>
      <c r="C88" s="108"/>
      <c r="D88" s="104"/>
      <c r="E88" s="107" t="s">
        <v>184</v>
      </c>
      <c r="F88" s="871"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106" t="str">
        <f>IFERROR(ROUNDUP(D88/F88,0),"")</f>
        <v/>
      </c>
      <c r="H88" s="105"/>
      <c r="I88" s="104"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AA88" t="s">
        <v>585</v>
      </c>
      <c r="AB88" t="s">
        <v>1422</v>
      </c>
    </row>
    <row r="89" spans="1:28" ht="21" customHeight="1" x14ac:dyDescent="0.3">
      <c r="A89" s="824"/>
      <c r="B89" s="818"/>
      <c r="C89" s="819"/>
      <c r="D89" s="820"/>
      <c r="E89" s="821" t="s">
        <v>184</v>
      </c>
      <c r="F89" s="872" t="str">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
      </c>
      <c r="G89" s="822" t="str">
        <f>IFERROR(ROUNDUP(D89/F89,0),"")</f>
        <v/>
      </c>
      <c r="H89" s="823"/>
      <c r="I89" s="820" t="str">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
      </c>
      <c r="AA89" t="s">
        <v>586</v>
      </c>
      <c r="AB89" t="s">
        <v>1422</v>
      </c>
    </row>
    <row r="90" spans="1:28" ht="15" customHeight="1" x14ac:dyDescent="0.3">
      <c r="A90" s="899"/>
      <c r="B90" s="846" t="s">
        <v>186</v>
      </c>
      <c r="C90" s="847"/>
      <c r="D90" s="848">
        <f>SUM(D83:D89)</f>
        <v>1249</v>
      </c>
      <c r="E90" s="849"/>
      <c r="F90" s="856" t="s">
        <v>1400</v>
      </c>
      <c r="G90" s="850">
        <f>SUM(G83:G89)</f>
        <v>14</v>
      </c>
      <c r="H90" s="848">
        <f>SUM(H83:H89)</f>
        <v>905</v>
      </c>
      <c r="I90" s="848">
        <f>SUM(I83:I89)</f>
        <v>10860</v>
      </c>
      <c r="J90" s="63">
        <f>D90</f>
        <v>1249</v>
      </c>
      <c r="K90" s="93">
        <f>G90</f>
        <v>14</v>
      </c>
      <c r="L90" s="63">
        <f>H90</f>
        <v>905</v>
      </c>
      <c r="M90" s="63">
        <f>I90</f>
        <v>10860</v>
      </c>
      <c r="N90" s="587" cm="1">
        <f t="array" ref="N90">IF(H90=0,"",SUMPRODUCT(IFERROR(INT(H85:H89/F85:F89),0)))</f>
        <v>9</v>
      </c>
      <c r="O90" s="770">
        <f>IF(N90="","",MAX(0,G90-N90))</f>
        <v>5</v>
      </c>
      <c r="AA90" t="s">
        <v>194</v>
      </c>
      <c r="AB90" t="s">
        <v>1422</v>
      </c>
    </row>
    <row r="91" spans="1:28" ht="6" customHeight="1" x14ac:dyDescent="0.3">
      <c r="C91" s="65"/>
      <c r="AA91" t="s">
        <v>35</v>
      </c>
      <c r="AB91" t="s">
        <v>1425</v>
      </c>
    </row>
    <row r="92" spans="1:28" ht="15" customHeight="1" x14ac:dyDescent="0.3">
      <c r="A92" s="75">
        <v>46155</v>
      </c>
      <c r="B92" s="113" t="s">
        <v>49</v>
      </c>
      <c r="C92" s="112" t="s">
        <v>176</v>
      </c>
      <c r="D92" s="111" t="s">
        <v>177</v>
      </c>
      <c r="E92" s="111" t="s">
        <v>178</v>
      </c>
      <c r="F92" s="860" t="s">
        <v>179</v>
      </c>
      <c r="G92" s="111" t="s">
        <v>180</v>
      </c>
      <c r="H92" s="111" t="s">
        <v>181</v>
      </c>
      <c r="I92" s="111" t="s">
        <v>182</v>
      </c>
      <c r="AA92" t="s">
        <v>597</v>
      </c>
      <c r="AB92" t="s">
        <v>1425</v>
      </c>
    </row>
    <row r="93" spans="1:28" ht="21" customHeight="1" x14ac:dyDescent="0.3">
      <c r="A93" s="120"/>
      <c r="B93" s="109" t="s">
        <v>498</v>
      </c>
      <c r="C93" s="108">
        <v>600</v>
      </c>
      <c r="D93" s="104">
        <f>D86-H86</f>
        <v>345</v>
      </c>
      <c r="E93" s="107" t="s">
        <v>184</v>
      </c>
      <c r="F93" s="871">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95</v>
      </c>
      <c r="G93" s="106">
        <f>IFERROR(ROUNDUP(D93/F93,0),"")</f>
        <v>4</v>
      </c>
      <c r="H93" s="105">
        <v>345</v>
      </c>
      <c r="I93" s="104">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4140</v>
      </c>
      <c r="AA93" t="s">
        <v>196</v>
      </c>
      <c r="AB93" t="s">
        <v>1429</v>
      </c>
    </row>
    <row r="94" spans="1:28" ht="21" customHeight="1" x14ac:dyDescent="0.3">
      <c r="A94" s="120"/>
      <c r="B94" s="109" t="s">
        <v>492</v>
      </c>
      <c r="C94" s="108">
        <v>600</v>
      </c>
      <c r="D94" s="104">
        <v>1900</v>
      </c>
      <c r="E94" s="107" t="s">
        <v>184</v>
      </c>
      <c r="F94" s="871">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190</v>
      </c>
      <c r="G94" s="106">
        <f>IFERROR(ROUNDUP(D94/F94,0),"")</f>
        <v>10</v>
      </c>
      <c r="H94" s="105">
        <v>1127</v>
      </c>
      <c r="I94" s="104">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6762</v>
      </c>
      <c r="AA94" t="s">
        <v>298</v>
      </c>
      <c r="AB94" t="s">
        <v>1422</v>
      </c>
    </row>
    <row r="95" spans="1:28" ht="21" customHeight="1" x14ac:dyDescent="0.3">
      <c r="A95" s="120"/>
      <c r="B95" s="109"/>
      <c r="C95" s="108"/>
      <c r="D95" s="104"/>
      <c r="E95" s="107" t="s">
        <v>184</v>
      </c>
      <c r="F95" s="871"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06" t="str">
        <f>IFERROR(ROUNDUP(D95/F95,0),"")</f>
        <v/>
      </c>
      <c r="H95" s="105"/>
      <c r="I95" s="104"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AA95" t="s">
        <v>191</v>
      </c>
      <c r="AB95" t="s">
        <v>1422</v>
      </c>
    </row>
    <row r="96" spans="1:28" ht="21" customHeight="1" x14ac:dyDescent="0.3">
      <c r="A96" s="120"/>
      <c r="B96" s="109"/>
      <c r="C96" s="108"/>
      <c r="D96" s="104"/>
      <c r="E96" s="107" t="s">
        <v>184</v>
      </c>
      <c r="F96" s="871"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106" t="str">
        <f>IFERROR(ROUNDUP(D96/F96,0),"")</f>
        <v/>
      </c>
      <c r="H96" s="105"/>
      <c r="I96" s="104"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AA96" t="s">
        <v>190</v>
      </c>
      <c r="AB96" t="s">
        <v>1422</v>
      </c>
    </row>
    <row r="97" spans="1:28" ht="21" customHeight="1" x14ac:dyDescent="0.3">
      <c r="A97" s="824"/>
      <c r="B97" s="818"/>
      <c r="C97" s="819"/>
      <c r="D97" s="820"/>
      <c r="E97" s="821" t="s">
        <v>184</v>
      </c>
      <c r="F97" s="872" t="str">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
      </c>
      <c r="G97" s="822" t="str">
        <f>IFERROR(ROUNDUP(D97/F97,0),"")</f>
        <v/>
      </c>
      <c r="H97" s="823"/>
      <c r="I97" s="820" t="str">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
      </c>
      <c r="AA97" t="s">
        <v>594</v>
      </c>
      <c r="AB97" t="s">
        <v>1424</v>
      </c>
    </row>
    <row r="98" spans="1:28" ht="15" customHeight="1" x14ac:dyDescent="0.3">
      <c r="A98" s="899"/>
      <c r="B98" s="846" t="s">
        <v>186</v>
      </c>
      <c r="C98" s="847"/>
      <c r="D98" s="848">
        <f>SUM(D91:D97)</f>
        <v>2245</v>
      </c>
      <c r="E98" s="849"/>
      <c r="F98" s="856" t="s">
        <v>1400</v>
      </c>
      <c r="G98" s="850">
        <f>SUM(G91:G97)</f>
        <v>14</v>
      </c>
      <c r="H98" s="848">
        <f>SUM(H91:H97)</f>
        <v>1472</v>
      </c>
      <c r="I98" s="848">
        <f>SUM(I91:I97)</f>
        <v>10902</v>
      </c>
      <c r="J98" s="63">
        <f>D98</f>
        <v>2245</v>
      </c>
      <c r="K98" s="93">
        <f>G98</f>
        <v>14</v>
      </c>
      <c r="L98" s="63">
        <f>H98</f>
        <v>1472</v>
      </c>
      <c r="M98" s="63">
        <f>I98</f>
        <v>10902</v>
      </c>
      <c r="N98" s="587" cm="1">
        <f t="array" ref="N98">IF(H98=0,"",SUMPRODUCT(IFERROR(INT(H93:H97/F93:F97),0)))</f>
        <v>8</v>
      </c>
      <c r="O98" s="770">
        <f>IF(N98="","",MAX(0,G98-N98))</f>
        <v>6</v>
      </c>
      <c r="AA98" t="s">
        <v>1061</v>
      </c>
      <c r="AB98" t="s">
        <v>1429</v>
      </c>
    </row>
    <row r="99" spans="1:28" ht="6" customHeight="1" x14ac:dyDescent="0.3">
      <c r="C99" s="65"/>
      <c r="AA99" t="s">
        <v>149</v>
      </c>
      <c r="AB99" t="s">
        <v>1425</v>
      </c>
    </row>
    <row r="100" spans="1:28" ht="15" customHeight="1" x14ac:dyDescent="0.3">
      <c r="A100" s="75">
        <v>46156</v>
      </c>
      <c r="B100" s="113" t="s">
        <v>49</v>
      </c>
      <c r="C100" s="112" t="s">
        <v>176</v>
      </c>
      <c r="D100" s="111" t="s">
        <v>177</v>
      </c>
      <c r="E100" s="111" t="s">
        <v>178</v>
      </c>
      <c r="F100" s="860" t="s">
        <v>179</v>
      </c>
      <c r="G100" s="111" t="s">
        <v>180</v>
      </c>
      <c r="H100" s="111" t="s">
        <v>181</v>
      </c>
      <c r="I100" s="111" t="s">
        <v>182</v>
      </c>
      <c r="AA100" t="s">
        <v>29</v>
      </c>
      <c r="AB100" t="s">
        <v>1425</v>
      </c>
    </row>
    <row r="101" spans="1:28" ht="21" customHeight="1" x14ac:dyDescent="0.3">
      <c r="A101" s="120"/>
      <c r="B101" s="109" t="s">
        <v>492</v>
      </c>
      <c r="C101" s="108">
        <v>600</v>
      </c>
      <c r="D101" s="104">
        <f>D94-H94</f>
        <v>773</v>
      </c>
      <c r="E101" s="107" t="s">
        <v>184</v>
      </c>
      <c r="F101" s="871">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190</v>
      </c>
      <c r="G101" s="106">
        <f>IFERROR(ROUNDUP(D101/F101,0),"")</f>
        <v>5</v>
      </c>
      <c r="H101" s="105">
        <v>773</v>
      </c>
      <c r="I101" s="104">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4638</v>
      </c>
      <c r="AA101" t="s">
        <v>62</v>
      </c>
      <c r="AB101" t="s">
        <v>1423</v>
      </c>
    </row>
    <row r="102" spans="1:28" ht="21" customHeight="1" x14ac:dyDescent="0.3">
      <c r="A102" s="120"/>
      <c r="B102" s="109" t="s">
        <v>25</v>
      </c>
      <c r="C102" s="108">
        <v>600</v>
      </c>
      <c r="D102" s="104">
        <v>1140</v>
      </c>
      <c r="E102" s="107" t="s">
        <v>184</v>
      </c>
      <c r="F102" s="871">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95</v>
      </c>
      <c r="G102" s="106">
        <f>IFERROR(ROUNDUP(D102/F102,0),"")</f>
        <v>12</v>
      </c>
      <c r="H102" s="105">
        <v>269</v>
      </c>
      <c r="I102" s="104">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3228</v>
      </c>
      <c r="AA102" t="s">
        <v>649</v>
      </c>
      <c r="AB102" t="s">
        <v>1423</v>
      </c>
    </row>
    <row r="103" spans="1:28" ht="21" customHeight="1" x14ac:dyDescent="0.3">
      <c r="A103" s="120"/>
      <c r="B103" s="109"/>
      <c r="C103" s="108"/>
      <c r="D103" s="104"/>
      <c r="E103" s="107" t="s">
        <v>184</v>
      </c>
      <c r="F103" s="871"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06" t="str">
        <f>IFERROR(ROUNDUP(D103/F103,0),"")</f>
        <v/>
      </c>
      <c r="H103" s="105"/>
      <c r="I103" s="104"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AA103" t="s">
        <v>188</v>
      </c>
      <c r="AB103" t="s">
        <v>1423</v>
      </c>
    </row>
    <row r="104" spans="1:28" ht="21" customHeight="1" x14ac:dyDescent="0.3">
      <c r="A104" s="120"/>
      <c r="B104" s="109"/>
      <c r="C104" s="108"/>
      <c r="D104" s="104"/>
      <c r="E104" s="107" t="s">
        <v>184</v>
      </c>
      <c r="F104" s="871"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106" t="str">
        <f>IFERROR(ROUNDUP(D104/F104,0),"")</f>
        <v/>
      </c>
      <c r="H104" s="105"/>
      <c r="I104" s="104"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AA104" t="s">
        <v>1164</v>
      </c>
      <c r="AB104" t="s">
        <v>1423</v>
      </c>
    </row>
    <row r="105" spans="1:28" ht="21" customHeight="1" x14ac:dyDescent="0.3">
      <c r="A105" s="824"/>
      <c r="B105" s="818"/>
      <c r="C105" s="819"/>
      <c r="D105" s="820"/>
      <c r="E105" s="821" t="s">
        <v>184</v>
      </c>
      <c r="F105" s="872" t="str">
        <f>IF($B105="","",IF(SUMIFS(CONFIG_PALETES!$C:$C,CONFIG_PALETES!$A:$A,TRIM($B105),CONFIG_PALETES!$B:$B,$C105&amp;" ml")&gt;0,SUMIFS(CONFIG_PALETES!$C:$C,CONFIG_PALETES!$A:$A,TRIM($B105),CONFIG_PALETES!$B:$B,$C105&amp;" ml"),IF(SUMIFS(CONFIG_PALETES!$C:$C,CONFIG_PALETES!$A:$A,"GERAL",CONFIG_PALETES!$B:$B,$C105&amp;" ml")&gt;0,SUMIFS(CONFIG_PALETES!$C:$C,CONFIG_PALETES!$A:$A,"GERAL",CONFIG_PALETES!$B:$B,$C105&amp;" ml"),"")))</f>
        <v/>
      </c>
      <c r="G105" s="822" t="str">
        <f>IFERROR(ROUNDUP(D105/F105,0),"")</f>
        <v/>
      </c>
      <c r="H105" s="823"/>
      <c r="I105" s="820" t="str">
        <f>IF(H105="","",H105*IF(SUMIFS(CONFIG_PALETES!$D:$D,CONFIG_PALETES!$A:$A,IF(ISNUMBER(SEARCH("ESPUMA",$B105)),"ESPUMA",IF(OR(ISNUMBER(SEARCH("OLEO DE COCO",$B105)),ISNUMBER(SEARCH("ÓLEO DE COCO",$B105)),ISNUMBER(SEARCH("COPRA",$B105))),"ÓLEO DE COCO",IF(ISNUMBER(SEARCH("CORANTE",$B105)),"CORANTE",TRIM($B105)))),CONFIG_PALETES!$B:$B,$C105&amp;" ml")&gt;0,SUMIFS(CONFIG_PALETES!$D:$D,CONFIG_PALETES!$A:$A,IF(ISNUMBER(SEARCH("ESPUMA",$B105)),"ESPUMA",IF(OR(ISNUMBER(SEARCH("OLEO DE COCO",$B105)),ISNUMBER(SEARCH("ÓLEO DE COCO",$B105)),ISNUMBER(SEARCH("COPRA",$B105))),"ÓLEO DE COCO",IF(ISNUMBER(SEARCH("CORANTE",$B105)),"CORANTE",TRIM($B105)))),CONFIG_PALETES!$B:$B,$C105&amp;" ml"),IF(SUMIFS(CONFIG_PALETES!$D:$D,CONFIG_PALETES!$A:$A,"GERAL",CONFIG_PALETES!$B:$B,$C105&amp;" ml")&gt;0,SUMIFS(CONFIG_PALETES!$D:$D,CONFIG_PALETES!$A:$A,"GERAL",CONFIG_PALETES!$B:$B,$C105&amp;" ml"),12)))</f>
        <v/>
      </c>
      <c r="AA105" t="s">
        <v>131</v>
      </c>
      <c r="AB105" t="s">
        <v>1423</v>
      </c>
    </row>
    <row r="106" spans="1:28" ht="15" customHeight="1" x14ac:dyDescent="0.3">
      <c r="A106" s="899"/>
      <c r="B106" s="846" t="s">
        <v>186</v>
      </c>
      <c r="C106" s="847"/>
      <c r="D106" s="848">
        <f>SUM(D99:D105)</f>
        <v>1913</v>
      </c>
      <c r="E106" s="849"/>
      <c r="F106" s="856" t="s">
        <v>1400</v>
      </c>
      <c r="G106" s="850">
        <f>SUM(G99:G105)</f>
        <v>17</v>
      </c>
      <c r="H106" s="848">
        <f>SUM(H99:H105)</f>
        <v>1042</v>
      </c>
      <c r="I106" s="848">
        <f>SUM(I99:I105)</f>
        <v>7866</v>
      </c>
      <c r="J106" s="63">
        <f>D106</f>
        <v>1913</v>
      </c>
      <c r="K106" s="93">
        <f>G106</f>
        <v>17</v>
      </c>
      <c r="L106" s="63">
        <f>H106</f>
        <v>1042</v>
      </c>
      <c r="M106" s="63">
        <f>I106</f>
        <v>7866</v>
      </c>
      <c r="N106" s="587" cm="1">
        <f t="array" ref="N106">IF(H106=0,"",SUMPRODUCT(IFERROR(INT(H101:H105/F101:F105),0)))</f>
        <v>6</v>
      </c>
      <c r="O106" s="770">
        <f>IF(N106="","",MAX(0,G106-N106))</f>
        <v>11</v>
      </c>
      <c r="AA106" t="s">
        <v>1225</v>
      </c>
      <c r="AB106" t="s">
        <v>1426</v>
      </c>
    </row>
    <row r="107" spans="1:28" ht="6" customHeight="1" x14ac:dyDescent="0.3">
      <c r="C107" s="65"/>
      <c r="AA107" t="s">
        <v>198</v>
      </c>
      <c r="AB107" t="s">
        <v>1425</v>
      </c>
    </row>
    <row r="108" spans="1:28" ht="15" customHeight="1" x14ac:dyDescent="0.3">
      <c r="A108" s="75">
        <v>46157</v>
      </c>
      <c r="B108" s="113" t="s">
        <v>49</v>
      </c>
      <c r="C108" s="112" t="s">
        <v>176</v>
      </c>
      <c r="D108" s="111" t="s">
        <v>177</v>
      </c>
      <c r="E108" s="111" t="s">
        <v>178</v>
      </c>
      <c r="F108" s="860" t="s">
        <v>179</v>
      </c>
      <c r="G108" s="111" t="s">
        <v>180</v>
      </c>
      <c r="H108" s="111" t="s">
        <v>181</v>
      </c>
      <c r="I108" s="111" t="s">
        <v>182</v>
      </c>
      <c r="AA108" t="s">
        <v>1226</v>
      </c>
      <c r="AB108" t="s">
        <v>1426</v>
      </c>
    </row>
    <row r="109" spans="1:28" ht="21" customHeight="1" x14ac:dyDescent="0.3">
      <c r="A109" s="120"/>
      <c r="B109" s="109" t="s">
        <v>195</v>
      </c>
      <c r="C109" s="108">
        <v>600</v>
      </c>
      <c r="D109" s="104">
        <f>D102-H102</f>
        <v>871</v>
      </c>
      <c r="E109" s="107" t="s">
        <v>184</v>
      </c>
      <c r="F109" s="871">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95</v>
      </c>
      <c r="G109" s="106">
        <f>IFERROR(ROUNDUP(D109/F109,0),"")</f>
        <v>10</v>
      </c>
      <c r="H109" s="105">
        <v>449</v>
      </c>
      <c r="I109" s="104">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5388</v>
      </c>
      <c r="AA109" t="s">
        <v>192</v>
      </c>
      <c r="AB109" t="s">
        <v>1422</v>
      </c>
    </row>
    <row r="110" spans="1:28" ht="21" customHeight="1" x14ac:dyDescent="0.3">
      <c r="A110" s="120"/>
      <c r="B110" s="109" t="s">
        <v>31</v>
      </c>
      <c r="C110" s="108">
        <v>600</v>
      </c>
      <c r="D110" s="104">
        <v>665</v>
      </c>
      <c r="E110" s="107" t="s">
        <v>184</v>
      </c>
      <c r="F110" s="871">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95</v>
      </c>
      <c r="G110" s="106">
        <f>IFERROR(ROUNDUP(D110/F110,0),"")</f>
        <v>7</v>
      </c>
      <c r="H110" s="105">
        <v>39</v>
      </c>
      <c r="I110" s="104">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468</v>
      </c>
      <c r="AA110" t="s">
        <v>1163</v>
      </c>
      <c r="AB110" t="s">
        <v>1423</v>
      </c>
    </row>
    <row r="111" spans="1:28" ht="21" customHeight="1" x14ac:dyDescent="0.3">
      <c r="A111" s="12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120"/>
      <c r="B112" s="109"/>
      <c r="C112" s="108"/>
      <c r="D112" s="104"/>
      <c r="E112" s="107" t="s">
        <v>184</v>
      </c>
      <c r="F112" s="871"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106" t="str">
        <f>IFERROR(ROUNDUP(D112/F112,0),"")</f>
        <v/>
      </c>
      <c r="H112" s="105"/>
      <c r="I112" s="104"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21" customHeight="1" x14ac:dyDescent="0.3">
      <c r="A113" s="824"/>
      <c r="B113" s="818"/>
      <c r="C113" s="819"/>
      <c r="D113" s="820"/>
      <c r="E113" s="821" t="s">
        <v>184</v>
      </c>
      <c r="F113" s="872" t="str">
        <f>IF($B113="","",IF(SUMIFS(CONFIG_PALETES!$C:$C,CONFIG_PALETES!$A:$A,TRIM($B113),CONFIG_PALETES!$B:$B,$C113&amp;" ml")&gt;0,SUMIFS(CONFIG_PALETES!$C:$C,CONFIG_PALETES!$A:$A,TRIM($B113),CONFIG_PALETES!$B:$B,$C113&amp;" ml"),IF(SUMIFS(CONFIG_PALETES!$C:$C,CONFIG_PALETES!$A:$A,"GERAL",CONFIG_PALETES!$B:$B,$C113&amp;" ml")&gt;0,SUMIFS(CONFIG_PALETES!$C:$C,CONFIG_PALETES!$A:$A,"GERAL",CONFIG_PALETES!$B:$B,$C113&amp;" ml"),"")))</f>
        <v/>
      </c>
      <c r="G113" s="822" t="str">
        <f>IFERROR(ROUNDUP(D113/F113,0),"")</f>
        <v/>
      </c>
      <c r="H113" s="823"/>
      <c r="I113" s="820" t="str">
        <f>IF(H113="","",H113*IF(SUMIFS(CONFIG_PALETES!$D:$D,CONFIG_PALETES!$A:$A,IF(ISNUMBER(SEARCH("ESPUMA",$B113)),"ESPUMA",IF(OR(ISNUMBER(SEARCH("OLEO DE COCO",$B113)),ISNUMBER(SEARCH("ÓLEO DE COCO",$B113)),ISNUMBER(SEARCH("COPRA",$B113))),"ÓLEO DE COCO",IF(ISNUMBER(SEARCH("CORANTE",$B113)),"CORANTE",TRIM($B113)))),CONFIG_PALETES!$B:$B,$C113&amp;" ml")&gt;0,SUMIFS(CONFIG_PALETES!$D:$D,CONFIG_PALETES!$A:$A,IF(ISNUMBER(SEARCH("ESPUMA",$B113)),"ESPUMA",IF(OR(ISNUMBER(SEARCH("OLEO DE COCO",$B113)),ISNUMBER(SEARCH("ÓLEO DE COCO",$B113)),ISNUMBER(SEARCH("COPRA",$B113))),"ÓLEO DE COCO",IF(ISNUMBER(SEARCH("CORANTE",$B113)),"CORANTE",TRIM($B113)))),CONFIG_PALETES!$B:$B,$C113&amp;" ml"),IF(SUMIFS(CONFIG_PALETES!$D:$D,CONFIG_PALETES!$A:$A,"GERAL",CONFIG_PALETES!$B:$B,$C113&amp;" ml")&gt;0,SUMIFS(CONFIG_PALETES!$D:$D,CONFIG_PALETES!$A:$A,"GERAL",CONFIG_PALETES!$B:$B,$C113&amp;" ml"),12)))</f>
        <v/>
      </c>
      <c r="AA113" t="s">
        <v>494</v>
      </c>
      <c r="AB113" t="s">
        <v>1426</v>
      </c>
    </row>
    <row r="114" spans="1:28" ht="15" customHeight="1" x14ac:dyDescent="0.3">
      <c r="A114" s="899"/>
      <c r="B114" s="846" t="s">
        <v>186</v>
      </c>
      <c r="C114" s="847"/>
      <c r="D114" s="848">
        <f>SUM(D107:D113)</f>
        <v>1536</v>
      </c>
      <c r="E114" s="849"/>
      <c r="F114" s="856" t="s">
        <v>1400</v>
      </c>
      <c r="G114" s="850">
        <f>SUM(G107:G113)</f>
        <v>17</v>
      </c>
      <c r="H114" s="848">
        <f>SUM(H107:H113)</f>
        <v>488</v>
      </c>
      <c r="I114" s="848">
        <f>SUM(I107:I113)</f>
        <v>5856</v>
      </c>
      <c r="J114" s="63">
        <f>D114</f>
        <v>1536</v>
      </c>
      <c r="K114" s="93">
        <f>G114</f>
        <v>17</v>
      </c>
      <c r="L114" s="63">
        <f>H114</f>
        <v>488</v>
      </c>
      <c r="M114" s="63">
        <f>I114</f>
        <v>5856</v>
      </c>
      <c r="N114" s="587" cm="1">
        <f t="array" ref="N114">IF(H114=0,"",SUMPRODUCT(IFERROR(INT(H109:H113/F109:F113),0)))</f>
        <v>4</v>
      </c>
      <c r="O114" s="770">
        <f>IF(N114="","",MAX(0,G114-N114))</f>
        <v>13</v>
      </c>
      <c r="AA114" t="s">
        <v>404</v>
      </c>
      <c r="AB114" t="s">
        <v>1422</v>
      </c>
    </row>
    <row r="115" spans="1:28" ht="6" customHeight="1" x14ac:dyDescent="0.3">
      <c r="C115" s="65"/>
      <c r="AA115" t="s">
        <v>493</v>
      </c>
      <c r="AB115" t="s">
        <v>1431</v>
      </c>
    </row>
    <row r="116" spans="1:28" ht="15" customHeight="1" x14ac:dyDescent="0.3">
      <c r="A116" s="75">
        <v>46158</v>
      </c>
      <c r="B116" s="113" t="s">
        <v>49</v>
      </c>
      <c r="C116" s="112" t="s">
        <v>176</v>
      </c>
      <c r="D116" s="111" t="s">
        <v>177</v>
      </c>
      <c r="E116" s="111" t="s">
        <v>178</v>
      </c>
      <c r="F116" s="860" t="s">
        <v>179</v>
      </c>
      <c r="G116" s="111" t="s">
        <v>180</v>
      </c>
      <c r="H116" s="111" t="s">
        <v>181</v>
      </c>
      <c r="I116" s="111" t="s">
        <v>182</v>
      </c>
      <c r="AA116" t="s">
        <v>400</v>
      </c>
      <c r="AB116" t="s">
        <v>1430</v>
      </c>
    </row>
    <row r="117" spans="1:28" ht="21" customHeight="1" x14ac:dyDescent="0.3">
      <c r="A117" s="120"/>
      <c r="B117" s="109" t="s">
        <v>31</v>
      </c>
      <c r="C117" s="108">
        <v>600</v>
      </c>
      <c r="D117" s="104">
        <f>D110-H110</f>
        <v>626</v>
      </c>
      <c r="E117" s="107" t="s">
        <v>184</v>
      </c>
      <c r="F117" s="871">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95</v>
      </c>
      <c r="G117" s="106">
        <f>IFERROR(ROUNDUP(D117/F117,0),"")</f>
        <v>7</v>
      </c>
      <c r="H117" s="105">
        <v>633</v>
      </c>
      <c r="I117" s="104">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7596</v>
      </c>
      <c r="AA117" t="s">
        <v>492</v>
      </c>
      <c r="AB117" t="s">
        <v>1435</v>
      </c>
    </row>
    <row r="118" spans="1:28" ht="21" customHeight="1" x14ac:dyDescent="0.3">
      <c r="A118" s="12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IFERROR(ROUNDUP(D118/F118,0),"")</f>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2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IFERROR(ROUNDUP(D119/F119,0),"")</f>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824"/>
      <c r="B120" s="818"/>
      <c r="C120" s="819"/>
      <c r="D120" s="820"/>
      <c r="E120" s="821" t="s">
        <v>184</v>
      </c>
      <c r="F120" s="872"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22" t="str">
        <f>IFERROR(ROUNDUP(D120/F120,0),"")</f>
        <v/>
      </c>
      <c r="H120" s="823"/>
      <c r="I120" s="820"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15" customHeight="1" x14ac:dyDescent="0.3">
      <c r="A121" s="899"/>
      <c r="B121" s="846" t="s">
        <v>186</v>
      </c>
      <c r="C121" s="847"/>
      <c r="D121" s="848">
        <f>SUM(D117:D120)</f>
        <v>626</v>
      </c>
      <c r="E121" s="849"/>
      <c r="F121" s="856" t="s">
        <v>1400</v>
      </c>
      <c r="G121" s="850">
        <f>SUM(G117:G120)</f>
        <v>7</v>
      </c>
      <c r="H121" s="848">
        <f>SUM(H117:H120)</f>
        <v>633</v>
      </c>
      <c r="I121" s="848">
        <f>SUM(I117:I120)</f>
        <v>7596</v>
      </c>
      <c r="J121" s="63">
        <f>D121</f>
        <v>626</v>
      </c>
      <c r="K121" s="93">
        <f>G121</f>
        <v>7</v>
      </c>
      <c r="L121" s="63">
        <f>H121</f>
        <v>633</v>
      </c>
      <c r="M121" s="63">
        <f>I121</f>
        <v>7596</v>
      </c>
      <c r="N121" s="587" cm="1">
        <f t="array" ref="N121">IF(H121=0,"",SUMPRODUCT(IFERROR(INT(H117:H120/F117:F120),0)))</f>
        <v>6</v>
      </c>
      <c r="O121" s="770">
        <f>IF(N121="","",MAX(0,G121-N121))</f>
        <v>1</v>
      </c>
      <c r="AA121" t="s">
        <v>285</v>
      </c>
      <c r="AB121" t="s">
        <v>1426</v>
      </c>
    </row>
    <row r="122" spans="1:28" ht="6" customHeight="1" x14ac:dyDescent="0.3">
      <c r="C122" s="65"/>
      <c r="AA122" t="s">
        <v>103</v>
      </c>
      <c r="AB122" t="s">
        <v>1425</v>
      </c>
    </row>
    <row r="123" spans="1:28" ht="15" customHeight="1" x14ac:dyDescent="0.3">
      <c r="A123" s="75">
        <v>46160</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20"/>
      <c r="B124" s="109" t="s">
        <v>590</v>
      </c>
      <c r="C124" s="108">
        <v>70</v>
      </c>
      <c r="D124" s="104">
        <v>240</v>
      </c>
      <c r="E124" s="107" t="s">
        <v>184</v>
      </c>
      <c r="F124" s="871">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240</v>
      </c>
      <c r="G124" s="106">
        <f t="shared" ref="G124:G130" si="5">IFERROR(ROUNDUP(D124/F124,0),"")</f>
        <v>1</v>
      </c>
      <c r="H124" s="105">
        <v>241</v>
      </c>
      <c r="I124" s="104">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2892</v>
      </c>
      <c r="AA124" t="s">
        <v>576</v>
      </c>
      <c r="AB124" t="s">
        <v>1425</v>
      </c>
    </row>
    <row r="125" spans="1:28" ht="21" customHeight="1" x14ac:dyDescent="0.3">
      <c r="A125" s="120"/>
      <c r="B125" s="109" t="s">
        <v>591</v>
      </c>
      <c r="C125" s="108">
        <v>70</v>
      </c>
      <c r="D125" s="104">
        <v>240</v>
      </c>
      <c r="E125" s="107" t="s">
        <v>184</v>
      </c>
      <c r="F125" s="871">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240</v>
      </c>
      <c r="G125" s="106">
        <f t="shared" si="5"/>
        <v>1</v>
      </c>
      <c r="H125" s="105">
        <v>243</v>
      </c>
      <c r="I125" s="104">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2916</v>
      </c>
      <c r="AA125" t="s">
        <v>135</v>
      </c>
      <c r="AB125" t="s">
        <v>1425</v>
      </c>
    </row>
    <row r="126" spans="1:28" ht="21" customHeight="1" x14ac:dyDescent="0.3">
      <c r="A126" s="120"/>
      <c r="B126" s="109" t="s">
        <v>592</v>
      </c>
      <c r="C126" s="108">
        <v>70</v>
      </c>
      <c r="D126" s="104">
        <v>240</v>
      </c>
      <c r="E126" s="107" t="s">
        <v>184</v>
      </c>
      <c r="F126" s="871">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240</v>
      </c>
      <c r="G126" s="106">
        <f t="shared" si="5"/>
        <v>1</v>
      </c>
      <c r="H126" s="105">
        <v>242</v>
      </c>
      <c r="I126" s="104">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2904</v>
      </c>
      <c r="AA126" t="s">
        <v>402</v>
      </c>
      <c r="AB126" t="s">
        <v>1425</v>
      </c>
    </row>
    <row r="127" spans="1:28" ht="21" customHeight="1" x14ac:dyDescent="0.3">
      <c r="A127" s="120"/>
      <c r="B127" s="109" t="s">
        <v>593</v>
      </c>
      <c r="C127" s="108">
        <v>100</v>
      </c>
      <c r="D127" s="104">
        <v>250</v>
      </c>
      <c r="E127" s="107" t="s">
        <v>184</v>
      </c>
      <c r="F127" s="871">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240</v>
      </c>
      <c r="G127" s="106">
        <f t="shared" si="5"/>
        <v>2</v>
      </c>
      <c r="H127" s="105">
        <v>239</v>
      </c>
      <c r="I127" s="104">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2868</v>
      </c>
      <c r="AA127" t="s">
        <v>290</v>
      </c>
      <c r="AB127" t="s">
        <v>1426</v>
      </c>
    </row>
    <row r="128" spans="1:28" ht="21" customHeight="1" x14ac:dyDescent="0.3">
      <c r="A128" s="120"/>
      <c r="B128" s="109"/>
      <c r="C128" s="108"/>
      <c r="D128" s="104"/>
      <c r="E128" s="107" t="s">
        <v>184</v>
      </c>
      <c r="F128" s="871"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106" t="str">
        <f t="shared" si="5"/>
        <v/>
      </c>
      <c r="H128" s="105"/>
      <c r="I128" s="104"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21" customHeight="1" x14ac:dyDescent="0.3">
      <c r="A129" s="120"/>
      <c r="B129" s="109"/>
      <c r="C129" s="108"/>
      <c r="D129" s="104"/>
      <c r="E129" s="107" t="s">
        <v>184</v>
      </c>
      <c r="F129" s="871" t="str">
        <f>IF($B129="","",IF(SUMIFS(CONFIG_PALETES!$C:$C,CONFIG_PALETES!$A:$A,TRIM($B129),CONFIG_PALETES!$B:$B,$C129&amp;" ml")&gt;0,SUMIFS(CONFIG_PALETES!$C:$C,CONFIG_PALETES!$A:$A,TRIM($B129),CONFIG_PALETES!$B:$B,$C129&amp;" ml"),IF(SUMIFS(CONFIG_PALETES!$C:$C,CONFIG_PALETES!$A:$A,"GERAL",CONFIG_PALETES!$B:$B,$C129&amp;" ml")&gt;0,SUMIFS(CONFIG_PALETES!$C:$C,CONFIG_PALETES!$A:$A,"GERAL",CONFIG_PALETES!$B:$B,$C129&amp;" ml"),"")))</f>
        <v/>
      </c>
      <c r="G129" s="106" t="str">
        <f t="shared" si="5"/>
        <v/>
      </c>
      <c r="H129" s="105"/>
      <c r="I129" s="104" t="str">
        <f>IF(H129="","",H129*IF(SUMIFS(CONFIG_PALETES!$D:$D,CONFIG_PALETES!$A:$A,IF(ISNUMBER(SEARCH("ESPUMA",$B129)),"ESPUMA",IF(OR(ISNUMBER(SEARCH("OLEO DE COCO",$B129)),ISNUMBER(SEARCH("ÓLEO DE COCO",$B129)),ISNUMBER(SEARCH("COPRA",$B129))),"ÓLEO DE COCO",IF(ISNUMBER(SEARCH("CORANTE",$B129)),"CORANTE",TRIM($B129)))),CONFIG_PALETES!$B:$B,$C129&amp;" ml")&gt;0,SUMIFS(CONFIG_PALETES!$D:$D,CONFIG_PALETES!$A:$A,IF(ISNUMBER(SEARCH("ESPUMA",$B129)),"ESPUMA",IF(OR(ISNUMBER(SEARCH("OLEO DE COCO",$B129)),ISNUMBER(SEARCH("ÓLEO DE COCO",$B129)),ISNUMBER(SEARCH("COPRA",$B129))),"ÓLEO DE COCO",IF(ISNUMBER(SEARCH("CORANTE",$B129)),"CORANTE",TRIM($B129)))),CONFIG_PALETES!$B:$B,$C129&amp;" ml"),IF(SUMIFS(CONFIG_PALETES!$D:$D,CONFIG_PALETES!$A:$A,"GERAL",CONFIG_PALETES!$B:$B,$C129&amp;" ml")&gt;0,SUMIFS(CONFIG_PALETES!$D:$D,CONFIG_PALETES!$A:$A,"GERAL",CONFIG_PALETES!$B:$B,$C129&amp;" ml"),12)))</f>
        <v/>
      </c>
      <c r="AA129" t="s">
        <v>72</v>
      </c>
      <c r="AB129" t="s">
        <v>1432</v>
      </c>
    </row>
    <row r="130" spans="1:28" ht="21" customHeight="1" x14ac:dyDescent="0.3">
      <c r="A130" s="824"/>
      <c r="B130" s="818"/>
      <c r="C130" s="819"/>
      <c r="D130" s="820"/>
      <c r="E130" s="821" t="s">
        <v>184</v>
      </c>
      <c r="F130" s="872" t="str">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
      </c>
      <c r="G130" s="822" t="str">
        <f t="shared" si="5"/>
        <v/>
      </c>
      <c r="H130" s="823"/>
      <c r="I130" s="820" t="str">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
      </c>
      <c r="AA130" t="s">
        <v>395</v>
      </c>
      <c r="AB130" t="s">
        <v>1423</v>
      </c>
    </row>
    <row r="131" spans="1:28" ht="15" customHeight="1" x14ac:dyDescent="0.3">
      <c r="A131" s="899"/>
      <c r="B131" s="846" t="s">
        <v>186</v>
      </c>
      <c r="C131" s="847"/>
      <c r="D131" s="848">
        <f>SUM(D124:D130)</f>
        <v>970</v>
      </c>
      <c r="E131" s="849"/>
      <c r="F131" s="856" t="s">
        <v>1400</v>
      </c>
      <c r="G131" s="850">
        <f>SUM(G127:G130)</f>
        <v>2</v>
      </c>
      <c r="H131" s="848">
        <f>SUM(H124:H130)</f>
        <v>965</v>
      </c>
      <c r="I131" s="848">
        <f>SUM(I124:I130)</f>
        <v>11580</v>
      </c>
      <c r="J131" s="63">
        <f>D131</f>
        <v>970</v>
      </c>
      <c r="K131" s="93">
        <f>G131</f>
        <v>2</v>
      </c>
      <c r="L131" s="63">
        <f>H131</f>
        <v>965</v>
      </c>
      <c r="M131" s="63">
        <f>I131</f>
        <v>11580</v>
      </c>
      <c r="N131" s="587" cm="1">
        <f t="array" ref="N131">IF(H131=0,"",SUMPRODUCT(IFERROR(INT(H124:H130/F124:F130),0)))</f>
        <v>3</v>
      </c>
      <c r="O131" s="770">
        <f>IF(N131="","",MAX(0,G131-N131))</f>
        <v>0</v>
      </c>
      <c r="AA131" t="s">
        <v>25</v>
      </c>
      <c r="AB131" t="s">
        <v>1433</v>
      </c>
    </row>
    <row r="132" spans="1:28" ht="6" customHeight="1" x14ac:dyDescent="0.3">
      <c r="C132" s="65"/>
      <c r="AA132" t="s">
        <v>398</v>
      </c>
      <c r="AB132" t="s">
        <v>1424</v>
      </c>
    </row>
    <row r="133" spans="1:28" ht="15" customHeight="1" x14ac:dyDescent="0.3">
      <c r="A133" s="75">
        <v>46161</v>
      </c>
      <c r="B133" s="113" t="s">
        <v>49</v>
      </c>
      <c r="C133" s="112" t="s">
        <v>176</v>
      </c>
      <c r="D133" s="111" t="s">
        <v>177</v>
      </c>
      <c r="E133" s="111" t="s">
        <v>178</v>
      </c>
      <c r="F133" s="860" t="s">
        <v>179</v>
      </c>
      <c r="G133" s="111" t="s">
        <v>180</v>
      </c>
      <c r="H133" s="111" t="s">
        <v>181</v>
      </c>
      <c r="I133" s="111" t="s">
        <v>182</v>
      </c>
      <c r="AA133" t="s">
        <v>396</v>
      </c>
      <c r="AB133" t="s">
        <v>1432</v>
      </c>
    </row>
    <row r="134" spans="1:28" ht="21" customHeight="1" x14ac:dyDescent="0.3">
      <c r="A134" s="120"/>
      <c r="B134" s="109" t="s">
        <v>594</v>
      </c>
      <c r="C134" s="108">
        <v>180</v>
      </c>
      <c r="D134" s="104">
        <v>240</v>
      </c>
      <c r="E134" s="107" t="s">
        <v>184</v>
      </c>
      <c r="F134" s="871">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240</v>
      </c>
      <c r="G134" s="106">
        <f>IFERROR(ROUNDUP(D134/F134,0),"")</f>
        <v>1</v>
      </c>
      <c r="H134" s="105">
        <v>240</v>
      </c>
      <c r="I134" s="104">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2880</v>
      </c>
      <c r="AA134" t="s">
        <v>490</v>
      </c>
      <c r="AB134" t="s">
        <v>1425</v>
      </c>
    </row>
    <row r="135" spans="1:28" ht="21" customHeight="1" x14ac:dyDescent="0.3">
      <c r="A135" s="120"/>
      <c r="B135" s="109" t="s">
        <v>195</v>
      </c>
      <c r="C135" s="108">
        <v>180</v>
      </c>
      <c r="D135" s="104">
        <v>500</v>
      </c>
      <c r="E135" s="107" t="s">
        <v>184</v>
      </c>
      <c r="F135" s="871">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240</v>
      </c>
      <c r="G135" s="106">
        <f>IFERROR(ROUNDUP(D135/F135,0),"")</f>
        <v>3</v>
      </c>
      <c r="H135" s="105">
        <v>551</v>
      </c>
      <c r="I135" s="104">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6612</v>
      </c>
      <c r="AA135" t="s">
        <v>1082</v>
      </c>
      <c r="AB135" t="s">
        <v>1424</v>
      </c>
    </row>
    <row r="136" spans="1:28" ht="21" customHeight="1" x14ac:dyDescent="0.3">
      <c r="A136" s="120"/>
      <c r="B136" s="109" t="s">
        <v>195</v>
      </c>
      <c r="C136" s="108">
        <v>400</v>
      </c>
      <c r="D136" s="104">
        <v>875</v>
      </c>
      <c r="E136" s="107" t="s">
        <v>184</v>
      </c>
      <c r="F136" s="871">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125</v>
      </c>
      <c r="G136" s="106">
        <f>IFERROR(ROUNDUP(D136/F136,0),"")</f>
        <v>7</v>
      </c>
      <c r="H136" s="105">
        <v>464</v>
      </c>
      <c r="I136" s="104">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5568</v>
      </c>
      <c r="AA136" t="s">
        <v>598</v>
      </c>
      <c r="AB136" t="s">
        <v>1432</v>
      </c>
    </row>
    <row r="137" spans="1:28" ht="21" customHeight="1" x14ac:dyDescent="0.3">
      <c r="A137" s="120"/>
      <c r="B137" s="109"/>
      <c r="C137" s="108"/>
      <c r="D137" s="104"/>
      <c r="E137" s="107" t="s">
        <v>184</v>
      </c>
      <c r="F137" s="871" t="str">
        <f>IF($B137="","",IF(SUMIFS(CONFIG_PALETES!$C:$C,CONFIG_PALETES!$A:$A,TRIM($B137),CONFIG_PALETES!$B:$B,$C137&amp;" ml")&gt;0,SUMIFS(CONFIG_PALETES!$C:$C,CONFIG_PALETES!$A:$A,TRIM($B137),CONFIG_PALETES!$B:$B,$C137&amp;" ml"),IF(SUMIFS(CONFIG_PALETES!$C:$C,CONFIG_PALETES!$A:$A,"GERAL",CONFIG_PALETES!$B:$B,$C137&amp;" ml")&gt;0,SUMIFS(CONFIG_PALETES!$C:$C,CONFIG_PALETES!$A:$A,"GERAL",CONFIG_PALETES!$B:$B,$C137&amp;" ml"),"")))</f>
        <v/>
      </c>
      <c r="G137" s="106" t="str">
        <f>IFERROR(ROUNDUP(D137/F137,0),"")</f>
        <v/>
      </c>
      <c r="H137" s="105"/>
      <c r="I137" s="104" t="str">
        <f>IF(H137="","",H137*IF(SUMIFS(CONFIG_PALETES!$D:$D,CONFIG_PALETES!$A:$A,IF(ISNUMBER(SEARCH("ESPUMA",$B137)),"ESPUMA",IF(OR(ISNUMBER(SEARCH("OLEO DE COCO",$B137)),ISNUMBER(SEARCH("ÓLEO DE COCO",$B137)),ISNUMBER(SEARCH("COPRA",$B137))),"ÓLEO DE COCO",IF(ISNUMBER(SEARCH("CORANTE",$B137)),"CORANTE",TRIM($B137)))),CONFIG_PALETES!$B:$B,$C137&amp;" ml")&gt;0,SUMIFS(CONFIG_PALETES!$D:$D,CONFIG_PALETES!$A:$A,IF(ISNUMBER(SEARCH("ESPUMA",$B137)),"ESPUMA",IF(OR(ISNUMBER(SEARCH("OLEO DE COCO",$B137)),ISNUMBER(SEARCH("ÓLEO DE COCO",$B137)),ISNUMBER(SEARCH("COPRA",$B137))),"ÓLEO DE COCO",IF(ISNUMBER(SEARCH("CORANTE",$B137)),"CORANTE",TRIM($B137)))),CONFIG_PALETES!$B:$B,$C137&amp;" ml"),IF(SUMIFS(CONFIG_PALETES!$D:$D,CONFIG_PALETES!$A:$A,"GERAL",CONFIG_PALETES!$B:$B,$C137&amp;" ml")&gt;0,SUMIFS(CONFIG_PALETES!$D:$D,CONFIG_PALETES!$A:$A,"GERAL",CONFIG_PALETES!$B:$B,$C137&amp;" ml"),12)))</f>
        <v/>
      </c>
      <c r="AA137" t="s">
        <v>397</v>
      </c>
      <c r="AB137" t="s">
        <v>1424</v>
      </c>
    </row>
    <row r="138" spans="1:28" ht="21" customHeight="1" x14ac:dyDescent="0.3">
      <c r="A138" s="824"/>
      <c r="B138" s="818"/>
      <c r="C138" s="819"/>
      <c r="D138" s="820"/>
      <c r="E138" s="821" t="s">
        <v>184</v>
      </c>
      <c r="F138" s="872" t="str">
        <f>IF($B138="","",IF(SUMIFS(CONFIG_PALETES!$C:$C,CONFIG_PALETES!$A:$A,TRIM($B138),CONFIG_PALETES!$B:$B,$C138&amp;" ml")&gt;0,SUMIFS(CONFIG_PALETES!$C:$C,CONFIG_PALETES!$A:$A,TRIM($B138),CONFIG_PALETES!$B:$B,$C138&amp;" ml"),IF(SUMIFS(CONFIG_PALETES!$C:$C,CONFIG_PALETES!$A:$A,"GERAL",CONFIG_PALETES!$B:$B,$C138&amp;" ml")&gt;0,SUMIFS(CONFIG_PALETES!$C:$C,CONFIG_PALETES!$A:$A,"GERAL",CONFIG_PALETES!$B:$B,$C138&amp;" ml"),"")))</f>
        <v/>
      </c>
      <c r="G138" s="822" t="str">
        <f>IFERROR(ROUNDUP(D138/F138,0),"")</f>
        <v/>
      </c>
      <c r="H138" s="823"/>
      <c r="I138" s="820" t="str">
        <f>IF(H138="","",H138*IF(SUMIFS(CONFIG_PALETES!$D:$D,CONFIG_PALETES!$A:$A,IF(ISNUMBER(SEARCH("ESPUMA",$B138)),"ESPUMA",IF(OR(ISNUMBER(SEARCH("OLEO DE COCO",$B138)),ISNUMBER(SEARCH("ÓLEO DE COCO",$B138)),ISNUMBER(SEARCH("COPRA",$B138))),"ÓLEO DE COCO",IF(ISNUMBER(SEARCH("CORANTE",$B138)),"CORANTE",TRIM($B138)))),CONFIG_PALETES!$B:$B,$C138&amp;" ml")&gt;0,SUMIFS(CONFIG_PALETES!$D:$D,CONFIG_PALETES!$A:$A,IF(ISNUMBER(SEARCH("ESPUMA",$B138)),"ESPUMA",IF(OR(ISNUMBER(SEARCH("OLEO DE COCO",$B138)),ISNUMBER(SEARCH("ÓLEO DE COCO",$B138)),ISNUMBER(SEARCH("COPRA",$B138))),"ÓLEO DE COCO",IF(ISNUMBER(SEARCH("CORANTE",$B138)),"CORANTE",TRIM($B138)))),CONFIG_PALETES!$B:$B,$C138&amp;" ml"),IF(SUMIFS(CONFIG_PALETES!$D:$D,CONFIG_PALETES!$A:$A,"GERAL",CONFIG_PALETES!$B:$B,$C138&amp;" ml")&gt;0,SUMIFS(CONFIG_PALETES!$D:$D,CONFIG_PALETES!$A:$A,"GERAL",CONFIG_PALETES!$B:$B,$C138&amp;" ml"),12)))</f>
        <v/>
      </c>
      <c r="AA138" t="s">
        <v>163</v>
      </c>
      <c r="AB138" t="s">
        <v>1423</v>
      </c>
    </row>
    <row r="139" spans="1:28" ht="15" customHeight="1" x14ac:dyDescent="0.3">
      <c r="A139" s="899"/>
      <c r="B139" s="846" t="s">
        <v>186</v>
      </c>
      <c r="C139" s="847"/>
      <c r="D139" s="848">
        <f>SUM(D132:D138)</f>
        <v>1615</v>
      </c>
      <c r="E139" s="849"/>
      <c r="F139" s="856" t="s">
        <v>1400</v>
      </c>
      <c r="G139" s="850">
        <f>SUM(G132:G138)</f>
        <v>11</v>
      </c>
      <c r="H139" s="848">
        <f>SUM(H132:H138)</f>
        <v>1255</v>
      </c>
      <c r="I139" s="848">
        <f>SUM(I134:I138)</f>
        <v>15060</v>
      </c>
      <c r="J139" s="63">
        <f>D139</f>
        <v>1615</v>
      </c>
      <c r="K139" s="93">
        <f>G139</f>
        <v>11</v>
      </c>
      <c r="L139" s="63">
        <f>H139</f>
        <v>1255</v>
      </c>
      <c r="M139" s="63">
        <f>I139</f>
        <v>15060</v>
      </c>
      <c r="N139" s="587" cm="1">
        <f t="array" ref="N139">IF(H139=0,"",SUMPRODUCT(IFERROR(INT(H134:H138/F134:F138),0)))</f>
        <v>6</v>
      </c>
      <c r="O139" s="770">
        <f>IF(N139="","",MAX(0,G139-N139))</f>
        <v>5</v>
      </c>
      <c r="AA139" t="s">
        <v>1361</v>
      </c>
      <c r="AB139" t="s">
        <v>1436</v>
      </c>
    </row>
    <row r="140" spans="1:28" ht="6" customHeight="1" x14ac:dyDescent="0.3">
      <c r="C140" s="65"/>
    </row>
    <row r="141" spans="1:28" ht="15" customHeight="1" x14ac:dyDescent="0.3">
      <c r="A141" s="75">
        <v>46162</v>
      </c>
      <c r="B141" s="113" t="s">
        <v>49</v>
      </c>
      <c r="C141" s="112" t="s">
        <v>176</v>
      </c>
      <c r="D141" s="111" t="s">
        <v>177</v>
      </c>
      <c r="E141" s="111" t="s">
        <v>178</v>
      </c>
      <c r="F141" s="860" t="s">
        <v>179</v>
      </c>
      <c r="G141" s="111" t="s">
        <v>180</v>
      </c>
      <c r="H141" s="111" t="s">
        <v>181</v>
      </c>
      <c r="I141" s="111" t="s">
        <v>182</v>
      </c>
    </row>
    <row r="142" spans="1:28" ht="21" customHeight="1" x14ac:dyDescent="0.3">
      <c r="A142" s="120"/>
      <c r="B142" s="109" t="s">
        <v>25</v>
      </c>
      <c r="C142" s="108">
        <v>400</v>
      </c>
      <c r="D142" s="104">
        <f>D136-H136</f>
        <v>411</v>
      </c>
      <c r="E142" s="107" t="s">
        <v>184</v>
      </c>
      <c r="F142" s="871">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125</v>
      </c>
      <c r="G142" s="106">
        <f>IFERROR(ROUNDUP(D142/F142,0),"")</f>
        <v>4</v>
      </c>
      <c r="H142" s="105">
        <v>536</v>
      </c>
      <c r="I142" s="104">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6432</v>
      </c>
    </row>
    <row r="143" spans="1:28" ht="21" customHeight="1" x14ac:dyDescent="0.3">
      <c r="A143" s="120"/>
      <c r="B143" s="109" t="s">
        <v>595</v>
      </c>
      <c r="C143" s="108">
        <v>400</v>
      </c>
      <c r="D143" s="104">
        <v>250</v>
      </c>
      <c r="E143" s="107" t="s">
        <v>184</v>
      </c>
      <c r="F143" s="871">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125</v>
      </c>
      <c r="G143" s="106">
        <f>IFERROR(ROUNDUP(D143/F143,0),"")</f>
        <v>2</v>
      </c>
      <c r="H143" s="105">
        <v>251</v>
      </c>
      <c r="I143" s="104">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3012</v>
      </c>
    </row>
    <row r="144" spans="1:28" ht="21" customHeight="1" x14ac:dyDescent="0.3">
      <c r="A144" s="120"/>
      <c r="B144" s="109" t="s">
        <v>596</v>
      </c>
      <c r="C144" s="108">
        <v>400</v>
      </c>
      <c r="D144" s="104">
        <v>375</v>
      </c>
      <c r="E144" s="107" t="s">
        <v>184</v>
      </c>
      <c r="F144" s="871">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125</v>
      </c>
      <c r="G144" s="106">
        <f>IFERROR(ROUNDUP(D144/F144,0),"")</f>
        <v>3</v>
      </c>
      <c r="H144" s="105">
        <v>340</v>
      </c>
      <c r="I144" s="104">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4080</v>
      </c>
    </row>
    <row r="145" spans="1:15" ht="21" customHeight="1" x14ac:dyDescent="0.3">
      <c r="A145" s="120"/>
      <c r="B145" s="109"/>
      <c r="C145" s="108"/>
      <c r="D145" s="104"/>
      <c r="E145" s="107" t="s">
        <v>184</v>
      </c>
      <c r="F145" s="871" t="str">
        <f>IF($B145="","",IF(SUMIFS(CONFIG_PALETES!$C:$C,CONFIG_PALETES!$A:$A,TRIM($B145),CONFIG_PALETES!$B:$B,$C145&amp;" ml")&gt;0,SUMIFS(CONFIG_PALETES!$C:$C,CONFIG_PALETES!$A:$A,TRIM($B145),CONFIG_PALETES!$B:$B,$C145&amp;" ml"),IF(SUMIFS(CONFIG_PALETES!$C:$C,CONFIG_PALETES!$A:$A,"GERAL",CONFIG_PALETES!$B:$B,$C145&amp;" ml")&gt;0,SUMIFS(CONFIG_PALETES!$C:$C,CONFIG_PALETES!$A:$A,"GERAL",CONFIG_PALETES!$B:$B,$C145&amp;" ml"),"")))</f>
        <v/>
      </c>
      <c r="G145" s="106" t="str">
        <f>IFERROR(ROUNDUP(D145/F145,0),"")</f>
        <v/>
      </c>
      <c r="H145" s="105"/>
      <c r="I145" s="104" t="str">
        <f>IF(H145="","",H145*IF(SUMIFS(CONFIG_PALETES!$D:$D,CONFIG_PALETES!$A:$A,IF(ISNUMBER(SEARCH("ESPUMA",$B145)),"ESPUMA",IF(OR(ISNUMBER(SEARCH("OLEO DE COCO",$B145)),ISNUMBER(SEARCH("ÓLEO DE COCO",$B145)),ISNUMBER(SEARCH("COPRA",$B145))),"ÓLEO DE COCO",IF(ISNUMBER(SEARCH("CORANTE",$B145)),"CORANTE",TRIM($B145)))),CONFIG_PALETES!$B:$B,$C145&amp;" ml")&gt;0,SUMIFS(CONFIG_PALETES!$D:$D,CONFIG_PALETES!$A:$A,IF(ISNUMBER(SEARCH("ESPUMA",$B145)),"ESPUMA",IF(OR(ISNUMBER(SEARCH("OLEO DE COCO",$B145)),ISNUMBER(SEARCH("ÓLEO DE COCO",$B145)),ISNUMBER(SEARCH("COPRA",$B145))),"ÓLEO DE COCO",IF(ISNUMBER(SEARCH("CORANTE",$B145)),"CORANTE",TRIM($B145)))),CONFIG_PALETES!$B:$B,$C145&amp;" ml"),IF(SUMIFS(CONFIG_PALETES!$D:$D,CONFIG_PALETES!$A:$A,"GERAL",CONFIG_PALETES!$B:$B,$C145&amp;" ml")&gt;0,SUMIFS(CONFIG_PALETES!$D:$D,CONFIG_PALETES!$A:$A,"GERAL",CONFIG_PALETES!$B:$B,$C145&amp;" ml"),12)))</f>
        <v/>
      </c>
    </row>
    <row r="146" spans="1:15" ht="21" customHeight="1" x14ac:dyDescent="0.3">
      <c r="A146" s="824"/>
      <c r="B146" s="818"/>
      <c r="C146" s="819"/>
      <c r="D146" s="820"/>
      <c r="E146" s="821" t="s">
        <v>184</v>
      </c>
      <c r="F146" s="872" t="str">
        <f>IF($B146="","",IF(SUMIFS(CONFIG_PALETES!$C:$C,CONFIG_PALETES!$A:$A,TRIM($B146),CONFIG_PALETES!$B:$B,$C146&amp;" ml")&gt;0,SUMIFS(CONFIG_PALETES!$C:$C,CONFIG_PALETES!$A:$A,TRIM($B146),CONFIG_PALETES!$B:$B,$C146&amp;" ml"),IF(SUMIFS(CONFIG_PALETES!$C:$C,CONFIG_PALETES!$A:$A,"GERAL",CONFIG_PALETES!$B:$B,$C146&amp;" ml")&gt;0,SUMIFS(CONFIG_PALETES!$C:$C,CONFIG_PALETES!$A:$A,"GERAL",CONFIG_PALETES!$B:$B,$C146&amp;" ml"),"")))</f>
        <v/>
      </c>
      <c r="G146" s="822" t="str">
        <f>IFERROR(ROUNDUP(D146/F146,0),"")</f>
        <v/>
      </c>
      <c r="H146" s="823"/>
      <c r="I146" s="820" t="str">
        <f>IF(H146="","",H146*IF(SUMIFS(CONFIG_PALETES!$D:$D,CONFIG_PALETES!$A:$A,IF(ISNUMBER(SEARCH("ESPUMA",$B146)),"ESPUMA",IF(OR(ISNUMBER(SEARCH("OLEO DE COCO",$B146)),ISNUMBER(SEARCH("ÓLEO DE COCO",$B146)),ISNUMBER(SEARCH("COPRA",$B146))),"ÓLEO DE COCO",IF(ISNUMBER(SEARCH("CORANTE",$B146)),"CORANTE",TRIM($B146)))),CONFIG_PALETES!$B:$B,$C146&amp;" ml")&gt;0,SUMIFS(CONFIG_PALETES!$D:$D,CONFIG_PALETES!$A:$A,IF(ISNUMBER(SEARCH("ESPUMA",$B146)),"ESPUMA",IF(OR(ISNUMBER(SEARCH("OLEO DE COCO",$B146)),ISNUMBER(SEARCH("ÓLEO DE COCO",$B146)),ISNUMBER(SEARCH("COPRA",$B146))),"ÓLEO DE COCO",IF(ISNUMBER(SEARCH("CORANTE",$B146)),"CORANTE",TRIM($B146)))),CONFIG_PALETES!$B:$B,$C146&amp;" ml"),IF(SUMIFS(CONFIG_PALETES!$D:$D,CONFIG_PALETES!$A:$A,"GERAL",CONFIG_PALETES!$B:$B,$C146&amp;" ml")&gt;0,SUMIFS(CONFIG_PALETES!$D:$D,CONFIG_PALETES!$A:$A,"GERAL",CONFIG_PALETES!$B:$B,$C146&amp;" ml"),12)))</f>
        <v/>
      </c>
    </row>
    <row r="147" spans="1:15" ht="15" customHeight="1" x14ac:dyDescent="0.3">
      <c r="A147" s="899"/>
      <c r="B147" s="846" t="s">
        <v>186</v>
      </c>
      <c r="C147" s="847"/>
      <c r="D147" s="848">
        <f>SUM(D140:D146)</f>
        <v>1036</v>
      </c>
      <c r="E147" s="849"/>
      <c r="F147" s="856" t="s">
        <v>1400</v>
      </c>
      <c r="G147" s="850">
        <f>SUM(G140:G146)</f>
        <v>9</v>
      </c>
      <c r="H147" s="848">
        <f>SUM(H140:H146)</f>
        <v>1127</v>
      </c>
      <c r="I147" s="848">
        <f>SUM(I142:I146)</f>
        <v>13524</v>
      </c>
      <c r="J147" s="63">
        <f>D147</f>
        <v>1036</v>
      </c>
      <c r="K147" s="93">
        <f>G147</f>
        <v>9</v>
      </c>
      <c r="L147" s="63">
        <f>H147</f>
        <v>1127</v>
      </c>
      <c r="M147" s="63">
        <f>I147</f>
        <v>13524</v>
      </c>
      <c r="N147" s="587" cm="1">
        <f t="array" ref="N147">IF(H147=0,"",SUMPRODUCT(IFERROR(INT(H142:H146/F142:F146),0)))</f>
        <v>8</v>
      </c>
      <c r="O147" s="770">
        <f>IF(N147="","",MAX(0,G147-N147))</f>
        <v>1</v>
      </c>
    </row>
    <row r="148" spans="1:15" ht="6" customHeight="1" x14ac:dyDescent="0.3">
      <c r="C148" s="65"/>
    </row>
    <row r="149" spans="1:15" ht="15" customHeight="1" x14ac:dyDescent="0.3">
      <c r="A149" s="75">
        <v>46163</v>
      </c>
      <c r="B149" s="113" t="s">
        <v>49</v>
      </c>
      <c r="C149" s="112" t="s">
        <v>176</v>
      </c>
      <c r="D149" s="111" t="s">
        <v>177</v>
      </c>
      <c r="E149" s="111" t="s">
        <v>178</v>
      </c>
      <c r="F149" s="860" t="s">
        <v>179</v>
      </c>
      <c r="G149" s="111" t="s">
        <v>180</v>
      </c>
      <c r="H149" s="111" t="s">
        <v>181</v>
      </c>
      <c r="I149" s="111" t="s">
        <v>182</v>
      </c>
    </row>
    <row r="150" spans="1:15" ht="21" customHeight="1" x14ac:dyDescent="0.3">
      <c r="A150" s="120"/>
      <c r="B150" s="109" t="s">
        <v>596</v>
      </c>
      <c r="C150" s="108">
        <v>400</v>
      </c>
      <c r="D150" s="104">
        <f>D144-H144</f>
        <v>35</v>
      </c>
      <c r="E150" s="107" t="s">
        <v>184</v>
      </c>
      <c r="F150" s="871">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125</v>
      </c>
      <c r="G150" s="106">
        <f>IFERROR(ROUNDUP(D150/F150,0),"")</f>
        <v>1</v>
      </c>
      <c r="H150" s="105">
        <v>37</v>
      </c>
      <c r="I150" s="104">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444</v>
      </c>
    </row>
    <row r="151" spans="1:15" ht="21" customHeight="1" x14ac:dyDescent="0.3">
      <c r="A151" s="120"/>
      <c r="B151" s="109" t="s">
        <v>597</v>
      </c>
      <c r="C151" s="108">
        <v>400</v>
      </c>
      <c r="D151" s="104">
        <v>2060</v>
      </c>
      <c r="E151" s="107" t="s">
        <v>184</v>
      </c>
      <c r="F151" s="871">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125</v>
      </c>
      <c r="G151" s="106">
        <f>IFERROR(ROUNDUP(D151/F151,0),"")</f>
        <v>17</v>
      </c>
      <c r="H151" s="105">
        <v>1534</v>
      </c>
      <c r="I151" s="104">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18408</v>
      </c>
    </row>
    <row r="152" spans="1:15" ht="21" customHeight="1" x14ac:dyDescent="0.3">
      <c r="A152" s="120"/>
      <c r="B152" s="109"/>
      <c r="C152" s="108"/>
      <c r="D152" s="104"/>
      <c r="E152" s="107" t="s">
        <v>184</v>
      </c>
      <c r="F152" s="871"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106" t="str">
        <f>IFERROR(ROUNDUP(D152/F152,0),"")</f>
        <v/>
      </c>
      <c r="H152" s="105"/>
      <c r="I152" s="104"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row>
    <row r="153" spans="1:15" ht="21" customHeight="1" x14ac:dyDescent="0.3">
      <c r="A153" s="120"/>
      <c r="B153" s="109"/>
      <c r="C153" s="108"/>
      <c r="D153" s="104"/>
      <c r="E153" s="107" t="s">
        <v>184</v>
      </c>
      <c r="F153" s="871" t="str">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
      </c>
      <c r="G153" s="106" t="str">
        <f>IFERROR(ROUNDUP(D153/F153,0),"")</f>
        <v/>
      </c>
      <c r="H153" s="105"/>
      <c r="I153" s="104" t="str">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
      </c>
    </row>
    <row r="154" spans="1:15" ht="21" customHeight="1" x14ac:dyDescent="0.3">
      <c r="A154" s="824"/>
      <c r="B154" s="818"/>
      <c r="C154" s="819"/>
      <c r="D154" s="820"/>
      <c r="E154" s="821" t="s">
        <v>184</v>
      </c>
      <c r="F154" s="872" t="str">
        <f>IF($B154="","",IF(SUMIFS(CONFIG_PALETES!$C:$C,CONFIG_PALETES!$A:$A,TRIM($B154),CONFIG_PALETES!$B:$B,$C154&amp;" ml")&gt;0,SUMIFS(CONFIG_PALETES!$C:$C,CONFIG_PALETES!$A:$A,TRIM($B154),CONFIG_PALETES!$B:$B,$C154&amp;" ml"),IF(SUMIFS(CONFIG_PALETES!$C:$C,CONFIG_PALETES!$A:$A,"GERAL",CONFIG_PALETES!$B:$B,$C154&amp;" ml")&gt;0,SUMIFS(CONFIG_PALETES!$C:$C,CONFIG_PALETES!$A:$A,"GERAL",CONFIG_PALETES!$B:$B,$C154&amp;" ml"),"")))</f>
        <v/>
      </c>
      <c r="G154" s="822" t="str">
        <f>IFERROR(ROUNDUP(D154/F154,0),"")</f>
        <v/>
      </c>
      <c r="H154" s="823"/>
      <c r="I154" s="820" t="str">
        <f>IF(H154="","",H154*IF(SUMIFS(CONFIG_PALETES!$D:$D,CONFIG_PALETES!$A:$A,IF(ISNUMBER(SEARCH("ESPUMA",$B154)),"ESPUMA",IF(OR(ISNUMBER(SEARCH("OLEO DE COCO",$B154)),ISNUMBER(SEARCH("ÓLEO DE COCO",$B154)),ISNUMBER(SEARCH("COPRA",$B154))),"ÓLEO DE COCO",IF(ISNUMBER(SEARCH("CORANTE",$B154)),"CORANTE",TRIM($B154)))),CONFIG_PALETES!$B:$B,$C154&amp;" ml")&gt;0,SUMIFS(CONFIG_PALETES!$D:$D,CONFIG_PALETES!$A:$A,IF(ISNUMBER(SEARCH("ESPUMA",$B154)),"ESPUMA",IF(OR(ISNUMBER(SEARCH("OLEO DE COCO",$B154)),ISNUMBER(SEARCH("ÓLEO DE COCO",$B154)),ISNUMBER(SEARCH("COPRA",$B154))),"ÓLEO DE COCO",IF(ISNUMBER(SEARCH("CORANTE",$B154)),"CORANTE",TRIM($B154)))),CONFIG_PALETES!$B:$B,$C154&amp;" ml"),IF(SUMIFS(CONFIG_PALETES!$D:$D,CONFIG_PALETES!$A:$A,"GERAL",CONFIG_PALETES!$B:$B,$C154&amp;" ml")&gt;0,SUMIFS(CONFIG_PALETES!$D:$D,CONFIG_PALETES!$A:$A,"GERAL",CONFIG_PALETES!$B:$B,$C154&amp;" ml"),12)))</f>
        <v/>
      </c>
    </row>
    <row r="155" spans="1:15" ht="15" customHeight="1" x14ac:dyDescent="0.3">
      <c r="A155" s="899"/>
      <c r="B155" s="846" t="s">
        <v>186</v>
      </c>
      <c r="C155" s="847"/>
      <c r="D155" s="848">
        <f>SUM(D148:D154)</f>
        <v>2095</v>
      </c>
      <c r="E155" s="849"/>
      <c r="F155" s="856" t="s">
        <v>1400</v>
      </c>
      <c r="G155" s="850">
        <f>SUM(G148:G154)</f>
        <v>18</v>
      </c>
      <c r="H155" s="848">
        <f>SUM(H148:H154)</f>
        <v>1571</v>
      </c>
      <c r="I155" s="848">
        <f>SUM(I150:I154)</f>
        <v>18852</v>
      </c>
      <c r="J155" s="63">
        <f>D155</f>
        <v>2095</v>
      </c>
      <c r="K155" s="93">
        <f>G155</f>
        <v>18</v>
      </c>
      <c r="L155" s="63">
        <f>H155</f>
        <v>1571</v>
      </c>
      <c r="M155" s="63">
        <f>I155</f>
        <v>18852</v>
      </c>
      <c r="N155" s="587" cm="1">
        <f t="array" ref="N155">IF(H155=0,"",SUMPRODUCT(IFERROR(INT(H150:H154/F150:F154),0)))</f>
        <v>12</v>
      </c>
      <c r="O155" s="770">
        <f>IF(N155="","",MAX(0,G155-N155))</f>
        <v>6</v>
      </c>
    </row>
    <row r="156" spans="1:15" ht="6" customHeight="1" x14ac:dyDescent="0.3">
      <c r="C156" s="65"/>
    </row>
    <row r="157" spans="1:15" ht="15" customHeight="1" x14ac:dyDescent="0.3">
      <c r="A157" s="75">
        <v>46164</v>
      </c>
      <c r="B157" s="113" t="s">
        <v>49</v>
      </c>
      <c r="C157" s="112" t="s">
        <v>176</v>
      </c>
      <c r="D157" s="111" t="s">
        <v>177</v>
      </c>
      <c r="E157" s="111" t="s">
        <v>178</v>
      </c>
      <c r="F157" s="860" t="s">
        <v>179</v>
      </c>
      <c r="G157" s="111" t="s">
        <v>180</v>
      </c>
      <c r="H157" s="111" t="s">
        <v>181</v>
      </c>
      <c r="I157" s="111" t="s">
        <v>182</v>
      </c>
    </row>
    <row r="158" spans="1:15" ht="21" customHeight="1" x14ac:dyDescent="0.3">
      <c r="A158" s="120"/>
      <c r="B158" s="109" t="s">
        <v>597</v>
      </c>
      <c r="C158" s="108">
        <v>400</v>
      </c>
      <c r="D158" s="104">
        <f>D151-H151</f>
        <v>526</v>
      </c>
      <c r="E158" s="107" t="s">
        <v>184</v>
      </c>
      <c r="F158" s="871">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125</v>
      </c>
      <c r="G158" s="106">
        <f t="shared" ref="G158:G163" si="6">IFERROR(ROUNDUP(D158/F158,0),"")</f>
        <v>5</v>
      </c>
      <c r="H158" s="105">
        <v>527</v>
      </c>
      <c r="I158" s="104">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6324</v>
      </c>
    </row>
    <row r="159" spans="1:15" ht="21" customHeight="1" x14ac:dyDescent="0.3">
      <c r="A159" s="12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 t="shared" si="6"/>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120"/>
      <c r="B160" s="109"/>
      <c r="C160" s="108"/>
      <c r="D160" s="104"/>
      <c r="E160" s="107" t="s">
        <v>184</v>
      </c>
      <c r="F160" s="871"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106" t="str">
        <f t="shared" si="6"/>
        <v/>
      </c>
      <c r="H160" s="105"/>
      <c r="I160" s="104"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21" customHeight="1" x14ac:dyDescent="0.3">
      <c r="A161" s="120"/>
      <c r="B161" s="109"/>
      <c r="C161" s="108"/>
      <c r="D161" s="104"/>
      <c r="E161" s="107" t="s">
        <v>184</v>
      </c>
      <c r="F161" s="871" t="str">
        <f>IF($B161="","",IF(SUMIFS(CONFIG_PALETES!$C:$C,CONFIG_PALETES!$A:$A,TRIM($B161),CONFIG_PALETES!$B:$B,$C161&amp;" ml")&gt;0,SUMIFS(CONFIG_PALETES!$C:$C,CONFIG_PALETES!$A:$A,TRIM($B161),CONFIG_PALETES!$B:$B,$C161&amp;" ml"),IF(SUMIFS(CONFIG_PALETES!$C:$C,CONFIG_PALETES!$A:$A,"GERAL",CONFIG_PALETES!$B:$B,$C161&amp;" ml")&gt;0,SUMIFS(CONFIG_PALETES!$C:$C,CONFIG_PALETES!$A:$A,"GERAL",CONFIG_PALETES!$B:$B,$C161&amp;" ml"),"")))</f>
        <v/>
      </c>
      <c r="G161" s="106" t="str">
        <f t="shared" si="6"/>
        <v/>
      </c>
      <c r="H161" s="105"/>
      <c r="I161" s="104" t="str">
        <f>IF(H161="","",H161*IF(SUMIFS(CONFIG_PALETES!$D:$D,CONFIG_PALETES!$A:$A,IF(ISNUMBER(SEARCH("ESPUMA",$B161)),"ESPUMA",IF(OR(ISNUMBER(SEARCH("OLEO DE COCO",$B161)),ISNUMBER(SEARCH("ÓLEO DE COCO",$B161)),ISNUMBER(SEARCH("COPRA",$B161))),"ÓLEO DE COCO",IF(ISNUMBER(SEARCH("CORANTE",$B161)),"CORANTE",TRIM($B161)))),CONFIG_PALETES!$B:$B,$C161&amp;" ml")&gt;0,SUMIFS(CONFIG_PALETES!$D:$D,CONFIG_PALETES!$A:$A,IF(ISNUMBER(SEARCH("ESPUMA",$B161)),"ESPUMA",IF(OR(ISNUMBER(SEARCH("OLEO DE COCO",$B161)),ISNUMBER(SEARCH("ÓLEO DE COCO",$B161)),ISNUMBER(SEARCH("COPRA",$B161))),"ÓLEO DE COCO",IF(ISNUMBER(SEARCH("CORANTE",$B161)),"CORANTE",TRIM($B161)))),CONFIG_PALETES!$B:$B,$C161&amp;" ml"),IF(SUMIFS(CONFIG_PALETES!$D:$D,CONFIG_PALETES!$A:$A,"GERAL",CONFIG_PALETES!$B:$B,$C161&amp;" ml")&gt;0,SUMIFS(CONFIG_PALETES!$D:$D,CONFIG_PALETES!$A:$A,"GERAL",CONFIG_PALETES!$B:$B,$C161&amp;" ml"),12)))</f>
        <v/>
      </c>
    </row>
    <row r="162" spans="1:15" ht="21" customHeight="1" x14ac:dyDescent="0.3">
      <c r="A162" s="120"/>
      <c r="B162" s="109"/>
      <c r="C162" s="108"/>
      <c r="D162" s="104"/>
      <c r="E162" s="107" t="s">
        <v>184</v>
      </c>
      <c r="F162" s="871" t="str">
        <f>IF($B162="","",IF(SUMIFS(CONFIG_PALETES!$C:$C,CONFIG_PALETES!$A:$A,TRIM($B162),CONFIG_PALETES!$B:$B,$C162&amp;" ml")&gt;0,SUMIFS(CONFIG_PALETES!$C:$C,CONFIG_PALETES!$A:$A,TRIM($B162),CONFIG_PALETES!$B:$B,$C162&amp;" ml"),IF(SUMIFS(CONFIG_PALETES!$C:$C,CONFIG_PALETES!$A:$A,"GERAL",CONFIG_PALETES!$B:$B,$C162&amp;" ml")&gt;0,SUMIFS(CONFIG_PALETES!$C:$C,CONFIG_PALETES!$A:$A,"GERAL",CONFIG_PALETES!$B:$B,$C162&amp;" ml"),"")))</f>
        <v/>
      </c>
      <c r="G162" s="106" t="str">
        <f t="shared" si="6"/>
        <v/>
      </c>
      <c r="H162" s="105"/>
      <c r="I162" s="104" t="str">
        <f>IF(H162="","",H162*IF(SUMIFS(CONFIG_PALETES!$D:$D,CONFIG_PALETES!$A:$A,IF(ISNUMBER(SEARCH("ESPUMA",$B162)),"ESPUMA",IF(OR(ISNUMBER(SEARCH("OLEO DE COCO",$B162)),ISNUMBER(SEARCH("ÓLEO DE COCO",$B162)),ISNUMBER(SEARCH("COPRA",$B162))),"ÓLEO DE COCO",IF(ISNUMBER(SEARCH("CORANTE",$B162)),"CORANTE",TRIM($B162)))),CONFIG_PALETES!$B:$B,$C162&amp;" ml")&gt;0,SUMIFS(CONFIG_PALETES!$D:$D,CONFIG_PALETES!$A:$A,IF(ISNUMBER(SEARCH("ESPUMA",$B162)),"ESPUMA",IF(OR(ISNUMBER(SEARCH("OLEO DE COCO",$B162)),ISNUMBER(SEARCH("ÓLEO DE COCO",$B162)),ISNUMBER(SEARCH("COPRA",$B162))),"ÓLEO DE COCO",IF(ISNUMBER(SEARCH("CORANTE",$B162)),"CORANTE",TRIM($B162)))),CONFIG_PALETES!$B:$B,$C162&amp;" ml"),IF(SUMIFS(CONFIG_PALETES!$D:$D,CONFIG_PALETES!$A:$A,"GERAL",CONFIG_PALETES!$B:$B,$C162&amp;" ml")&gt;0,SUMIFS(CONFIG_PALETES!$D:$D,CONFIG_PALETES!$A:$A,"GERAL",CONFIG_PALETES!$B:$B,$C162&amp;" ml"),12)))</f>
        <v/>
      </c>
    </row>
    <row r="163" spans="1:15" ht="21" customHeight="1" x14ac:dyDescent="0.3">
      <c r="A163" s="824"/>
      <c r="B163" s="818"/>
      <c r="C163" s="819"/>
      <c r="D163" s="820"/>
      <c r="E163" s="821" t="s">
        <v>184</v>
      </c>
      <c r="F163" s="872" t="str">
        <f>IF($B163="","",IF(SUMIFS(CONFIG_PALETES!$C:$C,CONFIG_PALETES!$A:$A,TRIM($B163),CONFIG_PALETES!$B:$B,$C163&amp;" ml")&gt;0,SUMIFS(CONFIG_PALETES!$C:$C,CONFIG_PALETES!$A:$A,TRIM($B163),CONFIG_PALETES!$B:$B,$C163&amp;" ml"),IF(SUMIFS(CONFIG_PALETES!$C:$C,CONFIG_PALETES!$A:$A,"GERAL",CONFIG_PALETES!$B:$B,$C163&amp;" ml")&gt;0,SUMIFS(CONFIG_PALETES!$C:$C,CONFIG_PALETES!$A:$A,"GERAL",CONFIG_PALETES!$B:$B,$C163&amp;" ml"),"")))</f>
        <v/>
      </c>
      <c r="G163" s="822" t="str">
        <f t="shared" si="6"/>
        <v/>
      </c>
      <c r="H163" s="823"/>
      <c r="I163" s="820" t="str">
        <f>IF(H163="","",H163*IF(SUMIFS(CONFIG_PALETES!$D:$D,CONFIG_PALETES!$A:$A,IF(ISNUMBER(SEARCH("ESPUMA",$B163)),"ESPUMA",IF(OR(ISNUMBER(SEARCH("OLEO DE COCO",$B163)),ISNUMBER(SEARCH("ÓLEO DE COCO",$B163)),ISNUMBER(SEARCH("COPRA",$B163))),"ÓLEO DE COCO",IF(ISNUMBER(SEARCH("CORANTE",$B163)),"CORANTE",TRIM($B163)))),CONFIG_PALETES!$B:$B,$C163&amp;" ml")&gt;0,SUMIFS(CONFIG_PALETES!$D:$D,CONFIG_PALETES!$A:$A,IF(ISNUMBER(SEARCH("ESPUMA",$B163)),"ESPUMA",IF(OR(ISNUMBER(SEARCH("OLEO DE COCO",$B163)),ISNUMBER(SEARCH("ÓLEO DE COCO",$B163)),ISNUMBER(SEARCH("COPRA",$B163))),"ÓLEO DE COCO",IF(ISNUMBER(SEARCH("CORANTE",$B163)),"CORANTE",TRIM($B163)))),CONFIG_PALETES!$B:$B,$C163&amp;" ml"),IF(SUMIFS(CONFIG_PALETES!$D:$D,CONFIG_PALETES!$A:$A,"GERAL",CONFIG_PALETES!$B:$B,$C163&amp;" ml")&gt;0,SUMIFS(CONFIG_PALETES!$D:$D,CONFIG_PALETES!$A:$A,"GERAL",CONFIG_PALETES!$B:$B,$C163&amp;" ml"),12)))</f>
        <v/>
      </c>
    </row>
    <row r="164" spans="1:15" ht="15" customHeight="1" x14ac:dyDescent="0.3">
      <c r="A164" s="899"/>
      <c r="B164" s="846" t="s">
        <v>186</v>
      </c>
      <c r="C164" s="847"/>
      <c r="D164" s="848">
        <f>SUM(D156:D163)</f>
        <v>526</v>
      </c>
      <c r="E164" s="849"/>
      <c r="F164" s="856" t="s">
        <v>1400</v>
      </c>
      <c r="G164" s="850">
        <f>SUM(G156:G163)</f>
        <v>5</v>
      </c>
      <c r="H164" s="848">
        <f>SUM(H156:H163)</f>
        <v>527</v>
      </c>
      <c r="I164" s="848">
        <f>SUM(I156:I163)</f>
        <v>6324</v>
      </c>
      <c r="J164" s="63">
        <f>D164</f>
        <v>526</v>
      </c>
      <c r="K164" s="93">
        <f>G164</f>
        <v>5</v>
      </c>
      <c r="L164" s="63">
        <f>H164</f>
        <v>527</v>
      </c>
      <c r="M164" s="63">
        <f>I164</f>
        <v>6324</v>
      </c>
      <c r="N164" s="587" cm="1">
        <f t="array" ref="N164">IF(H164=0,"",SUMPRODUCT(IFERROR(INT(H158:H163/F158:F163),0)))</f>
        <v>4</v>
      </c>
      <c r="O164" s="770">
        <f>IF(N164="","",MAX(0,G164-N164))</f>
        <v>1</v>
      </c>
    </row>
    <row r="165" spans="1:15" ht="6" customHeight="1" x14ac:dyDescent="0.3">
      <c r="C165" s="65"/>
    </row>
    <row r="166" spans="1:15" ht="15" customHeight="1" x14ac:dyDescent="0.3">
      <c r="A166" s="75">
        <v>46165</v>
      </c>
      <c r="B166" s="113" t="s">
        <v>49</v>
      </c>
      <c r="C166" s="112" t="s">
        <v>176</v>
      </c>
      <c r="D166" s="111" t="s">
        <v>177</v>
      </c>
      <c r="E166" s="111" t="s">
        <v>178</v>
      </c>
      <c r="F166" s="860" t="s">
        <v>179</v>
      </c>
      <c r="G166" s="111" t="s">
        <v>180</v>
      </c>
      <c r="H166" s="111" t="s">
        <v>181</v>
      </c>
      <c r="I166" s="111" t="s">
        <v>182</v>
      </c>
    </row>
    <row r="167" spans="1:15" ht="21" customHeight="1" x14ac:dyDescent="0.3">
      <c r="A167" s="120"/>
      <c r="B167" s="109" t="s">
        <v>571</v>
      </c>
      <c r="C167" s="108">
        <v>400</v>
      </c>
      <c r="D167" s="104">
        <v>1650</v>
      </c>
      <c r="E167" s="107" t="s">
        <v>184</v>
      </c>
      <c r="F167" s="871">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125</v>
      </c>
      <c r="G167" s="106">
        <f>IFERROR(ROUNDUP(D167/F167,0),"")</f>
        <v>14</v>
      </c>
      <c r="H167" s="105">
        <v>875</v>
      </c>
      <c r="I167" s="104">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10500</v>
      </c>
    </row>
    <row r="168" spans="1:15" ht="21" customHeight="1" x14ac:dyDescent="0.3">
      <c r="A168" s="120"/>
      <c r="B168" s="109"/>
      <c r="C168" s="108"/>
      <c r="D168" s="104"/>
      <c r="E168" s="107" t="s">
        <v>184</v>
      </c>
      <c r="F168" s="871"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106" t="str">
        <f>IFERROR(ROUNDUP(D168/F168,0),"")</f>
        <v/>
      </c>
      <c r="H168" s="105"/>
      <c r="I168" s="10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21" customHeight="1" x14ac:dyDescent="0.3">
      <c r="A169" s="120"/>
      <c r="B169" s="109"/>
      <c r="C169" s="108"/>
      <c r="D169" s="104"/>
      <c r="E169" s="107" t="s">
        <v>184</v>
      </c>
      <c r="F169" s="871"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106" t="str">
        <f>IFERROR(ROUNDUP(D169/F169,0),"")</f>
        <v/>
      </c>
      <c r="H169" s="105"/>
      <c r="I169" s="104"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row>
    <row r="170" spans="1:15" ht="21" customHeight="1" x14ac:dyDescent="0.3">
      <c r="A170" s="120"/>
      <c r="B170" s="109"/>
      <c r="C170" s="108"/>
      <c r="D170" s="104"/>
      <c r="E170" s="107" t="s">
        <v>184</v>
      </c>
      <c r="F170" s="871" t="str">
        <f>IF($B170="","",IF(SUMIFS(CONFIG_PALETES!$C:$C,CONFIG_PALETES!$A:$A,TRIM($B170),CONFIG_PALETES!$B:$B,$C170&amp;" ml")&gt;0,SUMIFS(CONFIG_PALETES!$C:$C,CONFIG_PALETES!$A:$A,TRIM($B170),CONFIG_PALETES!$B:$B,$C170&amp;" ml"),IF(SUMIFS(CONFIG_PALETES!$C:$C,CONFIG_PALETES!$A:$A,"GERAL",CONFIG_PALETES!$B:$B,$C170&amp;" ml")&gt;0,SUMIFS(CONFIG_PALETES!$C:$C,CONFIG_PALETES!$A:$A,"GERAL",CONFIG_PALETES!$B:$B,$C170&amp;" ml"),"")))</f>
        <v/>
      </c>
      <c r="G170" s="106" t="str">
        <f>IFERROR(ROUNDUP(D170/F170,0),"")</f>
        <v/>
      </c>
      <c r="H170" s="105"/>
      <c r="I170" s="104" t="str">
        <f>IF(H170="","",H170*IF(SUMIFS(CONFIG_PALETES!$D:$D,CONFIG_PALETES!$A:$A,IF(ISNUMBER(SEARCH("ESPUMA",$B170)),"ESPUMA",IF(OR(ISNUMBER(SEARCH("OLEO DE COCO",$B170)),ISNUMBER(SEARCH("ÓLEO DE COCO",$B170)),ISNUMBER(SEARCH("COPRA",$B170))),"ÓLEO DE COCO",IF(ISNUMBER(SEARCH("CORANTE",$B170)),"CORANTE",TRIM($B170)))),CONFIG_PALETES!$B:$B,$C170&amp;" ml")&gt;0,SUMIFS(CONFIG_PALETES!$D:$D,CONFIG_PALETES!$A:$A,IF(ISNUMBER(SEARCH("ESPUMA",$B170)),"ESPUMA",IF(OR(ISNUMBER(SEARCH("OLEO DE COCO",$B170)),ISNUMBER(SEARCH("ÓLEO DE COCO",$B170)),ISNUMBER(SEARCH("COPRA",$B170))),"ÓLEO DE COCO",IF(ISNUMBER(SEARCH("CORANTE",$B170)),"CORANTE",TRIM($B170)))),CONFIG_PALETES!$B:$B,$C170&amp;" ml"),IF(SUMIFS(CONFIG_PALETES!$D:$D,CONFIG_PALETES!$A:$A,"GERAL",CONFIG_PALETES!$B:$B,$C170&amp;" ml")&gt;0,SUMIFS(CONFIG_PALETES!$D:$D,CONFIG_PALETES!$A:$A,"GERAL",CONFIG_PALETES!$B:$B,$C170&amp;" ml"),12)))</f>
        <v/>
      </c>
    </row>
    <row r="171" spans="1:15" ht="21" customHeight="1" x14ac:dyDescent="0.3">
      <c r="A171" s="824"/>
      <c r="B171" s="818"/>
      <c r="C171" s="819"/>
      <c r="D171" s="820"/>
      <c r="E171" s="821" t="s">
        <v>184</v>
      </c>
      <c r="F171" s="872" t="str">
        <f>IF($B171="","",IF(SUMIFS(CONFIG_PALETES!$C:$C,CONFIG_PALETES!$A:$A,TRIM($B171),CONFIG_PALETES!$B:$B,$C171&amp;" ml")&gt;0,SUMIFS(CONFIG_PALETES!$C:$C,CONFIG_PALETES!$A:$A,TRIM($B171),CONFIG_PALETES!$B:$B,$C171&amp;" ml"),IF(SUMIFS(CONFIG_PALETES!$C:$C,CONFIG_PALETES!$A:$A,"GERAL",CONFIG_PALETES!$B:$B,$C171&amp;" ml")&gt;0,SUMIFS(CONFIG_PALETES!$C:$C,CONFIG_PALETES!$A:$A,"GERAL",CONFIG_PALETES!$B:$B,$C171&amp;" ml"),"")))</f>
        <v/>
      </c>
      <c r="G171" s="822" t="str">
        <f>IFERROR(ROUNDUP(D171/F171,0),"")</f>
        <v/>
      </c>
      <c r="H171" s="823"/>
      <c r="I171" s="820" t="str">
        <f>IF(H171="","",H171*IF(SUMIFS(CONFIG_PALETES!$D:$D,CONFIG_PALETES!$A:$A,IF(ISNUMBER(SEARCH("ESPUMA",$B171)),"ESPUMA",IF(OR(ISNUMBER(SEARCH("OLEO DE COCO",$B171)),ISNUMBER(SEARCH("ÓLEO DE COCO",$B171)),ISNUMBER(SEARCH("COPRA",$B171))),"ÓLEO DE COCO",IF(ISNUMBER(SEARCH("CORANTE",$B171)),"CORANTE",TRIM($B171)))),CONFIG_PALETES!$B:$B,$C171&amp;" ml")&gt;0,SUMIFS(CONFIG_PALETES!$D:$D,CONFIG_PALETES!$A:$A,IF(ISNUMBER(SEARCH("ESPUMA",$B171)),"ESPUMA",IF(OR(ISNUMBER(SEARCH("OLEO DE COCO",$B171)),ISNUMBER(SEARCH("ÓLEO DE COCO",$B171)),ISNUMBER(SEARCH("COPRA",$B171))),"ÓLEO DE COCO",IF(ISNUMBER(SEARCH("CORANTE",$B171)),"CORANTE",TRIM($B171)))),CONFIG_PALETES!$B:$B,$C171&amp;" ml"),IF(SUMIFS(CONFIG_PALETES!$D:$D,CONFIG_PALETES!$A:$A,"GERAL",CONFIG_PALETES!$B:$B,$C171&amp;" ml")&gt;0,SUMIFS(CONFIG_PALETES!$D:$D,CONFIG_PALETES!$A:$A,"GERAL",CONFIG_PALETES!$B:$B,$C171&amp;" ml"),12)))</f>
        <v/>
      </c>
    </row>
    <row r="172" spans="1:15" ht="15" customHeight="1" x14ac:dyDescent="0.3">
      <c r="A172" s="899"/>
      <c r="B172" s="846" t="s">
        <v>186</v>
      </c>
      <c r="C172" s="847"/>
      <c r="D172" s="848">
        <f>SUM(D165:D171)</f>
        <v>1650</v>
      </c>
      <c r="E172" s="849"/>
      <c r="F172" s="856" t="s">
        <v>1400</v>
      </c>
      <c r="G172" s="850">
        <f>SUM(G165:G171)</f>
        <v>14</v>
      </c>
      <c r="H172" s="848">
        <f>SUM(H165:H171)</f>
        <v>875</v>
      </c>
      <c r="I172" s="848">
        <f>SUM(I165:I171)</f>
        <v>10500</v>
      </c>
      <c r="J172" s="63">
        <f>D172</f>
        <v>1650</v>
      </c>
      <c r="K172" s="93">
        <f>G172</f>
        <v>14</v>
      </c>
      <c r="L172" s="63">
        <f>H172</f>
        <v>875</v>
      </c>
      <c r="M172" s="63">
        <f>I172</f>
        <v>10500</v>
      </c>
      <c r="N172" s="587" cm="1">
        <f t="array" ref="N172">IF(H172=0,"",SUMPRODUCT(IFERROR(INT(H167:H171/F167:F171),0)))</f>
        <v>7</v>
      </c>
      <c r="O172" s="770">
        <f>IF(N172="","",MAX(0,G172-N172))</f>
        <v>7</v>
      </c>
    </row>
    <row r="173" spans="1:15" ht="6" customHeight="1" x14ac:dyDescent="0.3">
      <c r="C173" s="65"/>
    </row>
    <row r="174" spans="1:15" ht="15" customHeight="1" x14ac:dyDescent="0.3">
      <c r="A174" s="75">
        <v>46167</v>
      </c>
      <c r="B174" s="113" t="s">
        <v>49</v>
      </c>
      <c r="C174" s="112" t="s">
        <v>176</v>
      </c>
      <c r="D174" s="111" t="s">
        <v>177</v>
      </c>
      <c r="E174" s="111" t="s">
        <v>178</v>
      </c>
      <c r="F174" s="860" t="s">
        <v>179</v>
      </c>
      <c r="G174" s="111" t="s">
        <v>180</v>
      </c>
      <c r="H174" s="111" t="s">
        <v>181</v>
      </c>
      <c r="I174" s="111" t="s">
        <v>182</v>
      </c>
    </row>
    <row r="175" spans="1:15" ht="21" customHeight="1" x14ac:dyDescent="0.3">
      <c r="A175" s="120"/>
      <c r="B175" s="109" t="s">
        <v>571</v>
      </c>
      <c r="C175" s="108">
        <v>400</v>
      </c>
      <c r="D175" s="104">
        <f>D167-H167</f>
        <v>775</v>
      </c>
      <c r="E175" s="107" t="s">
        <v>184</v>
      </c>
      <c r="F175" s="871">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125</v>
      </c>
      <c r="G175" s="106">
        <f>IFERROR(ROUNDUP(D175/F175,0),"")</f>
        <v>7</v>
      </c>
      <c r="H175" s="105">
        <v>775</v>
      </c>
      <c r="I175" s="104">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9300</v>
      </c>
    </row>
    <row r="176" spans="1:15" ht="21" customHeight="1" x14ac:dyDescent="0.3">
      <c r="A176" s="120"/>
      <c r="B176" s="109" t="s">
        <v>149</v>
      </c>
      <c r="C176" s="108">
        <v>400</v>
      </c>
      <c r="D176" s="104">
        <v>240</v>
      </c>
      <c r="E176" s="107" t="s">
        <v>184</v>
      </c>
      <c r="F176" s="871">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110</v>
      </c>
      <c r="G176" s="106">
        <f>IFERROR(ROUNDUP(D176/F176,0),"")</f>
        <v>3</v>
      </c>
      <c r="H176" s="105">
        <v>261</v>
      </c>
      <c r="I176" s="104">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3132</v>
      </c>
    </row>
    <row r="177" spans="1:15" ht="21" customHeight="1" x14ac:dyDescent="0.3">
      <c r="A177" s="120"/>
      <c r="B177" s="109" t="s">
        <v>598</v>
      </c>
      <c r="C177" s="108">
        <v>400</v>
      </c>
      <c r="D177" s="104">
        <v>125</v>
      </c>
      <c r="E177" s="107" t="s">
        <v>184</v>
      </c>
      <c r="F177" s="871">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125</v>
      </c>
      <c r="G177" s="106">
        <f>IFERROR(ROUNDUP(D177/F177,0),"")</f>
        <v>1</v>
      </c>
      <c r="H177" s="105">
        <v>72</v>
      </c>
      <c r="I177" s="104">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864</v>
      </c>
    </row>
    <row r="178" spans="1:15" ht="21" customHeight="1" x14ac:dyDescent="0.3">
      <c r="A178" s="120"/>
      <c r="B178" s="109"/>
      <c r="C178" s="108"/>
      <c r="D178" s="104"/>
      <c r="E178" s="107" t="s">
        <v>184</v>
      </c>
      <c r="F178" s="871"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106" t="str">
        <f>IFERROR(ROUNDUP(D178/F178,0),"")</f>
        <v/>
      </c>
      <c r="H178" s="105"/>
      <c r="I178" s="104"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row>
    <row r="179" spans="1:15" ht="21" customHeight="1" x14ac:dyDescent="0.3">
      <c r="A179" s="824"/>
      <c r="B179" s="818"/>
      <c r="C179" s="819"/>
      <c r="D179" s="820"/>
      <c r="E179" s="821" t="s">
        <v>184</v>
      </c>
      <c r="F179" s="872" t="str">
        <f>IF($B179="","",IF(SUMIFS(CONFIG_PALETES!$C:$C,CONFIG_PALETES!$A:$A,TRIM($B179),CONFIG_PALETES!$B:$B,$C179&amp;" ml")&gt;0,SUMIFS(CONFIG_PALETES!$C:$C,CONFIG_PALETES!$A:$A,TRIM($B179),CONFIG_PALETES!$B:$B,$C179&amp;" ml"),IF(SUMIFS(CONFIG_PALETES!$C:$C,CONFIG_PALETES!$A:$A,"GERAL",CONFIG_PALETES!$B:$B,$C179&amp;" ml")&gt;0,SUMIFS(CONFIG_PALETES!$C:$C,CONFIG_PALETES!$A:$A,"GERAL",CONFIG_PALETES!$B:$B,$C179&amp;" ml"),"")))</f>
        <v/>
      </c>
      <c r="G179" s="822" t="str">
        <f>IFERROR(ROUNDUP(D179/F179,0),"")</f>
        <v/>
      </c>
      <c r="H179" s="823"/>
      <c r="I179" s="820" t="str">
        <f>IF(H179="","",H179*IF(SUMIFS(CONFIG_PALETES!$D:$D,CONFIG_PALETES!$A:$A,IF(ISNUMBER(SEARCH("ESPUMA",$B179)),"ESPUMA",IF(OR(ISNUMBER(SEARCH("OLEO DE COCO",$B179)),ISNUMBER(SEARCH("ÓLEO DE COCO",$B179)),ISNUMBER(SEARCH("COPRA",$B179))),"ÓLEO DE COCO",IF(ISNUMBER(SEARCH("CORANTE",$B179)),"CORANTE",TRIM($B179)))),CONFIG_PALETES!$B:$B,$C179&amp;" ml")&gt;0,SUMIFS(CONFIG_PALETES!$D:$D,CONFIG_PALETES!$A:$A,IF(ISNUMBER(SEARCH("ESPUMA",$B179)),"ESPUMA",IF(OR(ISNUMBER(SEARCH("OLEO DE COCO",$B179)),ISNUMBER(SEARCH("ÓLEO DE COCO",$B179)),ISNUMBER(SEARCH("COPRA",$B179))),"ÓLEO DE COCO",IF(ISNUMBER(SEARCH("CORANTE",$B179)),"CORANTE",TRIM($B179)))),CONFIG_PALETES!$B:$B,$C179&amp;" ml"),IF(SUMIFS(CONFIG_PALETES!$D:$D,CONFIG_PALETES!$A:$A,"GERAL",CONFIG_PALETES!$B:$B,$C179&amp;" ml")&gt;0,SUMIFS(CONFIG_PALETES!$D:$D,CONFIG_PALETES!$A:$A,"GERAL",CONFIG_PALETES!$B:$B,$C179&amp;" ml"),12)))</f>
        <v/>
      </c>
    </row>
    <row r="180" spans="1:15" ht="15" customHeight="1" x14ac:dyDescent="0.3">
      <c r="A180" s="899"/>
      <c r="B180" s="846" t="s">
        <v>186</v>
      </c>
      <c r="C180" s="847"/>
      <c r="D180" s="848">
        <f>SUM(D173:D179)</f>
        <v>1140</v>
      </c>
      <c r="E180" s="849"/>
      <c r="F180" s="856" t="s">
        <v>1400</v>
      </c>
      <c r="G180" s="850">
        <f>SUM(G173:G179)</f>
        <v>11</v>
      </c>
      <c r="H180" s="848">
        <f>SUM(H173:H179)</f>
        <v>1108</v>
      </c>
      <c r="I180" s="848">
        <f>SUM(I173:I179)</f>
        <v>13296</v>
      </c>
      <c r="J180" s="63">
        <f>D180</f>
        <v>1140</v>
      </c>
      <c r="K180" s="93">
        <f>G180</f>
        <v>11</v>
      </c>
      <c r="L180" s="63">
        <f>H180</f>
        <v>1108</v>
      </c>
      <c r="M180" s="63">
        <f>I180</f>
        <v>13296</v>
      </c>
      <c r="N180" s="587" cm="1">
        <f t="array" ref="N180">IF(H180=0,"",SUMPRODUCT(IFERROR(INT(H175:H179/F175:F179),0)))</f>
        <v>8</v>
      </c>
      <c r="O180" s="770">
        <f>IF(N180="","",MAX(0,G180-N180))</f>
        <v>3</v>
      </c>
    </row>
    <row r="181" spans="1:15" ht="6" customHeight="1" x14ac:dyDescent="0.3">
      <c r="C181" s="65"/>
    </row>
    <row r="182" spans="1:15" ht="15" customHeight="1" x14ac:dyDescent="0.3">
      <c r="A182" s="75">
        <v>46168</v>
      </c>
      <c r="B182" s="113" t="s">
        <v>49</v>
      </c>
      <c r="C182" s="112" t="s">
        <v>176</v>
      </c>
      <c r="D182" s="111" t="s">
        <v>177</v>
      </c>
      <c r="E182" s="111" t="s">
        <v>178</v>
      </c>
      <c r="F182" s="860" t="s">
        <v>179</v>
      </c>
      <c r="G182" s="111" t="s">
        <v>180</v>
      </c>
      <c r="H182" s="111" t="s">
        <v>181</v>
      </c>
      <c r="I182" s="111" t="s">
        <v>182</v>
      </c>
    </row>
    <row r="183" spans="1:15" ht="21" customHeight="1" x14ac:dyDescent="0.3">
      <c r="A183" s="120"/>
      <c r="B183" s="109" t="s">
        <v>598</v>
      </c>
      <c r="C183" s="108">
        <v>400</v>
      </c>
      <c r="D183" s="104">
        <f>D177-H177</f>
        <v>53</v>
      </c>
      <c r="E183" s="107" t="s">
        <v>184</v>
      </c>
      <c r="F183" s="871">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125</v>
      </c>
      <c r="G183" s="106">
        <f t="shared" ref="G183:G189" si="7">IFERROR(ROUNDUP(D183/F183,0),"")</f>
        <v>1</v>
      </c>
      <c r="H183" s="105">
        <v>53</v>
      </c>
      <c r="I183" s="104">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636</v>
      </c>
    </row>
    <row r="184" spans="1:15" ht="21" customHeight="1" x14ac:dyDescent="0.3">
      <c r="A184" s="120"/>
      <c r="B184" s="109" t="s">
        <v>598</v>
      </c>
      <c r="C184" s="108">
        <v>600</v>
      </c>
      <c r="D184" s="104">
        <v>380</v>
      </c>
      <c r="E184" s="107" t="s">
        <v>184</v>
      </c>
      <c r="F184" s="871">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95</v>
      </c>
      <c r="G184" s="106">
        <f t="shared" si="7"/>
        <v>4</v>
      </c>
      <c r="H184" s="105">
        <v>380</v>
      </c>
      <c r="I184" s="104">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4560</v>
      </c>
    </row>
    <row r="185" spans="1:15" ht="21" customHeight="1" x14ac:dyDescent="0.3">
      <c r="A185" s="120"/>
      <c r="B185" s="109" t="s">
        <v>395</v>
      </c>
      <c r="C185" s="108">
        <v>600</v>
      </c>
      <c r="D185" s="104">
        <v>285</v>
      </c>
      <c r="E185" s="107" t="s">
        <v>184</v>
      </c>
      <c r="F185" s="871">
        <f>IF($B185="","",IF(SUMIFS(CONFIG_PALETES!$C:$C,CONFIG_PALETES!$A:$A,TRIM($B185),CONFIG_PALETES!$B:$B,$C185&amp;" ml")&gt;0,SUMIFS(CONFIG_PALETES!$C:$C,CONFIG_PALETES!$A:$A,TRIM($B185),CONFIG_PALETES!$B:$B,$C185&amp;" ml"),IF(SUMIFS(CONFIG_PALETES!$C:$C,CONFIG_PALETES!$A:$A,"GERAL",CONFIG_PALETES!$B:$B,$C185&amp;" ml")&gt;0,SUMIFS(CONFIG_PALETES!$C:$C,CONFIG_PALETES!$A:$A,"GERAL",CONFIG_PALETES!$B:$B,$C185&amp;" ml"),"")))</f>
        <v>95</v>
      </c>
      <c r="G185" s="106">
        <f t="shared" si="7"/>
        <v>3</v>
      </c>
      <c r="H185" s="105">
        <v>322</v>
      </c>
      <c r="I185" s="104">
        <f>IF(H185="","",H185*IF(SUMIFS(CONFIG_PALETES!$D:$D,CONFIG_PALETES!$A:$A,IF(ISNUMBER(SEARCH("ESPUMA",$B185)),"ESPUMA",IF(OR(ISNUMBER(SEARCH("OLEO DE COCO",$B185)),ISNUMBER(SEARCH("ÓLEO DE COCO",$B185)),ISNUMBER(SEARCH("COPRA",$B185))),"ÓLEO DE COCO",IF(ISNUMBER(SEARCH("CORANTE",$B185)),"CORANTE",TRIM($B185)))),CONFIG_PALETES!$B:$B,$C185&amp;" ml")&gt;0,SUMIFS(CONFIG_PALETES!$D:$D,CONFIG_PALETES!$A:$A,IF(ISNUMBER(SEARCH("ESPUMA",$B185)),"ESPUMA",IF(OR(ISNUMBER(SEARCH("OLEO DE COCO",$B185)),ISNUMBER(SEARCH("ÓLEO DE COCO",$B185)),ISNUMBER(SEARCH("COPRA",$B185))),"ÓLEO DE COCO",IF(ISNUMBER(SEARCH("CORANTE",$B185)),"CORANTE",TRIM($B185)))),CONFIG_PALETES!$B:$B,$C185&amp;" ml"),IF(SUMIFS(CONFIG_PALETES!$D:$D,CONFIG_PALETES!$A:$A,"GERAL",CONFIG_PALETES!$B:$B,$C185&amp;" ml")&gt;0,SUMIFS(CONFIG_PALETES!$D:$D,CONFIG_PALETES!$A:$A,"GERAL",CONFIG_PALETES!$B:$B,$C185&amp;" ml"),12)))</f>
        <v>3864</v>
      </c>
    </row>
    <row r="186" spans="1:15" ht="21" customHeight="1" x14ac:dyDescent="0.3">
      <c r="A186" s="120"/>
      <c r="B186" s="109"/>
      <c r="C186" s="108"/>
      <c r="D186" s="104"/>
      <c r="E186" s="107" t="s">
        <v>184</v>
      </c>
      <c r="F186" s="871" t="str">
        <f>IF($B186="","",IF(SUMIFS(CONFIG_PALETES!$C:$C,CONFIG_PALETES!$A:$A,TRIM($B186),CONFIG_PALETES!$B:$B,$C186&amp;" ml")&gt;0,SUMIFS(CONFIG_PALETES!$C:$C,CONFIG_PALETES!$A:$A,TRIM($B186),CONFIG_PALETES!$B:$B,$C186&amp;" ml"),IF(SUMIFS(CONFIG_PALETES!$C:$C,CONFIG_PALETES!$A:$A,"GERAL",CONFIG_PALETES!$B:$B,$C186&amp;" ml")&gt;0,SUMIFS(CONFIG_PALETES!$C:$C,CONFIG_PALETES!$A:$A,"GERAL",CONFIG_PALETES!$B:$B,$C186&amp;" ml"),"")))</f>
        <v/>
      </c>
      <c r="G186" s="106" t="str">
        <f t="shared" si="7"/>
        <v/>
      </c>
      <c r="H186" s="105"/>
      <c r="I186" s="104" t="str">
        <f>IF(H186="","",H186*IF(SUMIFS(CONFIG_PALETES!$D:$D,CONFIG_PALETES!$A:$A,IF(ISNUMBER(SEARCH("ESPUMA",$B186)),"ESPUMA",IF(OR(ISNUMBER(SEARCH("OLEO DE COCO",$B186)),ISNUMBER(SEARCH("ÓLEO DE COCO",$B186)),ISNUMBER(SEARCH("COPRA",$B186))),"ÓLEO DE COCO",IF(ISNUMBER(SEARCH("CORANTE",$B186)),"CORANTE",TRIM($B186)))),CONFIG_PALETES!$B:$B,$C186&amp;" ml")&gt;0,SUMIFS(CONFIG_PALETES!$D:$D,CONFIG_PALETES!$A:$A,IF(ISNUMBER(SEARCH("ESPUMA",$B186)),"ESPUMA",IF(OR(ISNUMBER(SEARCH("OLEO DE COCO",$B186)),ISNUMBER(SEARCH("ÓLEO DE COCO",$B186)),ISNUMBER(SEARCH("COPRA",$B186))),"ÓLEO DE COCO",IF(ISNUMBER(SEARCH("CORANTE",$B186)),"CORANTE",TRIM($B186)))),CONFIG_PALETES!$B:$B,$C186&amp;" ml"),IF(SUMIFS(CONFIG_PALETES!$D:$D,CONFIG_PALETES!$A:$A,"GERAL",CONFIG_PALETES!$B:$B,$C186&amp;" ml")&gt;0,SUMIFS(CONFIG_PALETES!$D:$D,CONFIG_PALETES!$A:$A,"GERAL",CONFIG_PALETES!$B:$B,$C186&amp;" ml"),12)))</f>
        <v/>
      </c>
    </row>
    <row r="187" spans="1:15" ht="21" customHeight="1" x14ac:dyDescent="0.3">
      <c r="A187" s="120"/>
      <c r="B187" s="109"/>
      <c r="C187" s="108"/>
      <c r="D187" s="104"/>
      <c r="E187" s="107" t="s">
        <v>184</v>
      </c>
      <c r="F187" s="871" t="str">
        <f>IF($B187="","",IF(SUMIFS(CONFIG_PALETES!$C:$C,CONFIG_PALETES!$A:$A,TRIM($B187),CONFIG_PALETES!$B:$B,$C187&amp;" ml")&gt;0,SUMIFS(CONFIG_PALETES!$C:$C,CONFIG_PALETES!$A:$A,TRIM($B187),CONFIG_PALETES!$B:$B,$C187&amp;" ml"),IF(SUMIFS(CONFIG_PALETES!$C:$C,CONFIG_PALETES!$A:$A,"GERAL",CONFIG_PALETES!$B:$B,$C187&amp;" ml")&gt;0,SUMIFS(CONFIG_PALETES!$C:$C,CONFIG_PALETES!$A:$A,"GERAL",CONFIG_PALETES!$B:$B,$C187&amp;" ml"),"")))</f>
        <v/>
      </c>
      <c r="G187" s="106" t="str">
        <f t="shared" si="7"/>
        <v/>
      </c>
      <c r="H187" s="105"/>
      <c r="I187" s="104" t="str">
        <f>IF(H187="","",H187*IF(SUMIFS(CONFIG_PALETES!$D:$D,CONFIG_PALETES!$A:$A,IF(ISNUMBER(SEARCH("ESPUMA",$B187)),"ESPUMA",IF(OR(ISNUMBER(SEARCH("OLEO DE COCO",$B187)),ISNUMBER(SEARCH("ÓLEO DE COCO",$B187)),ISNUMBER(SEARCH("COPRA",$B187))),"ÓLEO DE COCO",IF(ISNUMBER(SEARCH("CORANTE",$B187)),"CORANTE",TRIM($B187)))),CONFIG_PALETES!$B:$B,$C187&amp;" ml")&gt;0,SUMIFS(CONFIG_PALETES!$D:$D,CONFIG_PALETES!$A:$A,IF(ISNUMBER(SEARCH("ESPUMA",$B187)),"ESPUMA",IF(OR(ISNUMBER(SEARCH("OLEO DE COCO",$B187)),ISNUMBER(SEARCH("ÓLEO DE COCO",$B187)),ISNUMBER(SEARCH("COPRA",$B187))),"ÓLEO DE COCO",IF(ISNUMBER(SEARCH("CORANTE",$B187)),"CORANTE",TRIM($B187)))),CONFIG_PALETES!$B:$B,$C187&amp;" ml"),IF(SUMIFS(CONFIG_PALETES!$D:$D,CONFIG_PALETES!$A:$A,"GERAL",CONFIG_PALETES!$B:$B,$C187&amp;" ml")&gt;0,SUMIFS(CONFIG_PALETES!$D:$D,CONFIG_PALETES!$A:$A,"GERAL",CONFIG_PALETES!$B:$B,$C187&amp;" ml"),12)))</f>
        <v/>
      </c>
    </row>
    <row r="188" spans="1:15" ht="21" customHeight="1" x14ac:dyDescent="0.3">
      <c r="A188" s="12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 t="shared" si="7"/>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21" customHeight="1" x14ac:dyDescent="0.3">
      <c r="A189" s="824"/>
      <c r="B189" s="818"/>
      <c r="C189" s="819"/>
      <c r="D189" s="820"/>
      <c r="E189" s="821" t="s">
        <v>184</v>
      </c>
      <c r="F189" s="872"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822" t="str">
        <f t="shared" si="7"/>
        <v/>
      </c>
      <c r="H189" s="823"/>
      <c r="I189" s="820"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5" ht="15" customHeight="1" x14ac:dyDescent="0.3">
      <c r="A190" s="899"/>
      <c r="B190" s="846" t="s">
        <v>186</v>
      </c>
      <c r="C190" s="847"/>
      <c r="D190" s="848">
        <f>SUM(D181:D189)</f>
        <v>718</v>
      </c>
      <c r="E190" s="849"/>
      <c r="F190" s="856" t="s">
        <v>1400</v>
      </c>
      <c r="G190" s="850">
        <f>SUM(G181:G189)</f>
        <v>8</v>
      </c>
      <c r="H190" s="848">
        <f>SUM(H181:H189)</f>
        <v>755</v>
      </c>
      <c r="I190" s="848">
        <f>SUM(I181:I189)</f>
        <v>9060</v>
      </c>
      <c r="J190" s="63">
        <f>D190</f>
        <v>718</v>
      </c>
      <c r="K190" s="93">
        <f>G190</f>
        <v>8</v>
      </c>
      <c r="L190" s="63">
        <f>H190</f>
        <v>755</v>
      </c>
      <c r="M190" s="63">
        <f>I190</f>
        <v>9060</v>
      </c>
      <c r="N190" s="587" cm="1">
        <f t="array" ref="N190">IF(H190=0,"",SUMPRODUCT(IFERROR(INT(H183:H189/F183:F189),0)))</f>
        <v>7</v>
      </c>
      <c r="O190" s="770">
        <f>IF(N190="","",MAX(0,G190-N190))</f>
        <v>1</v>
      </c>
    </row>
    <row r="191" spans="1:15" ht="6" customHeight="1" x14ac:dyDescent="0.3">
      <c r="C191" s="65"/>
    </row>
    <row r="192" spans="1:15" ht="15" customHeight="1" x14ac:dyDescent="0.3">
      <c r="A192" s="75">
        <v>46169</v>
      </c>
      <c r="B192" s="113" t="s">
        <v>49</v>
      </c>
      <c r="C192" s="112" t="s">
        <v>176</v>
      </c>
      <c r="D192" s="111" t="s">
        <v>177</v>
      </c>
      <c r="E192" s="111" t="s">
        <v>178</v>
      </c>
      <c r="F192" s="860" t="s">
        <v>179</v>
      </c>
      <c r="G192" s="111" t="s">
        <v>180</v>
      </c>
      <c r="H192" s="111" t="s">
        <v>181</v>
      </c>
      <c r="I192" s="111" t="s">
        <v>182</v>
      </c>
    </row>
    <row r="193" spans="1:15" ht="21" customHeight="1" x14ac:dyDescent="0.3">
      <c r="A193" s="120"/>
      <c r="B193" s="109" t="s">
        <v>499</v>
      </c>
      <c r="C193" s="108">
        <v>600</v>
      </c>
      <c r="D193" s="104">
        <v>665</v>
      </c>
      <c r="E193" s="107" t="s">
        <v>184</v>
      </c>
      <c r="F193" s="871">
        <f>IF($B193="","",IF(SUMIFS(CONFIG_PALETES!$C:$C,CONFIG_PALETES!$A:$A,TRIM($B193),CONFIG_PALETES!$B:$B,$C193&amp;" ml")&gt;0,SUMIFS(CONFIG_PALETES!$C:$C,CONFIG_PALETES!$A:$A,TRIM($B193),CONFIG_PALETES!$B:$B,$C193&amp;" ml"),IF(SUMIFS(CONFIG_PALETES!$C:$C,CONFIG_PALETES!$A:$A,"GERAL",CONFIG_PALETES!$B:$B,$C193&amp;" ml")&gt;0,SUMIFS(CONFIG_PALETES!$C:$C,CONFIG_PALETES!$A:$A,"GERAL",CONFIG_PALETES!$B:$B,$C193&amp;" ml"),"")))</f>
        <v>95</v>
      </c>
      <c r="G193" s="106">
        <f t="shared" ref="G193:G198" si="8">IFERROR(ROUNDUP(D193/F193,0),"")</f>
        <v>7</v>
      </c>
      <c r="H193" s="105">
        <v>673</v>
      </c>
      <c r="I193" s="104">
        <f>IF(H193="","",H193*IF(SUMIFS(CONFIG_PALETES!$D:$D,CONFIG_PALETES!$A:$A,IF(ISNUMBER(SEARCH("ESPUMA",$B193)),"ESPUMA",IF(OR(ISNUMBER(SEARCH("OLEO DE COCO",$B193)),ISNUMBER(SEARCH("ÓLEO DE COCO",$B193)),ISNUMBER(SEARCH("COPRA",$B193))),"ÓLEO DE COCO",IF(ISNUMBER(SEARCH("CORANTE",$B193)),"CORANTE",TRIM($B193)))),CONFIG_PALETES!$B:$B,$C193&amp;" ml")&gt;0,SUMIFS(CONFIG_PALETES!$D:$D,CONFIG_PALETES!$A:$A,IF(ISNUMBER(SEARCH("ESPUMA",$B193)),"ESPUMA",IF(OR(ISNUMBER(SEARCH("OLEO DE COCO",$B193)),ISNUMBER(SEARCH("ÓLEO DE COCO",$B193)),ISNUMBER(SEARCH("COPRA",$B193))),"ÓLEO DE COCO",IF(ISNUMBER(SEARCH("CORANTE",$B193)),"CORANTE",TRIM($B193)))),CONFIG_PALETES!$B:$B,$C193&amp;" ml"),IF(SUMIFS(CONFIG_PALETES!$D:$D,CONFIG_PALETES!$A:$A,"GERAL",CONFIG_PALETES!$B:$B,$C193&amp;" ml")&gt;0,SUMIFS(CONFIG_PALETES!$D:$D,CONFIG_PALETES!$A:$A,"GERAL",CONFIG_PALETES!$B:$B,$C193&amp;" ml"),12)))</f>
        <v>8076</v>
      </c>
    </row>
    <row r="194" spans="1:15" ht="21" customHeight="1" x14ac:dyDescent="0.3">
      <c r="A194" s="120"/>
      <c r="B194" s="109" t="s">
        <v>995</v>
      </c>
      <c r="C194" s="108">
        <v>100</v>
      </c>
      <c r="D194" s="104">
        <v>840</v>
      </c>
      <c r="E194" s="107" t="s">
        <v>184</v>
      </c>
      <c r="F194" s="871">
        <f>IF($B194="","",IF(SUMIFS(CONFIG_PALETES!$C:$C,CONFIG_PALETES!$A:$A,TRIM($B194),CONFIG_PALETES!$B:$B,$C194&amp;" ml")&gt;0,SUMIFS(CONFIG_PALETES!$C:$C,CONFIG_PALETES!$A:$A,TRIM($B194),CONFIG_PALETES!$B:$B,$C194&amp;" ml"),IF(SUMIFS(CONFIG_PALETES!$C:$C,CONFIG_PALETES!$A:$A,"GERAL",CONFIG_PALETES!$B:$B,$C194&amp;" ml")&gt;0,SUMIFS(CONFIG_PALETES!$C:$C,CONFIG_PALETES!$A:$A,"GERAL",CONFIG_PALETES!$B:$B,$C194&amp;" ml"),"")))</f>
        <v>240</v>
      </c>
      <c r="G194" s="106">
        <f t="shared" si="8"/>
        <v>4</v>
      </c>
      <c r="H194" s="105">
        <v>47</v>
      </c>
      <c r="I194" s="104">
        <f>IF(H194="","",H194*IF(SUMIFS(CONFIG_PALETES!$D:$D,CONFIG_PALETES!$A:$A,IF(ISNUMBER(SEARCH("ESPUMA",$B194)),"ESPUMA",IF(OR(ISNUMBER(SEARCH("OLEO DE COCO",$B194)),ISNUMBER(SEARCH("ÓLEO DE COCO",$B194)),ISNUMBER(SEARCH("COPRA",$B194))),"ÓLEO DE COCO",IF(ISNUMBER(SEARCH("CORANTE",$B194)),"CORANTE",TRIM($B194)))),CONFIG_PALETES!$B:$B,$C194&amp;" ml")&gt;0,SUMIFS(CONFIG_PALETES!$D:$D,CONFIG_PALETES!$A:$A,IF(ISNUMBER(SEARCH("ESPUMA",$B194)),"ESPUMA",IF(OR(ISNUMBER(SEARCH("OLEO DE COCO",$B194)),ISNUMBER(SEARCH("ÓLEO DE COCO",$B194)),ISNUMBER(SEARCH("COPRA",$B194))),"ÓLEO DE COCO",IF(ISNUMBER(SEARCH("CORANTE",$B194)),"CORANTE",TRIM($B194)))),CONFIG_PALETES!$B:$B,$C194&amp;" ml"),IF(SUMIFS(CONFIG_PALETES!$D:$D,CONFIG_PALETES!$A:$A,"GERAL",CONFIG_PALETES!$B:$B,$C194&amp;" ml")&gt;0,SUMIFS(CONFIG_PALETES!$D:$D,CONFIG_PALETES!$A:$A,"GERAL",CONFIG_PALETES!$B:$B,$C194&amp;" ml"),12)))</f>
        <v>564</v>
      </c>
    </row>
    <row r="195" spans="1:15" ht="21" customHeight="1" x14ac:dyDescent="0.3">
      <c r="A195" s="120"/>
      <c r="B195" s="109"/>
      <c r="C195" s="108"/>
      <c r="D195" s="104"/>
      <c r="E195" s="107" t="s">
        <v>184</v>
      </c>
      <c r="F195" s="871" t="str">
        <f>IF($B195="","",IF(SUMIFS(CONFIG_PALETES!$C:$C,CONFIG_PALETES!$A:$A,TRIM($B195),CONFIG_PALETES!$B:$B,$C195&amp;" ml")&gt;0,SUMIFS(CONFIG_PALETES!$C:$C,CONFIG_PALETES!$A:$A,TRIM($B195),CONFIG_PALETES!$B:$B,$C195&amp;" ml"),IF(SUMIFS(CONFIG_PALETES!$C:$C,CONFIG_PALETES!$A:$A,"GERAL",CONFIG_PALETES!$B:$B,$C195&amp;" ml")&gt;0,SUMIFS(CONFIG_PALETES!$C:$C,CONFIG_PALETES!$A:$A,"GERAL",CONFIG_PALETES!$B:$B,$C195&amp;" ml"),"")))</f>
        <v/>
      </c>
      <c r="G195" s="106" t="str">
        <f t="shared" si="8"/>
        <v/>
      </c>
      <c r="H195" s="105"/>
      <c r="I195" s="104" t="str">
        <f>IF(H195="","",H195*IF(SUMIFS(CONFIG_PALETES!$D:$D,CONFIG_PALETES!$A:$A,IF(ISNUMBER(SEARCH("ESPUMA",$B195)),"ESPUMA",IF(OR(ISNUMBER(SEARCH("OLEO DE COCO",$B195)),ISNUMBER(SEARCH("ÓLEO DE COCO",$B195)),ISNUMBER(SEARCH("COPRA",$B195))),"ÓLEO DE COCO",IF(ISNUMBER(SEARCH("CORANTE",$B195)),"CORANTE",TRIM($B195)))),CONFIG_PALETES!$B:$B,$C195&amp;" ml")&gt;0,SUMIFS(CONFIG_PALETES!$D:$D,CONFIG_PALETES!$A:$A,IF(ISNUMBER(SEARCH("ESPUMA",$B195)),"ESPUMA",IF(OR(ISNUMBER(SEARCH("OLEO DE COCO",$B195)),ISNUMBER(SEARCH("ÓLEO DE COCO",$B195)),ISNUMBER(SEARCH("COPRA",$B195))),"ÓLEO DE COCO",IF(ISNUMBER(SEARCH("CORANTE",$B195)),"CORANTE",TRIM($B195)))),CONFIG_PALETES!$B:$B,$C195&amp;" ml"),IF(SUMIFS(CONFIG_PALETES!$D:$D,CONFIG_PALETES!$A:$A,"GERAL",CONFIG_PALETES!$B:$B,$C195&amp;" ml")&gt;0,SUMIFS(CONFIG_PALETES!$D:$D,CONFIG_PALETES!$A:$A,"GERAL",CONFIG_PALETES!$B:$B,$C195&amp;" ml"),12)))</f>
        <v/>
      </c>
    </row>
    <row r="196" spans="1:15" ht="21" customHeight="1" x14ac:dyDescent="0.3">
      <c r="A196" s="120"/>
      <c r="B196" s="109"/>
      <c r="C196" s="108"/>
      <c r="D196" s="104"/>
      <c r="E196" s="107" t="s">
        <v>184</v>
      </c>
      <c r="F196" s="871"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06" t="str">
        <f t="shared" si="8"/>
        <v/>
      </c>
      <c r="H196" s="105"/>
      <c r="I196" s="104"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21" customHeight="1" x14ac:dyDescent="0.3">
      <c r="A197" s="120"/>
      <c r="B197" s="109"/>
      <c r="C197" s="108"/>
      <c r="D197" s="104"/>
      <c r="E197" s="107" t="s">
        <v>184</v>
      </c>
      <c r="F197" s="871"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06" t="str">
        <f t="shared" si="8"/>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row>
    <row r="198" spans="1:15" ht="21" customHeight="1" x14ac:dyDescent="0.3">
      <c r="A198" s="824"/>
      <c r="B198" s="818"/>
      <c r="C198" s="819"/>
      <c r="D198" s="820"/>
      <c r="E198" s="821" t="s">
        <v>184</v>
      </c>
      <c r="F198" s="872"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822" t="str">
        <f t="shared" si="8"/>
        <v/>
      </c>
      <c r="H198" s="823"/>
      <c r="I198" s="820"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row>
    <row r="199" spans="1:15" ht="15" customHeight="1" x14ac:dyDescent="0.3">
      <c r="A199" s="899"/>
      <c r="B199" s="846" t="s">
        <v>186</v>
      </c>
      <c r="C199" s="847"/>
      <c r="D199" s="848">
        <f>SUM(D191:D198)</f>
        <v>1505</v>
      </c>
      <c r="E199" s="849"/>
      <c r="F199" s="856" t="s">
        <v>1400</v>
      </c>
      <c r="G199" s="850">
        <f>SUM(G191:G198)</f>
        <v>11</v>
      </c>
      <c r="H199" s="848">
        <f>SUM(H191:H198)</f>
        <v>720</v>
      </c>
      <c r="I199" s="848">
        <f>SUM(I191:I198)</f>
        <v>8640</v>
      </c>
      <c r="J199" s="63">
        <f>D199</f>
        <v>1505</v>
      </c>
      <c r="K199" s="93">
        <f>G199</f>
        <v>11</v>
      </c>
      <c r="L199" s="63">
        <f>H199</f>
        <v>720</v>
      </c>
      <c r="M199" s="63">
        <f>I199</f>
        <v>8640</v>
      </c>
      <c r="N199" s="587" cm="1">
        <f t="array" ref="N199">IF(H199=0,"",SUMPRODUCT(IFERROR(INT(H193:H198/F193:F198),0)))</f>
        <v>7</v>
      </c>
      <c r="O199" s="770">
        <f>IF(N199="","",MAX(0,G199-N199))</f>
        <v>4</v>
      </c>
    </row>
    <row r="200" spans="1:15" ht="6" customHeight="1" x14ac:dyDescent="0.3">
      <c r="C200" s="65"/>
    </row>
    <row r="201" spans="1:15" ht="15" customHeight="1" x14ac:dyDescent="0.3">
      <c r="A201" s="75">
        <v>46170</v>
      </c>
      <c r="B201" s="113" t="s">
        <v>49</v>
      </c>
      <c r="C201" s="112" t="s">
        <v>176</v>
      </c>
      <c r="D201" s="111" t="s">
        <v>177</v>
      </c>
      <c r="E201" s="111" t="s">
        <v>178</v>
      </c>
      <c r="F201" s="860" t="s">
        <v>179</v>
      </c>
      <c r="G201" s="111" t="s">
        <v>180</v>
      </c>
      <c r="H201" s="111" t="s">
        <v>181</v>
      </c>
      <c r="I201" s="111" t="s">
        <v>182</v>
      </c>
    </row>
    <row r="202" spans="1:15" ht="21" customHeight="1" x14ac:dyDescent="0.3">
      <c r="A202" s="120"/>
      <c r="B202" s="109" t="s">
        <v>995</v>
      </c>
      <c r="C202" s="108">
        <v>100</v>
      </c>
      <c r="D202" s="104">
        <f>D194-H194</f>
        <v>793</v>
      </c>
      <c r="E202" s="107" t="s">
        <v>184</v>
      </c>
      <c r="F202" s="871">
        <f>IF($B202="","",IF(SUMIFS(CONFIG_PALETES!$C:$C,CONFIG_PALETES!$A:$A,TRIM($B202),CONFIG_PALETES!$B:$B,$C202&amp;" ml")&gt;0,SUMIFS(CONFIG_PALETES!$C:$C,CONFIG_PALETES!$A:$A,TRIM($B202),CONFIG_PALETES!$B:$B,$C202&amp;" ml"),IF(SUMIFS(CONFIG_PALETES!$C:$C,CONFIG_PALETES!$A:$A,"GERAL",CONFIG_PALETES!$B:$B,$C202&amp;" ml")&gt;0,SUMIFS(CONFIG_PALETES!$C:$C,CONFIG_PALETES!$A:$A,"GERAL",CONFIG_PALETES!$B:$B,$C202&amp;" ml"),"")))</f>
        <v>240</v>
      </c>
      <c r="G202" s="106">
        <f>IFERROR(ROUNDUP(D202/F202,0),"")</f>
        <v>4</v>
      </c>
      <c r="H202" s="105">
        <v>747</v>
      </c>
      <c r="I202" s="104">
        <f>IF(H202="","",H202*IF(SUMIFS(CONFIG_PALETES!$D:$D,CONFIG_PALETES!$A:$A,IF(ISNUMBER(SEARCH("ESPUMA",$B202)),"ESPUMA",IF(OR(ISNUMBER(SEARCH("OLEO DE COCO",$B202)),ISNUMBER(SEARCH("ÓLEO DE COCO",$B202)),ISNUMBER(SEARCH("COPRA",$B202))),"ÓLEO DE COCO",IF(ISNUMBER(SEARCH("CORANTE",$B202)),"CORANTE",TRIM($B202)))),CONFIG_PALETES!$B:$B,$C202&amp;" ml")&gt;0,SUMIFS(CONFIG_PALETES!$D:$D,CONFIG_PALETES!$A:$A,IF(ISNUMBER(SEARCH("ESPUMA",$B202)),"ESPUMA",IF(OR(ISNUMBER(SEARCH("OLEO DE COCO",$B202)),ISNUMBER(SEARCH("ÓLEO DE COCO",$B202)),ISNUMBER(SEARCH("COPRA",$B202))),"ÓLEO DE COCO",IF(ISNUMBER(SEARCH("CORANTE",$B202)),"CORANTE",TRIM($B202)))),CONFIG_PALETES!$B:$B,$C202&amp;" ml"),IF(SUMIFS(CONFIG_PALETES!$D:$D,CONFIG_PALETES!$A:$A,"GERAL",CONFIG_PALETES!$B:$B,$C202&amp;" ml")&gt;0,SUMIFS(CONFIG_PALETES!$D:$D,CONFIG_PALETES!$A:$A,"GERAL",CONFIG_PALETES!$B:$B,$C202&amp;" ml"),12)))</f>
        <v>8964</v>
      </c>
    </row>
    <row r="203" spans="1:15" ht="21" customHeight="1" x14ac:dyDescent="0.3">
      <c r="A203" s="120"/>
      <c r="B203" s="109" t="s">
        <v>285</v>
      </c>
      <c r="C203" s="108">
        <v>100</v>
      </c>
      <c r="D203" s="104">
        <v>840</v>
      </c>
      <c r="E203" s="107" t="s">
        <v>184</v>
      </c>
      <c r="F203" s="871">
        <f>IF($B203="","",IF(SUMIFS(CONFIG_PALETES!$C:$C,CONFIG_PALETES!$A:$A,TRIM($B203),CONFIG_PALETES!$B:$B,$C203&amp;" ml")&gt;0,SUMIFS(CONFIG_PALETES!$C:$C,CONFIG_PALETES!$A:$A,TRIM($B203),CONFIG_PALETES!$B:$B,$C203&amp;" ml"),IF(SUMIFS(CONFIG_PALETES!$C:$C,CONFIG_PALETES!$A:$A,"GERAL",CONFIG_PALETES!$B:$B,$C203&amp;" ml")&gt;0,SUMIFS(CONFIG_PALETES!$C:$C,CONFIG_PALETES!$A:$A,"GERAL",CONFIG_PALETES!$B:$B,$C203&amp;" ml"),"")))</f>
        <v>240</v>
      </c>
      <c r="G203" s="106">
        <f>IFERROR(ROUNDUP(D203/F203,0),"")</f>
        <v>4</v>
      </c>
      <c r="H203" s="105">
        <v>690</v>
      </c>
      <c r="I203" s="104">
        <f>IF(H203="","",H203*IF(SUMIFS(CONFIG_PALETES!$D:$D,CONFIG_PALETES!$A:$A,IF(ISNUMBER(SEARCH("ESPUMA",$B203)),"ESPUMA",IF(OR(ISNUMBER(SEARCH("OLEO DE COCO",$B203)),ISNUMBER(SEARCH("ÓLEO DE COCO",$B203)),ISNUMBER(SEARCH("COPRA",$B203))),"ÓLEO DE COCO",IF(ISNUMBER(SEARCH("CORANTE",$B203)),"CORANTE",TRIM($B203)))),CONFIG_PALETES!$B:$B,$C203&amp;" ml")&gt;0,SUMIFS(CONFIG_PALETES!$D:$D,CONFIG_PALETES!$A:$A,IF(ISNUMBER(SEARCH("ESPUMA",$B203)),"ESPUMA",IF(OR(ISNUMBER(SEARCH("OLEO DE COCO",$B203)),ISNUMBER(SEARCH("ÓLEO DE COCO",$B203)),ISNUMBER(SEARCH("COPRA",$B203))),"ÓLEO DE COCO",IF(ISNUMBER(SEARCH("CORANTE",$B203)),"CORANTE",TRIM($B203)))),CONFIG_PALETES!$B:$B,$C203&amp;" ml"),IF(SUMIFS(CONFIG_PALETES!$D:$D,CONFIG_PALETES!$A:$A,"GERAL",CONFIG_PALETES!$B:$B,$C203&amp;" ml")&gt;0,SUMIFS(CONFIG_PALETES!$D:$D,CONFIG_PALETES!$A:$A,"GERAL",CONFIG_PALETES!$B:$B,$C203&amp;" ml"),12)))</f>
        <v>8280</v>
      </c>
    </row>
    <row r="204" spans="1:15" ht="21" customHeight="1" x14ac:dyDescent="0.3">
      <c r="A204" s="120"/>
      <c r="B204" s="109"/>
      <c r="C204" s="108"/>
      <c r="D204" s="104"/>
      <c r="E204" s="107" t="s">
        <v>184</v>
      </c>
      <c r="F204" s="871"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106" t="str">
        <f>IFERROR(ROUNDUP(D204/F204,0),"")</f>
        <v/>
      </c>
      <c r="H204" s="105"/>
      <c r="I204" s="104"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21" customHeight="1" x14ac:dyDescent="0.3">
      <c r="A205" s="120"/>
      <c r="B205" s="109"/>
      <c r="C205" s="108"/>
      <c r="D205" s="104"/>
      <c r="E205" s="107" t="s">
        <v>184</v>
      </c>
      <c r="F205" s="871" t="str">
        <f>IF($B205="","",IF(SUMIFS(CONFIG_PALETES!$C:$C,CONFIG_PALETES!$A:$A,TRIM($B205),CONFIG_PALETES!$B:$B,$C205&amp;" ml")&gt;0,SUMIFS(CONFIG_PALETES!$C:$C,CONFIG_PALETES!$A:$A,TRIM($B205),CONFIG_PALETES!$B:$B,$C205&amp;" ml"),IF(SUMIFS(CONFIG_PALETES!$C:$C,CONFIG_PALETES!$A:$A,"GERAL",CONFIG_PALETES!$B:$B,$C205&amp;" ml")&gt;0,SUMIFS(CONFIG_PALETES!$C:$C,CONFIG_PALETES!$A:$A,"GERAL",CONFIG_PALETES!$B:$B,$C205&amp;" ml"),"")))</f>
        <v/>
      </c>
      <c r="G205" s="106" t="str">
        <f>IFERROR(ROUNDUP(D205/F205,0),"")</f>
        <v/>
      </c>
      <c r="H205" s="105"/>
      <c r="I205" s="104" t="str">
        <f>IF(H205="","",H205*IF(SUMIFS(CONFIG_PALETES!$D:$D,CONFIG_PALETES!$A:$A,IF(ISNUMBER(SEARCH("ESPUMA",$B205)),"ESPUMA",IF(OR(ISNUMBER(SEARCH("OLEO DE COCO",$B205)),ISNUMBER(SEARCH("ÓLEO DE COCO",$B205)),ISNUMBER(SEARCH("COPRA",$B205))),"ÓLEO DE COCO",IF(ISNUMBER(SEARCH("CORANTE",$B205)),"CORANTE",TRIM($B205)))),CONFIG_PALETES!$B:$B,$C205&amp;" ml")&gt;0,SUMIFS(CONFIG_PALETES!$D:$D,CONFIG_PALETES!$A:$A,IF(ISNUMBER(SEARCH("ESPUMA",$B205)),"ESPUMA",IF(OR(ISNUMBER(SEARCH("OLEO DE COCO",$B205)),ISNUMBER(SEARCH("ÓLEO DE COCO",$B205)),ISNUMBER(SEARCH("COPRA",$B205))),"ÓLEO DE COCO",IF(ISNUMBER(SEARCH("CORANTE",$B205)),"CORANTE",TRIM($B205)))),CONFIG_PALETES!$B:$B,$C205&amp;" ml"),IF(SUMIFS(CONFIG_PALETES!$D:$D,CONFIG_PALETES!$A:$A,"GERAL",CONFIG_PALETES!$B:$B,$C205&amp;" ml")&gt;0,SUMIFS(CONFIG_PALETES!$D:$D,CONFIG_PALETES!$A:$A,"GERAL",CONFIG_PALETES!$B:$B,$C205&amp;" ml"),12)))</f>
        <v/>
      </c>
    </row>
    <row r="206" spans="1:15" ht="21" customHeight="1" x14ac:dyDescent="0.3">
      <c r="A206" s="824"/>
      <c r="B206" s="818"/>
      <c r="C206" s="819"/>
      <c r="D206" s="820"/>
      <c r="E206" s="821" t="s">
        <v>184</v>
      </c>
      <c r="F206" s="872" t="str">
        <f>IF($B206="","",IF(SUMIFS(CONFIG_PALETES!$C:$C,CONFIG_PALETES!$A:$A,TRIM($B206),CONFIG_PALETES!$B:$B,$C206&amp;" ml")&gt;0,SUMIFS(CONFIG_PALETES!$C:$C,CONFIG_PALETES!$A:$A,TRIM($B206),CONFIG_PALETES!$B:$B,$C206&amp;" ml"),IF(SUMIFS(CONFIG_PALETES!$C:$C,CONFIG_PALETES!$A:$A,"GERAL",CONFIG_PALETES!$B:$B,$C206&amp;" ml")&gt;0,SUMIFS(CONFIG_PALETES!$C:$C,CONFIG_PALETES!$A:$A,"GERAL",CONFIG_PALETES!$B:$B,$C206&amp;" ml"),"")))</f>
        <v/>
      </c>
      <c r="G206" s="822" t="str">
        <f>IFERROR(ROUNDUP(D206/F206,0),"")</f>
        <v/>
      </c>
      <c r="H206" s="823"/>
      <c r="I206" s="820" t="str">
        <f>IF(H206="","",H206*IF(SUMIFS(CONFIG_PALETES!$D:$D,CONFIG_PALETES!$A:$A,IF(ISNUMBER(SEARCH("ESPUMA",$B206)),"ESPUMA",IF(OR(ISNUMBER(SEARCH("OLEO DE COCO",$B206)),ISNUMBER(SEARCH("ÓLEO DE COCO",$B206)),ISNUMBER(SEARCH("COPRA",$B206))),"ÓLEO DE COCO",IF(ISNUMBER(SEARCH("CORANTE",$B206)),"CORANTE",TRIM($B206)))),CONFIG_PALETES!$B:$B,$C206&amp;" ml")&gt;0,SUMIFS(CONFIG_PALETES!$D:$D,CONFIG_PALETES!$A:$A,IF(ISNUMBER(SEARCH("ESPUMA",$B206)),"ESPUMA",IF(OR(ISNUMBER(SEARCH("OLEO DE COCO",$B206)),ISNUMBER(SEARCH("ÓLEO DE COCO",$B206)),ISNUMBER(SEARCH("COPRA",$B206))),"ÓLEO DE COCO",IF(ISNUMBER(SEARCH("CORANTE",$B206)),"CORANTE",TRIM($B206)))),CONFIG_PALETES!$B:$B,$C206&amp;" ml"),IF(SUMIFS(CONFIG_PALETES!$D:$D,CONFIG_PALETES!$A:$A,"GERAL",CONFIG_PALETES!$B:$B,$C206&amp;" ml")&gt;0,SUMIFS(CONFIG_PALETES!$D:$D,CONFIG_PALETES!$A:$A,"GERAL",CONFIG_PALETES!$B:$B,$C206&amp;" ml"),12)))</f>
        <v/>
      </c>
    </row>
    <row r="207" spans="1:15" ht="15" customHeight="1" x14ac:dyDescent="0.3">
      <c r="A207" s="899"/>
      <c r="B207" s="846" t="s">
        <v>186</v>
      </c>
      <c r="C207" s="847"/>
      <c r="D207" s="848">
        <f>SUM(D200:D206)</f>
        <v>1633</v>
      </c>
      <c r="E207" s="849"/>
      <c r="F207" s="856" t="s">
        <v>1400</v>
      </c>
      <c r="G207" s="850">
        <f>SUM(G200:G206)</f>
        <v>8</v>
      </c>
      <c r="H207" s="848">
        <f>SUM(H200:H206)</f>
        <v>1437</v>
      </c>
      <c r="I207" s="848">
        <f>SUM(I200:I206)</f>
        <v>17244</v>
      </c>
      <c r="J207" s="63">
        <f>D207</f>
        <v>1633</v>
      </c>
      <c r="K207" s="93">
        <f>G207</f>
        <v>8</v>
      </c>
      <c r="L207" s="63">
        <f>H207</f>
        <v>1437</v>
      </c>
      <c r="M207" s="63">
        <f>I207</f>
        <v>17244</v>
      </c>
      <c r="N207" s="587" cm="1">
        <f t="array" ref="N207">IF(H207=0,"",SUMPRODUCT(IFERROR(INT(H202:H206/F202:F206),0)))</f>
        <v>5</v>
      </c>
      <c r="O207" s="770">
        <f>IF(N207="","",MAX(0,G207-N207))</f>
        <v>3</v>
      </c>
    </row>
    <row r="208" spans="1:15" ht="6" customHeight="1" x14ac:dyDescent="0.3">
      <c r="C208" s="65"/>
    </row>
    <row r="209" spans="1:16" ht="14.25" customHeight="1" x14ac:dyDescent="0.3">
      <c r="A209" s="75">
        <v>46171</v>
      </c>
      <c r="B209" s="113" t="s">
        <v>49</v>
      </c>
      <c r="C209" s="112" t="s">
        <v>176</v>
      </c>
      <c r="D209" s="111" t="s">
        <v>177</v>
      </c>
      <c r="E209" s="111" t="s">
        <v>178</v>
      </c>
      <c r="F209" s="860" t="s">
        <v>179</v>
      </c>
      <c r="G209" s="111" t="s">
        <v>180</v>
      </c>
      <c r="H209" s="111" t="s">
        <v>181</v>
      </c>
      <c r="I209" s="111" t="s">
        <v>182</v>
      </c>
    </row>
    <row r="210" spans="1:16" ht="21" customHeight="1" x14ac:dyDescent="0.3">
      <c r="A210" s="120"/>
      <c r="B210" s="109" t="s">
        <v>285</v>
      </c>
      <c r="C210" s="108">
        <v>100</v>
      </c>
      <c r="D210" s="104">
        <f>D203-H203</f>
        <v>150</v>
      </c>
      <c r="E210" s="107" t="s">
        <v>184</v>
      </c>
      <c r="F210" s="871">
        <f>IF($B210="","",IF(SUMIFS(CONFIG_PALETES!$C:$C,CONFIG_PALETES!$A:$A,TRIM($B210),CONFIG_PALETES!$B:$B,$C210&amp;" ml")&gt;0,SUMIFS(CONFIG_PALETES!$C:$C,CONFIG_PALETES!$A:$A,TRIM($B210),CONFIG_PALETES!$B:$B,$C210&amp;" ml"),IF(SUMIFS(CONFIG_PALETES!$C:$C,CONFIG_PALETES!$A:$A,"GERAL",CONFIG_PALETES!$B:$B,$C210&amp;" ml")&gt;0,SUMIFS(CONFIG_PALETES!$C:$C,CONFIG_PALETES!$A:$A,"GERAL",CONFIG_PALETES!$B:$B,$C210&amp;" ml"),"")))</f>
        <v>240</v>
      </c>
      <c r="G210" s="106">
        <f>IFERROR(ROUNDUP(D210/F210,0),"")</f>
        <v>1</v>
      </c>
      <c r="H210" s="105">
        <v>147</v>
      </c>
      <c r="I210" s="104">
        <f>IF(H210="","",H210*IF(SUMIFS(CONFIG_PALETES!$D:$D,CONFIG_PALETES!$A:$A,IF(ISNUMBER(SEARCH("ESPUMA",$B210)),"ESPUMA",IF(OR(ISNUMBER(SEARCH("OLEO DE COCO",$B210)),ISNUMBER(SEARCH("ÓLEO DE COCO",$B210)),ISNUMBER(SEARCH("COPRA",$B210))),"ÓLEO DE COCO",IF(ISNUMBER(SEARCH("CORANTE",$B210)),"CORANTE",TRIM($B210)))),CONFIG_PALETES!$B:$B,$C210&amp;" ml")&gt;0,SUMIFS(CONFIG_PALETES!$D:$D,CONFIG_PALETES!$A:$A,IF(ISNUMBER(SEARCH("ESPUMA",$B210)),"ESPUMA",IF(OR(ISNUMBER(SEARCH("OLEO DE COCO",$B210)),ISNUMBER(SEARCH("ÓLEO DE COCO",$B210)),ISNUMBER(SEARCH("COPRA",$B210))),"ÓLEO DE COCO",IF(ISNUMBER(SEARCH("CORANTE",$B210)),"CORANTE",TRIM($B210)))),CONFIG_PALETES!$B:$B,$C210&amp;" ml"),IF(SUMIFS(CONFIG_PALETES!$D:$D,CONFIG_PALETES!$A:$A,"GERAL",CONFIG_PALETES!$B:$B,$C210&amp;" ml")&gt;0,SUMIFS(CONFIG_PALETES!$D:$D,CONFIG_PALETES!$A:$A,"GERAL",CONFIG_PALETES!$B:$B,$C210&amp;" ml"),12)))</f>
        <v>1764</v>
      </c>
    </row>
    <row r="211" spans="1:16" ht="21" customHeight="1" x14ac:dyDescent="0.3">
      <c r="A211" s="120"/>
      <c r="B211" s="109" t="s">
        <v>996</v>
      </c>
      <c r="C211" s="108">
        <v>100</v>
      </c>
      <c r="D211" s="104">
        <v>500</v>
      </c>
      <c r="E211" s="107" t="s">
        <v>184</v>
      </c>
      <c r="F211" s="871">
        <f>IF($B211="","",IF(SUMIFS(CONFIG_PALETES!$C:$C,CONFIG_PALETES!$A:$A,TRIM($B211),CONFIG_PALETES!$B:$B,$C211&amp;" ml")&gt;0,SUMIFS(CONFIG_PALETES!$C:$C,CONFIG_PALETES!$A:$A,TRIM($B211),CONFIG_PALETES!$B:$B,$C211&amp;" ml"),IF(SUMIFS(CONFIG_PALETES!$C:$C,CONFIG_PALETES!$A:$A,"GERAL",CONFIG_PALETES!$B:$B,$C211&amp;" ml")&gt;0,SUMIFS(CONFIG_PALETES!$C:$C,CONFIG_PALETES!$A:$A,"GERAL",CONFIG_PALETES!$B:$B,$C211&amp;" ml"),"")))</f>
        <v>240</v>
      </c>
      <c r="G211" s="106">
        <f>IFERROR(ROUNDUP(D211/F211,0),"")</f>
        <v>3</v>
      </c>
      <c r="H211" s="105">
        <v>610</v>
      </c>
      <c r="I211" s="104">
        <f>IF(H211="","",H211*IF(SUMIFS(CONFIG_PALETES!$D:$D,CONFIG_PALETES!$A:$A,IF(ISNUMBER(SEARCH("ESPUMA",$B211)),"ESPUMA",IF(OR(ISNUMBER(SEARCH("OLEO DE COCO",$B211)),ISNUMBER(SEARCH("ÓLEO DE COCO",$B211)),ISNUMBER(SEARCH("COPRA",$B211))),"ÓLEO DE COCO",IF(ISNUMBER(SEARCH("CORANTE",$B211)),"CORANTE",TRIM($B211)))),CONFIG_PALETES!$B:$B,$C211&amp;" ml")&gt;0,SUMIFS(CONFIG_PALETES!$D:$D,CONFIG_PALETES!$A:$A,IF(ISNUMBER(SEARCH("ESPUMA",$B211)),"ESPUMA",IF(OR(ISNUMBER(SEARCH("OLEO DE COCO",$B211)),ISNUMBER(SEARCH("ÓLEO DE COCO",$B211)),ISNUMBER(SEARCH("COPRA",$B211))),"ÓLEO DE COCO",IF(ISNUMBER(SEARCH("CORANTE",$B211)),"CORANTE",TRIM($B211)))),CONFIG_PALETES!$B:$B,$C211&amp;" ml"),IF(SUMIFS(CONFIG_PALETES!$D:$D,CONFIG_PALETES!$A:$A,"GERAL",CONFIG_PALETES!$B:$B,$C211&amp;" ml")&gt;0,SUMIFS(CONFIG_PALETES!$D:$D,CONFIG_PALETES!$A:$A,"GERAL",CONFIG_PALETES!$B:$B,$C211&amp;" ml"),12)))</f>
        <v>7320</v>
      </c>
    </row>
    <row r="212" spans="1:16" ht="21" customHeight="1" x14ac:dyDescent="0.3">
      <c r="A212" s="120"/>
      <c r="B212" s="109"/>
      <c r="C212" s="108"/>
      <c r="D212" s="104"/>
      <c r="E212" s="107" t="s">
        <v>184</v>
      </c>
      <c r="F212" s="871" t="str">
        <f>IF($B212="","",IF(SUMIFS(CONFIG_PALETES!$C:$C,CONFIG_PALETES!$A:$A,TRIM($B212),CONFIG_PALETES!$B:$B,$C212&amp;" ml")&gt;0,SUMIFS(CONFIG_PALETES!$C:$C,CONFIG_PALETES!$A:$A,TRIM($B212),CONFIG_PALETES!$B:$B,$C212&amp;" ml"),IF(SUMIFS(CONFIG_PALETES!$C:$C,CONFIG_PALETES!$A:$A,"GERAL",CONFIG_PALETES!$B:$B,$C212&amp;" ml")&gt;0,SUMIFS(CONFIG_PALETES!$C:$C,CONFIG_PALETES!$A:$A,"GERAL",CONFIG_PALETES!$B:$B,$C212&amp;" ml"),"")))</f>
        <v/>
      </c>
      <c r="G212" s="106" t="str">
        <f>IFERROR(ROUNDUP(D212/F212,0),"")</f>
        <v/>
      </c>
      <c r="H212" s="105"/>
      <c r="I212" s="104" t="str">
        <f>IF(H212="","",H212*IF(SUMIFS(CONFIG_PALETES!$D:$D,CONFIG_PALETES!$A:$A,IF(ISNUMBER(SEARCH("ESPUMA",$B212)),"ESPUMA",IF(OR(ISNUMBER(SEARCH("OLEO DE COCO",$B212)),ISNUMBER(SEARCH("ÓLEO DE COCO",$B212)),ISNUMBER(SEARCH("COPRA",$B212))),"ÓLEO DE COCO",IF(ISNUMBER(SEARCH("CORANTE",$B212)),"CORANTE",TRIM($B212)))),CONFIG_PALETES!$B:$B,$C212&amp;" ml")&gt;0,SUMIFS(CONFIG_PALETES!$D:$D,CONFIG_PALETES!$A:$A,IF(ISNUMBER(SEARCH("ESPUMA",$B212)),"ESPUMA",IF(OR(ISNUMBER(SEARCH("OLEO DE COCO",$B212)),ISNUMBER(SEARCH("ÓLEO DE COCO",$B212)),ISNUMBER(SEARCH("COPRA",$B212))),"ÓLEO DE COCO",IF(ISNUMBER(SEARCH("CORANTE",$B212)),"CORANTE",TRIM($B212)))),CONFIG_PALETES!$B:$B,$C212&amp;" ml"),IF(SUMIFS(CONFIG_PALETES!$D:$D,CONFIG_PALETES!$A:$A,"GERAL",CONFIG_PALETES!$B:$B,$C212&amp;" ml")&gt;0,SUMIFS(CONFIG_PALETES!$D:$D,CONFIG_PALETES!$A:$A,"GERAL",CONFIG_PALETES!$B:$B,$C212&amp;" ml"),12)))</f>
        <v/>
      </c>
    </row>
    <row r="213" spans="1:16" ht="21" customHeight="1" x14ac:dyDescent="0.3">
      <c r="A213" s="120"/>
      <c r="B213" s="109"/>
      <c r="C213" s="108"/>
      <c r="D213" s="104"/>
      <c r="E213" s="107" t="s">
        <v>184</v>
      </c>
      <c r="F213" s="871" t="str">
        <f>IF($B213="","",IF(SUMIFS(CONFIG_PALETES!$C:$C,CONFIG_PALETES!$A:$A,TRIM($B213),CONFIG_PALETES!$B:$B,$C213&amp;" ml")&gt;0,SUMIFS(CONFIG_PALETES!$C:$C,CONFIG_PALETES!$A:$A,TRIM($B213),CONFIG_PALETES!$B:$B,$C213&amp;" ml"),IF(SUMIFS(CONFIG_PALETES!$C:$C,CONFIG_PALETES!$A:$A,"GERAL",CONFIG_PALETES!$B:$B,$C213&amp;" ml")&gt;0,SUMIFS(CONFIG_PALETES!$C:$C,CONFIG_PALETES!$A:$A,"GERAL",CONFIG_PALETES!$B:$B,$C213&amp;" ml"),"")))</f>
        <v/>
      </c>
      <c r="G213" s="106" t="str">
        <f>IFERROR(ROUNDUP(D213/F213,0),"")</f>
        <v/>
      </c>
      <c r="H213" s="105"/>
      <c r="I213" s="104" t="str">
        <f>IF(H213="","",H213*IF(SUMIFS(CONFIG_PALETES!$D:$D,CONFIG_PALETES!$A:$A,IF(ISNUMBER(SEARCH("ESPUMA",$B213)),"ESPUMA",IF(OR(ISNUMBER(SEARCH("OLEO DE COCO",$B213)),ISNUMBER(SEARCH("ÓLEO DE COCO",$B213)),ISNUMBER(SEARCH("COPRA",$B213))),"ÓLEO DE COCO",IF(ISNUMBER(SEARCH("CORANTE",$B213)),"CORANTE",TRIM($B213)))),CONFIG_PALETES!$B:$B,$C213&amp;" ml")&gt;0,SUMIFS(CONFIG_PALETES!$D:$D,CONFIG_PALETES!$A:$A,IF(ISNUMBER(SEARCH("ESPUMA",$B213)),"ESPUMA",IF(OR(ISNUMBER(SEARCH("OLEO DE COCO",$B213)),ISNUMBER(SEARCH("ÓLEO DE COCO",$B213)),ISNUMBER(SEARCH("COPRA",$B213))),"ÓLEO DE COCO",IF(ISNUMBER(SEARCH("CORANTE",$B213)),"CORANTE",TRIM($B213)))),CONFIG_PALETES!$B:$B,$C213&amp;" ml"),IF(SUMIFS(CONFIG_PALETES!$D:$D,CONFIG_PALETES!$A:$A,"GERAL",CONFIG_PALETES!$B:$B,$C213&amp;" ml")&gt;0,SUMIFS(CONFIG_PALETES!$D:$D,CONFIG_PALETES!$A:$A,"GERAL",CONFIG_PALETES!$B:$B,$C213&amp;" ml"),12)))</f>
        <v/>
      </c>
    </row>
    <row r="214" spans="1:16" ht="21" customHeight="1" x14ac:dyDescent="0.3">
      <c r="A214" s="824"/>
      <c r="B214" s="818"/>
      <c r="C214" s="819"/>
      <c r="D214" s="820"/>
      <c r="E214" s="821" t="s">
        <v>184</v>
      </c>
      <c r="F214" s="872" t="str">
        <f>IF($B214="","",IF(SUMIFS(CONFIG_PALETES!$C:$C,CONFIG_PALETES!$A:$A,TRIM($B214),CONFIG_PALETES!$B:$B,$C214&amp;" ml")&gt;0,SUMIFS(CONFIG_PALETES!$C:$C,CONFIG_PALETES!$A:$A,TRIM($B214),CONFIG_PALETES!$B:$B,$C214&amp;" ml"),IF(SUMIFS(CONFIG_PALETES!$C:$C,CONFIG_PALETES!$A:$A,"GERAL",CONFIG_PALETES!$B:$B,$C214&amp;" ml")&gt;0,SUMIFS(CONFIG_PALETES!$C:$C,CONFIG_PALETES!$A:$A,"GERAL",CONFIG_PALETES!$B:$B,$C214&amp;" ml"),"")))</f>
        <v/>
      </c>
      <c r="G214" s="822" t="str">
        <f>IFERROR(ROUNDUP(D214/F214,0),"")</f>
        <v/>
      </c>
      <c r="H214" s="823"/>
      <c r="I214" s="820" t="str">
        <f>IF(H214="","",H214*IF(SUMIFS(CONFIG_PALETES!$D:$D,CONFIG_PALETES!$A:$A,IF(ISNUMBER(SEARCH("ESPUMA",$B214)),"ESPUMA",IF(OR(ISNUMBER(SEARCH("OLEO DE COCO",$B214)),ISNUMBER(SEARCH("ÓLEO DE COCO",$B214)),ISNUMBER(SEARCH("COPRA",$B214))),"ÓLEO DE COCO",IF(ISNUMBER(SEARCH("CORANTE",$B214)),"CORANTE",TRIM($B214)))),CONFIG_PALETES!$B:$B,$C214&amp;" ml")&gt;0,SUMIFS(CONFIG_PALETES!$D:$D,CONFIG_PALETES!$A:$A,IF(ISNUMBER(SEARCH("ESPUMA",$B214)),"ESPUMA",IF(OR(ISNUMBER(SEARCH("OLEO DE COCO",$B214)),ISNUMBER(SEARCH("ÓLEO DE COCO",$B214)),ISNUMBER(SEARCH("COPRA",$B214))),"ÓLEO DE COCO",IF(ISNUMBER(SEARCH("CORANTE",$B214)),"CORANTE",TRIM($B214)))),CONFIG_PALETES!$B:$B,$C214&amp;" ml"),IF(SUMIFS(CONFIG_PALETES!$D:$D,CONFIG_PALETES!$A:$A,"GERAL",CONFIG_PALETES!$B:$B,$C214&amp;" ml")&gt;0,SUMIFS(CONFIG_PALETES!$D:$D,CONFIG_PALETES!$A:$A,"GERAL",CONFIG_PALETES!$B:$B,$C214&amp;" ml"),12)))</f>
        <v/>
      </c>
      <c r="O214" s="595"/>
      <c r="P214" s="63"/>
    </row>
    <row r="215" spans="1:16" ht="14.25" customHeight="1" x14ac:dyDescent="0.3">
      <c r="A215" s="899"/>
      <c r="B215" s="846" t="s">
        <v>186</v>
      </c>
      <c r="C215" s="847"/>
      <c r="D215" s="848">
        <f>SUM(D208:D214)</f>
        <v>650</v>
      </c>
      <c r="E215" s="849"/>
      <c r="F215" s="856" t="s">
        <v>1400</v>
      </c>
      <c r="G215" s="850">
        <f>SUM(G208:G214)</f>
        <v>4</v>
      </c>
      <c r="H215" s="848">
        <f>SUM(H208:H214)</f>
        <v>757</v>
      </c>
      <c r="I215" s="848">
        <f>SUM(I208:I214)</f>
        <v>9084</v>
      </c>
      <c r="J215" s="63">
        <f>D215</f>
        <v>650</v>
      </c>
      <c r="K215" s="93">
        <f>G215</f>
        <v>4</v>
      </c>
      <c r="L215" s="63">
        <f>H215</f>
        <v>757</v>
      </c>
      <c r="M215" s="63">
        <f>I215</f>
        <v>9084</v>
      </c>
      <c r="N215" s="587" cm="1">
        <f t="array" ref="N215">IF(H215=0,"",SUMPRODUCT(IFERROR(INT(H210:H214/F210:F214),0)))</f>
        <v>2</v>
      </c>
      <c r="O215" s="770">
        <f>IF(N215="","",MAX(0,G215-N215))</f>
        <v>2</v>
      </c>
      <c r="P215" s="63"/>
    </row>
    <row r="216" spans="1:16" ht="6" customHeight="1" x14ac:dyDescent="0.3">
      <c r="C216" s="65"/>
    </row>
    <row r="217" spans="1:16" ht="14.25" customHeight="1" x14ac:dyDescent="0.3">
      <c r="A217" s="75">
        <v>46172</v>
      </c>
      <c r="B217" s="113" t="s">
        <v>49</v>
      </c>
      <c r="C217" s="112" t="s">
        <v>176</v>
      </c>
      <c r="D217" s="111" t="s">
        <v>177</v>
      </c>
      <c r="E217" s="111" t="s">
        <v>178</v>
      </c>
      <c r="F217" s="860" t="s">
        <v>179</v>
      </c>
      <c r="G217" s="111" t="s">
        <v>180</v>
      </c>
      <c r="H217" s="111" t="s">
        <v>181</v>
      </c>
      <c r="I217" s="111" t="s">
        <v>182</v>
      </c>
    </row>
    <row r="218" spans="1:16" ht="21" customHeight="1" x14ac:dyDescent="0.3">
      <c r="A218" s="120"/>
      <c r="B218" s="109"/>
      <c r="C218" s="108"/>
      <c r="D218" s="104"/>
      <c r="E218" s="107" t="s">
        <v>184</v>
      </c>
      <c r="F218" s="871" t="str">
        <f>IF($B218="","",IF(SUMIFS(CONFIG_PALETES!$C:$C,CONFIG_PALETES!$A:$A,TRIM($B218),CONFIG_PALETES!$B:$B,$C218&amp;" ml")&gt;0,SUMIFS(CONFIG_PALETES!$C:$C,CONFIG_PALETES!$A:$A,TRIM($B218),CONFIG_PALETES!$B:$B,$C218&amp;" ml"),IF(SUMIFS(CONFIG_PALETES!$C:$C,CONFIG_PALETES!$A:$A,"GERAL",CONFIG_PALETES!$B:$B,$C218&amp;" ml")&gt;0,SUMIFS(CONFIG_PALETES!$C:$C,CONFIG_PALETES!$A:$A,"GERAL",CONFIG_PALETES!$B:$B,$C218&amp;" ml"),"")))</f>
        <v/>
      </c>
      <c r="G218" s="106" t="str">
        <f t="shared" ref="G218:G224" si="9">IFERROR(ROUNDUP(D218/F218,0),"")</f>
        <v/>
      </c>
      <c r="H218" s="105"/>
      <c r="I218" s="104" t="str">
        <f>IF(H218="","",H218*IF(SUMIFS(CONFIG_PALETES!$D:$D,CONFIG_PALETES!$A:$A,IF(ISNUMBER(SEARCH("ESPUMA",$B218)),"ESPUMA",IF(OR(ISNUMBER(SEARCH("OLEO DE COCO",$B218)),ISNUMBER(SEARCH("ÓLEO DE COCO",$B218)),ISNUMBER(SEARCH("COPRA",$B218))),"ÓLEO DE COCO",IF(ISNUMBER(SEARCH("CORANTE",$B218)),"CORANTE",TRIM($B218)))),CONFIG_PALETES!$B:$B,$C218&amp;" ml")&gt;0,SUMIFS(CONFIG_PALETES!$D:$D,CONFIG_PALETES!$A:$A,IF(ISNUMBER(SEARCH("ESPUMA",$B218)),"ESPUMA",IF(OR(ISNUMBER(SEARCH("OLEO DE COCO",$B218)),ISNUMBER(SEARCH("ÓLEO DE COCO",$B218)),ISNUMBER(SEARCH("COPRA",$B218))),"ÓLEO DE COCO",IF(ISNUMBER(SEARCH("CORANTE",$B218)),"CORANTE",TRIM($B218)))),CONFIG_PALETES!$B:$B,$C218&amp;" ml"),IF(SUMIFS(CONFIG_PALETES!$D:$D,CONFIG_PALETES!$A:$A,"GERAL",CONFIG_PALETES!$B:$B,$C218&amp;" ml")&gt;0,SUMIFS(CONFIG_PALETES!$D:$D,CONFIG_PALETES!$A:$A,"GERAL",CONFIG_PALETES!$B:$B,$C218&amp;" ml"),12)))</f>
        <v/>
      </c>
    </row>
    <row r="219" spans="1:16" ht="21" customHeight="1" x14ac:dyDescent="0.3">
      <c r="A219" s="120"/>
      <c r="B219" s="109" t="s">
        <v>589</v>
      </c>
      <c r="C219" s="108">
        <v>600</v>
      </c>
      <c r="D219" s="104">
        <v>200</v>
      </c>
      <c r="E219" s="107" t="s">
        <v>184</v>
      </c>
      <c r="F219" s="871">
        <f>IF($B219="","",IF(SUMIFS(CONFIG_PALETES!$C:$C,CONFIG_PALETES!$A:$A,TRIM($B219),CONFIG_PALETES!$B:$B,$C219&amp;" ml")&gt;0,SUMIFS(CONFIG_PALETES!$C:$C,CONFIG_PALETES!$A:$A,TRIM($B219),CONFIG_PALETES!$B:$B,$C219&amp;" ml"),IF(SUMIFS(CONFIG_PALETES!$C:$C,CONFIG_PALETES!$A:$A,"GERAL",CONFIG_PALETES!$B:$B,$C219&amp;" ml")&gt;0,SUMIFS(CONFIG_PALETES!$C:$C,CONFIG_PALETES!$A:$A,"GERAL",CONFIG_PALETES!$B:$B,$C219&amp;" ml"),"")))</f>
        <v>95</v>
      </c>
      <c r="G219" s="106">
        <f t="shared" si="9"/>
        <v>3</v>
      </c>
      <c r="H219" s="105">
        <v>201</v>
      </c>
      <c r="I219" s="104">
        <f>IF(H219="","",H219*IF(SUMIFS(CONFIG_PALETES!$D:$D,CONFIG_PALETES!$A:$A,IF(ISNUMBER(SEARCH("ESPUMA",$B219)),"ESPUMA",IF(OR(ISNUMBER(SEARCH("OLEO DE COCO",$B219)),ISNUMBER(SEARCH("ÓLEO DE COCO",$B219)),ISNUMBER(SEARCH("COPRA",$B219))),"ÓLEO DE COCO",IF(ISNUMBER(SEARCH("CORANTE",$B219)),"CORANTE",TRIM($B219)))),CONFIG_PALETES!$B:$B,$C219&amp;" ml")&gt;0,SUMIFS(CONFIG_PALETES!$D:$D,CONFIG_PALETES!$A:$A,IF(ISNUMBER(SEARCH("ESPUMA",$B219)),"ESPUMA",IF(OR(ISNUMBER(SEARCH("OLEO DE COCO",$B219)),ISNUMBER(SEARCH("ÓLEO DE COCO",$B219)),ISNUMBER(SEARCH("COPRA",$B219))),"ÓLEO DE COCO",IF(ISNUMBER(SEARCH("CORANTE",$B219)),"CORANTE",TRIM($B219)))),CONFIG_PALETES!$B:$B,$C219&amp;" ml"),IF(SUMIFS(CONFIG_PALETES!$D:$D,CONFIG_PALETES!$A:$A,"GERAL",CONFIG_PALETES!$B:$B,$C219&amp;" ml")&gt;0,SUMIFS(CONFIG_PALETES!$D:$D,CONFIG_PALETES!$A:$A,"GERAL",CONFIG_PALETES!$B:$B,$C219&amp;" ml"),12)))</f>
        <v>2412</v>
      </c>
    </row>
    <row r="220" spans="1:16" ht="21" customHeight="1" x14ac:dyDescent="0.3">
      <c r="A220" s="120"/>
      <c r="B220" s="109" t="s">
        <v>131</v>
      </c>
      <c r="C220" s="108">
        <v>600</v>
      </c>
      <c r="D220" s="104">
        <v>380</v>
      </c>
      <c r="E220" s="107" t="s">
        <v>184</v>
      </c>
      <c r="F220" s="871">
        <f>IF($B220="","",IF(SUMIFS(CONFIG_PALETES!$C:$C,CONFIG_PALETES!$A:$A,TRIM($B220),CONFIG_PALETES!$B:$B,$C220&amp;" ml")&gt;0,SUMIFS(CONFIG_PALETES!$C:$C,CONFIG_PALETES!$A:$A,TRIM($B220),CONFIG_PALETES!$B:$B,$C220&amp;" ml"),IF(SUMIFS(CONFIG_PALETES!$C:$C,CONFIG_PALETES!$A:$A,"GERAL",CONFIG_PALETES!$B:$B,$C220&amp;" ml")&gt;0,SUMIFS(CONFIG_PALETES!$C:$C,CONFIG_PALETES!$A:$A,"GERAL",CONFIG_PALETES!$B:$B,$C220&amp;" ml"),"")))</f>
        <v>95</v>
      </c>
      <c r="G220" s="106">
        <f t="shared" si="9"/>
        <v>4</v>
      </c>
      <c r="H220" s="105">
        <v>381</v>
      </c>
      <c r="I220" s="104">
        <f>IF(H220="","",H220*IF(SUMIFS(CONFIG_PALETES!$D:$D,CONFIG_PALETES!$A:$A,IF(ISNUMBER(SEARCH("ESPUMA",$B220)),"ESPUMA",IF(OR(ISNUMBER(SEARCH("OLEO DE COCO",$B220)),ISNUMBER(SEARCH("ÓLEO DE COCO",$B220)),ISNUMBER(SEARCH("COPRA",$B220))),"ÓLEO DE COCO",IF(ISNUMBER(SEARCH("CORANTE",$B220)),"CORANTE",TRIM($B220)))),CONFIG_PALETES!$B:$B,$C220&amp;" ml")&gt;0,SUMIFS(CONFIG_PALETES!$D:$D,CONFIG_PALETES!$A:$A,IF(ISNUMBER(SEARCH("ESPUMA",$B220)),"ESPUMA",IF(OR(ISNUMBER(SEARCH("OLEO DE COCO",$B220)),ISNUMBER(SEARCH("ÓLEO DE COCO",$B220)),ISNUMBER(SEARCH("COPRA",$B220))),"ÓLEO DE COCO",IF(ISNUMBER(SEARCH("CORANTE",$B220)),"CORANTE",TRIM($B220)))),CONFIG_PALETES!$B:$B,$C220&amp;" ml"),IF(SUMIFS(CONFIG_PALETES!$D:$D,CONFIG_PALETES!$A:$A,"GERAL",CONFIG_PALETES!$B:$B,$C220&amp;" ml")&gt;0,SUMIFS(CONFIG_PALETES!$D:$D,CONFIG_PALETES!$A:$A,"GERAL",CONFIG_PALETES!$B:$B,$C220&amp;" ml"),12)))</f>
        <v>4572</v>
      </c>
    </row>
    <row r="221" spans="1:16" ht="21" customHeight="1" x14ac:dyDescent="0.3">
      <c r="A221" s="120"/>
      <c r="B221" s="109"/>
      <c r="C221" s="108"/>
      <c r="D221" s="104"/>
      <c r="E221" s="107" t="s">
        <v>184</v>
      </c>
      <c r="F221" s="871" t="str">
        <f>IF($B221="","",IF(SUMIFS(CONFIG_PALETES!$C:$C,CONFIG_PALETES!$A:$A,TRIM($B221),CONFIG_PALETES!$B:$B,$C221&amp;" ml")&gt;0,SUMIFS(CONFIG_PALETES!$C:$C,CONFIG_PALETES!$A:$A,TRIM($B221),CONFIG_PALETES!$B:$B,$C221&amp;" ml"),IF(SUMIFS(CONFIG_PALETES!$C:$C,CONFIG_PALETES!$A:$A,"GERAL",CONFIG_PALETES!$B:$B,$C221&amp;" ml")&gt;0,SUMIFS(CONFIG_PALETES!$C:$C,CONFIG_PALETES!$A:$A,"GERAL",CONFIG_PALETES!$B:$B,$C221&amp;" ml"),"")))</f>
        <v/>
      </c>
      <c r="G221" s="106" t="str">
        <f t="shared" si="9"/>
        <v/>
      </c>
      <c r="H221" s="105"/>
      <c r="I221" s="104" t="str">
        <f>IF(H221="","",H221*IF(SUMIFS(CONFIG_PALETES!$D:$D,CONFIG_PALETES!$A:$A,IF(ISNUMBER(SEARCH("ESPUMA",$B221)),"ESPUMA",IF(OR(ISNUMBER(SEARCH("OLEO DE COCO",$B221)),ISNUMBER(SEARCH("ÓLEO DE COCO",$B221)),ISNUMBER(SEARCH("COPRA",$B221))),"ÓLEO DE COCO",IF(ISNUMBER(SEARCH("CORANTE",$B221)),"CORANTE",TRIM($B221)))),CONFIG_PALETES!$B:$B,$C221&amp;" ml")&gt;0,SUMIFS(CONFIG_PALETES!$D:$D,CONFIG_PALETES!$A:$A,IF(ISNUMBER(SEARCH("ESPUMA",$B221)),"ESPUMA",IF(OR(ISNUMBER(SEARCH("OLEO DE COCO",$B221)),ISNUMBER(SEARCH("ÓLEO DE COCO",$B221)),ISNUMBER(SEARCH("COPRA",$B221))),"ÓLEO DE COCO",IF(ISNUMBER(SEARCH("CORANTE",$B221)),"CORANTE",TRIM($B221)))),CONFIG_PALETES!$B:$B,$C221&amp;" ml"),IF(SUMIFS(CONFIG_PALETES!$D:$D,CONFIG_PALETES!$A:$A,"GERAL",CONFIG_PALETES!$B:$B,$C221&amp;" ml")&gt;0,SUMIFS(CONFIG_PALETES!$D:$D,CONFIG_PALETES!$A:$A,"GERAL",CONFIG_PALETES!$B:$B,$C221&amp;" ml"),12)))</f>
        <v/>
      </c>
    </row>
    <row r="222" spans="1:16" ht="21" customHeight="1" x14ac:dyDescent="0.3">
      <c r="A222" s="120"/>
      <c r="B222" s="109"/>
      <c r="C222" s="108"/>
      <c r="D222" s="104"/>
      <c r="E222" s="107" t="s">
        <v>184</v>
      </c>
      <c r="F222" s="871" t="str">
        <f>IF($B222="","",IF(SUMIFS(CONFIG_PALETES!$C:$C,CONFIG_PALETES!$A:$A,TRIM($B222),CONFIG_PALETES!$B:$B,$C222&amp;" ml")&gt;0,SUMIFS(CONFIG_PALETES!$C:$C,CONFIG_PALETES!$A:$A,TRIM($B222),CONFIG_PALETES!$B:$B,$C222&amp;" ml"),IF(SUMIFS(CONFIG_PALETES!$C:$C,CONFIG_PALETES!$A:$A,"GERAL",CONFIG_PALETES!$B:$B,$C222&amp;" ml")&gt;0,SUMIFS(CONFIG_PALETES!$C:$C,CONFIG_PALETES!$A:$A,"GERAL",CONFIG_PALETES!$B:$B,$C222&amp;" ml"),"")))</f>
        <v/>
      </c>
      <c r="G222" s="106" t="str">
        <f t="shared" si="9"/>
        <v/>
      </c>
      <c r="H222" s="105"/>
      <c r="I222" s="104" t="str">
        <f>IF(H222="","",H222*IF(SUMIFS(CONFIG_PALETES!$D:$D,CONFIG_PALETES!$A:$A,IF(ISNUMBER(SEARCH("ESPUMA",$B222)),"ESPUMA",IF(OR(ISNUMBER(SEARCH("OLEO DE COCO",$B222)),ISNUMBER(SEARCH("ÓLEO DE COCO",$B222)),ISNUMBER(SEARCH("COPRA",$B222))),"ÓLEO DE COCO",IF(ISNUMBER(SEARCH("CORANTE",$B222)),"CORANTE",TRIM($B222)))),CONFIG_PALETES!$B:$B,$C222&amp;" ml")&gt;0,SUMIFS(CONFIG_PALETES!$D:$D,CONFIG_PALETES!$A:$A,IF(ISNUMBER(SEARCH("ESPUMA",$B222)),"ESPUMA",IF(OR(ISNUMBER(SEARCH("OLEO DE COCO",$B222)),ISNUMBER(SEARCH("ÓLEO DE COCO",$B222)),ISNUMBER(SEARCH("COPRA",$B222))),"ÓLEO DE COCO",IF(ISNUMBER(SEARCH("CORANTE",$B222)),"CORANTE",TRIM($B222)))),CONFIG_PALETES!$B:$B,$C222&amp;" ml"),IF(SUMIFS(CONFIG_PALETES!$D:$D,CONFIG_PALETES!$A:$A,"GERAL",CONFIG_PALETES!$B:$B,$C222&amp;" ml")&gt;0,SUMIFS(CONFIG_PALETES!$D:$D,CONFIG_PALETES!$A:$A,"GERAL",CONFIG_PALETES!$B:$B,$C222&amp;" ml"),12)))</f>
        <v/>
      </c>
    </row>
    <row r="223" spans="1:16" ht="21" customHeight="1" x14ac:dyDescent="0.3">
      <c r="A223" s="120"/>
      <c r="B223" s="109"/>
      <c r="C223" s="108"/>
      <c r="D223" s="104"/>
      <c r="E223" s="107" t="s">
        <v>184</v>
      </c>
      <c r="F223" s="871" t="str">
        <f>IF($B223="","",IF(SUMIFS(CONFIG_PALETES!$C:$C,CONFIG_PALETES!$A:$A,TRIM($B223),CONFIG_PALETES!$B:$B,$C223&amp;" ml")&gt;0,SUMIFS(CONFIG_PALETES!$C:$C,CONFIG_PALETES!$A:$A,TRIM($B223),CONFIG_PALETES!$B:$B,$C223&amp;" ml"),IF(SUMIFS(CONFIG_PALETES!$C:$C,CONFIG_PALETES!$A:$A,"GERAL",CONFIG_PALETES!$B:$B,$C223&amp;" ml")&gt;0,SUMIFS(CONFIG_PALETES!$C:$C,CONFIG_PALETES!$A:$A,"GERAL",CONFIG_PALETES!$B:$B,$C223&amp;" ml"),"")))</f>
        <v/>
      </c>
      <c r="G223" s="106" t="str">
        <f t="shared" si="9"/>
        <v/>
      </c>
      <c r="H223" s="105"/>
      <c r="I223" s="104" t="str">
        <f>IF(H223="","",H223*IF(SUMIFS(CONFIG_PALETES!$D:$D,CONFIG_PALETES!$A:$A,IF(ISNUMBER(SEARCH("ESPUMA",$B223)),"ESPUMA",IF(OR(ISNUMBER(SEARCH("OLEO DE COCO",$B223)),ISNUMBER(SEARCH("ÓLEO DE COCO",$B223)),ISNUMBER(SEARCH("COPRA",$B223))),"ÓLEO DE COCO",IF(ISNUMBER(SEARCH("CORANTE",$B223)),"CORANTE",TRIM($B223)))),CONFIG_PALETES!$B:$B,$C223&amp;" ml")&gt;0,SUMIFS(CONFIG_PALETES!$D:$D,CONFIG_PALETES!$A:$A,IF(ISNUMBER(SEARCH("ESPUMA",$B223)),"ESPUMA",IF(OR(ISNUMBER(SEARCH("OLEO DE COCO",$B223)),ISNUMBER(SEARCH("ÓLEO DE COCO",$B223)),ISNUMBER(SEARCH("COPRA",$B223))),"ÓLEO DE COCO",IF(ISNUMBER(SEARCH("CORANTE",$B223)),"CORANTE",TRIM($B223)))),CONFIG_PALETES!$B:$B,$C223&amp;" ml"),IF(SUMIFS(CONFIG_PALETES!$D:$D,CONFIG_PALETES!$A:$A,"GERAL",CONFIG_PALETES!$B:$B,$C223&amp;" ml")&gt;0,SUMIFS(CONFIG_PALETES!$D:$D,CONFIG_PALETES!$A:$A,"GERAL",CONFIG_PALETES!$B:$B,$C223&amp;" ml"),12)))</f>
        <v/>
      </c>
    </row>
    <row r="224" spans="1:16" ht="21" customHeight="1" x14ac:dyDescent="0.3">
      <c r="A224" s="824"/>
      <c r="B224" s="818"/>
      <c r="C224" s="819"/>
      <c r="D224" s="820"/>
      <c r="E224" s="821" t="s">
        <v>184</v>
      </c>
      <c r="F224" s="872" t="str">
        <f>IF($B224="","",IF(SUMIFS(CONFIG_PALETES!$C:$C,CONFIG_PALETES!$A:$A,TRIM($B224),CONFIG_PALETES!$B:$B,$C224&amp;" ml")&gt;0,SUMIFS(CONFIG_PALETES!$C:$C,CONFIG_PALETES!$A:$A,TRIM($B224),CONFIG_PALETES!$B:$B,$C224&amp;" ml"),IF(SUMIFS(CONFIG_PALETES!$C:$C,CONFIG_PALETES!$A:$A,"GERAL",CONFIG_PALETES!$B:$B,$C224&amp;" ml")&gt;0,SUMIFS(CONFIG_PALETES!$C:$C,CONFIG_PALETES!$A:$A,"GERAL",CONFIG_PALETES!$B:$B,$C224&amp;" ml"),"")))</f>
        <v/>
      </c>
      <c r="G224" s="822" t="str">
        <f t="shared" si="9"/>
        <v/>
      </c>
      <c r="H224" s="823"/>
      <c r="I224" s="820" t="str">
        <f>IF(H224="","",H224*IF(SUMIFS(CONFIG_PALETES!$D:$D,CONFIG_PALETES!$A:$A,IF(ISNUMBER(SEARCH("ESPUMA",$B224)),"ESPUMA",IF(OR(ISNUMBER(SEARCH("OLEO DE COCO",$B224)),ISNUMBER(SEARCH("ÓLEO DE COCO",$B224)),ISNUMBER(SEARCH("COPRA",$B224))),"ÓLEO DE COCO",IF(ISNUMBER(SEARCH("CORANTE",$B224)),"CORANTE",TRIM($B224)))),CONFIG_PALETES!$B:$B,$C224&amp;" ml")&gt;0,SUMIFS(CONFIG_PALETES!$D:$D,CONFIG_PALETES!$A:$A,IF(ISNUMBER(SEARCH("ESPUMA",$B224)),"ESPUMA",IF(OR(ISNUMBER(SEARCH("OLEO DE COCO",$B224)),ISNUMBER(SEARCH("ÓLEO DE COCO",$B224)),ISNUMBER(SEARCH("COPRA",$B224))),"ÓLEO DE COCO",IF(ISNUMBER(SEARCH("CORANTE",$B224)),"CORANTE",TRIM($B224)))),CONFIG_PALETES!$B:$B,$C224&amp;" ml"),IF(SUMIFS(CONFIG_PALETES!$D:$D,CONFIG_PALETES!$A:$A,"GERAL",CONFIG_PALETES!$B:$B,$C224&amp;" ml")&gt;0,SUMIFS(CONFIG_PALETES!$D:$D,CONFIG_PALETES!$A:$A,"GERAL",CONFIG_PALETES!$B:$B,$C224&amp;" ml"),12)))</f>
        <v/>
      </c>
    </row>
    <row r="225" spans="1:15" ht="14.25" customHeight="1" x14ac:dyDescent="0.3">
      <c r="A225" s="899"/>
      <c r="B225" s="846" t="s">
        <v>186</v>
      </c>
      <c r="C225" s="847"/>
      <c r="D225" s="848">
        <f>SUM(D216:D224)</f>
        <v>580</v>
      </c>
      <c r="E225" s="849"/>
      <c r="F225" s="856" t="s">
        <v>1400</v>
      </c>
      <c r="G225" s="850">
        <f>SUM(G216:G224)</f>
        <v>7</v>
      </c>
      <c r="H225" s="848">
        <f>SUM(H216:H224)</f>
        <v>582</v>
      </c>
      <c r="I225" s="848">
        <f>SUM(I216:I224)</f>
        <v>6984</v>
      </c>
      <c r="J225" s="63">
        <f>D225</f>
        <v>580</v>
      </c>
      <c r="K225" s="93">
        <f>G225</f>
        <v>7</v>
      </c>
      <c r="L225" s="63">
        <f>H225</f>
        <v>582</v>
      </c>
      <c r="M225" s="63">
        <f>I225</f>
        <v>6984</v>
      </c>
      <c r="N225" s="587" cm="1">
        <f t="array" ref="N225">IF(H225=0,"",SUMPRODUCT(IFERROR(INT(H218:H224/F218:F224),0)))</f>
        <v>6</v>
      </c>
      <c r="O225" s="770">
        <f>IF(N225="","",MAX(0,G225-N225))</f>
        <v>1</v>
      </c>
    </row>
  </sheetData>
  <mergeCells count="3">
    <mergeCell ref="A1:I1"/>
    <mergeCell ref="A2:F2"/>
    <mergeCell ref="G2:I2"/>
  </mergeCells>
  <dataValidations count="147">
    <dataValidation type="list" allowBlank="1" errorTitle="Embalagem inválida" error="Escolha uma embalagem compatível com o produto." promptTitle="Selecione a embalagem" prompt="As opções mudam conforme o produto escolhido." sqref="C1:C3 C10:C12 C18:C20 C26:C28 C35:C37 C47:C49 C57:C59 C65:C67 C73:C75 C82:C84 C90:C92 C98:C100 C106:C108 C114:C116 C121:C123 C131:C133 C139:C141 C147:C149 C155:C157 C164:C166 C172:C174 C180:C182 C190:C192 C199:C201 C207:C209 C215:C217 C225:C1209" xr:uid="{00000000-0002-0000-10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37DEA6F8-EA60-463F-BB6F-7E518C5A04FB}">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74E8C3DD-3AAB-4FE2-BC76-41A22AD2DE08}">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CE2190EA-44E7-4A6D-8DF3-47CD17EEA73D}">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08C345E0-E734-456A-AA1F-E3A1C89579BB}">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F6489395-3CCD-4B27-B79D-9DE2AB8B3169}">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9" xr:uid="{56080805-95A2-4916-8562-D9B68B673265}">
      <formula1>INDIRECT(IF(OR(ISNUMBER(SEARCH("ICEBERG ICE",UPPER(TRIM($B9)))),ISNUMBER(SEARCH("ICE ICEBERG",UPPER(TRIM($B9)))),ISNUMBER(SEARCH("GELINHO ICEBERG",UPPER(TRIM($B9))))),"$AJ$2:$AJ$2",IF(ISNUMBER(SEARCH("ESPUMA",$B9)),"$AI$2:$AI$2",IF(ISNUMBER(SEARCH("CORANTE",$B9)),"$AN$2:$AN$2",IFERROR(INDEX($AB$2:$AB$139,MATCH(UPPER(TRIM($B9)),$AA$2:$AA$139,0)),"$AO$2:$AO$9")))))</formula1>
    </dataValidation>
    <dataValidation type="list" allowBlank="1" errorTitle="Embalagem inválida" error="Escolha uma embalagem compatível com o produto." promptTitle="Selecione a embalagem" prompt="As opções mudam conforme o produto digitado." sqref="C13" xr:uid="{82C7F2FC-C4EA-4FEF-B40B-A5EA5596D189}">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225AC404-85B4-4A93-8F90-4AFABFF85AB7}">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70B7C6F8-3D6A-4134-870C-D8D077A8A251}">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A150229C-787F-4C34-BB78-DB59F7822E51}">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17" xr:uid="{523FFCB6-4344-4CB1-AF59-10DE58BB6A2D}">
      <formula1>INDIRECT(IF(OR(ISNUMBER(SEARCH("ICEBERG ICE",UPPER(TRIM($B17)))),ISNUMBER(SEARCH("ICE ICEBERG",UPPER(TRIM($B17)))),ISNUMBER(SEARCH("GELINHO ICEBERG",UPPER(TRIM($B17))))),"$AJ$2:$AJ$2",IF(ISNUMBER(SEARCH("ESPUMA",$B17)),"$AI$2:$AI$2",IF(ISNUMBER(SEARCH("CORANTE",$B17)),"$AN$2:$AN$2",IFERROR(INDEX($AB$2:$AB$139,MATCH(UPPER(TRIM($B17)),$AA$2:$AA$139,0)),"$AO$2:$AO$9")))))</formula1>
    </dataValidation>
    <dataValidation type="list" allowBlank="1" errorTitle="Embalagem inválida" error="Escolha uma embalagem compatível com o produto." promptTitle="Selecione a embalagem" prompt="As opções mudam conforme o produto digitado." sqref="C21" xr:uid="{C50FB8B8-5BC7-46A1-8448-D5D4B965E468}">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8283754B-6E7B-4935-A0D2-B9CC853F037A}">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9EC67E9A-CC1B-4C30-96A5-0AAF7904C9E0}">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EA55A50D-959D-4A89-BED2-E7C05E625455}">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5" xr:uid="{5A684CB9-438B-4641-B5E6-F72352A3499C}">
      <formula1>INDIRECT(IF(OR(ISNUMBER(SEARCH("ICEBERG ICE",UPPER(TRIM($B25)))),ISNUMBER(SEARCH("ICE ICEBERG",UPPER(TRIM($B25)))),ISNUMBER(SEARCH("GELINHO ICEBERG",UPPER(TRIM($B25))))),"$AJ$2:$AJ$2",IF(ISNUMBER(SEARCH("ESPUMA",$B25)),"$AI$2:$AI$2",IF(ISNUMBER(SEARCH("CORANTE",$B25)),"$AN$2:$AN$2",IFERROR(INDEX($AB$2:$AB$139,MATCH(UPPER(TRIM($B25)),$AA$2:$AA$139,0)),"$AO$2:$AO$9")))))</formula1>
    </dataValidation>
    <dataValidation type="list" allowBlank="1" errorTitle="Embalagem inválida" error="Escolha uma embalagem compatível com o produto." promptTitle="Selecione a embalagem" prompt="As opções mudam conforme o produto digitado." sqref="C29" xr:uid="{BF9A1CD7-0761-4426-823F-27BFE9F40CA2}">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C712BC18-24C7-4F10-8848-EBF0BD8DA56A}">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006AD088-8120-424D-8E2A-36A1ABA03133}">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095572A3-0A00-4A93-992B-1491E35E5B52}">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3" xr:uid="{D3C80A19-22F0-4F70-8083-7163012B594D}">
      <formula1>INDIRECT(IF(OR(ISNUMBER(SEARCH("ICEBERG ICE",UPPER(TRIM($B33)))),ISNUMBER(SEARCH("ICE ICEBERG",UPPER(TRIM($B33)))),ISNUMBER(SEARCH("GELINHO ICEBERG",UPPER(TRIM($B33))))),"$AJ$2:$AJ$2",IF(ISNUMBER(SEARCH("ESPUMA",$B33)),"$AI$2:$AI$2",IF(ISNUMBER(SEARCH("CORANTE",$B33)),"$AN$2:$AN$2",IFERROR(INDEX($AB$2:$AB$139,MATCH(UPPER(TRIM($B33)),$AA$2:$AA$139,0)),"$AO$2:$AO$9")))))</formula1>
    </dataValidation>
    <dataValidation type="list" allowBlank="1" errorTitle="Embalagem inválida" error="Escolha uma embalagem compatível com o produto." promptTitle="Selecione a embalagem" prompt="As opções mudam conforme o produto digitado." sqref="C34" xr:uid="{69208D48-96EE-49A0-B43F-CA17D6E06317}">
      <formula1>INDIRECT(IF(OR(ISNUMBER(SEARCH("ICEBERG ICE",UPPER(TRIM($B34)))),ISNUMBER(SEARCH("ICE ICEBERG",UPPER(TRIM($B34)))),ISNUMBER(SEARCH("GELINHO ICEBERG",UPPER(TRIM($B34))))),"$AJ$2:$AJ$2",IF(ISNUMBER(SEARCH("ESPUMA",$B34)),"$AI$2:$AI$2",IF(ISNUMBER(SEARCH("CORANTE",$B34)),"$AN$2:$AN$2",IFERROR(INDEX($AB$2:$AB$139,MATCH(UPPER(TRIM($B34)),$AA$2:$AA$139,0)),"$AO$2:$AO$9")))))</formula1>
    </dataValidation>
    <dataValidation type="list" allowBlank="1" errorTitle="Embalagem inválida" error="Escolha uma embalagem compatível com o produto." promptTitle="Selecione a embalagem" prompt="As opções mudam conforme o produto digitado." sqref="C38" xr:uid="{4103BB68-EDE5-4E65-80DF-F6D7CD4A5837}">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CE2E0D2D-9E03-4D2B-AE4A-B4318364E705}">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0" xr:uid="{09914F41-31D5-41DE-B7DD-718B0F8D666C}">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1" xr:uid="{4D10D0E5-23A1-45B5-987A-D7584C8C38DA}">
      <formula1>INDIRECT(IF(OR(ISNUMBER(SEARCH("ICEBERG ICE",UPPER(TRIM($B41)))),ISNUMBER(SEARCH("ICE ICEBERG",UPPER(TRIM($B41)))),ISNUMBER(SEARCH("GELINHO ICEBERG",UPPER(TRIM($B41))))),"$AJ$2:$AJ$2",IF(ISNUMBER(SEARCH("ESPUMA",$B41)),"$AI$2:$AI$2",IF(ISNUMBER(SEARCH("CORANTE",$B41)),"$AN$2:$AN$2",IFERROR(INDEX($AB$2:$AB$139,MATCH(UPPER(TRIM($B41)),$AA$2:$AA$139,0)),"$AO$2:$AO$9")))))</formula1>
    </dataValidation>
    <dataValidation type="list" allowBlank="1" errorTitle="Embalagem inválida" error="Escolha uma embalagem compatível com o produto." promptTitle="Selecione a embalagem" prompt="As opções mudam conforme o produto digitado." sqref="C42" xr:uid="{5739E59E-50C7-4233-9B09-F0370F2A55B4}">
      <formula1>INDIRECT(IF(OR(ISNUMBER(SEARCH("ICEBERG ICE",UPPER(TRIM($B42)))),ISNUMBER(SEARCH("ICE ICEBERG",UPPER(TRIM($B42)))),ISNUMBER(SEARCH("GELINHO ICEBERG",UPPER(TRIM($B42))))),"$AJ$2:$AJ$2",IF(ISNUMBER(SEARCH("ESPUMA",$B42)),"$AI$2:$AI$2",IF(ISNUMBER(SEARCH("CORANTE",$B42)),"$AN$2:$AN$2",IFERROR(INDEX($AB$2:$AB$139,MATCH(UPPER(TRIM($B42)),$AA$2:$AA$139,0)),"$AO$2:$AO$9")))))</formula1>
    </dataValidation>
    <dataValidation type="list" allowBlank="1" errorTitle="Embalagem inválida" error="Escolha uma embalagem compatível com o produto." promptTitle="Selecione a embalagem" prompt="As opções mudam conforme o produto digitado." sqref="C43" xr:uid="{E21DE7CF-BB08-42A3-85A6-C83B32B1A323}">
      <formula1>INDIRECT(IF(OR(ISNUMBER(SEARCH("ICEBERG ICE",UPPER(TRIM($B43)))),ISNUMBER(SEARCH("ICE ICEBERG",UPPER(TRIM($B43)))),ISNUMBER(SEARCH("GELINHO ICEBERG",UPPER(TRIM($B43))))),"$AJ$2:$AJ$2",IF(ISNUMBER(SEARCH("ESPUMA",$B43)),"$AI$2:$AI$2",IF(ISNUMBER(SEARCH("CORANTE",$B43)),"$AN$2:$AN$2",IFERROR(INDEX($AB$2:$AB$139,MATCH(UPPER(TRIM($B43)),$AA$2:$AA$139,0)),"$AO$2:$AO$9")))))</formula1>
    </dataValidation>
    <dataValidation type="list" allowBlank="1" errorTitle="Embalagem inválida" error="Escolha uma embalagem compatível com o produto." promptTitle="Selecione a embalagem" prompt="As opções mudam conforme o produto digitado." sqref="C44" xr:uid="{6B0FD2C1-D2F5-4351-A345-193B2376FDD4}">
      <formula1>INDIRECT(IF(OR(ISNUMBER(SEARCH("ICEBERG ICE",UPPER(TRIM($B44)))),ISNUMBER(SEARCH("ICE ICEBERG",UPPER(TRIM($B44)))),ISNUMBER(SEARCH("GELINHO ICEBERG",UPPER(TRIM($B44))))),"$AJ$2:$AJ$2",IF(ISNUMBER(SEARCH("ESPUMA",$B44)),"$AI$2:$AI$2",IF(ISNUMBER(SEARCH("CORANTE",$B44)),"$AN$2:$AN$2",IFERROR(INDEX($AB$2:$AB$139,MATCH(UPPER(TRIM($B44)),$AA$2:$AA$139,0)),"$AO$2:$AO$9")))))</formula1>
    </dataValidation>
    <dataValidation type="list" allowBlank="1" errorTitle="Embalagem inválida" error="Escolha uma embalagem compatível com o produto." promptTitle="Selecione a embalagem" prompt="As opções mudam conforme o produto digitado." sqref="C45" xr:uid="{12D704A8-97A2-4BCD-9F32-C629806211B2}">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B2ADDD14-8B75-46EF-B6E6-F3B7A4D142D7}">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50" xr:uid="{D7D91EA4-90D1-4458-8DE9-FAE0D865879B}">
      <formula1>INDIRECT(IF(OR(ISNUMBER(SEARCH("ICEBERG ICE",UPPER(TRIM($B50)))),ISNUMBER(SEARCH("ICE ICEBERG",UPPER(TRIM($B50)))),ISNUMBER(SEARCH("GELINHO ICEBERG",UPPER(TRIM($B50))))),"$AJ$2:$AJ$2",IF(ISNUMBER(SEARCH("ESPUMA",$B50)),"$AI$2:$AI$2",IF(ISNUMBER(SEARCH("CORANTE",$B50)),"$AN$2:$AN$2",IFERROR(INDEX($AB$2:$AB$139,MATCH(UPPER(TRIM($B50)),$AA$2:$AA$139,0)),"$AO$2:$AO$9")))))</formula1>
    </dataValidation>
    <dataValidation type="list" allowBlank="1" errorTitle="Embalagem inválida" error="Escolha uma embalagem compatível com o produto." promptTitle="Selecione a embalagem" prompt="As opções mudam conforme o produto digitado." sqref="C51" xr:uid="{EFA61735-161F-4104-A026-2C8913FCE78E}">
      <formula1>INDIRECT(IF(OR(ISNUMBER(SEARCH("ICEBERG ICE",UPPER(TRIM($B51)))),ISNUMBER(SEARCH("ICE ICEBERG",UPPER(TRIM($B51)))),ISNUMBER(SEARCH("GELINHO ICEBERG",UPPER(TRIM($B51))))),"$AJ$2:$AJ$2",IF(ISNUMBER(SEARCH("ESPUMA",$B51)),"$AI$2:$AI$2",IF(ISNUMBER(SEARCH("CORANTE",$B51)),"$AN$2:$AN$2",IFERROR(INDEX($AB$2:$AB$139,MATCH(UPPER(TRIM($B51)),$AA$2:$AA$139,0)),"$AO$2:$AO$9")))))</formula1>
    </dataValidation>
    <dataValidation type="list" allowBlank="1" errorTitle="Embalagem inválida" error="Escolha uma embalagem compatível com o produto." promptTitle="Selecione a embalagem" prompt="As opções mudam conforme o produto digitado." sqref="C52" xr:uid="{08B41734-DEA3-4F0C-9469-302388B992BB}">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C00C6FBC-EE3B-41D6-8EB1-F75DD103DCC1}">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394C3857-6EE1-434D-87F9-4D523A5C6EE0}">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5EF1A16C-B76F-4DC6-8978-D9C2DFDE4C31}">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E3686197-E6E5-4680-9BC8-B98CC9F47A5F}">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60" xr:uid="{C79830D4-61B5-4B55-AF0A-AA8E3F90E516}">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FFB36399-3E3A-47AE-990C-013583C35B4F}">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E62F5312-2B21-4776-8B19-3684053AD50F}">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020142E9-1E16-49A2-88E5-7BF7FFCFF39F}">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CBB0FE9A-D983-4A66-85B6-C180CDD9FC0D}">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8" xr:uid="{6314563B-0271-40BF-9100-1BD0E32744A7}">
      <formula1>INDIRECT(IF(OR(ISNUMBER(SEARCH("ICEBERG ICE",UPPER(TRIM($B68)))),ISNUMBER(SEARCH("ICE ICEBERG",UPPER(TRIM($B68)))),ISNUMBER(SEARCH("GELINHO ICEBERG",UPPER(TRIM($B68))))),"$AJ$2:$AJ$2",IF(ISNUMBER(SEARCH("ESPUMA",$B68)),"$AI$2:$AI$2",IF(ISNUMBER(SEARCH("CORANTE",$B68)),"$AN$2:$AN$2",IFERROR(INDEX($AB$2:$AB$139,MATCH(UPPER(TRIM($B68)),$AA$2:$AA$139,0)),"$AO$2:$AO$9")))))</formula1>
    </dataValidation>
    <dataValidation type="list" allowBlank="1" errorTitle="Embalagem inválida" error="Escolha uma embalagem compatível com o produto." promptTitle="Selecione a embalagem" prompt="As opções mudam conforme o produto digitado." sqref="C69" xr:uid="{9DDE270C-CFE9-4196-9243-4F0E441B2A91}">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ED7C7B98-B036-4549-9924-DEB02140C1C5}">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D48BBCFF-3294-47E7-A11F-9F62D17F9640}">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F87FDCBE-F29A-4B56-9863-65BB37588AF6}">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6" xr:uid="{5A703E27-3797-4D53-8C43-2E06BE234402}">
      <formula1>INDIRECT(IF(OR(ISNUMBER(SEARCH("ICEBERG ICE",UPPER(TRIM($B76)))),ISNUMBER(SEARCH("ICE ICEBERG",UPPER(TRIM($B76)))),ISNUMBER(SEARCH("GELINHO ICEBERG",UPPER(TRIM($B76))))),"$AJ$2:$AJ$2",IF(ISNUMBER(SEARCH("ESPUMA",$B76)),"$AI$2:$AI$2",IF(ISNUMBER(SEARCH("CORANTE",$B76)),"$AN$2:$AN$2",IFERROR(INDEX($AB$2:$AB$139,MATCH(UPPER(TRIM($B76)),$AA$2:$AA$139,0)),"$AO$2:$AO$9")))))</formula1>
    </dataValidation>
    <dataValidation type="list" allowBlank="1" errorTitle="Embalagem inválida" error="Escolha uma embalagem compatível com o produto." promptTitle="Selecione a embalagem" prompt="As opções mudam conforme o produto digitado." sqref="C77" xr:uid="{AE1824C0-16C0-49B8-9DE1-D7AC81F406C4}">
      <formula1>INDIRECT(IF(OR(ISNUMBER(SEARCH("ICEBERG ICE",UPPER(TRIM($B77)))),ISNUMBER(SEARCH("ICE ICEBERG",UPPER(TRIM($B77)))),ISNUMBER(SEARCH("GELINHO ICEBERG",UPPER(TRIM($B77))))),"$AJ$2:$AJ$2",IF(ISNUMBER(SEARCH("ESPUMA",$B77)),"$AI$2:$AI$2",IF(ISNUMBER(SEARCH("CORANTE",$B77)),"$AN$2:$AN$2",IFERROR(INDEX($AB$2:$AB$139,MATCH(UPPER(TRIM($B77)),$AA$2:$AA$139,0)),"$AO$2:$AO$9")))))</formula1>
    </dataValidation>
    <dataValidation type="list" allowBlank="1" errorTitle="Embalagem inválida" error="Escolha uma embalagem compatível com o produto." promptTitle="Selecione a embalagem" prompt="As opções mudam conforme o produto digitado." sqref="C78" xr:uid="{9FE7D19D-87E3-492D-9689-8B1191CE19AD}">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FD084994-6C5D-45B7-B866-F9443C85DB32}">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37A591F3-0381-437C-9821-9F051570F9FA}">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1" xr:uid="{2834E9D6-6269-4D85-870A-5DDC9BBCB9DE}">
      <formula1>INDIRECT(IF(OR(ISNUMBER(SEARCH("ICEBERG ICE",UPPER(TRIM($B81)))),ISNUMBER(SEARCH("ICE ICEBERG",UPPER(TRIM($B81)))),ISNUMBER(SEARCH("GELINHO ICEBERG",UPPER(TRIM($B81))))),"$AJ$2:$AJ$2",IF(ISNUMBER(SEARCH("ESPUMA",$B81)),"$AI$2:$AI$2",IF(ISNUMBER(SEARCH("CORANTE",$B81)),"$AN$2:$AN$2",IFERROR(INDEX($AB$2:$AB$139,MATCH(UPPER(TRIM($B81)),$AA$2:$AA$139,0)),"$AO$2:$AO$9")))))</formula1>
    </dataValidation>
    <dataValidation type="list" allowBlank="1" errorTitle="Embalagem inválida" error="Escolha uma embalagem compatível com o produto." promptTitle="Selecione a embalagem" prompt="As opções mudam conforme o produto digitado." sqref="C85" xr:uid="{98A05480-5621-4DFB-8695-7E506982A3DC}">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2AD0AAA8-2EE1-4B14-8DD5-8D4F184EDE35}">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4A35075D-37DF-43F4-AE67-954DBAED7472}">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77EEBCF9-92FA-48FD-AD13-2B9771982479}">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89" xr:uid="{F2380F2C-B40C-46D1-A58A-1F74F8C57CBB}">
      <formula1>INDIRECT(IF(OR(ISNUMBER(SEARCH("ICEBERG ICE",UPPER(TRIM($B89)))),ISNUMBER(SEARCH("ICE ICEBERG",UPPER(TRIM($B89)))),ISNUMBER(SEARCH("GELINHO ICEBERG",UPPER(TRIM($B89))))),"$AJ$2:$AJ$2",IF(ISNUMBER(SEARCH("ESPUMA",$B89)),"$AI$2:$AI$2",IF(ISNUMBER(SEARCH("CORANTE",$B89)),"$AN$2:$AN$2",IFERROR(INDEX($AB$2:$AB$139,MATCH(UPPER(TRIM($B89)),$AA$2:$AA$139,0)),"$AO$2:$AO$9")))))</formula1>
    </dataValidation>
    <dataValidation type="list" allowBlank="1" errorTitle="Embalagem inválida" error="Escolha uma embalagem compatível com o produto." promptTitle="Selecione a embalagem" prompt="As opções mudam conforme o produto digitado." sqref="C93" xr:uid="{9CA30310-E9E0-486B-99FF-B2378CBAB25E}">
      <formula1>INDIRECT(IF(OR(ISNUMBER(SEARCH("ICEBERG ICE",UPPER(TRIM($B93)))),ISNUMBER(SEARCH("ICE ICEBERG",UPPER(TRIM($B93)))),ISNUMBER(SEARCH("GELINHO ICEBERG",UPPER(TRIM($B93))))),"$AJ$2:$AJ$2",IF(ISNUMBER(SEARCH("ESPUMA",$B93)),"$AI$2:$AI$2",IF(ISNUMBER(SEARCH("CORANTE",$B93)),"$AN$2:$AN$2",IFERROR(INDEX($AB$2:$AB$139,MATCH(UPPER(TRIM($B93)),$AA$2:$AA$139,0)),"$AO$2:$AO$9")))))</formula1>
    </dataValidation>
    <dataValidation type="list" allowBlank="1" errorTitle="Embalagem inválida" error="Escolha uma embalagem compatível com o produto." promptTitle="Selecione a embalagem" prompt="As opções mudam conforme o produto digitado." sqref="C94" xr:uid="{8D6A3DDD-E72D-478B-9C4D-5A3566949966}">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4AAFF773-0AE9-4DB6-B5D8-97142A461141}">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5792A7D0-C524-4C1B-8A85-8BFC1112DCAF}">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9CAA423F-BD32-40F5-97D5-9574516F7C3D}">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101" xr:uid="{ACAC3CB6-EA36-4CD7-8031-A26A12211D69}">
      <formula1>INDIRECT(IF(OR(ISNUMBER(SEARCH("ICEBERG ICE",UPPER(TRIM($B101)))),ISNUMBER(SEARCH("ICE ICEBERG",UPPER(TRIM($B101)))),ISNUMBER(SEARCH("GELINHO ICEBERG",UPPER(TRIM($B101))))),"$AJ$2:$AJ$2",IF(ISNUMBER(SEARCH("ESPUMA",$B101)),"$AI$2:$AI$2",IF(ISNUMBER(SEARCH("CORANTE",$B101)),"$AN$2:$AN$2",IFERROR(INDEX($AB$2:$AB$139,MATCH(UPPER(TRIM($B101)),$AA$2:$AA$139,0)),"$AO$2:$AO$9")))))</formula1>
    </dataValidation>
    <dataValidation type="list" allowBlank="1" errorTitle="Embalagem inválida" error="Escolha uma embalagem compatível com o produto." promptTitle="Selecione a embalagem" prompt="As opções mudam conforme o produto digitado." sqref="C102" xr:uid="{9BC5901F-A8D1-4595-AD60-BED67E84EC44}">
      <formula1>INDIRECT(IF(OR(ISNUMBER(SEARCH("ICEBERG ICE",UPPER(TRIM($B102)))),ISNUMBER(SEARCH("ICE ICEBERG",UPPER(TRIM($B102)))),ISNUMBER(SEARCH("GELINHO ICEBERG",UPPER(TRIM($B102))))),"$AJ$2:$AJ$2",IF(ISNUMBER(SEARCH("ESPUMA",$B102)),"$AI$2:$AI$2",IF(ISNUMBER(SEARCH("CORANTE",$B102)),"$AN$2:$AN$2",IFERROR(INDEX($AB$2:$AB$139,MATCH(UPPER(TRIM($B102)),$AA$2:$AA$139,0)),"$AO$2:$AO$9")))))</formula1>
    </dataValidation>
    <dataValidation type="list" allowBlank="1" errorTitle="Embalagem inválida" error="Escolha uma embalagem compatível com o produto." promptTitle="Selecione a embalagem" prompt="As opções mudam conforme o produto digitado." sqref="C103" xr:uid="{64C9EAA1-110A-46AA-B051-2230CDA8A34B}">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458604C1-72C5-4CF6-8A05-3A166B68E62E}">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5" xr:uid="{96BCF4C3-F7FB-40A2-8D0E-F82964467381}">
      <formula1>INDIRECT(IF(OR(ISNUMBER(SEARCH("ICEBERG ICE",UPPER(TRIM($B105)))),ISNUMBER(SEARCH("ICE ICEBERG",UPPER(TRIM($B105)))),ISNUMBER(SEARCH("GELINHO ICEBERG",UPPER(TRIM($B105))))),"$AJ$2:$AJ$2",IF(ISNUMBER(SEARCH("ESPUMA",$B105)),"$AI$2:$AI$2",IF(ISNUMBER(SEARCH("CORANTE",$B105)),"$AN$2:$AN$2",IFERROR(INDEX($AB$2:$AB$139,MATCH(UPPER(TRIM($B105)),$AA$2:$AA$139,0)),"$AO$2:$AO$9")))))</formula1>
    </dataValidation>
    <dataValidation type="list" allowBlank="1" errorTitle="Embalagem inválida" error="Escolha uma embalagem compatível com o produto." promptTitle="Selecione a embalagem" prompt="As opções mudam conforme o produto digitado." sqref="C109" xr:uid="{DA70FDD4-6B2D-4D52-8447-6A2AB6FB50E6}">
      <formula1>INDIRECT(IF(OR(ISNUMBER(SEARCH("ICEBERG ICE",UPPER(TRIM($B109)))),ISNUMBER(SEARCH("ICE ICEBERG",UPPER(TRIM($B109)))),ISNUMBER(SEARCH("GELINHO ICEBERG",UPPER(TRIM($B109))))),"$AJ$2:$AJ$2",IF(ISNUMBER(SEARCH("ESPUMA",$B109)),"$AI$2:$AI$2",IF(ISNUMBER(SEARCH("CORANTE",$B109)),"$AN$2:$AN$2",IFERROR(INDEX($AB$2:$AB$139,MATCH(UPPER(TRIM($B109)),$AA$2:$AA$139,0)),"$AO$2:$AO$9")))))</formula1>
    </dataValidation>
    <dataValidation type="list" allowBlank="1" errorTitle="Embalagem inválida" error="Escolha uma embalagem compatível com o produto." promptTitle="Selecione a embalagem" prompt="As opções mudam conforme o produto digitado." sqref="C110" xr:uid="{33F81A4B-AA59-42A6-B42D-BA776E368568}">
      <formula1>INDIRECT(IF(OR(ISNUMBER(SEARCH("ICEBERG ICE",UPPER(TRIM($B110)))),ISNUMBER(SEARCH("ICE ICEBERG",UPPER(TRIM($B110)))),ISNUMBER(SEARCH("GELINHO ICEBERG",UPPER(TRIM($B110))))),"$AJ$2:$AJ$2",IF(ISNUMBER(SEARCH("ESPUMA",$B110)),"$AI$2:$AI$2",IF(ISNUMBER(SEARCH("CORANTE",$B110)),"$AN$2:$AN$2",IFERROR(INDEX($AB$2:$AB$139,MATCH(UPPER(TRIM($B110)),$AA$2:$AA$139,0)),"$AO$2:$AO$9")))))</formula1>
    </dataValidation>
    <dataValidation type="list" allowBlank="1" errorTitle="Embalagem inválida" error="Escolha uma embalagem compatível com o produto." promptTitle="Selecione a embalagem" prompt="As opções mudam conforme o produto digitado." sqref="C111" xr:uid="{1423F66E-54CB-4D99-BD50-73150D1BF280}">
      <formula1>INDIRECT(IF(OR(ISNUMBER(SEARCH("ICEBERG ICE",UPPER(TRIM($B111)))),ISNUMBER(SEARCH("ICE ICEBERG",UPPER(TRIM($B111)))),ISNUMBER(SEARCH("GELINHO ICEBERG",UPPER(TRIM($B111))))),"$AJ$2:$AJ$2",IF(ISNUMBER(SEARCH("ESPUMA",$B111)),"$AI$2:$AI$2",IF(ISNUMBER(SEARCH("CORANTE",$B111)),"$AN$2:$AN$2",IFERROR(INDEX($AB$2:$AB$139,MATCH(UPPER(TRIM($B111)),$AA$2:$AA$139,0)),"$AO$2:$AO$9")))))</formula1>
    </dataValidation>
    <dataValidation type="list" allowBlank="1" errorTitle="Embalagem inválida" error="Escolha uma embalagem compatível com o produto." promptTitle="Selecione a embalagem" prompt="As opções mudam conforme o produto digitado." sqref="C112" xr:uid="{98696E74-2B60-4F90-942E-A29DF2C323F0}">
      <formula1>INDIRECT(IF(OR(ISNUMBER(SEARCH("ICEBERG ICE",UPPER(TRIM($B112)))),ISNUMBER(SEARCH("ICE ICEBERG",UPPER(TRIM($B112)))),ISNUMBER(SEARCH("GELINHO ICEBERG",UPPER(TRIM($B112))))),"$AJ$2:$AJ$2",IF(ISNUMBER(SEARCH("ESPUMA",$B112)),"$AI$2:$AI$2",IF(ISNUMBER(SEARCH("CORANTE",$B112)),"$AN$2:$AN$2",IFERROR(INDEX($AB$2:$AB$139,MATCH(UPPER(TRIM($B112)),$AA$2:$AA$139,0)),"$AO$2:$AO$9")))))</formula1>
    </dataValidation>
    <dataValidation type="list" allowBlank="1" errorTitle="Embalagem inválida" error="Escolha uma embalagem compatível com o produto." promptTitle="Selecione a embalagem" prompt="As opções mudam conforme o produto digitado." sqref="C113" xr:uid="{8BDA618E-5841-4E34-8458-7668A6CAA11C}">
      <formula1>INDIRECT(IF(OR(ISNUMBER(SEARCH("ICEBERG ICE",UPPER(TRIM($B113)))),ISNUMBER(SEARCH("ICE ICEBERG",UPPER(TRIM($B113)))),ISNUMBER(SEARCH("GELINHO ICEBERG",UPPER(TRIM($B113))))),"$AJ$2:$AJ$2",IF(ISNUMBER(SEARCH("ESPUMA",$B113)),"$AI$2:$AI$2",IF(ISNUMBER(SEARCH("CORANTE",$B113)),"$AN$2:$AN$2",IFERROR(INDEX($AB$2:$AB$139,MATCH(UPPER(TRIM($B113)),$AA$2:$AA$139,0)),"$AO$2:$AO$9")))))</formula1>
    </dataValidation>
    <dataValidation type="list" allowBlank="1" errorTitle="Embalagem inválida" error="Escolha uma embalagem compatível com o produto." promptTitle="Selecione a embalagem" prompt="As opções mudam conforme o produto digitado." sqref="C117" xr:uid="{FF6C6BF8-C428-49E0-8C88-EA86019AB0BF}">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18" xr:uid="{B04AB3F2-4948-4F21-8BF1-5D8B187CA72E}">
      <formula1>INDIRECT(IF(OR(ISNUMBER(SEARCH("ICEBERG ICE",UPPER(TRIM($B118)))),ISNUMBER(SEARCH("ICE ICEBERG",UPPER(TRIM($B118)))),ISNUMBER(SEARCH("GELINHO ICEBERG",UPPER(TRIM($B118))))),"$AJ$2:$AJ$2",IF(ISNUMBER(SEARCH("ESPUMA",$B118)),"$AI$2:$AI$2",IF(ISNUMBER(SEARCH("CORANTE",$B118)),"$AN$2:$AN$2",IFERROR(INDEX($AB$2:$AB$139,MATCH(UPPER(TRIM($B118)),$AA$2:$AA$139,0)),"$AO$2:$AO$9")))))</formula1>
    </dataValidation>
    <dataValidation type="list" allowBlank="1" errorTitle="Embalagem inválida" error="Escolha uma embalagem compatível com o produto." promptTitle="Selecione a embalagem" prompt="As opções mudam conforme o produto digitado." sqref="C119" xr:uid="{4E576111-E453-4DFF-BCAC-DD62E0A637B8}">
      <formula1>INDIRECT(IF(OR(ISNUMBER(SEARCH("ICEBERG ICE",UPPER(TRIM($B119)))),ISNUMBER(SEARCH("ICE ICEBERG",UPPER(TRIM($B119)))),ISNUMBER(SEARCH("GELINHO ICEBERG",UPPER(TRIM($B119))))),"$AJ$2:$AJ$2",IF(ISNUMBER(SEARCH("ESPUMA",$B119)),"$AI$2:$AI$2",IF(ISNUMBER(SEARCH("CORANTE",$B119)),"$AN$2:$AN$2",IFERROR(INDEX($AB$2:$AB$139,MATCH(UPPER(TRIM($B119)),$AA$2:$AA$139,0)),"$AO$2:$AO$9")))))</formula1>
    </dataValidation>
    <dataValidation type="list" allowBlank="1" errorTitle="Embalagem inválida" error="Escolha uma embalagem compatível com o produto." promptTitle="Selecione a embalagem" prompt="As opções mudam conforme o produto digitado." sqref="C120" xr:uid="{3264B822-71AB-4CBE-9467-4AEA153283DE}">
      <formula1>INDIRECT(IF(OR(ISNUMBER(SEARCH("ICEBERG ICE",UPPER(TRIM($B120)))),ISNUMBER(SEARCH("ICE ICEBERG",UPPER(TRIM($B120)))),ISNUMBER(SEARCH("GELINHO ICEBERG",UPPER(TRIM($B120))))),"$AJ$2:$AJ$2",IF(ISNUMBER(SEARCH("ESPUMA",$B120)),"$AI$2:$AI$2",IF(ISNUMBER(SEARCH("CORANTE",$B120)),"$AN$2:$AN$2",IFERROR(INDEX($AB$2:$AB$139,MATCH(UPPER(TRIM($B120)),$AA$2:$AA$139,0)),"$AO$2:$AO$9")))))</formula1>
    </dataValidation>
    <dataValidation type="list" allowBlank="1" errorTitle="Embalagem inválida" error="Escolha uma embalagem compatível com o produto." promptTitle="Selecione a embalagem" prompt="As opções mudam conforme o produto digitado." sqref="C124" xr:uid="{64322177-4C82-4F4B-B7CF-3587D4886473}">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25" xr:uid="{90426B07-03CE-47F0-9969-03CA68DD21B2}">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23116FCD-81B9-404A-9125-A74F3DFB56B4}">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27" xr:uid="{5368BBE6-DAE4-4A58-A2BA-984DD1AE592A}">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D214FBA6-7524-4DAE-8B88-FB7D775AD342}">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29" xr:uid="{B106AA4D-67C2-4F8A-B98B-6E15F7B41EB7}">
      <formula1>INDIRECT(IF(OR(ISNUMBER(SEARCH("ICEBERG ICE",UPPER(TRIM($B129)))),ISNUMBER(SEARCH("ICE ICEBERG",UPPER(TRIM($B129)))),ISNUMBER(SEARCH("GELINHO ICEBERG",UPPER(TRIM($B129))))),"$AJ$2:$AJ$2",IF(ISNUMBER(SEARCH("ESPUMA",$B129)),"$AI$2:$AI$2",IF(ISNUMBER(SEARCH("CORANTE",$B129)),"$AN$2:$AN$2",IFERROR(INDEX($AB$2:$AB$139,MATCH(UPPER(TRIM($B129)),$AA$2:$AA$139,0)),"$AO$2:$AO$9")))))</formula1>
    </dataValidation>
    <dataValidation type="list" allowBlank="1" errorTitle="Embalagem inválida" error="Escolha uma embalagem compatível com o produto." promptTitle="Selecione a embalagem" prompt="As opções mudam conforme o produto digitado." sqref="C130" xr:uid="{BE1FC47A-BA7E-4376-9E10-3BEB5D80603C}">
      <formula1>INDIRECT(IF(OR(ISNUMBER(SEARCH("ICEBERG ICE",UPPER(TRIM($B130)))),ISNUMBER(SEARCH("ICE ICEBERG",UPPER(TRIM($B130)))),ISNUMBER(SEARCH("GELINHO ICEBERG",UPPER(TRIM($B130))))),"$AJ$2:$AJ$2",IF(ISNUMBER(SEARCH("ESPUMA",$B130)),"$AI$2:$AI$2",IF(ISNUMBER(SEARCH("CORANTE",$B130)),"$AN$2:$AN$2",IFERROR(INDEX($AB$2:$AB$139,MATCH(UPPER(TRIM($B130)),$AA$2:$AA$139,0)),"$AO$2:$AO$9")))))</formula1>
    </dataValidation>
    <dataValidation type="list" allowBlank="1" errorTitle="Embalagem inválida" error="Escolha uma embalagem compatível com o produto." promptTitle="Selecione a embalagem" prompt="As opções mudam conforme o produto digitado." sqref="C134" xr:uid="{2838607E-58AF-4953-A00D-52AED796C9CF}">
      <formula1>INDIRECT(IF(OR(ISNUMBER(SEARCH("ICEBERG ICE",UPPER(TRIM($B134)))),ISNUMBER(SEARCH("ICE ICEBERG",UPPER(TRIM($B134)))),ISNUMBER(SEARCH("GELINHO ICEBERG",UPPER(TRIM($B134))))),"$AJ$2:$AJ$2",IF(ISNUMBER(SEARCH("ESPUMA",$B134)),"$AI$2:$AI$2",IF(ISNUMBER(SEARCH("CORANTE",$B134)),"$AN$2:$AN$2",IFERROR(INDEX($AB$2:$AB$139,MATCH(UPPER(TRIM($B134)),$AA$2:$AA$139,0)),"$AO$2:$AO$9")))))</formula1>
    </dataValidation>
    <dataValidation type="list" allowBlank="1" errorTitle="Embalagem inválida" error="Escolha uma embalagem compatível com o produto." promptTitle="Selecione a embalagem" prompt="As opções mudam conforme o produto digitado." sqref="C135" xr:uid="{77EDC335-08A5-45C5-8AF5-2D781015E489}">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6" xr:uid="{597491AB-FED5-4193-9E2A-89A71F4B079C}">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37" xr:uid="{8F18236A-6C9D-4C14-980C-5338BA34BEBD}">
      <formula1>INDIRECT(IF(OR(ISNUMBER(SEARCH("ICEBERG ICE",UPPER(TRIM($B137)))),ISNUMBER(SEARCH("ICE ICEBERG",UPPER(TRIM($B137)))),ISNUMBER(SEARCH("GELINHO ICEBERG",UPPER(TRIM($B137))))),"$AJ$2:$AJ$2",IF(ISNUMBER(SEARCH("ESPUMA",$B137)),"$AI$2:$AI$2",IF(ISNUMBER(SEARCH("CORANTE",$B137)),"$AN$2:$AN$2",IFERROR(INDEX($AB$2:$AB$139,MATCH(UPPER(TRIM($B137)),$AA$2:$AA$139,0)),"$AO$2:$AO$9")))))</formula1>
    </dataValidation>
    <dataValidation type="list" allowBlank="1" errorTitle="Embalagem inválida" error="Escolha uma embalagem compatível com o produto." promptTitle="Selecione a embalagem" prompt="As opções mudam conforme o produto digitado." sqref="C138" xr:uid="{F2539733-0788-4D5C-A5FC-73608AAADB60}">
      <formula1>INDIRECT(IF(OR(ISNUMBER(SEARCH("ICEBERG ICE",UPPER(TRIM($B138)))),ISNUMBER(SEARCH("ICE ICEBERG",UPPER(TRIM($B138)))),ISNUMBER(SEARCH("GELINHO ICEBERG",UPPER(TRIM($B138))))),"$AJ$2:$AJ$2",IF(ISNUMBER(SEARCH("ESPUMA",$B138)),"$AI$2:$AI$2",IF(ISNUMBER(SEARCH("CORANTE",$B138)),"$AN$2:$AN$2",IFERROR(INDEX($AB$2:$AB$139,MATCH(UPPER(TRIM($B138)),$AA$2:$AA$139,0)),"$AO$2:$AO$9")))))</formula1>
    </dataValidation>
    <dataValidation type="list" allowBlank="1" errorTitle="Embalagem inválida" error="Escolha uma embalagem compatível com o produto." promptTitle="Selecione a embalagem" prompt="As opções mudam conforme o produto digitado." sqref="C142" xr:uid="{868B5212-C36D-49FB-BFA3-B81A833C6A5D}">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E88D0BCA-A31C-4832-A6D0-980778DE7E71}">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69579173-E6C3-404B-943C-7DF463D5A098}">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5" xr:uid="{1002FAFC-1A41-4209-B0AD-3B4AD8228308}">
      <formula1>INDIRECT(IF(OR(ISNUMBER(SEARCH("ICEBERG ICE",UPPER(TRIM($B145)))),ISNUMBER(SEARCH("ICE ICEBERG",UPPER(TRIM($B145)))),ISNUMBER(SEARCH("GELINHO ICEBERG",UPPER(TRIM($B145))))),"$AJ$2:$AJ$2",IF(ISNUMBER(SEARCH("ESPUMA",$B145)),"$AI$2:$AI$2",IF(ISNUMBER(SEARCH("CORANTE",$B145)),"$AN$2:$AN$2",IFERROR(INDEX($AB$2:$AB$139,MATCH(UPPER(TRIM($B145)),$AA$2:$AA$139,0)),"$AO$2:$AO$9")))))</formula1>
    </dataValidation>
    <dataValidation type="list" allowBlank="1" errorTitle="Embalagem inválida" error="Escolha uma embalagem compatível com o produto." promptTitle="Selecione a embalagem" prompt="As opções mudam conforme o produto digitado." sqref="C146" xr:uid="{18C4832E-5A1C-45CF-B92F-4EC7B8F8E8DE}">
      <formula1>INDIRECT(IF(OR(ISNUMBER(SEARCH("ICEBERG ICE",UPPER(TRIM($B146)))),ISNUMBER(SEARCH("ICE ICEBERG",UPPER(TRIM($B146)))),ISNUMBER(SEARCH("GELINHO ICEBERG",UPPER(TRIM($B146))))),"$AJ$2:$AJ$2",IF(ISNUMBER(SEARCH("ESPUMA",$B146)),"$AI$2:$AI$2",IF(ISNUMBER(SEARCH("CORANTE",$B146)),"$AN$2:$AN$2",IFERROR(INDEX($AB$2:$AB$139,MATCH(UPPER(TRIM($B146)),$AA$2:$AA$139,0)),"$AO$2:$AO$9")))))</formula1>
    </dataValidation>
    <dataValidation type="list" allowBlank="1" errorTitle="Embalagem inválida" error="Escolha uma embalagem compatível com o produto." promptTitle="Selecione a embalagem" prompt="As opções mudam conforme o produto digitado." sqref="C150" xr:uid="{A0D917F6-FAAC-4008-9189-841AB5AB4146}">
      <formula1>INDIRECT(IF(OR(ISNUMBER(SEARCH("ICEBERG ICE",UPPER(TRIM($B150)))),ISNUMBER(SEARCH("ICE ICEBERG",UPPER(TRIM($B150)))),ISNUMBER(SEARCH("GELINHO ICEBERG",UPPER(TRIM($B150))))),"$AJ$2:$AJ$2",IF(ISNUMBER(SEARCH("ESPUMA",$B150)),"$AI$2:$AI$2",IF(ISNUMBER(SEARCH("CORANTE",$B150)),"$AN$2:$AN$2",IFERROR(INDEX($AB$2:$AB$139,MATCH(UPPER(TRIM($B150)),$AA$2:$AA$139,0)),"$AO$2:$AO$9")))))</formula1>
    </dataValidation>
    <dataValidation type="list" allowBlank="1" errorTitle="Embalagem inválida" error="Escolha uma embalagem compatível com o produto." promptTitle="Selecione a embalagem" prompt="As opções mudam conforme o produto digitado." sqref="C151" xr:uid="{E8D5472E-DE16-4207-BCB9-72542AB17AD1}">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A9492755-7730-4BFD-8302-6A8C4B9EABFA}">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3" xr:uid="{DB7D4225-BDA2-4084-B12E-B966149593BA}">
      <formula1>INDIRECT(IF(OR(ISNUMBER(SEARCH("ICEBERG ICE",UPPER(TRIM($B153)))),ISNUMBER(SEARCH("ICE ICEBERG",UPPER(TRIM($B153)))),ISNUMBER(SEARCH("GELINHO ICEBERG",UPPER(TRIM($B153))))),"$AJ$2:$AJ$2",IF(ISNUMBER(SEARCH("ESPUMA",$B153)),"$AI$2:$AI$2",IF(ISNUMBER(SEARCH("CORANTE",$B153)),"$AN$2:$AN$2",IFERROR(INDEX($AB$2:$AB$139,MATCH(UPPER(TRIM($B153)),$AA$2:$AA$139,0)),"$AO$2:$AO$9")))))</formula1>
    </dataValidation>
    <dataValidation type="list" allowBlank="1" errorTitle="Embalagem inválida" error="Escolha uma embalagem compatível com o produto." promptTitle="Selecione a embalagem" prompt="As opções mudam conforme o produto digitado." sqref="C154" xr:uid="{6C70EEC7-91F0-4CA5-A284-577ABEACF507}">
      <formula1>INDIRECT(IF(OR(ISNUMBER(SEARCH("ICEBERG ICE",UPPER(TRIM($B154)))),ISNUMBER(SEARCH("ICE ICEBERG",UPPER(TRIM($B154)))),ISNUMBER(SEARCH("GELINHO ICEBERG",UPPER(TRIM($B154))))),"$AJ$2:$AJ$2",IF(ISNUMBER(SEARCH("ESPUMA",$B154)),"$AI$2:$AI$2",IF(ISNUMBER(SEARCH("CORANTE",$B154)),"$AN$2:$AN$2",IFERROR(INDEX($AB$2:$AB$139,MATCH(UPPER(TRIM($B154)),$AA$2:$AA$139,0)),"$AO$2:$AO$9")))))</formula1>
    </dataValidation>
    <dataValidation type="list" allowBlank="1" errorTitle="Embalagem inválida" error="Escolha uma embalagem compatível com o produto." promptTitle="Selecione a embalagem" prompt="As opções mudam conforme o produto digitado." sqref="C158" xr:uid="{41E4EB7F-ED08-4EA2-854B-69D159AD0096}">
      <formula1>INDIRECT(IF(OR(ISNUMBER(SEARCH("ICEBERG ICE",UPPER(TRIM($B158)))),ISNUMBER(SEARCH("ICE ICEBERG",UPPER(TRIM($B158)))),ISNUMBER(SEARCH("GELINHO ICEBERG",UPPER(TRIM($B158))))),"$AJ$2:$AJ$2",IF(ISNUMBER(SEARCH("ESPUMA",$B158)),"$AI$2:$AI$2",IF(ISNUMBER(SEARCH("CORANTE",$B158)),"$AN$2:$AN$2",IFERROR(INDEX($AB$2:$AB$139,MATCH(UPPER(TRIM($B158)),$AA$2:$AA$139,0)),"$AO$2:$AO$9")))))</formula1>
    </dataValidation>
    <dataValidation type="list" allowBlank="1" errorTitle="Embalagem inválida" error="Escolha uma embalagem compatível com o produto." promptTitle="Selecione a embalagem" prompt="As opções mudam conforme o produto digitado." sqref="C159" xr:uid="{54C2C2C4-A64F-4F74-B485-4E83B293A884}">
      <formula1>INDIRECT(IF(OR(ISNUMBER(SEARCH("ICEBERG ICE",UPPER(TRIM($B159)))),ISNUMBER(SEARCH("ICE ICEBERG",UPPER(TRIM($B159)))),ISNUMBER(SEARCH("GELINHO ICEBERG",UPPER(TRIM($B159))))),"$AJ$2:$AJ$2",IF(ISNUMBER(SEARCH("ESPUMA",$B159)),"$AI$2:$AI$2",IF(ISNUMBER(SEARCH("CORANTE",$B159)),"$AN$2:$AN$2",IFERROR(INDEX($AB$2:$AB$139,MATCH(UPPER(TRIM($B159)),$AA$2:$AA$139,0)),"$AO$2:$AO$9")))))</formula1>
    </dataValidation>
    <dataValidation type="list" allowBlank="1" errorTitle="Embalagem inválida" error="Escolha uma embalagem compatível com o produto." promptTitle="Selecione a embalagem" prompt="As opções mudam conforme o produto digitado." sqref="C160" xr:uid="{D7D78F81-8383-45CB-A34B-D9FD47A91440}">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1" xr:uid="{81E0FA12-8143-4853-8B3F-627D09A0E895}">
      <formula1>INDIRECT(IF(OR(ISNUMBER(SEARCH("ICEBERG ICE",UPPER(TRIM($B161)))),ISNUMBER(SEARCH("ICE ICEBERG",UPPER(TRIM($B161)))),ISNUMBER(SEARCH("GELINHO ICEBERG",UPPER(TRIM($B161))))),"$AJ$2:$AJ$2",IF(ISNUMBER(SEARCH("ESPUMA",$B161)),"$AI$2:$AI$2",IF(ISNUMBER(SEARCH("CORANTE",$B161)),"$AN$2:$AN$2",IFERROR(INDEX($AB$2:$AB$139,MATCH(UPPER(TRIM($B161)),$AA$2:$AA$139,0)),"$AO$2:$AO$9")))))</formula1>
    </dataValidation>
    <dataValidation type="list" allowBlank="1" errorTitle="Embalagem inválida" error="Escolha uma embalagem compatível com o produto." promptTitle="Selecione a embalagem" prompt="As opções mudam conforme o produto digitado." sqref="C162" xr:uid="{1FBF640E-467D-4FEA-AD20-C05665CAD6C4}">
      <formula1>INDIRECT(IF(OR(ISNUMBER(SEARCH("ICEBERG ICE",UPPER(TRIM($B162)))),ISNUMBER(SEARCH("ICE ICEBERG",UPPER(TRIM($B162)))),ISNUMBER(SEARCH("GELINHO ICEBERG",UPPER(TRIM($B162))))),"$AJ$2:$AJ$2",IF(ISNUMBER(SEARCH("ESPUMA",$B162)),"$AI$2:$AI$2",IF(ISNUMBER(SEARCH("CORANTE",$B162)),"$AN$2:$AN$2",IFERROR(INDEX($AB$2:$AB$139,MATCH(UPPER(TRIM($B162)),$AA$2:$AA$139,0)),"$AO$2:$AO$9")))))</formula1>
    </dataValidation>
    <dataValidation type="list" allowBlank="1" errorTitle="Embalagem inválida" error="Escolha uma embalagem compatível com o produto." promptTitle="Selecione a embalagem" prompt="As opções mudam conforme o produto digitado." sqref="C163" xr:uid="{7C82B4AF-E275-44B9-A25F-F12734F8E520}">
      <formula1>INDIRECT(IF(OR(ISNUMBER(SEARCH("ICEBERG ICE",UPPER(TRIM($B163)))),ISNUMBER(SEARCH("ICE ICEBERG",UPPER(TRIM($B163)))),ISNUMBER(SEARCH("GELINHO ICEBERG",UPPER(TRIM($B163))))),"$AJ$2:$AJ$2",IF(ISNUMBER(SEARCH("ESPUMA",$B163)),"$AI$2:$AI$2",IF(ISNUMBER(SEARCH("CORANTE",$B163)),"$AN$2:$AN$2",IFERROR(INDEX($AB$2:$AB$139,MATCH(UPPER(TRIM($B163)),$AA$2:$AA$139,0)),"$AO$2:$AO$9")))))</formula1>
    </dataValidation>
    <dataValidation type="list" allowBlank="1" errorTitle="Embalagem inválida" error="Escolha uma embalagem compatível com o produto." promptTitle="Selecione a embalagem" prompt="As opções mudam conforme o produto digitado." sqref="C167" xr:uid="{85A53323-76D0-4C4A-9CB2-66997F43E4D0}">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729012CE-E1BF-43E0-971A-673779AAC8F8}">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69" xr:uid="{612914C1-8427-49B9-ABFC-296A4DE88379}">
      <formula1>INDIRECT(IF(OR(ISNUMBER(SEARCH("ICEBERG ICE",UPPER(TRIM($B169)))),ISNUMBER(SEARCH("ICE ICEBERG",UPPER(TRIM($B169)))),ISNUMBER(SEARCH("GELINHO ICEBERG",UPPER(TRIM($B169))))),"$AJ$2:$AJ$2",IF(ISNUMBER(SEARCH("ESPUMA",$B169)),"$AI$2:$AI$2",IF(ISNUMBER(SEARCH("CORANTE",$B169)),"$AN$2:$AN$2",IFERROR(INDEX($AB$2:$AB$139,MATCH(UPPER(TRIM($B169)),$AA$2:$AA$139,0)),"$AO$2:$AO$9")))))</formula1>
    </dataValidation>
    <dataValidation type="list" allowBlank="1" errorTitle="Embalagem inválida" error="Escolha uma embalagem compatível com o produto." promptTitle="Selecione a embalagem" prompt="As opções mudam conforme o produto digitado." sqref="C170" xr:uid="{ACB1DB11-9E2B-4AAA-938F-91EDF47F3AE8}">
      <formula1>INDIRECT(IF(OR(ISNUMBER(SEARCH("ICEBERG ICE",UPPER(TRIM($B170)))),ISNUMBER(SEARCH("ICE ICEBERG",UPPER(TRIM($B170)))),ISNUMBER(SEARCH("GELINHO ICEBERG",UPPER(TRIM($B170))))),"$AJ$2:$AJ$2",IF(ISNUMBER(SEARCH("ESPUMA",$B170)),"$AI$2:$AI$2",IF(ISNUMBER(SEARCH("CORANTE",$B170)),"$AN$2:$AN$2",IFERROR(INDEX($AB$2:$AB$139,MATCH(UPPER(TRIM($B170)),$AA$2:$AA$139,0)),"$AO$2:$AO$9")))))</formula1>
    </dataValidation>
    <dataValidation type="list" allowBlank="1" errorTitle="Embalagem inválida" error="Escolha uma embalagem compatível com o produto." promptTitle="Selecione a embalagem" prompt="As opções mudam conforme o produto digitado." sqref="C171" xr:uid="{B57928F7-8F54-4A0F-88EC-EF92223A72A1}">
      <formula1>INDIRECT(IF(OR(ISNUMBER(SEARCH("ICEBERG ICE",UPPER(TRIM($B171)))),ISNUMBER(SEARCH("ICE ICEBERG",UPPER(TRIM($B171)))),ISNUMBER(SEARCH("GELINHO ICEBERG",UPPER(TRIM($B171))))),"$AJ$2:$AJ$2",IF(ISNUMBER(SEARCH("ESPUMA",$B171)),"$AI$2:$AI$2",IF(ISNUMBER(SEARCH("CORANTE",$B171)),"$AN$2:$AN$2",IFERROR(INDEX($AB$2:$AB$139,MATCH(UPPER(TRIM($B171)),$AA$2:$AA$139,0)),"$AO$2:$AO$9")))))</formula1>
    </dataValidation>
    <dataValidation type="list" allowBlank="1" errorTitle="Embalagem inválida" error="Escolha uma embalagem compatível com o produto." promptTitle="Selecione a embalagem" prompt="As opções mudam conforme o produto digitado." sqref="C175" xr:uid="{79D752FA-9C0F-4C66-9315-3DDD20B2EE8B}">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D4F28E30-A533-4A38-851B-F57D8841839C}">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77" xr:uid="{51D53FF9-EAD9-4690-9A3F-4AAAB48F94BE}">
      <formula1>INDIRECT(IF(OR(ISNUMBER(SEARCH("ICEBERG ICE",UPPER(TRIM($B177)))),ISNUMBER(SEARCH("ICE ICEBERG",UPPER(TRIM($B177)))),ISNUMBER(SEARCH("GELINHO ICEBERG",UPPER(TRIM($B177))))),"$AJ$2:$AJ$2",IF(ISNUMBER(SEARCH("ESPUMA",$B177)),"$AI$2:$AI$2",IF(ISNUMBER(SEARCH("CORANTE",$B177)),"$AN$2:$AN$2",IFERROR(INDEX($AB$2:$AB$139,MATCH(UPPER(TRIM($B177)),$AA$2:$AA$139,0)),"$AO$2:$AO$9")))))</formula1>
    </dataValidation>
    <dataValidation type="list" allowBlank="1" errorTitle="Embalagem inválida" error="Escolha uma embalagem compatível com o produto." promptTitle="Selecione a embalagem" prompt="As opções mudam conforme o produto digitado." sqref="C178" xr:uid="{C8D1826A-CEE9-40AA-8239-114462E8DB31}">
      <formula1>INDIRECT(IF(OR(ISNUMBER(SEARCH("ICEBERG ICE",UPPER(TRIM($B178)))),ISNUMBER(SEARCH("ICE ICEBERG",UPPER(TRIM($B178)))),ISNUMBER(SEARCH("GELINHO ICEBERG",UPPER(TRIM($B178))))),"$AJ$2:$AJ$2",IF(ISNUMBER(SEARCH("ESPUMA",$B178)),"$AI$2:$AI$2",IF(ISNUMBER(SEARCH("CORANTE",$B178)),"$AN$2:$AN$2",IFERROR(INDEX($AB$2:$AB$139,MATCH(UPPER(TRIM($B178)),$AA$2:$AA$139,0)),"$AO$2:$AO$9")))))</formula1>
    </dataValidation>
    <dataValidation type="list" allowBlank="1" errorTitle="Embalagem inválida" error="Escolha uma embalagem compatível com o produto." promptTitle="Selecione a embalagem" prompt="As opções mudam conforme o produto digitado." sqref="C179" xr:uid="{7FD6D278-D976-4594-94A7-25C90932427C}">
      <formula1>INDIRECT(IF(OR(ISNUMBER(SEARCH("ICEBERG ICE",UPPER(TRIM($B179)))),ISNUMBER(SEARCH("ICE ICEBERG",UPPER(TRIM($B179)))),ISNUMBER(SEARCH("GELINHO ICEBERG",UPPER(TRIM($B179))))),"$AJ$2:$AJ$2",IF(ISNUMBER(SEARCH("ESPUMA",$B179)),"$AI$2:$AI$2",IF(ISNUMBER(SEARCH("CORANTE",$B179)),"$AN$2:$AN$2",IFERROR(INDEX($AB$2:$AB$139,MATCH(UPPER(TRIM($B179)),$AA$2:$AA$139,0)),"$AO$2:$AO$9")))))</formula1>
    </dataValidation>
    <dataValidation type="list" allowBlank="1" errorTitle="Embalagem inválida" error="Escolha uma embalagem compatível com o produto." promptTitle="Selecione a embalagem" prompt="As opções mudam conforme o produto digitado." sqref="C183" xr:uid="{E3D01824-FD18-4B51-B3A1-1FBB6E3C3077}">
      <formula1>INDIRECT(IF(OR(ISNUMBER(SEARCH("ICEBERG ICE",UPPER(TRIM($B183)))),ISNUMBER(SEARCH("ICE ICEBERG",UPPER(TRIM($B183)))),ISNUMBER(SEARCH("GELINHO ICEBERG",UPPER(TRIM($B183))))),"$AJ$2:$AJ$2",IF(ISNUMBER(SEARCH("ESPUMA",$B183)),"$AI$2:$AI$2",IF(ISNUMBER(SEARCH("CORANTE",$B183)),"$AN$2:$AN$2",IFERROR(INDEX($AB$2:$AB$139,MATCH(UPPER(TRIM($B183)),$AA$2:$AA$139,0)),"$AO$2:$AO$9")))))</formula1>
    </dataValidation>
    <dataValidation type="list" allowBlank="1" errorTitle="Embalagem inválida" error="Escolha uma embalagem compatível com o produto." promptTitle="Selecione a embalagem" prompt="As opções mudam conforme o produto digitado." sqref="C184" xr:uid="{DA9F97C6-FC53-4646-862E-196C19F12D5D}">
      <formula1>INDIRECT(IF(OR(ISNUMBER(SEARCH("ICEBERG ICE",UPPER(TRIM($B184)))),ISNUMBER(SEARCH("ICE ICEBERG",UPPER(TRIM($B184)))),ISNUMBER(SEARCH("GELINHO ICEBERG",UPPER(TRIM($B184))))),"$AJ$2:$AJ$2",IF(ISNUMBER(SEARCH("ESPUMA",$B184)),"$AI$2:$AI$2",IF(ISNUMBER(SEARCH("CORANTE",$B184)),"$AN$2:$AN$2",IFERROR(INDEX($AB$2:$AB$139,MATCH(UPPER(TRIM($B184)),$AA$2:$AA$139,0)),"$AO$2:$AO$9")))))</formula1>
    </dataValidation>
    <dataValidation type="list" allowBlank="1" errorTitle="Embalagem inválida" error="Escolha uma embalagem compatível com o produto." promptTitle="Selecione a embalagem" prompt="As opções mudam conforme o produto digitado." sqref="C185" xr:uid="{5A7D0F47-0A21-4FAE-AC3B-E819EA5C9B17}">
      <formula1>INDIRECT(IF(OR(ISNUMBER(SEARCH("ICEBERG ICE",UPPER(TRIM($B185)))),ISNUMBER(SEARCH("ICE ICEBERG",UPPER(TRIM($B185)))),ISNUMBER(SEARCH("GELINHO ICEBERG",UPPER(TRIM($B185))))),"$AJ$2:$AJ$2",IF(ISNUMBER(SEARCH("ESPUMA",$B185)),"$AI$2:$AI$2",IF(ISNUMBER(SEARCH("CORANTE",$B185)),"$AN$2:$AN$2",IFERROR(INDEX($AB$2:$AB$139,MATCH(UPPER(TRIM($B185)),$AA$2:$AA$139,0)),"$AO$2:$AO$9")))))</formula1>
    </dataValidation>
    <dataValidation type="list" allowBlank="1" errorTitle="Embalagem inválida" error="Escolha uma embalagem compatível com o produto." promptTitle="Selecione a embalagem" prompt="As opções mudam conforme o produto digitado." sqref="C186" xr:uid="{79ADFCA7-771C-4DC8-BE68-685A949E2A50}">
      <formula1>INDIRECT(IF(OR(ISNUMBER(SEARCH("ICEBERG ICE",UPPER(TRIM($B186)))),ISNUMBER(SEARCH("ICE ICEBERG",UPPER(TRIM($B186)))),ISNUMBER(SEARCH("GELINHO ICEBERG",UPPER(TRIM($B186))))),"$AJ$2:$AJ$2",IF(ISNUMBER(SEARCH("ESPUMA",$B186)),"$AI$2:$AI$2",IF(ISNUMBER(SEARCH("CORANTE",$B186)),"$AN$2:$AN$2",IFERROR(INDEX($AB$2:$AB$139,MATCH(UPPER(TRIM($B186)),$AA$2:$AA$139,0)),"$AO$2:$AO$9")))))</formula1>
    </dataValidation>
    <dataValidation type="list" allowBlank="1" errorTitle="Embalagem inválida" error="Escolha uma embalagem compatível com o produto." promptTitle="Selecione a embalagem" prompt="As opções mudam conforme o produto digitado." sqref="C187" xr:uid="{6CA014E2-8520-4336-98A5-49D1D1F1BC69}">
      <formula1>INDIRECT(IF(OR(ISNUMBER(SEARCH("ICEBERG ICE",UPPER(TRIM($B187)))),ISNUMBER(SEARCH("ICE ICEBERG",UPPER(TRIM($B187)))),ISNUMBER(SEARCH("GELINHO ICEBERG",UPPER(TRIM($B187))))),"$AJ$2:$AJ$2",IF(ISNUMBER(SEARCH("ESPUMA",$B187)),"$AI$2:$AI$2",IF(ISNUMBER(SEARCH("CORANTE",$B187)),"$AN$2:$AN$2",IFERROR(INDEX($AB$2:$AB$139,MATCH(UPPER(TRIM($B187)),$AA$2:$AA$139,0)),"$AO$2:$AO$9")))))</formula1>
    </dataValidation>
    <dataValidation type="list" allowBlank="1" errorTitle="Embalagem inválida" error="Escolha uma embalagem compatível com o produto." promptTitle="Selecione a embalagem" prompt="As opções mudam conforme o produto digitado." sqref="C188" xr:uid="{73428CE7-8975-47EA-B9E2-4C688D908A3E}">
      <formula1>INDIRECT(IF(OR(ISNUMBER(SEARCH("ICEBERG ICE",UPPER(TRIM($B188)))),ISNUMBER(SEARCH("ICE ICEBERG",UPPER(TRIM($B188)))),ISNUMBER(SEARCH("GELINHO ICEBERG",UPPER(TRIM($B188))))),"$AJ$2:$AJ$2",IF(ISNUMBER(SEARCH("ESPUMA",$B188)),"$AI$2:$AI$2",IF(ISNUMBER(SEARCH("CORANTE",$B188)),"$AN$2:$AN$2",IFERROR(INDEX($AB$2:$AB$139,MATCH(UPPER(TRIM($B188)),$AA$2:$AA$139,0)),"$AO$2:$AO$9")))))</formula1>
    </dataValidation>
    <dataValidation type="list" allowBlank="1" errorTitle="Embalagem inválida" error="Escolha uma embalagem compatível com o produto." promptTitle="Selecione a embalagem" prompt="As opções mudam conforme o produto digitado." sqref="C189" xr:uid="{48E22C5F-9819-44FA-BE62-4127948BE0B1}">
      <formula1>INDIRECT(IF(OR(ISNUMBER(SEARCH("ICEBERG ICE",UPPER(TRIM($B189)))),ISNUMBER(SEARCH("ICE ICEBERG",UPPER(TRIM($B189)))),ISNUMBER(SEARCH("GELINHO ICEBERG",UPPER(TRIM($B189))))),"$AJ$2:$AJ$2",IF(ISNUMBER(SEARCH("ESPUMA",$B189)),"$AI$2:$AI$2",IF(ISNUMBER(SEARCH("CORANTE",$B189)),"$AN$2:$AN$2",IFERROR(INDEX($AB$2:$AB$139,MATCH(UPPER(TRIM($B189)),$AA$2:$AA$139,0)),"$AO$2:$AO$9")))))</formula1>
    </dataValidation>
    <dataValidation type="list" allowBlank="1" errorTitle="Embalagem inválida" error="Escolha uma embalagem compatível com o produto." promptTitle="Selecione a embalagem" prompt="As opções mudam conforme o produto digitado." sqref="C193" xr:uid="{1D9B0B50-B9C5-4F05-906C-3033608103C4}">
      <formula1>INDIRECT(IF(OR(ISNUMBER(SEARCH("ICEBERG ICE",UPPER(TRIM($B193)))),ISNUMBER(SEARCH("ICE ICEBERG",UPPER(TRIM($B193)))),ISNUMBER(SEARCH("GELINHO ICEBERG",UPPER(TRIM($B193))))),"$AJ$2:$AJ$2",IF(ISNUMBER(SEARCH("ESPUMA",$B193)),"$AI$2:$AI$2",IF(ISNUMBER(SEARCH("CORANTE",$B193)),"$AN$2:$AN$2",IFERROR(INDEX($AB$2:$AB$139,MATCH(UPPER(TRIM($B193)),$AA$2:$AA$139,0)),"$AO$2:$AO$9")))))</formula1>
    </dataValidation>
    <dataValidation type="list" allowBlank="1" errorTitle="Embalagem inválida" error="Escolha uma embalagem compatível com o produto." promptTitle="Selecione a embalagem" prompt="As opções mudam conforme o produto digitado." sqref="C194" xr:uid="{D6C5B6C7-85FD-443A-9659-35BF56B8CB39}">
      <formula1>INDIRECT(IF(OR(ISNUMBER(SEARCH("ICEBERG ICE",UPPER(TRIM($B194)))),ISNUMBER(SEARCH("ICE ICEBERG",UPPER(TRIM($B194)))),ISNUMBER(SEARCH("GELINHO ICEBERG",UPPER(TRIM($B194))))),"$AJ$2:$AJ$2",IF(ISNUMBER(SEARCH("ESPUMA",$B194)),"$AI$2:$AI$2",IF(ISNUMBER(SEARCH("CORANTE",$B194)),"$AN$2:$AN$2",IFERROR(INDEX($AB$2:$AB$139,MATCH(UPPER(TRIM($B194)),$AA$2:$AA$139,0)),"$AO$2:$AO$9")))))</formula1>
    </dataValidation>
    <dataValidation type="list" allowBlank="1" errorTitle="Embalagem inválida" error="Escolha uma embalagem compatível com o produto." promptTitle="Selecione a embalagem" prompt="As opções mudam conforme o produto digitado." sqref="C195" xr:uid="{2EE34534-6D1D-4F8F-A449-24403E26B985}">
      <formula1>INDIRECT(IF(OR(ISNUMBER(SEARCH("ICEBERG ICE",UPPER(TRIM($B195)))),ISNUMBER(SEARCH("ICE ICEBERG",UPPER(TRIM($B195)))),ISNUMBER(SEARCH("GELINHO ICEBERG",UPPER(TRIM($B195))))),"$AJ$2:$AJ$2",IF(ISNUMBER(SEARCH("ESPUMA",$B195)),"$AI$2:$AI$2",IF(ISNUMBER(SEARCH("CORANTE",$B195)),"$AN$2:$AN$2",IFERROR(INDEX($AB$2:$AB$139,MATCH(UPPER(TRIM($B195)),$AA$2:$AA$139,0)),"$AO$2:$AO$9")))))</formula1>
    </dataValidation>
    <dataValidation type="list" allowBlank="1" errorTitle="Embalagem inválida" error="Escolha uma embalagem compatível com o produto." promptTitle="Selecione a embalagem" prompt="As opções mudam conforme o produto digitado." sqref="C196" xr:uid="{38B24D9A-BF34-4CA9-A7F1-24C4B17828F1}">
      <formula1>INDIRECT(IF(OR(ISNUMBER(SEARCH("ICEBERG ICE",UPPER(TRIM($B196)))),ISNUMBER(SEARCH("ICE ICEBERG",UPPER(TRIM($B196)))),ISNUMBER(SEARCH("GELINHO ICEBERG",UPPER(TRIM($B196))))),"$AJ$2:$AJ$2",IF(ISNUMBER(SEARCH("ESPUMA",$B196)),"$AI$2:$AI$2",IF(ISNUMBER(SEARCH("CORANTE",$B196)),"$AN$2:$AN$2",IFERROR(INDEX($AB$2:$AB$139,MATCH(UPPER(TRIM($B196)),$AA$2:$AA$139,0)),"$AO$2:$AO$9")))))</formula1>
    </dataValidation>
    <dataValidation type="list" allowBlank="1" errorTitle="Embalagem inválida" error="Escolha uma embalagem compatível com o produto." promptTitle="Selecione a embalagem" prompt="As opções mudam conforme o produto digitado." sqref="C197" xr:uid="{C0F1DC83-DD23-4A51-ACB6-756701E1D6DF}">
      <formula1>INDIRECT(IF(OR(ISNUMBER(SEARCH("ICEBERG ICE",UPPER(TRIM($B197)))),ISNUMBER(SEARCH("ICE ICEBERG",UPPER(TRIM($B197)))),ISNUMBER(SEARCH("GELINHO ICEBERG",UPPER(TRIM($B197))))),"$AJ$2:$AJ$2",IF(ISNUMBER(SEARCH("ESPUMA",$B197)),"$AI$2:$AI$2",IF(ISNUMBER(SEARCH("CORANTE",$B197)),"$AN$2:$AN$2",IFERROR(INDEX($AB$2:$AB$139,MATCH(UPPER(TRIM($B197)),$AA$2:$AA$139,0)),"$AO$2:$AO$9")))))</formula1>
    </dataValidation>
    <dataValidation type="list" allowBlank="1" errorTitle="Embalagem inválida" error="Escolha uma embalagem compatível com o produto." promptTitle="Selecione a embalagem" prompt="As opções mudam conforme o produto digitado." sqref="C198" xr:uid="{5CFAD667-5BDF-417E-8615-E83F7D51CAB7}">
      <formula1>INDIRECT(IF(OR(ISNUMBER(SEARCH("ICEBERG ICE",UPPER(TRIM($B198)))),ISNUMBER(SEARCH("ICE ICEBERG",UPPER(TRIM($B198)))),ISNUMBER(SEARCH("GELINHO ICEBERG",UPPER(TRIM($B198))))),"$AJ$2:$AJ$2",IF(ISNUMBER(SEARCH("ESPUMA",$B198)),"$AI$2:$AI$2",IF(ISNUMBER(SEARCH("CORANTE",$B198)),"$AN$2:$AN$2",IFERROR(INDEX($AB$2:$AB$139,MATCH(UPPER(TRIM($B198)),$AA$2:$AA$139,0)),"$AO$2:$AO$9")))))</formula1>
    </dataValidation>
    <dataValidation type="list" allowBlank="1" errorTitle="Embalagem inválida" error="Escolha uma embalagem compatível com o produto." promptTitle="Selecione a embalagem" prompt="As opções mudam conforme o produto digitado." sqref="C202" xr:uid="{95128577-8245-494D-9DC3-DF30F53B2E66}">
      <formula1>INDIRECT(IF(OR(ISNUMBER(SEARCH("ICEBERG ICE",UPPER(TRIM($B202)))),ISNUMBER(SEARCH("ICE ICEBERG",UPPER(TRIM($B202)))),ISNUMBER(SEARCH("GELINHO ICEBERG",UPPER(TRIM($B202))))),"$AJ$2:$AJ$2",IF(ISNUMBER(SEARCH("ESPUMA",$B202)),"$AI$2:$AI$2",IF(ISNUMBER(SEARCH("CORANTE",$B202)),"$AN$2:$AN$2",IFERROR(INDEX($AB$2:$AB$139,MATCH(UPPER(TRIM($B202)),$AA$2:$AA$139,0)),"$AO$2:$AO$9")))))</formula1>
    </dataValidation>
    <dataValidation type="list" allowBlank="1" errorTitle="Embalagem inválida" error="Escolha uma embalagem compatível com o produto." promptTitle="Selecione a embalagem" prompt="As opções mudam conforme o produto digitado." sqref="C203" xr:uid="{190FBE70-BAC0-471F-A57A-EAB99EEE7646}">
      <formula1>INDIRECT(IF(OR(ISNUMBER(SEARCH("ICEBERG ICE",UPPER(TRIM($B203)))),ISNUMBER(SEARCH("ICE ICEBERG",UPPER(TRIM($B203)))),ISNUMBER(SEARCH("GELINHO ICEBERG",UPPER(TRIM($B203))))),"$AJ$2:$AJ$2",IF(ISNUMBER(SEARCH("ESPUMA",$B203)),"$AI$2:$AI$2",IF(ISNUMBER(SEARCH("CORANTE",$B203)),"$AN$2:$AN$2",IFERROR(INDEX($AB$2:$AB$139,MATCH(UPPER(TRIM($B203)),$AA$2:$AA$139,0)),"$AO$2:$AO$9")))))</formula1>
    </dataValidation>
    <dataValidation type="list" allowBlank="1" errorTitle="Embalagem inválida" error="Escolha uma embalagem compatível com o produto." promptTitle="Selecione a embalagem" prompt="As opções mudam conforme o produto digitado." sqref="C204" xr:uid="{3C410FF1-8497-440E-928B-A568B91C9BE6}">
      <formula1>INDIRECT(IF(OR(ISNUMBER(SEARCH("ICEBERG ICE",UPPER(TRIM($B204)))),ISNUMBER(SEARCH("ICE ICEBERG",UPPER(TRIM($B204)))),ISNUMBER(SEARCH("GELINHO ICEBERG",UPPER(TRIM($B204))))),"$AJ$2:$AJ$2",IF(ISNUMBER(SEARCH("ESPUMA",$B204)),"$AI$2:$AI$2",IF(ISNUMBER(SEARCH("CORANTE",$B204)),"$AN$2:$AN$2",IFERROR(INDEX($AB$2:$AB$139,MATCH(UPPER(TRIM($B204)),$AA$2:$AA$139,0)),"$AO$2:$AO$9")))))</formula1>
    </dataValidation>
    <dataValidation type="list" allowBlank="1" errorTitle="Embalagem inválida" error="Escolha uma embalagem compatível com o produto." promptTitle="Selecione a embalagem" prompt="As opções mudam conforme o produto digitado." sqref="C205" xr:uid="{CB4EDC99-20D8-4956-A82D-14522F1546ED}">
      <formula1>INDIRECT(IF(OR(ISNUMBER(SEARCH("ICEBERG ICE",UPPER(TRIM($B205)))),ISNUMBER(SEARCH("ICE ICEBERG",UPPER(TRIM($B205)))),ISNUMBER(SEARCH("GELINHO ICEBERG",UPPER(TRIM($B205))))),"$AJ$2:$AJ$2",IF(ISNUMBER(SEARCH("ESPUMA",$B205)),"$AI$2:$AI$2",IF(ISNUMBER(SEARCH("CORANTE",$B205)),"$AN$2:$AN$2",IFERROR(INDEX($AB$2:$AB$139,MATCH(UPPER(TRIM($B205)),$AA$2:$AA$139,0)),"$AO$2:$AO$9")))))</formula1>
    </dataValidation>
    <dataValidation type="list" allowBlank="1" errorTitle="Embalagem inválida" error="Escolha uma embalagem compatível com o produto." promptTitle="Selecione a embalagem" prompt="As opções mudam conforme o produto digitado." sqref="C206" xr:uid="{76C2D513-0C2F-42E2-B8B9-154B95DE5D4E}">
      <formula1>INDIRECT(IF(OR(ISNUMBER(SEARCH("ICEBERG ICE",UPPER(TRIM($B206)))),ISNUMBER(SEARCH("ICE ICEBERG",UPPER(TRIM($B206)))),ISNUMBER(SEARCH("GELINHO ICEBERG",UPPER(TRIM($B206))))),"$AJ$2:$AJ$2",IF(ISNUMBER(SEARCH("ESPUMA",$B206)),"$AI$2:$AI$2",IF(ISNUMBER(SEARCH("CORANTE",$B206)),"$AN$2:$AN$2",IFERROR(INDEX($AB$2:$AB$139,MATCH(UPPER(TRIM($B206)),$AA$2:$AA$139,0)),"$AO$2:$AO$9")))))</formula1>
    </dataValidation>
    <dataValidation type="list" allowBlank="1" errorTitle="Embalagem inválida" error="Escolha uma embalagem compatível com o produto." promptTitle="Selecione a embalagem" prompt="As opções mudam conforme o produto digitado." sqref="C210" xr:uid="{5454B248-C29D-4967-98D5-54B2183F102A}">
      <formula1>INDIRECT(IF(OR(ISNUMBER(SEARCH("ICEBERG ICE",UPPER(TRIM($B210)))),ISNUMBER(SEARCH("ICE ICEBERG",UPPER(TRIM($B210)))),ISNUMBER(SEARCH("GELINHO ICEBERG",UPPER(TRIM($B210))))),"$AJ$2:$AJ$2",IF(ISNUMBER(SEARCH("ESPUMA",$B210)),"$AI$2:$AI$2",IF(ISNUMBER(SEARCH("CORANTE",$B210)),"$AN$2:$AN$2",IFERROR(INDEX($AB$2:$AB$139,MATCH(UPPER(TRIM($B210)),$AA$2:$AA$139,0)),"$AO$2:$AO$9")))))</formula1>
    </dataValidation>
    <dataValidation type="list" allowBlank="1" errorTitle="Embalagem inválida" error="Escolha uma embalagem compatível com o produto." promptTitle="Selecione a embalagem" prompt="As opções mudam conforme o produto digitado." sqref="C211" xr:uid="{618839BF-3C4B-418D-B722-D33A9F91A2C9}">
      <formula1>INDIRECT(IF(OR(ISNUMBER(SEARCH("ICEBERG ICE",UPPER(TRIM($B211)))),ISNUMBER(SEARCH("ICE ICEBERG",UPPER(TRIM($B211)))),ISNUMBER(SEARCH("GELINHO ICEBERG",UPPER(TRIM($B211))))),"$AJ$2:$AJ$2",IF(ISNUMBER(SEARCH("ESPUMA",$B211)),"$AI$2:$AI$2",IF(ISNUMBER(SEARCH("CORANTE",$B211)),"$AN$2:$AN$2",IFERROR(INDEX($AB$2:$AB$139,MATCH(UPPER(TRIM($B211)),$AA$2:$AA$139,0)),"$AO$2:$AO$9")))))</formula1>
    </dataValidation>
    <dataValidation type="list" allowBlank="1" errorTitle="Embalagem inválida" error="Escolha uma embalagem compatível com o produto." promptTitle="Selecione a embalagem" prompt="As opções mudam conforme o produto digitado." sqref="C212" xr:uid="{0B269403-AFDB-4E25-83D5-9E4CE2275078}">
      <formula1>INDIRECT(IF(OR(ISNUMBER(SEARCH("ICEBERG ICE",UPPER(TRIM($B212)))),ISNUMBER(SEARCH("ICE ICEBERG",UPPER(TRIM($B212)))),ISNUMBER(SEARCH("GELINHO ICEBERG",UPPER(TRIM($B212))))),"$AJ$2:$AJ$2",IF(ISNUMBER(SEARCH("ESPUMA",$B212)),"$AI$2:$AI$2",IF(ISNUMBER(SEARCH("CORANTE",$B212)),"$AN$2:$AN$2",IFERROR(INDEX($AB$2:$AB$139,MATCH(UPPER(TRIM($B212)),$AA$2:$AA$139,0)),"$AO$2:$AO$9")))))</formula1>
    </dataValidation>
    <dataValidation type="list" allowBlank="1" errorTitle="Embalagem inválida" error="Escolha uma embalagem compatível com o produto." promptTitle="Selecione a embalagem" prompt="As opções mudam conforme o produto digitado." sqref="C213" xr:uid="{320F055D-62EB-4F29-9A37-C74B3D85FADA}">
      <formula1>INDIRECT(IF(OR(ISNUMBER(SEARCH("ICEBERG ICE",UPPER(TRIM($B213)))),ISNUMBER(SEARCH("ICE ICEBERG",UPPER(TRIM($B213)))),ISNUMBER(SEARCH("GELINHO ICEBERG",UPPER(TRIM($B213))))),"$AJ$2:$AJ$2",IF(ISNUMBER(SEARCH("ESPUMA",$B213)),"$AI$2:$AI$2",IF(ISNUMBER(SEARCH("CORANTE",$B213)),"$AN$2:$AN$2",IFERROR(INDEX($AB$2:$AB$139,MATCH(UPPER(TRIM($B213)),$AA$2:$AA$139,0)),"$AO$2:$AO$9")))))</formula1>
    </dataValidation>
    <dataValidation type="list" allowBlank="1" errorTitle="Embalagem inválida" error="Escolha uma embalagem compatível com o produto." promptTitle="Selecione a embalagem" prompt="As opções mudam conforme o produto digitado." sqref="C214" xr:uid="{EBD465EF-9F91-4F48-B26E-161C0ECC4C31}">
      <formula1>INDIRECT(IF(OR(ISNUMBER(SEARCH("ICEBERG ICE",UPPER(TRIM($B214)))),ISNUMBER(SEARCH("ICE ICEBERG",UPPER(TRIM($B214)))),ISNUMBER(SEARCH("GELINHO ICEBERG",UPPER(TRIM($B214))))),"$AJ$2:$AJ$2",IF(ISNUMBER(SEARCH("ESPUMA",$B214)),"$AI$2:$AI$2",IF(ISNUMBER(SEARCH("CORANTE",$B214)),"$AN$2:$AN$2",IFERROR(INDEX($AB$2:$AB$139,MATCH(UPPER(TRIM($B214)),$AA$2:$AA$139,0)),"$AO$2:$AO$9")))))</formula1>
    </dataValidation>
    <dataValidation type="list" allowBlank="1" errorTitle="Embalagem inválida" error="Escolha uma embalagem compatível com o produto." promptTitle="Selecione a embalagem" prompt="As opções mudam conforme o produto digitado." sqref="C218" xr:uid="{BA72F05D-1E3A-4156-B45C-E6892F192BF8}">
      <formula1>INDIRECT(IF(OR(ISNUMBER(SEARCH("ICEBERG ICE",UPPER(TRIM($B218)))),ISNUMBER(SEARCH("ICE ICEBERG",UPPER(TRIM($B218)))),ISNUMBER(SEARCH("GELINHO ICEBERG",UPPER(TRIM($B218))))),"$AJ$2:$AJ$2",IF(ISNUMBER(SEARCH("ESPUMA",$B218)),"$AI$2:$AI$2",IF(ISNUMBER(SEARCH("CORANTE",$B218)),"$AN$2:$AN$2",IFERROR(INDEX($AB$2:$AB$139,MATCH(UPPER(TRIM($B218)),$AA$2:$AA$139,0)),"$AO$2:$AO$9")))))</formula1>
    </dataValidation>
    <dataValidation type="list" allowBlank="1" errorTitle="Embalagem inválida" error="Escolha uma embalagem compatível com o produto." promptTitle="Selecione a embalagem" prompt="As opções mudam conforme o produto digitado." sqref="C219" xr:uid="{BC4F17F5-C4A3-40BD-92CE-8C1F0EBC8532}">
      <formula1>INDIRECT(IF(OR(ISNUMBER(SEARCH("ICEBERG ICE",UPPER(TRIM($B219)))),ISNUMBER(SEARCH("ICE ICEBERG",UPPER(TRIM($B219)))),ISNUMBER(SEARCH("GELINHO ICEBERG",UPPER(TRIM($B219))))),"$AJ$2:$AJ$2",IF(ISNUMBER(SEARCH("ESPUMA",$B219)),"$AI$2:$AI$2",IF(ISNUMBER(SEARCH("CORANTE",$B219)),"$AN$2:$AN$2",IFERROR(INDEX($AB$2:$AB$139,MATCH(UPPER(TRIM($B219)),$AA$2:$AA$139,0)),"$AO$2:$AO$9")))))</formula1>
    </dataValidation>
    <dataValidation type="list" allowBlank="1" errorTitle="Embalagem inválida" error="Escolha uma embalagem compatível com o produto." promptTitle="Selecione a embalagem" prompt="As opções mudam conforme o produto digitado." sqref="C220" xr:uid="{8A5BB68E-FF80-449D-A4DB-8E8A8B1BCCB4}">
      <formula1>INDIRECT(IF(OR(ISNUMBER(SEARCH("ICEBERG ICE",UPPER(TRIM($B220)))),ISNUMBER(SEARCH("ICE ICEBERG",UPPER(TRIM($B220)))),ISNUMBER(SEARCH("GELINHO ICEBERG",UPPER(TRIM($B220))))),"$AJ$2:$AJ$2",IF(ISNUMBER(SEARCH("ESPUMA",$B220)),"$AI$2:$AI$2",IF(ISNUMBER(SEARCH("CORANTE",$B220)),"$AN$2:$AN$2",IFERROR(INDEX($AB$2:$AB$139,MATCH(UPPER(TRIM($B220)),$AA$2:$AA$139,0)),"$AO$2:$AO$9")))))</formula1>
    </dataValidation>
    <dataValidation type="list" allowBlank="1" errorTitle="Embalagem inválida" error="Escolha uma embalagem compatível com o produto." promptTitle="Selecione a embalagem" prompt="As opções mudam conforme o produto digitado." sqref="C221" xr:uid="{2360867C-6560-4AF5-B966-58EF99949931}">
      <formula1>INDIRECT(IF(OR(ISNUMBER(SEARCH("ICEBERG ICE",UPPER(TRIM($B221)))),ISNUMBER(SEARCH("ICE ICEBERG",UPPER(TRIM($B221)))),ISNUMBER(SEARCH("GELINHO ICEBERG",UPPER(TRIM($B221))))),"$AJ$2:$AJ$2",IF(ISNUMBER(SEARCH("ESPUMA",$B221)),"$AI$2:$AI$2",IF(ISNUMBER(SEARCH("CORANTE",$B221)),"$AN$2:$AN$2",IFERROR(INDEX($AB$2:$AB$139,MATCH(UPPER(TRIM($B221)),$AA$2:$AA$139,0)),"$AO$2:$AO$9")))))</formula1>
    </dataValidation>
    <dataValidation type="list" allowBlank="1" errorTitle="Embalagem inválida" error="Escolha uma embalagem compatível com o produto." promptTitle="Selecione a embalagem" prompt="As opções mudam conforme o produto digitado." sqref="C222" xr:uid="{EC47481F-0F21-4679-8829-135A94BFEBA9}">
      <formula1>INDIRECT(IF(OR(ISNUMBER(SEARCH("ICEBERG ICE",UPPER(TRIM($B222)))),ISNUMBER(SEARCH("ICE ICEBERG",UPPER(TRIM($B222)))),ISNUMBER(SEARCH("GELINHO ICEBERG",UPPER(TRIM($B222))))),"$AJ$2:$AJ$2",IF(ISNUMBER(SEARCH("ESPUMA",$B222)),"$AI$2:$AI$2",IF(ISNUMBER(SEARCH("CORANTE",$B222)),"$AN$2:$AN$2",IFERROR(INDEX($AB$2:$AB$139,MATCH(UPPER(TRIM($B222)),$AA$2:$AA$139,0)),"$AO$2:$AO$9")))))</formula1>
    </dataValidation>
    <dataValidation type="list" allowBlank="1" errorTitle="Embalagem inválida" error="Escolha uma embalagem compatível com o produto." promptTitle="Selecione a embalagem" prompt="As opções mudam conforme o produto digitado." sqref="C223" xr:uid="{C7F99291-D160-44B8-85F0-896BE8A36662}">
      <formula1>INDIRECT(IF(OR(ISNUMBER(SEARCH("ICEBERG ICE",UPPER(TRIM($B223)))),ISNUMBER(SEARCH("ICE ICEBERG",UPPER(TRIM($B223)))),ISNUMBER(SEARCH("GELINHO ICEBERG",UPPER(TRIM($B223))))),"$AJ$2:$AJ$2",IF(ISNUMBER(SEARCH("ESPUMA",$B223)),"$AI$2:$AI$2",IF(ISNUMBER(SEARCH("CORANTE",$B223)),"$AN$2:$AN$2",IFERROR(INDEX($AB$2:$AB$139,MATCH(UPPER(TRIM($B223)),$AA$2:$AA$139,0)),"$AO$2:$AO$9")))))</formula1>
    </dataValidation>
    <dataValidation type="list" allowBlank="1" errorTitle="Embalagem inválida" error="Escolha uma embalagem compatível com o produto." promptTitle="Selecione a embalagem" prompt="As opções mudam conforme o produto digitado." sqref="C224" xr:uid="{2E377326-2B05-4270-A6BC-CF68EFFDFF1A}">
      <formula1>INDIRECT(IF(OR(ISNUMBER(SEARCH("ICEBERG ICE",UPPER(TRIM($B224)))),ISNUMBER(SEARCH("ICE ICEBERG",UPPER(TRIM($B224)))),ISNUMBER(SEARCH("GELINHO ICEBERG",UPPER(TRIM($B224))))),"$AJ$2:$AJ$2",IF(ISNUMBER(SEARCH("ESPUMA",$B224)),"$AI$2:$AI$2",IF(ISNUMBER(SEARCH("CORANTE",$B224)),"$AN$2:$AN$2",IFERROR(INDEX($AB$2:$AB$139,MATCH(UPPER(TRIM($B224)),$AA$2:$AA$139,0)),"$AO$2:$AO$9")))))</formula1>
    </dataValidation>
  </dataValidation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96CF-5E86-4A4E-A96C-B60B94442017}">
  <sheetPr>
    <tabColor rgb="FF0F766E"/>
  </sheetPr>
  <dimension ref="A1:Y59"/>
  <sheetViews>
    <sheetView showGridLines="0" zoomScale="90" zoomScaleNormal="90" workbookViewId="0">
      <selection activeCell="L31" sqref="L31"/>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599</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SUM(C9:C34)</f>
        <v>277080</v>
      </c>
      <c r="C4" s="424"/>
      <c r="D4" s="435">
        <f>SUM(D9:D34)</f>
        <v>286000</v>
      </c>
      <c r="E4" s="424"/>
      <c r="F4" s="435">
        <f>IFERROR(SUM(C9:C34)/COUNTIF(C9:C34,"&gt;0"),0)</f>
        <v>10656.923076923076</v>
      </c>
      <c r="G4" s="424"/>
      <c r="H4" s="435">
        <f>IFERROR(MAX(C9:C34),0)</f>
        <v>18852</v>
      </c>
      <c r="I4" s="424"/>
      <c r="J4" s="436">
        <f>IFERROR(B4/D4,0)</f>
        <v>0.96881118881118877</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W8" s="123" t="s">
        <v>984</v>
      </c>
      <c r="X8" s="1" t="s">
        <v>219</v>
      </c>
      <c r="Y8" s="1" t="s">
        <v>220</v>
      </c>
    </row>
    <row r="9" spans="1:25" x14ac:dyDescent="0.3">
      <c r="A9" s="412">
        <v>46143</v>
      </c>
      <c r="B9" s="414">
        <f>IF(D9&gt;0,COUNTIF($D$9:D9,"&gt;0"),"")</f>
        <v>1</v>
      </c>
      <c r="C9" s="888">
        <f>'SEMANA MAIO'!$I$4+'SEMANA MAIO'!$I$5+'SEMANA MAIO'!$I$6</f>
        <v>11634</v>
      </c>
      <c r="D9" s="888">
        <f>IF(C9&gt;0,CONFIG!$B$3,0)</f>
        <v>11000</v>
      </c>
      <c r="E9" s="889">
        <f t="shared" ref="E9:E34" si="0">IF(C9&gt;0,C9-D9,0)</f>
        <v>634</v>
      </c>
      <c r="F9" s="459" t="s">
        <v>600</v>
      </c>
      <c r="G9" s="424"/>
      <c r="H9" s="424"/>
      <c r="I9" s="424"/>
      <c r="J9" s="424"/>
      <c r="K9" s="424"/>
      <c r="L9" s="424"/>
      <c r="M9" s="424"/>
      <c r="N9" s="424"/>
      <c r="O9" s="424"/>
      <c r="P9" s="93">
        <f t="shared" ref="P9:P34" si="1">B9</f>
        <v>1</v>
      </c>
      <c r="Q9" s="1" t="e">
        <f t="shared" ref="Q9:Q34" si="2">IF(AND($C9&gt;0,$C9&lt;$D9),$C9,NA())</f>
        <v>#N/A</v>
      </c>
      <c r="R9" s="1" t="e">
        <f t="shared" ref="R9:R34" si="3">IF(AND($C9&gt;0,$C9=$D9),$C9,NA())</f>
        <v>#N/A</v>
      </c>
      <c r="S9" s="1">
        <f t="shared" ref="S9:S34" si="4">IF(AND($C9&gt;0,$C9&gt;$D9),$C9,NA())</f>
        <v>11634</v>
      </c>
      <c r="W9" s="1" t="str">
        <f>TEXT(A9,"dd/mm")&amp;" "&amp;TEXT(A9,"[$-pt-BR]ddd")</f>
        <v>01/05 sex</v>
      </c>
      <c r="X9" s="1" t="e">
        <f>IF(COUNTIF($F9,"*Feriado*")&gt;0,NA(),$C9)</f>
        <v>#N/A</v>
      </c>
      <c r="Y9" s="1" t="e">
        <f>IF(COUNTIF($F9,"*Feriado*")&gt;0,NA(),$D9)</f>
        <v>#N/A</v>
      </c>
    </row>
    <row r="10" spans="1:25" x14ac:dyDescent="0.3">
      <c r="A10" s="412">
        <v>46144</v>
      </c>
      <c r="B10" s="414">
        <f>IF(D10&gt;0,COUNTIF($D$9:D10,"&gt;0"),"")</f>
        <v>2</v>
      </c>
      <c r="C10" s="888">
        <f>'SEMANA MAIO'!$I$13+'SEMANA MAIO'!$I$14</f>
        <v>12324</v>
      </c>
      <c r="D10" s="888">
        <f>IF(C10&gt;0,CONFIG!$B$3,0)</f>
        <v>11000</v>
      </c>
      <c r="E10" s="889">
        <f t="shared" si="0"/>
        <v>1324</v>
      </c>
      <c r="F10" s="459" t="s">
        <v>512</v>
      </c>
      <c r="G10" s="424"/>
      <c r="H10" s="424"/>
      <c r="I10" s="424"/>
      <c r="J10" s="424"/>
      <c r="K10" s="424"/>
      <c r="L10" s="424"/>
      <c r="M10" s="424"/>
      <c r="N10" s="424"/>
      <c r="O10" s="424"/>
      <c r="P10" s="93">
        <f t="shared" si="1"/>
        <v>2</v>
      </c>
      <c r="Q10" s="1" t="e">
        <f t="shared" si="2"/>
        <v>#N/A</v>
      </c>
      <c r="R10" s="1" t="e">
        <f t="shared" si="3"/>
        <v>#N/A</v>
      </c>
      <c r="S10" s="1">
        <f t="shared" si="4"/>
        <v>12324</v>
      </c>
    </row>
    <row r="11" spans="1:25" x14ac:dyDescent="0.3">
      <c r="A11" s="412">
        <v>46146</v>
      </c>
      <c r="B11" s="414">
        <f>IF(D11&gt;0,COUNTIF($D$9:D11,"&gt;0"),"")</f>
        <v>3</v>
      </c>
      <c r="C11" s="888">
        <f>'SEMANA MAIO'!$I$21</f>
        <v>17748</v>
      </c>
      <c r="D11" s="888">
        <f>IF(C11&gt;0,CONFIG!$B$3,0)</f>
        <v>11000</v>
      </c>
      <c r="E11" s="889">
        <f t="shared" si="0"/>
        <v>6748</v>
      </c>
      <c r="F11" s="458"/>
      <c r="G11" s="424"/>
      <c r="H11" s="424"/>
      <c r="I11" s="424"/>
      <c r="J11" s="424"/>
      <c r="K11" s="424"/>
      <c r="L11" s="424"/>
      <c r="M11" s="424"/>
      <c r="N11" s="424"/>
      <c r="O11" s="424"/>
      <c r="P11" s="93">
        <f t="shared" si="1"/>
        <v>3</v>
      </c>
      <c r="Q11" s="1" t="e">
        <f t="shared" si="2"/>
        <v>#N/A</v>
      </c>
      <c r="R11" s="1" t="e">
        <f t="shared" si="3"/>
        <v>#N/A</v>
      </c>
      <c r="S11" s="1">
        <f t="shared" si="4"/>
        <v>17748</v>
      </c>
      <c r="X11" s="63">
        <f t="shared" ref="X11:X30" si="5">IF(COUNTIF($F10,"*Feriado*")&gt;0,NA(),$C10)</f>
        <v>12324</v>
      </c>
      <c r="Y11" s="63">
        <f t="shared" ref="Y11:Y30" si="6">IF(COUNTIF($F10,"*Feriado*")&gt;0,NA(),$D10)</f>
        <v>11000</v>
      </c>
    </row>
    <row r="12" spans="1:25" x14ac:dyDescent="0.3">
      <c r="A12" s="412">
        <v>46147</v>
      </c>
      <c r="B12" s="414">
        <f>IF(D12&gt;0,COUNTIF($D$9:D12,"&gt;0"),"")</f>
        <v>4</v>
      </c>
      <c r="C12" s="888">
        <f>'SEMANA MAIO'!$I$29+'SEMANA MAIO'!$I$30+'SEMANA MAIO'!$I$31+'SEMANA MAIO'!$I$32+'SEMANA MAIO'!$I$33</f>
        <v>8640</v>
      </c>
      <c r="D12" s="888">
        <f>IF(C12&gt;0,CONFIG!$B$3,0)</f>
        <v>11000</v>
      </c>
      <c r="E12" s="889">
        <f t="shared" si="0"/>
        <v>-2360</v>
      </c>
      <c r="F12" s="458" t="s">
        <v>601</v>
      </c>
      <c r="G12" s="424"/>
      <c r="H12" s="424"/>
      <c r="I12" s="424"/>
      <c r="J12" s="424"/>
      <c r="K12" s="424"/>
      <c r="L12" s="424"/>
      <c r="M12" s="424"/>
      <c r="N12" s="424"/>
      <c r="O12" s="424"/>
      <c r="P12" s="93">
        <f t="shared" si="1"/>
        <v>4</v>
      </c>
      <c r="Q12" s="1">
        <f t="shared" si="2"/>
        <v>8640</v>
      </c>
      <c r="R12" s="1" t="e">
        <f t="shared" si="3"/>
        <v>#N/A</v>
      </c>
      <c r="S12" s="1" t="e">
        <f t="shared" si="4"/>
        <v>#N/A</v>
      </c>
      <c r="X12" s="63">
        <f t="shared" si="5"/>
        <v>17748</v>
      </c>
      <c r="Y12" s="63">
        <f t="shared" si="6"/>
        <v>11000</v>
      </c>
    </row>
    <row r="13" spans="1:25" x14ac:dyDescent="0.3">
      <c r="A13" s="412">
        <v>46148</v>
      </c>
      <c r="B13" s="414">
        <f>IF(D13&gt;0,COUNTIF($D$9:D13,"&gt;0"),"")</f>
        <v>5</v>
      </c>
      <c r="C13" s="888">
        <f>'SEMANA MAIO'!$I$38+'SEMANA MAIO'!$I$39+'SEMANA MAIO'!$I$40+'SEMANA MAIO'!$I$41+'SEMANA MAIO'!$I$42+'SEMANA MAIO'!$I$43+'SEMANA MAIO'!$I$44+'SEMANA MAIO'!$I$45</f>
        <v>12558</v>
      </c>
      <c r="D13" s="888">
        <f>IF(C13&gt;0,CONFIG!$B$3,0)</f>
        <v>11000</v>
      </c>
      <c r="E13" s="889">
        <f t="shared" si="0"/>
        <v>1558</v>
      </c>
      <c r="F13" s="458"/>
      <c r="G13" s="424"/>
      <c r="H13" s="424"/>
      <c r="I13" s="424"/>
      <c r="J13" s="424"/>
      <c r="K13" s="424"/>
      <c r="L13" s="424"/>
      <c r="M13" s="424"/>
      <c r="N13" s="424"/>
      <c r="O13" s="424"/>
      <c r="P13" s="93">
        <f t="shared" si="1"/>
        <v>5</v>
      </c>
      <c r="Q13" s="1" t="e">
        <f t="shared" si="2"/>
        <v>#N/A</v>
      </c>
      <c r="R13" s="1" t="e">
        <f t="shared" si="3"/>
        <v>#N/A</v>
      </c>
      <c r="S13" s="1">
        <f t="shared" si="4"/>
        <v>12558</v>
      </c>
      <c r="X13" s="63">
        <f t="shared" si="5"/>
        <v>8640</v>
      </c>
      <c r="Y13" s="63">
        <f t="shared" si="6"/>
        <v>11000</v>
      </c>
    </row>
    <row r="14" spans="1:25" x14ac:dyDescent="0.3">
      <c r="A14" s="412">
        <v>46149</v>
      </c>
      <c r="B14" s="414">
        <f>IF(D14&gt;0,COUNTIF($D$9:D14,"&gt;0"),"")</f>
        <v>6</v>
      </c>
      <c r="C14" s="888">
        <f>'SEMANA MAIO'!$I$50+'SEMANA MAIO'!$I$51+'SEMANA MAIO'!$I$52+'SEMANA MAIO'!$I$53+'SEMANA MAIO'!$I$54+'SEMANA MAIO'!$I$55</f>
        <v>13044</v>
      </c>
      <c r="D14" s="888">
        <f>IF(C14&gt;0,CONFIG!$B$3,0)</f>
        <v>11000</v>
      </c>
      <c r="E14" s="889">
        <f t="shared" si="0"/>
        <v>2044</v>
      </c>
      <c r="F14" s="458"/>
      <c r="G14" s="424"/>
      <c r="H14" s="424"/>
      <c r="I14" s="424"/>
      <c r="J14" s="424"/>
      <c r="K14" s="424"/>
      <c r="L14" s="424"/>
      <c r="M14" s="424"/>
      <c r="N14" s="424"/>
      <c r="O14" s="424"/>
      <c r="P14" s="93">
        <f t="shared" si="1"/>
        <v>6</v>
      </c>
      <c r="Q14" s="1" t="e">
        <f t="shared" si="2"/>
        <v>#N/A</v>
      </c>
      <c r="R14" s="1" t="e">
        <f t="shared" si="3"/>
        <v>#N/A</v>
      </c>
      <c r="S14" s="1">
        <f t="shared" si="4"/>
        <v>13044</v>
      </c>
      <c r="X14" s="63">
        <f t="shared" si="5"/>
        <v>12558</v>
      </c>
      <c r="Y14" s="63">
        <f t="shared" si="6"/>
        <v>11000</v>
      </c>
    </row>
    <row r="15" spans="1:25" x14ac:dyDescent="0.3">
      <c r="A15" s="412">
        <v>46150</v>
      </c>
      <c r="B15" s="414">
        <f>IF(D15&gt;0,COUNTIF($D$9:D15,"&gt;0"),"")</f>
        <v>7</v>
      </c>
      <c r="C15" s="888">
        <f>'SEMANA MAIO'!$I$60</f>
        <v>6372</v>
      </c>
      <c r="D15" s="888">
        <f>IF(C15&gt;0,CONFIG!$B$3,0)</f>
        <v>11000</v>
      </c>
      <c r="E15" s="889">
        <f t="shared" si="0"/>
        <v>-4628</v>
      </c>
      <c r="F15" s="458" t="s">
        <v>602</v>
      </c>
      <c r="G15" s="424"/>
      <c r="H15" s="424"/>
      <c r="I15" s="424"/>
      <c r="J15" s="424"/>
      <c r="K15" s="424"/>
      <c r="L15" s="424"/>
      <c r="M15" s="424"/>
      <c r="N15" s="424"/>
      <c r="O15" s="424"/>
      <c r="P15" s="93">
        <f t="shared" si="1"/>
        <v>7</v>
      </c>
      <c r="Q15" s="1">
        <f t="shared" si="2"/>
        <v>6372</v>
      </c>
      <c r="R15" s="1" t="e">
        <f t="shared" si="3"/>
        <v>#N/A</v>
      </c>
      <c r="S15" s="1" t="e">
        <f t="shared" si="4"/>
        <v>#N/A</v>
      </c>
      <c r="X15" s="63">
        <f t="shared" si="5"/>
        <v>13044</v>
      </c>
      <c r="Y15" s="63">
        <f t="shared" si="6"/>
        <v>11000</v>
      </c>
    </row>
    <row r="16" spans="1:25" x14ac:dyDescent="0.3">
      <c r="A16" s="412">
        <v>46151</v>
      </c>
      <c r="B16" s="414">
        <f>IF(D16&gt;0,COUNTIF($D$9:D16,"&gt;0"),"")</f>
        <v>8</v>
      </c>
      <c r="C16" s="888">
        <f>'SEMANA MAIO'!$I$68+'SEMANA MAIO'!$I$69</f>
        <v>8136</v>
      </c>
      <c r="D16" s="888">
        <f>IF(C16&gt;0,CONFIG!$B$3,0)</f>
        <v>11000</v>
      </c>
      <c r="E16" s="889">
        <f t="shared" si="0"/>
        <v>-2864</v>
      </c>
      <c r="F16" s="459" t="s">
        <v>512</v>
      </c>
      <c r="G16" s="424"/>
      <c r="H16" s="424"/>
      <c r="I16" s="424"/>
      <c r="J16" s="424"/>
      <c r="K16" s="424"/>
      <c r="L16" s="424"/>
      <c r="M16" s="424"/>
      <c r="N16" s="424"/>
      <c r="O16" s="424"/>
      <c r="P16" s="93">
        <f t="shared" si="1"/>
        <v>8</v>
      </c>
      <c r="Q16" s="1">
        <f t="shared" si="2"/>
        <v>8136</v>
      </c>
      <c r="R16" s="1" t="e">
        <f t="shared" si="3"/>
        <v>#N/A</v>
      </c>
      <c r="S16" s="1" t="e">
        <f t="shared" si="4"/>
        <v>#N/A</v>
      </c>
      <c r="X16" s="63">
        <f t="shared" si="5"/>
        <v>6372</v>
      </c>
      <c r="Y16" s="63">
        <f t="shared" si="6"/>
        <v>11000</v>
      </c>
    </row>
    <row r="17" spans="1:25" x14ac:dyDescent="0.3">
      <c r="A17" s="412">
        <v>46153</v>
      </c>
      <c r="B17" s="414">
        <f>IF(D17&gt;0,COUNTIF($D$9:D17,"&gt;0"),"")</f>
        <v>9</v>
      </c>
      <c r="C17" s="888">
        <f>'SEMANA MAIO'!$I$76+'SEMANA MAIO'!$I$77</f>
        <v>3396</v>
      </c>
      <c r="D17" s="888">
        <f>IF(C17&gt;0,CONFIG!$B$3,0)</f>
        <v>11000</v>
      </c>
      <c r="E17" s="889">
        <f t="shared" si="0"/>
        <v>-7604</v>
      </c>
      <c r="F17" s="458" t="s">
        <v>603</v>
      </c>
      <c r="G17" s="424"/>
      <c r="H17" s="424"/>
      <c r="I17" s="424"/>
      <c r="J17" s="424"/>
      <c r="K17" s="424"/>
      <c r="L17" s="424"/>
      <c r="M17" s="424"/>
      <c r="N17" s="424"/>
      <c r="O17" s="424"/>
      <c r="P17" s="93">
        <f t="shared" si="1"/>
        <v>9</v>
      </c>
      <c r="Q17" s="1">
        <f t="shared" si="2"/>
        <v>3396</v>
      </c>
      <c r="R17" s="1" t="e">
        <f t="shared" si="3"/>
        <v>#N/A</v>
      </c>
      <c r="S17" s="1" t="e">
        <f t="shared" si="4"/>
        <v>#N/A</v>
      </c>
      <c r="X17" s="63">
        <f t="shared" si="5"/>
        <v>8136</v>
      </c>
      <c r="Y17" s="63">
        <f t="shared" si="6"/>
        <v>11000</v>
      </c>
    </row>
    <row r="18" spans="1:25" x14ac:dyDescent="0.3">
      <c r="A18" s="412">
        <v>46154</v>
      </c>
      <c r="B18" s="414">
        <f>IF(D18&gt;0,COUNTIF($D$9:D18,"&gt;0"),"")</f>
        <v>10</v>
      </c>
      <c r="C18" s="888">
        <f>'SEMANA MAIO'!$I$85+'SEMANA MAIO'!$I$86</f>
        <v>10860</v>
      </c>
      <c r="D18" s="888">
        <f>IF(C18&gt;0,CONFIG!$B$3,0)</f>
        <v>11000</v>
      </c>
      <c r="E18" s="889">
        <f t="shared" si="0"/>
        <v>-140</v>
      </c>
      <c r="F18" s="458" t="s">
        <v>604</v>
      </c>
      <c r="G18" s="424"/>
      <c r="H18" s="424"/>
      <c r="I18" s="424"/>
      <c r="J18" s="424"/>
      <c r="K18" s="424"/>
      <c r="L18" s="424"/>
      <c r="M18" s="424"/>
      <c r="N18" s="424"/>
      <c r="O18" s="424"/>
      <c r="P18" s="93">
        <f t="shared" si="1"/>
        <v>10</v>
      </c>
      <c r="Q18" s="1">
        <f t="shared" si="2"/>
        <v>10860</v>
      </c>
      <c r="R18" s="1" t="e">
        <f t="shared" si="3"/>
        <v>#N/A</v>
      </c>
      <c r="S18" s="1" t="e">
        <f t="shared" si="4"/>
        <v>#N/A</v>
      </c>
      <c r="X18" s="63">
        <f t="shared" si="5"/>
        <v>3396</v>
      </c>
      <c r="Y18" s="63">
        <f t="shared" si="6"/>
        <v>11000</v>
      </c>
    </row>
    <row r="19" spans="1:25" x14ac:dyDescent="0.3">
      <c r="A19" s="412">
        <v>46155</v>
      </c>
      <c r="B19" s="414">
        <f>IF(D19&gt;0,COUNTIF($D$9:D19,"&gt;0"),"")</f>
        <v>11</v>
      </c>
      <c r="C19" s="888">
        <f>'SEMANA MAIO'!$I$93+'SEMANA MAIO'!$I$94</f>
        <v>10902</v>
      </c>
      <c r="D19" s="888">
        <f>IF(C19&gt;0,CONFIG!$B$3,0)</f>
        <v>11000</v>
      </c>
      <c r="E19" s="889">
        <f t="shared" si="0"/>
        <v>-98</v>
      </c>
      <c r="F19" s="458"/>
      <c r="G19" s="424"/>
      <c r="H19" s="424"/>
      <c r="I19" s="424"/>
      <c r="J19" s="424"/>
      <c r="K19" s="424"/>
      <c r="L19" s="424"/>
      <c r="M19" s="424"/>
      <c r="N19" s="424"/>
      <c r="O19" s="424"/>
      <c r="P19" s="93">
        <f t="shared" si="1"/>
        <v>11</v>
      </c>
      <c r="Q19" s="1">
        <f t="shared" si="2"/>
        <v>10902</v>
      </c>
      <c r="R19" s="1" t="e">
        <f t="shared" si="3"/>
        <v>#N/A</v>
      </c>
      <c r="S19" s="1" t="e">
        <f t="shared" si="4"/>
        <v>#N/A</v>
      </c>
      <c r="X19" s="63">
        <f t="shared" si="5"/>
        <v>10860</v>
      </c>
      <c r="Y19" s="63">
        <f t="shared" si="6"/>
        <v>11000</v>
      </c>
    </row>
    <row r="20" spans="1:25" x14ac:dyDescent="0.3">
      <c r="A20" s="412">
        <v>46156</v>
      </c>
      <c r="B20" s="414">
        <f>IF(D20&gt;0,COUNTIF($D$9:D20,"&gt;0"),"")</f>
        <v>12</v>
      </c>
      <c r="C20" s="888">
        <f>'SEMANA MAIO'!$I$101+'SEMANA MAIO'!$I$102</f>
        <v>7866</v>
      </c>
      <c r="D20" s="888">
        <f>IF(C20&gt;0,CONFIG!$B$3,0)</f>
        <v>11000</v>
      </c>
      <c r="E20" s="889">
        <f t="shared" si="0"/>
        <v>-3134</v>
      </c>
      <c r="F20" s="458" t="s">
        <v>605</v>
      </c>
      <c r="G20" s="424"/>
      <c r="H20" s="424"/>
      <c r="I20" s="424"/>
      <c r="J20" s="424"/>
      <c r="K20" s="424"/>
      <c r="L20" s="424"/>
      <c r="M20" s="424"/>
      <c r="N20" s="424"/>
      <c r="O20" s="424"/>
      <c r="P20" s="93">
        <f t="shared" si="1"/>
        <v>12</v>
      </c>
      <c r="Q20" s="1">
        <f t="shared" si="2"/>
        <v>7866</v>
      </c>
      <c r="R20" s="1" t="e">
        <f t="shared" si="3"/>
        <v>#N/A</v>
      </c>
      <c r="S20" s="1" t="e">
        <f t="shared" si="4"/>
        <v>#N/A</v>
      </c>
      <c r="X20" s="63">
        <f t="shared" si="5"/>
        <v>10902</v>
      </c>
      <c r="Y20" s="63">
        <f t="shared" si="6"/>
        <v>11000</v>
      </c>
    </row>
    <row r="21" spans="1:25" x14ac:dyDescent="0.3">
      <c r="A21" s="412">
        <v>46157</v>
      </c>
      <c r="B21" s="414">
        <f>IF(D21&gt;0,COUNTIF($D$9:D21,"&gt;0"),"")</f>
        <v>13</v>
      </c>
      <c r="C21" s="888">
        <f>'SEMANA MAIO'!$I$109+'SEMANA MAIO'!$I$110</f>
        <v>5856</v>
      </c>
      <c r="D21" s="888">
        <f>IF(C21&gt;0,CONFIG!$B$3,0)</f>
        <v>11000</v>
      </c>
      <c r="E21" s="889">
        <f t="shared" si="0"/>
        <v>-5144</v>
      </c>
      <c r="F21" s="458" t="s">
        <v>602</v>
      </c>
      <c r="G21" s="424"/>
      <c r="H21" s="424"/>
      <c r="I21" s="424"/>
      <c r="J21" s="424"/>
      <c r="K21" s="424"/>
      <c r="L21" s="424"/>
      <c r="M21" s="424"/>
      <c r="N21" s="424"/>
      <c r="O21" s="424"/>
      <c r="P21" s="93">
        <f t="shared" si="1"/>
        <v>13</v>
      </c>
      <c r="Q21" s="1">
        <f t="shared" si="2"/>
        <v>5856</v>
      </c>
      <c r="R21" s="1" t="e">
        <f t="shared" si="3"/>
        <v>#N/A</v>
      </c>
      <c r="S21" s="1" t="e">
        <f t="shared" si="4"/>
        <v>#N/A</v>
      </c>
      <c r="X21" s="63">
        <f t="shared" si="5"/>
        <v>7866</v>
      </c>
      <c r="Y21" s="63">
        <f t="shared" si="6"/>
        <v>11000</v>
      </c>
    </row>
    <row r="22" spans="1:25" x14ac:dyDescent="0.3">
      <c r="A22" s="412">
        <v>46158</v>
      </c>
      <c r="B22" s="414">
        <f>IF(D22&gt;0,COUNTIF($D$9:D22,"&gt;0"),"")</f>
        <v>14</v>
      </c>
      <c r="C22" s="888">
        <f>'SEMANA MAIO'!$I$117</f>
        <v>7596</v>
      </c>
      <c r="D22" s="888">
        <f>IF(C22&gt;0,CONFIG!$B$3,0)</f>
        <v>11000</v>
      </c>
      <c r="E22" s="889">
        <f t="shared" si="0"/>
        <v>-3404</v>
      </c>
      <c r="F22" s="459" t="s">
        <v>512</v>
      </c>
      <c r="G22" s="424"/>
      <c r="H22" s="424"/>
      <c r="I22" s="424"/>
      <c r="J22" s="424"/>
      <c r="K22" s="424"/>
      <c r="L22" s="424"/>
      <c r="M22" s="424"/>
      <c r="N22" s="424"/>
      <c r="O22" s="424"/>
      <c r="P22" s="93">
        <f t="shared" si="1"/>
        <v>14</v>
      </c>
      <c r="Q22" s="1">
        <f t="shared" si="2"/>
        <v>7596</v>
      </c>
      <c r="R22" s="1" t="e">
        <f t="shared" si="3"/>
        <v>#N/A</v>
      </c>
      <c r="S22" s="1" t="e">
        <f t="shared" si="4"/>
        <v>#N/A</v>
      </c>
      <c r="X22" s="63">
        <f t="shared" si="5"/>
        <v>5856</v>
      </c>
      <c r="Y22" s="63">
        <f t="shared" si="6"/>
        <v>11000</v>
      </c>
    </row>
    <row r="23" spans="1:25" x14ac:dyDescent="0.3">
      <c r="A23" s="412">
        <v>46160</v>
      </c>
      <c r="B23" s="414">
        <f>IF(D23&gt;0,COUNTIF($D$9:D23,"&gt;0"),"")</f>
        <v>15</v>
      </c>
      <c r="C23" s="888">
        <f>'SEMANA MAIO'!$I$124+'SEMANA MAIO'!$I$125+'SEMANA MAIO'!$I$126+'SEMANA MAIO'!$I$127</f>
        <v>11580</v>
      </c>
      <c r="D23" s="888">
        <f>IF(C23&gt;0,CONFIG!$B$3,0)</f>
        <v>11000</v>
      </c>
      <c r="E23" s="889">
        <f t="shared" si="0"/>
        <v>580</v>
      </c>
      <c r="F23" s="458"/>
      <c r="G23" s="424"/>
      <c r="H23" s="424"/>
      <c r="I23" s="424"/>
      <c r="J23" s="424"/>
      <c r="K23" s="424"/>
      <c r="L23" s="424"/>
      <c r="M23" s="424"/>
      <c r="N23" s="424"/>
      <c r="O23" s="424"/>
      <c r="P23" s="93">
        <f t="shared" si="1"/>
        <v>15</v>
      </c>
      <c r="Q23" s="1" t="e">
        <f t="shared" si="2"/>
        <v>#N/A</v>
      </c>
      <c r="R23" s="1" t="e">
        <f t="shared" si="3"/>
        <v>#N/A</v>
      </c>
      <c r="S23" s="1">
        <f t="shared" si="4"/>
        <v>11580</v>
      </c>
      <c r="X23" s="63">
        <f t="shared" si="5"/>
        <v>7596</v>
      </c>
      <c r="Y23" s="63">
        <f t="shared" si="6"/>
        <v>11000</v>
      </c>
    </row>
    <row r="24" spans="1:25" x14ac:dyDescent="0.3">
      <c r="A24" s="412">
        <v>46161</v>
      </c>
      <c r="B24" s="414">
        <f>IF(D24&gt;0,COUNTIF($D$9:D24,"&gt;0"),"")</f>
        <v>16</v>
      </c>
      <c r="C24" s="888">
        <f>'SEMANA MAIO'!$I$134+'SEMANA MAIO'!$I$135+'SEMANA MAIO'!$I$136</f>
        <v>15060</v>
      </c>
      <c r="D24" s="888">
        <f>IF(C24&gt;0,CONFIG!$B$3,0)</f>
        <v>11000</v>
      </c>
      <c r="E24" s="889">
        <f t="shared" si="0"/>
        <v>4060</v>
      </c>
      <c r="F24" s="458"/>
      <c r="G24" s="424"/>
      <c r="H24" s="424"/>
      <c r="I24" s="424"/>
      <c r="J24" s="424"/>
      <c r="K24" s="424"/>
      <c r="L24" s="424"/>
      <c r="M24" s="424"/>
      <c r="N24" s="424"/>
      <c r="O24" s="424"/>
      <c r="P24" s="93">
        <f t="shared" si="1"/>
        <v>16</v>
      </c>
      <c r="Q24" s="1" t="e">
        <f t="shared" si="2"/>
        <v>#N/A</v>
      </c>
      <c r="R24" s="1" t="e">
        <f t="shared" si="3"/>
        <v>#N/A</v>
      </c>
      <c r="S24" s="1">
        <f t="shared" si="4"/>
        <v>15060</v>
      </c>
      <c r="X24" s="63">
        <f t="shared" si="5"/>
        <v>11580</v>
      </c>
      <c r="Y24" s="63">
        <f t="shared" si="6"/>
        <v>11000</v>
      </c>
    </row>
    <row r="25" spans="1:25" x14ac:dyDescent="0.3">
      <c r="A25" s="412">
        <v>46162</v>
      </c>
      <c r="B25" s="414">
        <f>IF(D25&gt;0,COUNTIF($D$9:D25,"&gt;0"),"")</f>
        <v>17</v>
      </c>
      <c r="C25" s="888">
        <f>'SEMANA MAIO'!$I$142+'SEMANA MAIO'!$I$143+'SEMANA MAIO'!$I$144</f>
        <v>13524</v>
      </c>
      <c r="D25" s="888">
        <f>IF(C25&gt;0,CONFIG!$B$3,0)</f>
        <v>11000</v>
      </c>
      <c r="E25" s="889">
        <f t="shared" si="0"/>
        <v>2524</v>
      </c>
      <c r="F25" s="458" t="s">
        <v>975</v>
      </c>
      <c r="G25" s="424"/>
      <c r="H25" s="424"/>
      <c r="I25" s="424"/>
      <c r="J25" s="424"/>
      <c r="K25" s="424"/>
      <c r="L25" s="424"/>
      <c r="M25" s="424"/>
      <c r="N25" s="424"/>
      <c r="O25" s="424"/>
      <c r="P25" s="93">
        <f t="shared" si="1"/>
        <v>17</v>
      </c>
      <c r="Q25" s="1" t="e">
        <f t="shared" si="2"/>
        <v>#N/A</v>
      </c>
      <c r="R25" s="1" t="e">
        <f t="shared" si="3"/>
        <v>#N/A</v>
      </c>
      <c r="S25" s="1">
        <f t="shared" si="4"/>
        <v>13524</v>
      </c>
      <c r="X25" s="63">
        <f t="shared" si="5"/>
        <v>15060</v>
      </c>
      <c r="Y25" s="63">
        <f t="shared" si="6"/>
        <v>11000</v>
      </c>
    </row>
    <row r="26" spans="1:25" x14ac:dyDescent="0.3">
      <c r="A26" s="412">
        <v>46163</v>
      </c>
      <c r="B26" s="414">
        <f>IF(D26&gt;0,COUNTIF($D$9:D26,"&gt;0"),"")</f>
        <v>18</v>
      </c>
      <c r="C26" s="888">
        <f>'SEMANA MAIO'!$I$150+'SEMANA MAIO'!$I$151</f>
        <v>18852</v>
      </c>
      <c r="D26" s="888">
        <f>IF(C26&gt;0,CONFIG!$B$3,0)</f>
        <v>11000</v>
      </c>
      <c r="E26" s="889">
        <f t="shared" si="0"/>
        <v>7852</v>
      </c>
      <c r="F26" s="458"/>
      <c r="G26" s="424"/>
      <c r="H26" s="424"/>
      <c r="I26" s="424"/>
      <c r="J26" s="424"/>
      <c r="K26" s="424"/>
      <c r="L26" s="424"/>
      <c r="M26" s="424"/>
      <c r="N26" s="424"/>
      <c r="O26" s="424"/>
      <c r="P26" s="93">
        <f t="shared" si="1"/>
        <v>18</v>
      </c>
      <c r="Q26" s="1" t="e">
        <f t="shared" si="2"/>
        <v>#N/A</v>
      </c>
      <c r="R26" s="1" t="e">
        <f t="shared" si="3"/>
        <v>#N/A</v>
      </c>
      <c r="S26" s="1">
        <f t="shared" si="4"/>
        <v>18852</v>
      </c>
      <c r="X26" s="63">
        <f t="shared" si="5"/>
        <v>13524</v>
      </c>
      <c r="Y26" s="63">
        <f t="shared" si="6"/>
        <v>11000</v>
      </c>
    </row>
    <row r="27" spans="1:25" x14ac:dyDescent="0.3">
      <c r="A27" s="412">
        <v>46164</v>
      </c>
      <c r="B27" s="414">
        <f>IF(D27&gt;0,COUNTIF($D$9:D27,"&gt;0"),"")</f>
        <v>19</v>
      </c>
      <c r="C27" s="888">
        <f>'SEMANA MAIO'!$I$158</f>
        <v>6324</v>
      </c>
      <c r="D27" s="888">
        <f>IF(C27&gt;0,CONFIG!$B$3,0)</f>
        <v>11000</v>
      </c>
      <c r="E27" s="889">
        <f t="shared" si="0"/>
        <v>-4676</v>
      </c>
      <c r="F27" s="458" t="s">
        <v>602</v>
      </c>
      <c r="G27" s="424"/>
      <c r="H27" s="424"/>
      <c r="I27" s="424"/>
      <c r="J27" s="424"/>
      <c r="K27" s="424"/>
      <c r="L27" s="424"/>
      <c r="M27" s="424"/>
      <c r="N27" s="424"/>
      <c r="O27" s="424"/>
      <c r="P27" s="93">
        <f t="shared" si="1"/>
        <v>19</v>
      </c>
      <c r="Q27" s="1">
        <f t="shared" si="2"/>
        <v>6324</v>
      </c>
      <c r="R27" s="1" t="e">
        <f t="shared" si="3"/>
        <v>#N/A</v>
      </c>
      <c r="S27" s="1" t="e">
        <f t="shared" si="4"/>
        <v>#N/A</v>
      </c>
      <c r="X27" s="63">
        <f t="shared" si="5"/>
        <v>18852</v>
      </c>
      <c r="Y27" s="63">
        <f t="shared" si="6"/>
        <v>11000</v>
      </c>
    </row>
    <row r="28" spans="1:25" x14ac:dyDescent="0.3">
      <c r="A28" s="412">
        <v>46165</v>
      </c>
      <c r="B28" s="414">
        <f>IF(D28&gt;0,COUNTIF($D$9:D28,"&gt;0"),"")</f>
        <v>20</v>
      </c>
      <c r="C28" s="888">
        <f>'SEMANA MAIO'!$I$167</f>
        <v>10500</v>
      </c>
      <c r="D28" s="888">
        <f>IF(C28&gt;0,CONFIG!$B$3,0)</f>
        <v>11000</v>
      </c>
      <c r="E28" s="889">
        <f t="shared" si="0"/>
        <v>-500</v>
      </c>
      <c r="F28" s="459" t="s">
        <v>512</v>
      </c>
      <c r="G28" s="424"/>
      <c r="H28" s="424"/>
      <c r="I28" s="424"/>
      <c r="J28" s="424"/>
      <c r="K28" s="424"/>
      <c r="L28" s="424"/>
      <c r="M28" s="424"/>
      <c r="N28" s="424"/>
      <c r="O28" s="424"/>
      <c r="P28" s="93">
        <f t="shared" si="1"/>
        <v>20</v>
      </c>
      <c r="Q28" s="1">
        <f t="shared" si="2"/>
        <v>10500</v>
      </c>
      <c r="R28" s="1" t="e">
        <f t="shared" si="3"/>
        <v>#N/A</v>
      </c>
      <c r="S28" s="1" t="e">
        <f t="shared" si="4"/>
        <v>#N/A</v>
      </c>
      <c r="X28" s="63">
        <f t="shared" si="5"/>
        <v>6324</v>
      </c>
      <c r="Y28" s="63">
        <f t="shared" si="6"/>
        <v>11000</v>
      </c>
    </row>
    <row r="29" spans="1:25" ht="27.6" x14ac:dyDescent="0.3">
      <c r="A29" s="412">
        <v>46167</v>
      </c>
      <c r="B29" s="414">
        <f>IF(D29&gt;0,COUNTIF($D$9:D29,"&gt;0"),"")</f>
        <v>21</v>
      </c>
      <c r="C29" s="888">
        <f>'SEMANA MAIO'!$I$175+'SEMANA MAIO'!$I$176+'SEMANA MAIO'!$I$177</f>
        <v>13296</v>
      </c>
      <c r="D29" s="888">
        <f>IF(C29&gt;0,CONFIG!$B$3,0)</f>
        <v>11000</v>
      </c>
      <c r="E29" s="889">
        <f t="shared" si="0"/>
        <v>2296</v>
      </c>
      <c r="F29" s="458" t="s">
        <v>994</v>
      </c>
      <c r="G29" s="424"/>
      <c r="H29" s="424"/>
      <c r="I29" s="424"/>
      <c r="J29" s="424"/>
      <c r="K29" s="424"/>
      <c r="L29" s="424"/>
      <c r="M29" s="424"/>
      <c r="N29" s="424"/>
      <c r="O29" s="424"/>
      <c r="P29" s="93">
        <f t="shared" si="1"/>
        <v>21</v>
      </c>
      <c r="Q29" s="1" t="e">
        <f t="shared" si="2"/>
        <v>#N/A</v>
      </c>
      <c r="R29" s="1" t="e">
        <f t="shared" si="3"/>
        <v>#N/A</v>
      </c>
      <c r="S29" s="1">
        <f t="shared" si="4"/>
        <v>13296</v>
      </c>
      <c r="X29" s="63">
        <f t="shared" si="5"/>
        <v>10500</v>
      </c>
      <c r="Y29" s="63">
        <f t="shared" si="6"/>
        <v>11000</v>
      </c>
    </row>
    <row r="30" spans="1:25" x14ac:dyDescent="0.3">
      <c r="A30" s="412">
        <v>46168</v>
      </c>
      <c r="B30" s="414">
        <f>IF(D30&gt;0,COUNTIF($D$9:D30,"&gt;0"),"")</f>
        <v>22</v>
      </c>
      <c r="C30" s="888">
        <f>'SEMANA MAIO'!$I$183+'SEMANA MAIO'!$I$184+'SEMANA MAIO'!$I$185</f>
        <v>9060</v>
      </c>
      <c r="D30" s="888">
        <f>IF(C30&gt;0,CONFIG!$B$3,0)</f>
        <v>11000</v>
      </c>
      <c r="E30" s="889">
        <f t="shared" si="0"/>
        <v>-1940</v>
      </c>
      <c r="F30" s="458" t="s">
        <v>1000</v>
      </c>
      <c r="G30" s="424"/>
      <c r="H30" s="424"/>
      <c r="I30" s="424"/>
      <c r="J30" s="424"/>
      <c r="K30" s="424"/>
      <c r="L30" s="424"/>
      <c r="M30" s="424"/>
      <c r="N30" s="424"/>
      <c r="O30" s="424"/>
      <c r="P30" s="93">
        <f t="shared" si="1"/>
        <v>22</v>
      </c>
      <c r="Q30" s="1">
        <f t="shared" si="2"/>
        <v>9060</v>
      </c>
      <c r="R30" s="1" t="e">
        <f t="shared" si="3"/>
        <v>#N/A</v>
      </c>
      <c r="S30" s="1" t="e">
        <f t="shared" si="4"/>
        <v>#N/A</v>
      </c>
      <c r="X30" s="63">
        <f t="shared" si="5"/>
        <v>13296</v>
      </c>
      <c r="Y30" s="63">
        <f t="shared" si="6"/>
        <v>11000</v>
      </c>
    </row>
    <row r="31" spans="1:25" ht="27.6" x14ac:dyDescent="0.3">
      <c r="A31" s="412">
        <v>46169</v>
      </c>
      <c r="B31" s="455">
        <f>IF(D31&gt;0,COUNTIF($D$9:D31,"&gt;0"),"")</f>
        <v>23</v>
      </c>
      <c r="C31" s="882">
        <f>'SEMANA MAIO'!$I$193+'SEMANA MAIO'!$I$194</f>
        <v>8640</v>
      </c>
      <c r="D31" s="882">
        <f>IF(C31&gt;0,CONFIG!$B$3,0)</f>
        <v>11000</v>
      </c>
      <c r="E31" s="892">
        <f t="shared" si="0"/>
        <v>-2360</v>
      </c>
      <c r="F31" s="458" t="s">
        <v>1009</v>
      </c>
      <c r="G31" s="424"/>
      <c r="H31" s="424"/>
      <c r="I31" s="424"/>
      <c r="J31" s="424"/>
      <c r="K31" s="424"/>
      <c r="L31" s="424"/>
      <c r="M31" s="424"/>
      <c r="N31" s="424"/>
      <c r="O31" s="424"/>
      <c r="P31" s="93">
        <f t="shared" si="1"/>
        <v>23</v>
      </c>
      <c r="Q31" s="1">
        <f t="shared" si="2"/>
        <v>8640</v>
      </c>
      <c r="R31" s="1" t="e">
        <f t="shared" si="3"/>
        <v>#N/A</v>
      </c>
      <c r="S31" s="1" t="e">
        <f t="shared" si="4"/>
        <v>#N/A</v>
      </c>
    </row>
    <row r="32" spans="1:25" ht="27.6" x14ac:dyDescent="0.3">
      <c r="A32" s="412">
        <v>46170</v>
      </c>
      <c r="B32" s="414">
        <f>IF(D32&gt;0,COUNTIF($D$9:D32,"&gt;0"),"")</f>
        <v>24</v>
      </c>
      <c r="C32" s="888">
        <f>'SEMANA MAIO'!$I$202+'SEMANA MAIO'!$I$203</f>
        <v>17244</v>
      </c>
      <c r="D32" s="888">
        <f>IF(C32&gt;0,CONFIG!$B$3,0)</f>
        <v>11000</v>
      </c>
      <c r="E32" s="889">
        <f t="shared" si="0"/>
        <v>6244</v>
      </c>
      <c r="F32" s="458" t="s">
        <v>1012</v>
      </c>
      <c r="G32" s="424"/>
      <c r="H32" s="424"/>
      <c r="I32" s="424"/>
      <c r="J32" s="424"/>
      <c r="K32" s="424"/>
      <c r="L32" s="424"/>
      <c r="M32" s="424"/>
      <c r="N32" s="424"/>
      <c r="O32" s="424"/>
      <c r="P32" s="93">
        <f t="shared" si="1"/>
        <v>24</v>
      </c>
      <c r="Q32" s="1" t="e">
        <f t="shared" si="2"/>
        <v>#N/A</v>
      </c>
      <c r="R32" s="1" t="e">
        <f t="shared" si="3"/>
        <v>#N/A</v>
      </c>
      <c r="S32" s="1">
        <f t="shared" si="4"/>
        <v>17244</v>
      </c>
    </row>
    <row r="33" spans="1:19" x14ac:dyDescent="0.3">
      <c r="A33" s="412">
        <v>46171</v>
      </c>
      <c r="B33" s="414">
        <f>IF(D33&gt;0,COUNTIF($D$9:D33,"&gt;0"),"")</f>
        <v>25</v>
      </c>
      <c r="C33" s="888">
        <f>'SEMANA MAIO'!$I$210+'SEMANA MAIO'!$I$211</f>
        <v>9084</v>
      </c>
      <c r="D33" s="888">
        <f>IF(C33&gt;0,CONFIG!$B$3,0)</f>
        <v>11000</v>
      </c>
      <c r="E33" s="889">
        <f t="shared" si="0"/>
        <v>-1916</v>
      </c>
      <c r="F33" s="458" t="s">
        <v>606</v>
      </c>
      <c r="G33" s="424"/>
      <c r="H33" s="424"/>
      <c r="I33" s="424"/>
      <c r="J33" s="424"/>
      <c r="K33" s="424"/>
      <c r="L33" s="424"/>
      <c r="M33" s="424"/>
      <c r="N33" s="424"/>
      <c r="O33" s="424"/>
      <c r="P33" s="93">
        <f t="shared" si="1"/>
        <v>25</v>
      </c>
      <c r="Q33" s="1">
        <f t="shared" si="2"/>
        <v>9084</v>
      </c>
      <c r="R33" s="1" t="e">
        <f t="shared" si="3"/>
        <v>#N/A</v>
      </c>
      <c r="S33" s="1" t="e">
        <f t="shared" si="4"/>
        <v>#N/A</v>
      </c>
    </row>
    <row r="34" spans="1:19" x14ac:dyDescent="0.3">
      <c r="A34" s="412">
        <v>46172</v>
      </c>
      <c r="B34" s="414">
        <f>IF(D34&gt;0,COUNTIF($D$9:D34,"&gt;0"),"")</f>
        <v>26</v>
      </c>
      <c r="C34" s="888">
        <f>'SEMANA MAIO'!$I$219+'SEMANA MAIO'!$I$220</f>
        <v>6984</v>
      </c>
      <c r="D34" s="888">
        <f>IF(C34&gt;0,CONFIG!$B$3,0)</f>
        <v>11000</v>
      </c>
      <c r="E34" s="889">
        <f t="shared" si="0"/>
        <v>-4016</v>
      </c>
      <c r="F34" s="459" t="s">
        <v>512</v>
      </c>
      <c r="G34" s="424"/>
      <c r="H34" s="424"/>
      <c r="I34" s="424"/>
      <c r="J34" s="424"/>
      <c r="K34" s="424"/>
      <c r="L34" s="424"/>
      <c r="M34" s="424"/>
      <c r="N34" s="424"/>
      <c r="O34" s="424"/>
      <c r="P34" s="93">
        <f t="shared" si="1"/>
        <v>26</v>
      </c>
      <c r="Q34" s="1">
        <f t="shared" si="2"/>
        <v>6984</v>
      </c>
      <c r="R34" s="1" t="e">
        <f t="shared" si="3"/>
        <v>#N/A</v>
      </c>
      <c r="S34" s="1" t="e">
        <f t="shared" si="4"/>
        <v>#N/A</v>
      </c>
    </row>
    <row r="35" spans="1:19" ht="14.25" customHeight="1" x14ac:dyDescent="0.3"/>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177" priority="1" operator="greaterThan">
      <formula>0</formula>
    </cfRule>
    <cfRule type="cellIs" dxfId="176" priority="2" operator="lessThan">
      <formula>0</formula>
    </cfRule>
    <cfRule type="cellIs" dxfId="175"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00DA-6B59-49CE-A3F3-12DD76C668B9}">
  <sheetPr>
    <tabColor rgb="FF0F766E"/>
  </sheetPr>
  <dimension ref="A1:Y59"/>
  <sheetViews>
    <sheetView showGridLines="0" zoomScale="90" zoomScaleNormal="90" workbookViewId="0">
      <selection activeCell="L31" sqref="L31"/>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599</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SUM(C9:C34)</f>
        <v>277080</v>
      </c>
      <c r="C4" s="424"/>
      <c r="D4" s="435">
        <f>SUM(D9:D34)</f>
        <v>286000</v>
      </c>
      <c r="E4" s="424"/>
      <c r="F4" s="435">
        <f>IFERROR(SUM(C9:C34)/COUNTIF(C9:C34,"&gt;0"),0)</f>
        <v>10656.923076923076</v>
      </c>
      <c r="G4" s="424"/>
      <c r="H4" s="435">
        <f>IFERROR(MAX(C9:C34),0)</f>
        <v>18852</v>
      </c>
      <c r="I4" s="424"/>
      <c r="J4" s="436">
        <f>IFERROR(B4/D4,0)</f>
        <v>0.96881118881118877</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W8" s="123" t="s">
        <v>984</v>
      </c>
      <c r="X8" s="1" t="s">
        <v>219</v>
      </c>
      <c r="Y8" s="1" t="s">
        <v>220</v>
      </c>
    </row>
    <row r="9" spans="1:25" x14ac:dyDescent="0.3">
      <c r="A9" s="412">
        <v>46143</v>
      </c>
      <c r="B9" s="414">
        <f>IF(D9&gt;0,COUNTIF($D$9:D9,"&gt;0"),"")</f>
        <v>1</v>
      </c>
      <c r="C9" s="415">
        <f>'SEMANA MAIO'!$I$4+'SEMANA MAIO'!$I$5+'SEMANA MAIO'!$I$6</f>
        <v>11634</v>
      </c>
      <c r="D9" s="415">
        <f>IF(C9&gt;0,CONFIG!$B$3,0)</f>
        <v>11000</v>
      </c>
      <c r="E9" s="440">
        <f t="shared" ref="E9:E34" si="0">IF(C9&gt;0,C9-D9,0)</f>
        <v>634</v>
      </c>
      <c r="F9" s="459" t="s">
        <v>600</v>
      </c>
      <c r="G9" s="424"/>
      <c r="H9" s="424"/>
      <c r="I9" s="424"/>
      <c r="J9" s="424"/>
      <c r="K9" s="424"/>
      <c r="L9" s="424"/>
      <c r="M9" s="424"/>
      <c r="N9" s="424"/>
      <c r="O9" s="424"/>
      <c r="P9" s="93">
        <f>'GRAFICO ABRIL'!T9</f>
        <v>1</v>
      </c>
      <c r="Q9" s="1" t="e">
        <f>'GRAFICO ABRIL'!U9</f>
        <v>#N/A</v>
      </c>
      <c r="R9" s="1" t="e">
        <f>'GRAFICO ABRIL'!V9</f>
        <v>#N/A</v>
      </c>
      <c r="S9" s="1">
        <f>'GRAFICO ABRIL'!W9</f>
        <v>13872</v>
      </c>
      <c r="W9" s="1" t="str">
        <f>TEXT(A9,"dd/mm")&amp;" "&amp;TEXT(A9,"[$-pt-BR]ddd")</f>
        <v>01/05 sex</v>
      </c>
      <c r="X9" s="1" t="e">
        <f>IF(COUNTIF($F9,"*Feriado*")&gt;0,NA(),$C9)</f>
        <v>#N/A</v>
      </c>
      <c r="Y9" s="1" t="e">
        <f>IF(COUNTIF($F9,"*Feriado*")&gt;0,NA(),$D9)</f>
        <v>#N/A</v>
      </c>
    </row>
    <row r="10" spans="1:25" x14ac:dyDescent="0.3">
      <c r="A10" s="412">
        <v>46144</v>
      </c>
      <c r="B10" s="414">
        <f>IF(D10&gt;0,COUNTIF($D$9:D10,"&gt;0"),"")</f>
        <v>2</v>
      </c>
      <c r="C10" s="415">
        <f>'SEMANA MAIO'!$I$13+'SEMANA MAIO'!$I$14</f>
        <v>12324</v>
      </c>
      <c r="D10" s="415">
        <f>IF(C10&gt;0,CONFIG!$B$3,0)</f>
        <v>11000</v>
      </c>
      <c r="E10" s="440">
        <f t="shared" si="0"/>
        <v>1324</v>
      </c>
      <c r="F10" s="459" t="s">
        <v>512</v>
      </c>
      <c r="G10" s="424"/>
      <c r="H10" s="424"/>
      <c r="I10" s="424"/>
      <c r="J10" s="424"/>
      <c r="K10" s="424"/>
      <c r="L10" s="424"/>
      <c r="M10" s="424"/>
      <c r="N10" s="424"/>
      <c r="O10" s="424"/>
      <c r="P10" s="93">
        <f>'GRAFICO ABRIL'!T10</f>
        <v>2</v>
      </c>
      <c r="Q10" s="1" t="e">
        <f>'GRAFICO ABRIL'!U10</f>
        <v>#N/A</v>
      </c>
      <c r="R10" s="1" t="e">
        <f>'GRAFICO ABRIL'!V10</f>
        <v>#N/A</v>
      </c>
      <c r="S10" s="1">
        <f>'GRAFICO ABRIL'!W10</f>
        <v>12600</v>
      </c>
    </row>
    <row r="11" spans="1:25" x14ac:dyDescent="0.3">
      <c r="A11" s="412">
        <v>46146</v>
      </c>
      <c r="B11" s="414">
        <f>IF(D11&gt;0,COUNTIF($D$9:D11,"&gt;0"),"")</f>
        <v>3</v>
      </c>
      <c r="C11" s="415">
        <f>'SEMANA MAIO'!$I$21</f>
        <v>17748</v>
      </c>
      <c r="D11" s="415">
        <f>IF(C11&gt;0,CONFIG!$B$3,0)</f>
        <v>11000</v>
      </c>
      <c r="E11" s="440">
        <f t="shared" si="0"/>
        <v>6748</v>
      </c>
      <c r="F11" s="458"/>
      <c r="G11" s="424"/>
      <c r="H11" s="424"/>
      <c r="I11" s="424"/>
      <c r="J11" s="424"/>
      <c r="K11" s="424"/>
      <c r="L11" s="424"/>
      <c r="M11" s="424"/>
      <c r="N11" s="424"/>
      <c r="O11" s="424"/>
      <c r="P11" s="93">
        <f>'GRAFICO ABRIL'!T11</f>
        <v>3</v>
      </c>
      <c r="Q11" s="1" t="e">
        <f>'GRAFICO ABRIL'!U11</f>
        <v>#N/A</v>
      </c>
      <c r="R11" s="1" t="e">
        <f>'GRAFICO ABRIL'!V11</f>
        <v>#N/A</v>
      </c>
      <c r="S11" s="1">
        <f>'GRAFICO ABRIL'!W11</f>
        <v>12780</v>
      </c>
      <c r="X11" s="63">
        <f t="shared" ref="X11:X30" si="1">IF(COUNTIF($F10,"*Feriado*")&gt;0,NA(),$C10)</f>
        <v>12324</v>
      </c>
      <c r="Y11" s="63">
        <f t="shared" ref="Y11:Y30" si="2">IF(COUNTIF($F10,"*Feriado*")&gt;0,NA(),$D10)</f>
        <v>11000</v>
      </c>
    </row>
    <row r="12" spans="1:25" x14ac:dyDescent="0.3">
      <c r="A12" s="412">
        <v>46147</v>
      </c>
      <c r="B12" s="414">
        <f>IF(D12&gt;0,COUNTIF($D$9:D12,"&gt;0"),"")</f>
        <v>4</v>
      </c>
      <c r="C12" s="415">
        <f>'SEMANA MAIO'!$I$29+'SEMANA MAIO'!$I$30+'SEMANA MAIO'!$I$31+'SEMANA MAIO'!$I$32+'SEMANA MAIO'!$I$33</f>
        <v>8640</v>
      </c>
      <c r="D12" s="415">
        <f>IF(C12&gt;0,CONFIG!$B$3,0)</f>
        <v>11000</v>
      </c>
      <c r="E12" s="440">
        <f t="shared" si="0"/>
        <v>-2360</v>
      </c>
      <c r="F12" s="458" t="s">
        <v>601</v>
      </c>
      <c r="G12" s="424"/>
      <c r="H12" s="424"/>
      <c r="I12" s="424"/>
      <c r="J12" s="424"/>
      <c r="K12" s="424"/>
      <c r="L12" s="424"/>
      <c r="M12" s="424"/>
      <c r="N12" s="424"/>
      <c r="O12" s="424"/>
      <c r="P12" s="93">
        <f>'GRAFICO ABRIL'!T12</f>
        <v>4</v>
      </c>
      <c r="Q12" s="1" t="e">
        <f>'GRAFICO ABRIL'!U12</f>
        <v>#N/A</v>
      </c>
      <c r="R12" s="1" t="e">
        <f>'GRAFICO ABRIL'!V12</f>
        <v>#N/A</v>
      </c>
      <c r="S12" s="1">
        <f>'GRAFICO ABRIL'!W12</f>
        <v>11046</v>
      </c>
      <c r="X12" s="63">
        <f t="shared" si="1"/>
        <v>17748</v>
      </c>
      <c r="Y12" s="63">
        <f t="shared" si="2"/>
        <v>11000</v>
      </c>
    </row>
    <row r="13" spans="1:25" x14ac:dyDescent="0.3">
      <c r="A13" s="412">
        <v>46148</v>
      </c>
      <c r="B13" s="414">
        <f>IF(D13&gt;0,COUNTIF($D$9:D13,"&gt;0"),"")</f>
        <v>5</v>
      </c>
      <c r="C13" s="415">
        <f>'SEMANA MAIO'!$I$38+'SEMANA MAIO'!$I$39+'SEMANA MAIO'!$I$40+'SEMANA MAIO'!$I$41+'SEMANA MAIO'!$I$42+'SEMANA MAIO'!$I$43+'SEMANA MAIO'!$I$44+'SEMANA MAIO'!$I$45</f>
        <v>12558</v>
      </c>
      <c r="D13" s="415">
        <f>IF(C13&gt;0,CONFIG!$B$3,0)</f>
        <v>11000</v>
      </c>
      <c r="E13" s="440">
        <f t="shared" si="0"/>
        <v>1558</v>
      </c>
      <c r="F13" s="458"/>
      <c r="G13" s="424"/>
      <c r="H13" s="424"/>
      <c r="I13" s="424"/>
      <c r="J13" s="424"/>
      <c r="K13" s="424"/>
      <c r="L13" s="424"/>
      <c r="M13" s="424"/>
      <c r="N13" s="424"/>
      <c r="O13" s="424"/>
      <c r="P13" s="93">
        <f>'GRAFICO ABRIL'!T13</f>
        <v>5</v>
      </c>
      <c r="Q13" s="1" t="e">
        <f>'GRAFICO ABRIL'!U13</f>
        <v>#N/A</v>
      </c>
      <c r="R13" s="1" t="e">
        <f>'GRAFICO ABRIL'!V13</f>
        <v>#N/A</v>
      </c>
      <c r="S13" s="1">
        <f>'GRAFICO ABRIL'!W13</f>
        <v>18036</v>
      </c>
      <c r="X13" s="63">
        <f t="shared" si="1"/>
        <v>8640</v>
      </c>
      <c r="Y13" s="63">
        <f t="shared" si="2"/>
        <v>11000</v>
      </c>
    </row>
    <row r="14" spans="1:25" x14ac:dyDescent="0.3">
      <c r="A14" s="412">
        <v>46149</v>
      </c>
      <c r="B14" s="414">
        <f>IF(D14&gt;0,COUNTIF($D$9:D14,"&gt;0"),"")</f>
        <v>6</v>
      </c>
      <c r="C14" s="415">
        <f>'SEMANA MAIO'!$I$50+'SEMANA MAIO'!$I$51+'SEMANA MAIO'!$I$52+'SEMANA MAIO'!$I$53+'SEMANA MAIO'!$I$54+'SEMANA MAIO'!$I$55</f>
        <v>13044</v>
      </c>
      <c r="D14" s="415">
        <f>IF(C14&gt;0,CONFIG!$B$3,0)</f>
        <v>11000</v>
      </c>
      <c r="E14" s="440">
        <f t="shared" si="0"/>
        <v>2044</v>
      </c>
      <c r="F14" s="458"/>
      <c r="G14" s="424"/>
      <c r="H14" s="424"/>
      <c r="I14" s="424"/>
      <c r="J14" s="424"/>
      <c r="K14" s="424"/>
      <c r="L14" s="424"/>
      <c r="M14" s="424"/>
      <c r="N14" s="424"/>
      <c r="O14" s="424"/>
      <c r="P14" s="93">
        <f>'GRAFICO ABRIL'!T14</f>
        <v>6</v>
      </c>
      <c r="Q14" s="1" t="e">
        <f>'GRAFICO ABRIL'!U14</f>
        <v>#N/A</v>
      </c>
      <c r="R14" s="1" t="e">
        <f>'GRAFICO ABRIL'!V14</f>
        <v>#N/A</v>
      </c>
      <c r="S14" s="1">
        <f>'GRAFICO ABRIL'!W14</f>
        <v>12060</v>
      </c>
      <c r="X14" s="63">
        <f t="shared" si="1"/>
        <v>12558</v>
      </c>
      <c r="Y14" s="63">
        <f t="shared" si="2"/>
        <v>11000</v>
      </c>
    </row>
    <row r="15" spans="1:25" x14ac:dyDescent="0.3">
      <c r="A15" s="412">
        <v>46150</v>
      </c>
      <c r="B15" s="414">
        <f>IF(D15&gt;0,COUNTIF($D$9:D15,"&gt;0"),"")</f>
        <v>7</v>
      </c>
      <c r="C15" s="415">
        <f>'SEMANA MAIO'!$I$60</f>
        <v>6372</v>
      </c>
      <c r="D15" s="415">
        <f>IF(C15&gt;0,CONFIG!$B$3,0)</f>
        <v>11000</v>
      </c>
      <c r="E15" s="440">
        <f t="shared" si="0"/>
        <v>-4628</v>
      </c>
      <c r="F15" s="458" t="s">
        <v>602</v>
      </c>
      <c r="G15" s="424"/>
      <c r="H15" s="424"/>
      <c r="I15" s="424"/>
      <c r="J15" s="424"/>
      <c r="K15" s="424"/>
      <c r="L15" s="424"/>
      <c r="M15" s="424"/>
      <c r="N15" s="424"/>
      <c r="O15" s="424"/>
      <c r="P15" s="93">
        <f>'GRAFICO ABRIL'!T15</f>
        <v>7</v>
      </c>
      <c r="Q15" s="1">
        <f>'GRAFICO ABRIL'!U15</f>
        <v>6720</v>
      </c>
      <c r="R15" s="1" t="e">
        <f>'GRAFICO ABRIL'!V15</f>
        <v>#N/A</v>
      </c>
      <c r="S15" s="1" t="e">
        <f>'GRAFICO ABRIL'!W15</f>
        <v>#N/A</v>
      </c>
      <c r="X15" s="63">
        <f t="shared" si="1"/>
        <v>13044</v>
      </c>
      <c r="Y15" s="63">
        <f t="shared" si="2"/>
        <v>11000</v>
      </c>
    </row>
    <row r="16" spans="1:25" x14ac:dyDescent="0.3">
      <c r="A16" s="412">
        <v>46151</v>
      </c>
      <c r="B16" s="414">
        <f>IF(D16&gt;0,COUNTIF($D$9:D16,"&gt;0"),"")</f>
        <v>8</v>
      </c>
      <c r="C16" s="415">
        <f>'SEMANA MAIO'!$I$68+'SEMANA MAIO'!$I$69</f>
        <v>8136</v>
      </c>
      <c r="D16" s="415">
        <f>IF(C16&gt;0,CONFIG!$B$3,0)</f>
        <v>11000</v>
      </c>
      <c r="E16" s="440">
        <f t="shared" si="0"/>
        <v>-2864</v>
      </c>
      <c r="F16" s="459" t="s">
        <v>512</v>
      </c>
      <c r="G16" s="424"/>
      <c r="H16" s="424"/>
      <c r="I16" s="424"/>
      <c r="J16" s="424"/>
      <c r="K16" s="424"/>
      <c r="L16" s="424"/>
      <c r="M16" s="424"/>
      <c r="N16" s="424"/>
      <c r="O16" s="424"/>
      <c r="P16" s="93">
        <f>'GRAFICO ABRIL'!T16</f>
        <v>8</v>
      </c>
      <c r="Q16" s="1" t="e">
        <f>'GRAFICO ABRIL'!U16</f>
        <v>#N/A</v>
      </c>
      <c r="R16" s="1" t="e">
        <f>'GRAFICO ABRIL'!V16</f>
        <v>#N/A</v>
      </c>
      <c r="S16" s="1">
        <f>'GRAFICO ABRIL'!W16</f>
        <v>11916</v>
      </c>
      <c r="X16" s="63">
        <f t="shared" si="1"/>
        <v>6372</v>
      </c>
      <c r="Y16" s="63">
        <f t="shared" si="2"/>
        <v>11000</v>
      </c>
    </row>
    <row r="17" spans="1:25" x14ac:dyDescent="0.3">
      <c r="A17" s="412">
        <v>46153</v>
      </c>
      <c r="B17" s="414">
        <f>IF(D17&gt;0,COUNTIF($D$9:D17,"&gt;0"),"")</f>
        <v>9</v>
      </c>
      <c r="C17" s="415">
        <f>'SEMANA MAIO'!$I$76+'SEMANA MAIO'!$I$77</f>
        <v>3396</v>
      </c>
      <c r="D17" s="415">
        <f>IF(C17&gt;0,CONFIG!$B$3,0)</f>
        <v>11000</v>
      </c>
      <c r="E17" s="440">
        <f t="shared" si="0"/>
        <v>-7604</v>
      </c>
      <c r="F17" s="458" t="s">
        <v>603</v>
      </c>
      <c r="G17" s="424"/>
      <c r="H17" s="424"/>
      <c r="I17" s="424"/>
      <c r="J17" s="424"/>
      <c r="K17" s="424"/>
      <c r="L17" s="424"/>
      <c r="M17" s="424"/>
      <c r="N17" s="424"/>
      <c r="O17" s="424"/>
      <c r="P17" s="93">
        <f>'GRAFICO ABRIL'!T17</f>
        <v>9</v>
      </c>
      <c r="Q17" s="1">
        <f>'GRAFICO ABRIL'!U17</f>
        <v>10242</v>
      </c>
      <c r="R17" s="1" t="e">
        <f>'GRAFICO ABRIL'!V17</f>
        <v>#N/A</v>
      </c>
      <c r="S17" s="1" t="e">
        <f>'GRAFICO ABRIL'!W17</f>
        <v>#N/A</v>
      </c>
      <c r="X17" s="63">
        <f t="shared" si="1"/>
        <v>8136</v>
      </c>
      <c r="Y17" s="63">
        <f t="shared" si="2"/>
        <v>11000</v>
      </c>
    </row>
    <row r="18" spans="1:25" x14ac:dyDescent="0.3">
      <c r="A18" s="412">
        <v>46154</v>
      </c>
      <c r="B18" s="414">
        <f>IF(D18&gt;0,COUNTIF($D$9:D18,"&gt;0"),"")</f>
        <v>10</v>
      </c>
      <c r="C18" s="415">
        <f>'SEMANA MAIO'!$I$85+'SEMANA MAIO'!$I$86</f>
        <v>10860</v>
      </c>
      <c r="D18" s="415">
        <f>IF(C18&gt;0,CONFIG!$B$3,0)</f>
        <v>11000</v>
      </c>
      <c r="E18" s="440">
        <f t="shared" si="0"/>
        <v>-140</v>
      </c>
      <c r="F18" s="458" t="s">
        <v>604</v>
      </c>
      <c r="G18" s="424"/>
      <c r="H18" s="424"/>
      <c r="I18" s="424"/>
      <c r="J18" s="424"/>
      <c r="K18" s="424"/>
      <c r="L18" s="424"/>
      <c r="M18" s="424"/>
      <c r="N18" s="424"/>
      <c r="O18" s="424"/>
      <c r="P18" s="93">
        <f>'GRAFICO ABRIL'!T18</f>
        <v>10</v>
      </c>
      <c r="Q18" s="1">
        <f>'GRAFICO ABRIL'!U18</f>
        <v>10668</v>
      </c>
      <c r="R18" s="1" t="e">
        <f>'GRAFICO ABRIL'!V18</f>
        <v>#N/A</v>
      </c>
      <c r="S18" s="1" t="e">
        <f>'GRAFICO ABRIL'!W18</f>
        <v>#N/A</v>
      </c>
      <c r="X18" s="63">
        <f t="shared" si="1"/>
        <v>3396</v>
      </c>
      <c r="Y18" s="63">
        <f t="shared" si="2"/>
        <v>11000</v>
      </c>
    </row>
    <row r="19" spans="1:25" x14ac:dyDescent="0.3">
      <c r="A19" s="412">
        <v>46155</v>
      </c>
      <c r="B19" s="414">
        <f>IF(D19&gt;0,COUNTIF($D$9:D19,"&gt;0"),"")</f>
        <v>11</v>
      </c>
      <c r="C19" s="415">
        <f>'SEMANA MAIO'!$I$93+'SEMANA MAIO'!$I$94</f>
        <v>10902</v>
      </c>
      <c r="D19" s="415">
        <f>IF(C19&gt;0,CONFIG!$B$3,0)</f>
        <v>11000</v>
      </c>
      <c r="E19" s="440">
        <f t="shared" si="0"/>
        <v>-98</v>
      </c>
      <c r="F19" s="458"/>
      <c r="G19" s="424"/>
      <c r="H19" s="424"/>
      <c r="I19" s="424"/>
      <c r="J19" s="424"/>
      <c r="K19" s="424"/>
      <c r="L19" s="424"/>
      <c r="M19" s="424"/>
      <c r="N19" s="424"/>
      <c r="O19" s="424"/>
      <c r="P19" s="93">
        <f>'GRAFICO ABRIL'!T19</f>
        <v>11</v>
      </c>
      <c r="Q19" s="1" t="e">
        <f>'GRAFICO ABRIL'!U19</f>
        <v>#N/A</v>
      </c>
      <c r="R19" s="1" t="e">
        <f>'GRAFICO ABRIL'!V19</f>
        <v>#N/A</v>
      </c>
      <c r="S19" s="1">
        <f>'GRAFICO ABRIL'!W19</f>
        <v>11964</v>
      </c>
      <c r="X19" s="63">
        <f t="shared" si="1"/>
        <v>10860</v>
      </c>
      <c r="Y19" s="63">
        <f t="shared" si="2"/>
        <v>11000</v>
      </c>
    </row>
    <row r="20" spans="1:25" x14ac:dyDescent="0.3">
      <c r="A20" s="412">
        <v>46156</v>
      </c>
      <c r="B20" s="414">
        <f>IF(D20&gt;0,COUNTIF($D$9:D20,"&gt;0"),"")</f>
        <v>12</v>
      </c>
      <c r="C20" s="415">
        <f>'SEMANA MAIO'!$I$101+'SEMANA MAIO'!$I$102</f>
        <v>7866</v>
      </c>
      <c r="D20" s="415">
        <f>IF(C20&gt;0,CONFIG!$B$3,0)</f>
        <v>11000</v>
      </c>
      <c r="E20" s="440">
        <f t="shared" si="0"/>
        <v>-3134</v>
      </c>
      <c r="F20" s="458" t="s">
        <v>605</v>
      </c>
      <c r="G20" s="424"/>
      <c r="H20" s="424"/>
      <c r="I20" s="424"/>
      <c r="J20" s="424"/>
      <c r="K20" s="424"/>
      <c r="L20" s="424"/>
      <c r="M20" s="424"/>
      <c r="N20" s="424"/>
      <c r="O20" s="424"/>
      <c r="P20" s="93">
        <f>'GRAFICO ABRIL'!T20</f>
        <v>12</v>
      </c>
      <c r="Q20" s="1">
        <f>'GRAFICO ABRIL'!U20</f>
        <v>7872</v>
      </c>
      <c r="R20" s="1" t="e">
        <f>'GRAFICO ABRIL'!V20</f>
        <v>#N/A</v>
      </c>
      <c r="S20" s="1" t="e">
        <f>'GRAFICO ABRIL'!W20</f>
        <v>#N/A</v>
      </c>
      <c r="X20" s="63">
        <f t="shared" si="1"/>
        <v>10902</v>
      </c>
      <c r="Y20" s="63">
        <f t="shared" si="2"/>
        <v>11000</v>
      </c>
    </row>
    <row r="21" spans="1:25" x14ac:dyDescent="0.3">
      <c r="A21" s="412">
        <v>46157</v>
      </c>
      <c r="B21" s="414">
        <f>IF(D21&gt;0,COUNTIF($D$9:D21,"&gt;0"),"")</f>
        <v>13</v>
      </c>
      <c r="C21" s="415">
        <f>'SEMANA MAIO'!$I$109+'SEMANA MAIO'!$I$110</f>
        <v>5856</v>
      </c>
      <c r="D21" s="415">
        <f>IF(C21&gt;0,CONFIG!$B$3,0)</f>
        <v>11000</v>
      </c>
      <c r="E21" s="440">
        <f t="shared" si="0"/>
        <v>-5144</v>
      </c>
      <c r="F21" s="458" t="s">
        <v>602</v>
      </c>
      <c r="G21" s="424"/>
      <c r="H21" s="424"/>
      <c r="I21" s="424"/>
      <c r="J21" s="424"/>
      <c r="K21" s="424"/>
      <c r="L21" s="424"/>
      <c r="M21" s="424"/>
      <c r="N21" s="424"/>
      <c r="O21" s="424"/>
      <c r="P21" s="93">
        <f>'GRAFICO ABRIL'!T21</f>
        <v>13</v>
      </c>
      <c r="Q21" s="1" t="e">
        <f>'GRAFICO ABRIL'!U21</f>
        <v>#N/A</v>
      </c>
      <c r="R21" s="1" t="e">
        <f>'GRAFICO ABRIL'!V21</f>
        <v>#N/A</v>
      </c>
      <c r="S21" s="1">
        <f>'GRAFICO ABRIL'!W21</f>
        <v>11112</v>
      </c>
      <c r="X21" s="63">
        <f t="shared" si="1"/>
        <v>7866</v>
      </c>
      <c r="Y21" s="63">
        <f t="shared" si="2"/>
        <v>11000</v>
      </c>
    </row>
    <row r="22" spans="1:25" x14ac:dyDescent="0.3">
      <c r="A22" s="412">
        <v>46158</v>
      </c>
      <c r="B22" s="414">
        <f>IF(D22&gt;0,COUNTIF($D$9:D22,"&gt;0"),"")</f>
        <v>14</v>
      </c>
      <c r="C22" s="415">
        <f>'SEMANA MAIO'!$I$117</f>
        <v>7596</v>
      </c>
      <c r="D22" s="415">
        <f>IF(C22&gt;0,CONFIG!$B$3,0)</f>
        <v>11000</v>
      </c>
      <c r="E22" s="440">
        <f t="shared" si="0"/>
        <v>-3404</v>
      </c>
      <c r="F22" s="459" t="s">
        <v>512</v>
      </c>
      <c r="G22" s="424"/>
      <c r="H22" s="424"/>
      <c r="I22" s="424"/>
      <c r="J22" s="424"/>
      <c r="K22" s="424"/>
      <c r="L22" s="424"/>
      <c r="M22" s="424"/>
      <c r="N22" s="424"/>
      <c r="O22" s="424"/>
      <c r="P22" s="93">
        <f>'GRAFICO ABRIL'!T22</f>
        <v>14</v>
      </c>
      <c r="Q22" s="1" t="e">
        <f>'GRAFICO ABRIL'!U22</f>
        <v>#N/A</v>
      </c>
      <c r="R22" s="1" t="e">
        <f>'GRAFICO ABRIL'!V22</f>
        <v>#N/A</v>
      </c>
      <c r="S22" s="1">
        <f>'GRAFICO ABRIL'!W22</f>
        <v>11976</v>
      </c>
      <c r="X22" s="63">
        <f t="shared" si="1"/>
        <v>5856</v>
      </c>
      <c r="Y22" s="63">
        <f t="shared" si="2"/>
        <v>11000</v>
      </c>
    </row>
    <row r="23" spans="1:25" x14ac:dyDescent="0.3">
      <c r="A23" s="412">
        <v>46160</v>
      </c>
      <c r="B23" s="414">
        <f>IF(D23&gt;0,COUNTIF($D$9:D23,"&gt;0"),"")</f>
        <v>15</v>
      </c>
      <c r="C23" s="415">
        <f>'SEMANA MAIO'!$I$124+'SEMANA MAIO'!$I$125+'SEMANA MAIO'!$I$126+'SEMANA MAIO'!$I$127</f>
        <v>11580</v>
      </c>
      <c r="D23" s="415">
        <f>IF(C23&gt;0,CONFIG!$B$3,0)</f>
        <v>11000</v>
      </c>
      <c r="E23" s="440">
        <f t="shared" si="0"/>
        <v>580</v>
      </c>
      <c r="F23" s="458"/>
      <c r="G23" s="424"/>
      <c r="H23" s="424"/>
      <c r="I23" s="424"/>
      <c r="J23" s="424"/>
      <c r="K23" s="424"/>
      <c r="L23" s="424"/>
      <c r="M23" s="424"/>
      <c r="N23" s="424"/>
      <c r="O23" s="424"/>
      <c r="P23" s="93">
        <f>'GRAFICO ABRIL'!T23</f>
        <v>15</v>
      </c>
      <c r="Q23" s="1">
        <f>'GRAFICO ABRIL'!U23</f>
        <v>8610</v>
      </c>
      <c r="R23" s="1" t="e">
        <f>'GRAFICO ABRIL'!V23</f>
        <v>#N/A</v>
      </c>
      <c r="S23" s="1" t="e">
        <f>'GRAFICO ABRIL'!W23</f>
        <v>#N/A</v>
      </c>
      <c r="X23" s="63">
        <f t="shared" si="1"/>
        <v>7596</v>
      </c>
      <c r="Y23" s="63">
        <f t="shared" si="2"/>
        <v>11000</v>
      </c>
    </row>
    <row r="24" spans="1:25" x14ac:dyDescent="0.3">
      <c r="A24" s="412">
        <v>46161</v>
      </c>
      <c r="B24" s="414">
        <f>IF(D24&gt;0,COUNTIF($D$9:D24,"&gt;0"),"")</f>
        <v>16</v>
      </c>
      <c r="C24" s="415">
        <f>'SEMANA MAIO'!$I$134+'SEMANA MAIO'!$I$135+'SEMANA MAIO'!$I$136</f>
        <v>15060</v>
      </c>
      <c r="D24" s="415">
        <f>IF(C24&gt;0,CONFIG!$B$3,0)</f>
        <v>11000</v>
      </c>
      <c r="E24" s="440">
        <f t="shared" si="0"/>
        <v>4060</v>
      </c>
      <c r="F24" s="458"/>
      <c r="G24" s="424"/>
      <c r="H24" s="424"/>
      <c r="I24" s="424"/>
      <c r="J24" s="424"/>
      <c r="K24" s="424"/>
      <c r="L24" s="424"/>
      <c r="M24" s="424"/>
      <c r="N24" s="424"/>
      <c r="O24" s="424"/>
      <c r="P24" s="93">
        <f>'GRAFICO ABRIL'!T24</f>
        <v>16</v>
      </c>
      <c r="Q24" s="1">
        <f>'GRAFICO ABRIL'!U24</f>
        <v>8370</v>
      </c>
      <c r="R24" s="1" t="e">
        <f>'GRAFICO ABRIL'!V24</f>
        <v>#N/A</v>
      </c>
      <c r="S24" s="1" t="e">
        <f>'GRAFICO ABRIL'!W24</f>
        <v>#N/A</v>
      </c>
      <c r="X24" s="63">
        <f t="shared" si="1"/>
        <v>11580</v>
      </c>
      <c r="Y24" s="63">
        <f t="shared" si="2"/>
        <v>11000</v>
      </c>
    </row>
    <row r="25" spans="1:25" x14ac:dyDescent="0.3">
      <c r="A25" s="412">
        <v>46162</v>
      </c>
      <c r="B25" s="414">
        <f>IF(D25&gt;0,COUNTIF($D$9:D25,"&gt;0"),"")</f>
        <v>17</v>
      </c>
      <c r="C25" s="415">
        <f>'SEMANA MAIO'!$I$142+'SEMANA MAIO'!$I$143+'SEMANA MAIO'!$I$144</f>
        <v>13524</v>
      </c>
      <c r="D25" s="415">
        <f>IF(C25&gt;0,CONFIG!$B$3,0)</f>
        <v>11000</v>
      </c>
      <c r="E25" s="440">
        <f t="shared" si="0"/>
        <v>2524</v>
      </c>
      <c r="F25" s="458" t="s">
        <v>975</v>
      </c>
      <c r="G25" s="424"/>
      <c r="H25" s="424"/>
      <c r="I25" s="424"/>
      <c r="J25" s="424"/>
      <c r="K25" s="424"/>
      <c r="L25" s="424"/>
      <c r="M25" s="424"/>
      <c r="N25" s="424"/>
      <c r="O25" s="424"/>
      <c r="P25" s="93">
        <f>'GRAFICO ABRIL'!T25</f>
        <v>17</v>
      </c>
      <c r="Q25" s="1">
        <f>'GRAFICO ABRIL'!U25</f>
        <v>10164</v>
      </c>
      <c r="R25" s="1" t="e">
        <f>'GRAFICO ABRIL'!V25</f>
        <v>#N/A</v>
      </c>
      <c r="S25" s="1" t="e">
        <f>'GRAFICO ABRIL'!W25</f>
        <v>#N/A</v>
      </c>
      <c r="X25" s="63">
        <f t="shared" si="1"/>
        <v>15060</v>
      </c>
      <c r="Y25" s="63">
        <f t="shared" si="2"/>
        <v>11000</v>
      </c>
    </row>
    <row r="26" spans="1:25" x14ac:dyDescent="0.3">
      <c r="A26" s="412">
        <v>46163</v>
      </c>
      <c r="B26" s="414">
        <f>IF(D26&gt;0,COUNTIF($D$9:D26,"&gt;0"),"")</f>
        <v>18</v>
      </c>
      <c r="C26" s="415">
        <f>'SEMANA MAIO'!$I$150+'SEMANA MAIO'!$I$151</f>
        <v>18852</v>
      </c>
      <c r="D26" s="415">
        <f>IF(C26&gt;0,CONFIG!$B$3,0)</f>
        <v>11000</v>
      </c>
      <c r="E26" s="440">
        <f t="shared" si="0"/>
        <v>7852</v>
      </c>
      <c r="F26" s="458"/>
      <c r="G26" s="424"/>
      <c r="H26" s="424"/>
      <c r="I26" s="424"/>
      <c r="J26" s="424"/>
      <c r="K26" s="424"/>
      <c r="L26" s="424"/>
      <c r="M26" s="424"/>
      <c r="N26" s="424"/>
      <c r="O26" s="424"/>
      <c r="P26" s="93">
        <f>'GRAFICO ABRIL'!T26</f>
        <v>18</v>
      </c>
      <c r="Q26" s="1" t="e">
        <f>'GRAFICO ABRIL'!U26</f>
        <v>#N/A</v>
      </c>
      <c r="R26" s="1" t="e">
        <f>'GRAFICO ABRIL'!V26</f>
        <v>#N/A</v>
      </c>
      <c r="S26" s="1">
        <f>'GRAFICO ABRIL'!W26</f>
        <v>13692</v>
      </c>
      <c r="X26" s="63">
        <f t="shared" si="1"/>
        <v>13524</v>
      </c>
      <c r="Y26" s="63">
        <f t="shared" si="2"/>
        <v>11000</v>
      </c>
    </row>
    <row r="27" spans="1:25" x14ac:dyDescent="0.3">
      <c r="A27" s="412">
        <v>46164</v>
      </c>
      <c r="B27" s="414">
        <f>IF(D27&gt;0,COUNTIF($D$9:D27,"&gt;0"),"")</f>
        <v>19</v>
      </c>
      <c r="C27" s="415">
        <f>'SEMANA MAIO'!$I$158</f>
        <v>6324</v>
      </c>
      <c r="D27" s="415">
        <f>IF(C27&gt;0,CONFIG!$B$3,0)</f>
        <v>11000</v>
      </c>
      <c r="E27" s="440">
        <f t="shared" si="0"/>
        <v>-4676</v>
      </c>
      <c r="F27" s="458" t="s">
        <v>602</v>
      </c>
      <c r="G27" s="424"/>
      <c r="H27" s="424"/>
      <c r="I27" s="424"/>
      <c r="J27" s="424"/>
      <c r="K27" s="424"/>
      <c r="L27" s="424"/>
      <c r="M27" s="424"/>
      <c r="N27" s="424"/>
      <c r="O27" s="424"/>
      <c r="P27" s="93">
        <f>'GRAFICO ABRIL'!T27</f>
        <v>19</v>
      </c>
      <c r="Q27" s="1" t="e">
        <f>'GRAFICO ABRIL'!U27</f>
        <v>#N/A</v>
      </c>
      <c r="R27" s="1" t="e">
        <f>'GRAFICO ABRIL'!V27</f>
        <v>#N/A</v>
      </c>
      <c r="S27" s="1">
        <f>'GRAFICO ABRIL'!W27</f>
        <v>20196</v>
      </c>
      <c r="X27" s="63">
        <f t="shared" si="1"/>
        <v>18852</v>
      </c>
      <c r="Y27" s="63">
        <f t="shared" si="2"/>
        <v>11000</v>
      </c>
    </row>
    <row r="28" spans="1:25" x14ac:dyDescent="0.3">
      <c r="A28" s="412">
        <v>46165</v>
      </c>
      <c r="B28" s="414">
        <f>IF(D28&gt;0,COUNTIF($D$9:D28,"&gt;0"),"")</f>
        <v>20</v>
      </c>
      <c r="C28" s="415">
        <f>'SEMANA MAIO'!$I$167</f>
        <v>10500</v>
      </c>
      <c r="D28" s="415">
        <f>IF(C28&gt;0,CONFIG!$B$3,0)</f>
        <v>11000</v>
      </c>
      <c r="E28" s="440">
        <f t="shared" si="0"/>
        <v>-500</v>
      </c>
      <c r="F28" s="459" t="s">
        <v>512</v>
      </c>
      <c r="G28" s="424"/>
      <c r="H28" s="424"/>
      <c r="I28" s="424"/>
      <c r="J28" s="424"/>
      <c r="K28" s="424"/>
      <c r="L28" s="424"/>
      <c r="M28" s="424"/>
      <c r="N28" s="424"/>
      <c r="O28" s="424"/>
      <c r="P28" s="93">
        <f>'GRAFICO ABRIL'!T28</f>
        <v>20</v>
      </c>
      <c r="Q28" s="1" t="e">
        <f>'GRAFICO ABRIL'!U28</f>
        <v>#N/A</v>
      </c>
      <c r="R28" s="1" t="e">
        <f>'GRAFICO ABRIL'!V28</f>
        <v>#N/A</v>
      </c>
      <c r="S28" s="1">
        <f>'GRAFICO ABRIL'!W28</f>
        <v>11238</v>
      </c>
      <c r="X28" s="63">
        <f t="shared" si="1"/>
        <v>6324</v>
      </c>
      <c r="Y28" s="63">
        <f t="shared" si="2"/>
        <v>11000</v>
      </c>
    </row>
    <row r="29" spans="1:25" ht="27.6" x14ac:dyDescent="0.3">
      <c r="A29" s="412">
        <v>46167</v>
      </c>
      <c r="B29" s="414">
        <f>IF(D29&gt;0,COUNTIF($D$9:D29,"&gt;0"),"")</f>
        <v>21</v>
      </c>
      <c r="C29" s="415">
        <f>'SEMANA MAIO'!$I$175+'SEMANA MAIO'!$I$176+'SEMANA MAIO'!$I$177</f>
        <v>13296</v>
      </c>
      <c r="D29" s="415">
        <f>IF(C29&gt;0,CONFIG!$B$3,0)</f>
        <v>11000</v>
      </c>
      <c r="E29" s="440">
        <f t="shared" si="0"/>
        <v>2296</v>
      </c>
      <c r="F29" s="458" t="s">
        <v>994</v>
      </c>
      <c r="G29" s="424"/>
      <c r="H29" s="424"/>
      <c r="I29" s="424"/>
      <c r="J29" s="424"/>
      <c r="K29" s="424"/>
      <c r="L29" s="424"/>
      <c r="M29" s="424"/>
      <c r="N29" s="424"/>
      <c r="O29" s="424"/>
      <c r="P29" s="93">
        <f>'GRAFICO ABRIL'!T29</f>
        <v>21</v>
      </c>
      <c r="Q29" s="1">
        <f>'GRAFICO ABRIL'!U29</f>
        <v>9468</v>
      </c>
      <c r="R29" s="1" t="e">
        <f>'GRAFICO ABRIL'!V29</f>
        <v>#N/A</v>
      </c>
      <c r="S29" s="1" t="e">
        <f>'GRAFICO ABRIL'!W29</f>
        <v>#N/A</v>
      </c>
      <c r="X29" s="63">
        <f t="shared" si="1"/>
        <v>10500</v>
      </c>
      <c r="Y29" s="63">
        <f t="shared" si="2"/>
        <v>11000</v>
      </c>
    </row>
    <row r="30" spans="1:25" x14ac:dyDescent="0.3">
      <c r="A30" s="412">
        <v>46168</v>
      </c>
      <c r="B30" s="414">
        <f>IF(D30&gt;0,COUNTIF($D$9:D30,"&gt;0"),"")</f>
        <v>22</v>
      </c>
      <c r="C30" s="415">
        <f>'SEMANA MAIO'!$I$183+'SEMANA MAIO'!$I$184+'SEMANA MAIO'!$I$185</f>
        <v>9060</v>
      </c>
      <c r="D30" s="415">
        <f>IF(C30&gt;0,CONFIG!$B$3,0)</f>
        <v>11000</v>
      </c>
      <c r="E30" s="440">
        <f t="shared" si="0"/>
        <v>-1940</v>
      </c>
      <c r="F30" s="458" t="s">
        <v>1000</v>
      </c>
      <c r="G30" s="424"/>
      <c r="H30" s="424"/>
      <c r="I30" s="424"/>
      <c r="J30" s="424"/>
      <c r="K30" s="424"/>
      <c r="L30" s="424"/>
      <c r="M30" s="424"/>
      <c r="N30" s="424"/>
      <c r="O30" s="424"/>
      <c r="P30" s="93">
        <f>'GRAFICO ABRIL'!T30</f>
        <v>22</v>
      </c>
      <c r="Q30" s="1" t="e">
        <f>'GRAFICO ABRIL'!U30</f>
        <v>#N/A</v>
      </c>
      <c r="R30" s="1" t="e">
        <f>'GRAFICO ABRIL'!V30</f>
        <v>#N/A</v>
      </c>
      <c r="S30" s="1">
        <f>'GRAFICO ABRIL'!W30</f>
        <v>11880</v>
      </c>
      <c r="X30" s="63">
        <f t="shared" si="1"/>
        <v>13296</v>
      </c>
      <c r="Y30" s="63">
        <f t="shared" si="2"/>
        <v>11000</v>
      </c>
    </row>
    <row r="31" spans="1:25" ht="27.6" x14ac:dyDescent="0.3">
      <c r="A31" s="412">
        <v>46169</v>
      </c>
      <c r="B31" s="455">
        <f>IF(D31&gt;0,COUNTIF($D$9:D31,"&gt;0"),"")</f>
        <v>23</v>
      </c>
      <c r="C31" s="456">
        <f>'SEMANA MAIO'!$I$193+'SEMANA MAIO'!$I$194</f>
        <v>8640</v>
      </c>
      <c r="D31" s="456">
        <f>IF(C31&gt;0,CONFIG!$B$3,0)</f>
        <v>11000</v>
      </c>
      <c r="E31" s="457">
        <f t="shared" si="0"/>
        <v>-2360</v>
      </c>
      <c r="F31" s="458" t="s">
        <v>1009</v>
      </c>
      <c r="G31" s="424"/>
      <c r="H31" s="424"/>
      <c r="I31" s="424"/>
      <c r="J31" s="424"/>
      <c r="K31" s="424"/>
      <c r="L31" s="424"/>
      <c r="M31" s="424"/>
      <c r="N31" s="424"/>
      <c r="O31" s="424"/>
      <c r="P31" s="93"/>
    </row>
    <row r="32" spans="1:25" ht="27.6" x14ac:dyDescent="0.3">
      <c r="A32" s="412">
        <v>46170</v>
      </c>
      <c r="B32" s="414">
        <f>IF(D32&gt;0,COUNTIF($D$9:D32,"&gt;0"),"")</f>
        <v>24</v>
      </c>
      <c r="C32" s="415">
        <f>'SEMANA MAIO'!$I$202+'SEMANA MAIO'!$I$203</f>
        <v>17244</v>
      </c>
      <c r="D32" s="415">
        <f>IF(C32&gt;0,CONFIG!$B$3,0)</f>
        <v>11000</v>
      </c>
      <c r="E32" s="440">
        <f t="shared" si="0"/>
        <v>6244</v>
      </c>
      <c r="F32" s="458" t="s">
        <v>1012</v>
      </c>
      <c r="G32" s="424"/>
      <c r="H32" s="424"/>
      <c r="I32" s="424"/>
      <c r="J32" s="424"/>
      <c r="K32" s="424"/>
      <c r="L32" s="424"/>
      <c r="M32" s="424"/>
      <c r="N32" s="424"/>
      <c r="O32" s="424"/>
      <c r="P32" s="93"/>
    </row>
    <row r="33" spans="1:16" x14ac:dyDescent="0.3">
      <c r="A33" s="412">
        <v>46171</v>
      </c>
      <c r="B33" s="414">
        <f>IF(D33&gt;0,COUNTIF($D$9:D33,"&gt;0"),"")</f>
        <v>25</v>
      </c>
      <c r="C33" s="415">
        <f>'SEMANA MAIO'!$I$210+'SEMANA MAIO'!$I$211</f>
        <v>9084</v>
      </c>
      <c r="D33" s="415">
        <f>IF(C33&gt;0,CONFIG!$B$3,0)</f>
        <v>11000</v>
      </c>
      <c r="E33" s="440">
        <f t="shared" si="0"/>
        <v>-1916</v>
      </c>
      <c r="F33" s="458" t="s">
        <v>606</v>
      </c>
      <c r="G33" s="424"/>
      <c r="H33" s="424"/>
      <c r="I33" s="424"/>
      <c r="J33" s="424"/>
      <c r="K33" s="424"/>
      <c r="L33" s="424"/>
      <c r="M33" s="424"/>
      <c r="N33" s="424"/>
      <c r="O33" s="424"/>
      <c r="P33" s="93"/>
    </row>
    <row r="34" spans="1:16" x14ac:dyDescent="0.3">
      <c r="A34" s="412">
        <v>46172</v>
      </c>
      <c r="B34" s="414">
        <f>IF(D34&gt;0,COUNTIF($D$9:D34,"&gt;0"),"")</f>
        <v>26</v>
      </c>
      <c r="C34" s="415">
        <f>'SEMANA MAIO'!$I$219+'SEMANA MAIO'!$I$220</f>
        <v>6984</v>
      </c>
      <c r="D34" s="415">
        <f>IF(C34&gt;0,CONFIG!$B$3,0)</f>
        <v>11000</v>
      </c>
      <c r="E34" s="440">
        <f t="shared" si="0"/>
        <v>-4016</v>
      </c>
      <c r="F34" s="459" t="s">
        <v>512</v>
      </c>
      <c r="G34" s="424"/>
      <c r="H34" s="424"/>
      <c r="I34" s="424"/>
      <c r="J34" s="424"/>
      <c r="K34" s="424"/>
      <c r="L34" s="424"/>
      <c r="M34" s="424"/>
      <c r="N34" s="424"/>
      <c r="O34" s="424"/>
      <c r="P34" s="93"/>
    </row>
    <row r="35" spans="1:16" ht="14.25" customHeight="1" x14ac:dyDescent="0.3"/>
    <row r="36" spans="1:16" ht="14.25" customHeight="1" x14ac:dyDescent="0.3"/>
    <row r="37" spans="1:16" ht="14.25" customHeight="1" x14ac:dyDescent="0.3"/>
    <row r="38" spans="1:16" ht="14.25" customHeight="1" x14ac:dyDescent="0.3"/>
    <row r="39" spans="1:16" ht="14.25" customHeight="1" x14ac:dyDescent="0.3"/>
    <row r="40" spans="1:16" ht="14.25" customHeight="1" x14ac:dyDescent="0.3"/>
    <row r="41" spans="1:16" ht="14.25" customHeight="1" x14ac:dyDescent="0.3"/>
    <row r="42" spans="1:16" ht="14.25" customHeight="1" x14ac:dyDescent="0.3"/>
    <row r="43" spans="1:16" ht="14.25" customHeight="1" x14ac:dyDescent="0.3"/>
    <row r="44" spans="1:16" ht="14.25" customHeight="1" x14ac:dyDescent="0.3"/>
    <row r="45" spans="1:16" ht="14.25" customHeight="1" x14ac:dyDescent="0.3"/>
    <row r="46" spans="1:16" ht="14.25" customHeight="1" x14ac:dyDescent="0.3"/>
    <row r="47" spans="1:16" ht="14.25" customHeight="1" x14ac:dyDescent="0.3"/>
    <row r="48" spans="1:16"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174" priority="1" operator="greaterThan">
      <formula>0</formula>
    </cfRule>
    <cfRule type="cellIs" dxfId="173" priority="2" operator="lessThan">
      <formula>0</formula>
    </cfRule>
    <cfRule type="cellIs" dxfId="172"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C6EA-E8EE-421C-BF0A-79EDA092F86F}">
  <sheetPr>
    <tabColor rgb="FFC96B0A"/>
  </sheetPr>
  <dimension ref="B1:O273"/>
  <sheetViews>
    <sheetView showGridLines="0" topLeftCell="A25" zoomScale="90" zoomScaleNormal="90" workbookViewId="0">
      <selection activeCell="I181" sqref="I181"/>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607</v>
      </c>
      <c r="C1" s="639"/>
      <c r="D1" s="639"/>
      <c r="E1" s="639"/>
      <c r="F1" s="639"/>
      <c r="G1" s="639"/>
      <c r="H1" s="639"/>
      <c r="I1" s="639"/>
      <c r="J1" s="639"/>
      <c r="K1" s="639"/>
      <c r="L1" s="639"/>
      <c r="M1" s="639"/>
      <c r="N1" s="639"/>
    </row>
    <row r="2" spans="2:15" ht="15" customHeight="1" x14ac:dyDescent="0.3">
      <c r="B2" s="676"/>
      <c r="C2" s="676"/>
      <c r="D2" s="676"/>
      <c r="E2" s="676"/>
      <c r="F2" s="676"/>
      <c r="G2" s="676"/>
      <c r="H2" s="676"/>
      <c r="I2" s="676"/>
      <c r="J2" s="676"/>
      <c r="K2" s="676"/>
      <c r="L2" s="676"/>
      <c r="M2" s="676"/>
      <c r="N2" s="676"/>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670" t="s">
        <v>1033</v>
      </c>
      <c r="C4" s="670">
        <v>26010687</v>
      </c>
      <c r="D4" s="670"/>
      <c r="E4" s="670"/>
      <c r="F4" s="670"/>
      <c r="G4" s="669" t="s">
        <v>75</v>
      </c>
      <c r="H4" s="669"/>
      <c r="I4" s="669"/>
      <c r="J4" s="669"/>
      <c r="K4" s="670" t="s">
        <v>76</v>
      </c>
      <c r="L4" s="670"/>
      <c r="M4" s="509" t="s">
        <v>77</v>
      </c>
      <c r="N4" s="530">
        <v>46177</v>
      </c>
      <c r="O4" s="493"/>
    </row>
    <row r="5" spans="2:15" ht="17.25" customHeight="1" x14ac:dyDescent="0.3">
      <c r="B5" s="670"/>
      <c r="C5" s="669">
        <v>26010688</v>
      </c>
      <c r="D5" s="669"/>
      <c r="E5" s="669"/>
      <c r="F5" s="669"/>
      <c r="G5" s="669" t="s">
        <v>75</v>
      </c>
      <c r="H5" s="669"/>
      <c r="I5" s="669"/>
      <c r="J5" s="669"/>
      <c r="K5" s="670"/>
      <c r="L5" s="670"/>
      <c r="M5" s="508" t="s">
        <v>77</v>
      </c>
      <c r="N5" s="510">
        <v>46177</v>
      </c>
      <c r="O5" s="493"/>
    </row>
    <row r="6" spans="2:15" ht="17.25" customHeight="1" x14ac:dyDescent="0.3">
      <c r="B6" s="670"/>
      <c r="C6" s="670">
        <v>26010689</v>
      </c>
      <c r="D6" s="670"/>
      <c r="E6" s="670"/>
      <c r="F6" s="670"/>
      <c r="G6" s="669" t="s">
        <v>75</v>
      </c>
      <c r="H6" s="669"/>
      <c r="I6" s="669"/>
      <c r="J6" s="669"/>
      <c r="K6" s="670"/>
      <c r="L6" s="670"/>
      <c r="M6" s="509" t="s">
        <v>77</v>
      </c>
      <c r="N6" s="510">
        <v>46177</v>
      </c>
      <c r="O6" s="493"/>
    </row>
    <row r="7" spans="2:15" ht="17.25" customHeight="1" x14ac:dyDescent="0.3">
      <c r="B7" s="670"/>
      <c r="C7" s="669">
        <v>26010690</v>
      </c>
      <c r="D7" s="669"/>
      <c r="E7" s="669"/>
      <c r="F7" s="669"/>
      <c r="G7" s="669" t="s">
        <v>75</v>
      </c>
      <c r="H7" s="669"/>
      <c r="I7" s="669"/>
      <c r="J7" s="669"/>
      <c r="K7" s="670"/>
      <c r="L7" s="670"/>
      <c r="M7" s="508" t="s">
        <v>77</v>
      </c>
      <c r="N7" s="510">
        <v>46181</v>
      </c>
      <c r="O7" s="493"/>
    </row>
    <row r="8" spans="2:15" ht="17.25" customHeight="1" x14ac:dyDescent="0.3">
      <c r="B8" s="670"/>
      <c r="C8" s="670">
        <v>26010691</v>
      </c>
      <c r="D8" s="670"/>
      <c r="E8" s="670"/>
      <c r="F8" s="670"/>
      <c r="G8" s="669" t="s">
        <v>75</v>
      </c>
      <c r="H8" s="669"/>
      <c r="I8" s="669"/>
      <c r="J8" s="669"/>
      <c r="K8" s="670"/>
      <c r="L8" s="670"/>
      <c r="M8" s="509" t="s">
        <v>77</v>
      </c>
      <c r="N8" s="510">
        <v>46181</v>
      </c>
      <c r="O8" s="493"/>
    </row>
    <row r="9" spans="2:15" ht="17.25" customHeight="1" x14ac:dyDescent="0.3">
      <c r="B9" s="670"/>
      <c r="C9" s="669">
        <v>26010692</v>
      </c>
      <c r="D9" s="669"/>
      <c r="E9" s="669"/>
      <c r="F9" s="669"/>
      <c r="G9" s="669" t="s">
        <v>75</v>
      </c>
      <c r="H9" s="669"/>
      <c r="I9" s="669"/>
      <c r="J9" s="669"/>
      <c r="K9" s="670"/>
      <c r="L9" s="670"/>
      <c r="M9" s="508" t="s">
        <v>77</v>
      </c>
      <c r="N9" s="510">
        <v>46181</v>
      </c>
      <c r="O9" s="493"/>
    </row>
    <row r="10" spans="2:15" ht="17.25" customHeight="1" x14ac:dyDescent="0.3">
      <c r="B10" s="670"/>
      <c r="C10" s="670">
        <v>26010693</v>
      </c>
      <c r="D10" s="670"/>
      <c r="E10" s="670"/>
      <c r="F10" s="670"/>
      <c r="G10" s="669" t="s">
        <v>75</v>
      </c>
      <c r="H10" s="669"/>
      <c r="I10" s="669"/>
      <c r="J10" s="669"/>
      <c r="K10" s="670"/>
      <c r="L10" s="670"/>
      <c r="M10" s="509" t="s">
        <v>77</v>
      </c>
      <c r="N10" s="510">
        <v>46181</v>
      </c>
      <c r="O10" s="493"/>
    </row>
    <row r="11" spans="2:15" ht="17.25" customHeight="1" x14ac:dyDescent="0.3">
      <c r="B11" s="670"/>
      <c r="C11" s="669">
        <v>26010694</v>
      </c>
      <c r="D11" s="669"/>
      <c r="E11" s="673"/>
      <c r="F11" s="673"/>
      <c r="G11" s="669" t="s">
        <v>75</v>
      </c>
      <c r="H11" s="669"/>
      <c r="I11" s="669"/>
      <c r="J11" s="669"/>
      <c r="K11" s="670"/>
      <c r="L11" s="670"/>
      <c r="M11" s="508" t="s">
        <v>77</v>
      </c>
      <c r="N11" s="510">
        <v>46181</v>
      </c>
      <c r="O11" s="493"/>
    </row>
    <row r="12" spans="2:15" ht="17.25" customHeight="1" x14ac:dyDescent="0.3">
      <c r="B12" s="670"/>
      <c r="C12" s="670">
        <v>26010695</v>
      </c>
      <c r="D12" s="670"/>
      <c r="E12" s="670"/>
      <c r="F12" s="670"/>
      <c r="G12" s="669" t="s">
        <v>75</v>
      </c>
      <c r="H12" s="669"/>
      <c r="I12" s="669"/>
      <c r="J12" s="669"/>
      <c r="K12" s="670"/>
      <c r="L12" s="670"/>
      <c r="M12" s="509" t="s">
        <v>77</v>
      </c>
      <c r="N12" s="510">
        <v>46182</v>
      </c>
      <c r="O12" s="493"/>
    </row>
    <row r="13" spans="2:15" ht="17.25" customHeight="1" x14ac:dyDescent="0.3">
      <c r="B13" s="670"/>
      <c r="C13" s="669">
        <v>26010696</v>
      </c>
      <c r="D13" s="669"/>
      <c r="E13" s="669"/>
      <c r="F13" s="669"/>
      <c r="G13" s="669" t="s">
        <v>75</v>
      </c>
      <c r="H13" s="669"/>
      <c r="I13" s="669"/>
      <c r="J13" s="669"/>
      <c r="K13" s="670"/>
      <c r="L13" s="670"/>
      <c r="M13" s="508" t="s">
        <v>77</v>
      </c>
      <c r="N13" s="510">
        <v>46182</v>
      </c>
      <c r="O13" s="493"/>
    </row>
    <row r="14" spans="2:15" ht="17.25" customHeight="1" x14ac:dyDescent="0.3">
      <c r="B14" s="670"/>
      <c r="C14" s="670">
        <v>26010697</v>
      </c>
      <c r="D14" s="670"/>
      <c r="E14" s="670"/>
      <c r="F14" s="670"/>
      <c r="G14" s="669" t="s">
        <v>75</v>
      </c>
      <c r="H14" s="669"/>
      <c r="I14" s="669"/>
      <c r="J14" s="669"/>
      <c r="K14" s="670"/>
      <c r="L14" s="670"/>
      <c r="M14" s="509" t="s">
        <v>77</v>
      </c>
      <c r="N14" s="510">
        <v>46182</v>
      </c>
      <c r="O14" s="493"/>
    </row>
    <row r="15" spans="2:15" ht="17.25" customHeight="1" x14ac:dyDescent="0.3">
      <c r="B15" s="670"/>
      <c r="C15" s="669">
        <v>26010698</v>
      </c>
      <c r="D15" s="669"/>
      <c r="E15" s="673"/>
      <c r="F15" s="673"/>
      <c r="G15" s="669" t="s">
        <v>75</v>
      </c>
      <c r="H15" s="669"/>
      <c r="I15" s="669"/>
      <c r="J15" s="669"/>
      <c r="K15" s="670"/>
      <c r="L15" s="670"/>
      <c r="M15" s="508" t="s">
        <v>77</v>
      </c>
      <c r="N15" s="510">
        <v>46182</v>
      </c>
      <c r="O15" s="493"/>
    </row>
    <row r="16" spans="2:15" ht="17.25" customHeight="1" x14ac:dyDescent="0.3">
      <c r="B16" s="670"/>
      <c r="C16" s="670">
        <v>26010699</v>
      </c>
      <c r="D16" s="670"/>
      <c r="E16" s="670"/>
      <c r="F16" s="670"/>
      <c r="G16" s="669" t="s">
        <v>75</v>
      </c>
      <c r="H16" s="669"/>
      <c r="I16" s="669"/>
      <c r="J16" s="669"/>
      <c r="K16" s="670"/>
      <c r="L16" s="670"/>
      <c r="M16" s="509" t="s">
        <v>77</v>
      </c>
      <c r="N16" s="510">
        <v>46182</v>
      </c>
      <c r="O16" s="493"/>
    </row>
    <row r="17" spans="2:15" ht="17.25" customHeight="1" x14ac:dyDescent="0.3">
      <c r="B17" s="670"/>
      <c r="C17" s="669">
        <v>26010700</v>
      </c>
      <c r="D17" s="669"/>
      <c r="E17" s="669"/>
      <c r="F17" s="669"/>
      <c r="G17" s="669" t="s">
        <v>75</v>
      </c>
      <c r="H17" s="669"/>
      <c r="I17" s="669"/>
      <c r="J17" s="669"/>
      <c r="K17" s="670"/>
      <c r="L17" s="670"/>
      <c r="M17" s="508" t="s">
        <v>77</v>
      </c>
      <c r="N17" s="510">
        <v>46182</v>
      </c>
      <c r="O17" s="493"/>
    </row>
    <row r="18" spans="2:15" ht="17.25" customHeight="1" x14ac:dyDescent="0.3">
      <c r="B18" s="670"/>
      <c r="C18" s="670">
        <v>26010701</v>
      </c>
      <c r="D18" s="670"/>
      <c r="E18" s="670"/>
      <c r="F18" s="670"/>
      <c r="G18" s="669" t="s">
        <v>75</v>
      </c>
      <c r="H18" s="669"/>
      <c r="I18" s="669"/>
      <c r="J18" s="669"/>
      <c r="K18" s="670"/>
      <c r="L18" s="670"/>
      <c r="M18" s="509" t="s">
        <v>77</v>
      </c>
      <c r="N18" s="510">
        <v>46182</v>
      </c>
      <c r="O18" s="493"/>
    </row>
    <row r="19" spans="2:15" ht="17.25" customHeight="1" x14ac:dyDescent="0.3">
      <c r="B19" s="508" t="s">
        <v>1034</v>
      </c>
      <c r="C19" s="669">
        <v>26010702</v>
      </c>
      <c r="D19" s="669"/>
      <c r="E19" s="669"/>
      <c r="F19" s="669"/>
      <c r="G19" s="669" t="s">
        <v>366</v>
      </c>
      <c r="H19" s="669"/>
      <c r="I19" s="669"/>
      <c r="J19" s="669"/>
      <c r="K19" s="669" t="s">
        <v>27</v>
      </c>
      <c r="L19" s="669"/>
      <c r="M19" s="508" t="s">
        <v>1035</v>
      </c>
      <c r="N19" s="510">
        <v>46177</v>
      </c>
      <c r="O19" s="493"/>
    </row>
    <row r="20" spans="2:15" ht="17.25" customHeight="1" x14ac:dyDescent="0.3">
      <c r="B20" s="506" t="s">
        <v>1053</v>
      </c>
      <c r="C20" s="670" t="s">
        <v>1066</v>
      </c>
      <c r="D20" s="670"/>
      <c r="E20" s="670"/>
      <c r="F20" s="670"/>
      <c r="G20" s="670" t="s">
        <v>54</v>
      </c>
      <c r="H20" s="670"/>
      <c r="I20" s="670"/>
      <c r="J20" s="670"/>
      <c r="K20" s="670" t="s">
        <v>31</v>
      </c>
      <c r="L20" s="670"/>
      <c r="M20" s="506" t="s">
        <v>55</v>
      </c>
      <c r="N20" s="510">
        <v>46182</v>
      </c>
      <c r="O20" s="493"/>
    </row>
    <row r="21" spans="2:15" ht="17.25" customHeight="1" x14ac:dyDescent="0.3">
      <c r="B21" s="670" t="s">
        <v>1054</v>
      </c>
      <c r="C21" s="669">
        <v>26010704</v>
      </c>
      <c r="D21" s="669"/>
      <c r="E21" s="669"/>
      <c r="F21" s="669"/>
      <c r="G21" s="669" t="s">
        <v>61</v>
      </c>
      <c r="H21" s="669"/>
      <c r="I21" s="669"/>
      <c r="J21" s="669"/>
      <c r="K21" s="669" t="s">
        <v>62</v>
      </c>
      <c r="L21" s="669"/>
      <c r="M21" s="508" t="s">
        <v>466</v>
      </c>
      <c r="N21" s="510">
        <v>46183</v>
      </c>
      <c r="O21" s="493">
        <v>14</v>
      </c>
    </row>
    <row r="22" spans="2:15" ht="17.25" customHeight="1" x14ac:dyDescent="0.3">
      <c r="B22" s="670"/>
      <c r="C22" s="670">
        <v>26010705</v>
      </c>
      <c r="D22" s="670"/>
      <c r="E22" s="670"/>
      <c r="F22" s="670"/>
      <c r="G22" s="670" t="s">
        <v>64</v>
      </c>
      <c r="H22" s="670"/>
      <c r="I22" s="670"/>
      <c r="J22" s="670"/>
      <c r="K22" s="669"/>
      <c r="L22" s="669"/>
      <c r="M22" s="506" t="s">
        <v>1056</v>
      </c>
      <c r="N22" s="510">
        <v>46185</v>
      </c>
      <c r="O22" s="493"/>
    </row>
    <row r="23" spans="2:15" ht="17.25" customHeight="1" x14ac:dyDescent="0.3">
      <c r="B23" s="670"/>
      <c r="C23" s="669">
        <v>26010706</v>
      </c>
      <c r="D23" s="669"/>
      <c r="E23" s="669"/>
      <c r="F23" s="669"/>
      <c r="G23" s="669" t="s">
        <v>145</v>
      </c>
      <c r="H23" s="669"/>
      <c r="I23" s="669"/>
      <c r="J23" s="669"/>
      <c r="K23" s="669"/>
      <c r="L23" s="669"/>
      <c r="M23" s="508" t="s">
        <v>1058</v>
      </c>
      <c r="N23" s="510">
        <v>46188</v>
      </c>
      <c r="O23" s="493"/>
    </row>
    <row r="24" spans="2:15" ht="17.25" customHeight="1" x14ac:dyDescent="0.3">
      <c r="B24" s="670"/>
      <c r="C24" s="670">
        <v>26010707</v>
      </c>
      <c r="D24" s="670"/>
      <c r="E24" s="670"/>
      <c r="F24" s="670"/>
      <c r="G24" s="670" t="s">
        <v>351</v>
      </c>
      <c r="H24" s="670"/>
      <c r="I24" s="670"/>
      <c r="J24" s="670"/>
      <c r="K24" s="669"/>
      <c r="L24" s="669"/>
      <c r="M24" s="506" t="s">
        <v>1055</v>
      </c>
      <c r="N24" s="510">
        <v>46188</v>
      </c>
      <c r="O24" s="493"/>
    </row>
    <row r="25" spans="2:15" ht="17.25" customHeight="1" x14ac:dyDescent="0.3">
      <c r="B25" s="508" t="s">
        <v>1057</v>
      </c>
      <c r="C25" s="669">
        <v>26010708</v>
      </c>
      <c r="D25" s="669"/>
      <c r="E25" s="669"/>
      <c r="F25" s="669"/>
      <c r="G25" s="669" t="s">
        <v>305</v>
      </c>
      <c r="H25" s="669"/>
      <c r="I25" s="669"/>
      <c r="J25" s="669"/>
      <c r="K25" s="669" t="s">
        <v>72</v>
      </c>
      <c r="L25" s="669"/>
      <c r="M25" s="509" t="s">
        <v>73</v>
      </c>
      <c r="N25" s="510">
        <v>46186</v>
      </c>
      <c r="O25" s="493"/>
    </row>
    <row r="26" spans="2:15" ht="17.25" customHeight="1" x14ac:dyDescent="0.3">
      <c r="B26" s="512" t="s">
        <v>1060</v>
      </c>
      <c r="C26" s="677">
        <v>26010709</v>
      </c>
      <c r="D26" s="677"/>
      <c r="E26" s="677"/>
      <c r="F26" s="677"/>
      <c r="G26" s="677" t="s">
        <v>162</v>
      </c>
      <c r="H26" s="677"/>
      <c r="I26" s="677"/>
      <c r="J26" s="677"/>
      <c r="K26" s="677" t="s">
        <v>163</v>
      </c>
      <c r="L26" s="677"/>
      <c r="M26" s="512" t="s">
        <v>140</v>
      </c>
      <c r="N26" s="513"/>
      <c r="O26" s="493"/>
    </row>
    <row r="27" spans="2:15" ht="17.25" customHeight="1" x14ac:dyDescent="0.3">
      <c r="B27" s="669" t="s">
        <v>1065</v>
      </c>
      <c r="C27" s="669">
        <v>26010710</v>
      </c>
      <c r="D27" s="669"/>
      <c r="E27" s="673"/>
      <c r="F27" s="673"/>
      <c r="G27" s="669" t="s">
        <v>75</v>
      </c>
      <c r="H27" s="669"/>
      <c r="I27" s="669"/>
      <c r="J27" s="669"/>
      <c r="K27" s="669" t="s">
        <v>76</v>
      </c>
      <c r="L27" s="669"/>
      <c r="M27" s="508" t="s">
        <v>77</v>
      </c>
      <c r="N27" s="510">
        <v>46182</v>
      </c>
      <c r="O27" s="493"/>
    </row>
    <row r="28" spans="2:15" ht="17.25" customHeight="1" x14ac:dyDescent="0.3">
      <c r="B28" s="669"/>
      <c r="C28" s="670">
        <v>26010711</v>
      </c>
      <c r="D28" s="670"/>
      <c r="E28" s="670"/>
      <c r="F28" s="670"/>
      <c r="G28" s="669" t="s">
        <v>75</v>
      </c>
      <c r="H28" s="669"/>
      <c r="I28" s="669"/>
      <c r="J28" s="669"/>
      <c r="K28" s="669"/>
      <c r="L28" s="669"/>
      <c r="M28" s="509" t="s">
        <v>77</v>
      </c>
      <c r="N28" s="510">
        <v>46183</v>
      </c>
      <c r="O28" s="493"/>
    </row>
    <row r="29" spans="2:15" ht="17.25" customHeight="1" x14ac:dyDescent="0.3">
      <c r="B29" s="669"/>
      <c r="C29" s="669">
        <v>26010712</v>
      </c>
      <c r="D29" s="669"/>
      <c r="E29" s="669"/>
      <c r="F29" s="669"/>
      <c r="G29" s="669" t="s">
        <v>75</v>
      </c>
      <c r="H29" s="669"/>
      <c r="I29" s="669"/>
      <c r="J29" s="669"/>
      <c r="K29" s="669"/>
      <c r="L29" s="669"/>
      <c r="M29" s="508" t="s">
        <v>77</v>
      </c>
      <c r="N29" s="510">
        <v>46183</v>
      </c>
      <c r="O29" s="493"/>
    </row>
    <row r="30" spans="2:15" ht="17.25" customHeight="1" x14ac:dyDescent="0.3">
      <c r="B30" s="669"/>
      <c r="C30" s="670">
        <v>26010713</v>
      </c>
      <c r="D30" s="670"/>
      <c r="E30" s="670"/>
      <c r="F30" s="670"/>
      <c r="G30" s="669" t="s">
        <v>75</v>
      </c>
      <c r="H30" s="669"/>
      <c r="I30" s="669"/>
      <c r="J30" s="669"/>
      <c r="K30" s="669"/>
      <c r="L30" s="669"/>
      <c r="M30" s="509" t="s">
        <v>77</v>
      </c>
      <c r="N30" s="510">
        <v>46183</v>
      </c>
      <c r="O30" s="493"/>
    </row>
    <row r="31" spans="2:15" ht="17.25" customHeight="1" x14ac:dyDescent="0.3">
      <c r="B31" s="669"/>
      <c r="C31" s="669">
        <v>26010714</v>
      </c>
      <c r="D31" s="669"/>
      <c r="E31" s="669"/>
      <c r="F31" s="669"/>
      <c r="G31" s="669" t="s">
        <v>75</v>
      </c>
      <c r="H31" s="669"/>
      <c r="I31" s="669"/>
      <c r="J31" s="669"/>
      <c r="K31" s="669"/>
      <c r="L31" s="669"/>
      <c r="M31" s="508" t="s">
        <v>77</v>
      </c>
      <c r="N31" s="510">
        <v>46183</v>
      </c>
      <c r="O31" s="493"/>
    </row>
    <row r="32" spans="2:15" ht="17.25" customHeight="1" x14ac:dyDescent="0.3">
      <c r="B32" s="669"/>
      <c r="C32" s="670">
        <v>26010715</v>
      </c>
      <c r="D32" s="670"/>
      <c r="E32" s="670"/>
      <c r="F32" s="670"/>
      <c r="G32" s="669" t="s">
        <v>75</v>
      </c>
      <c r="H32" s="669"/>
      <c r="I32" s="669"/>
      <c r="J32" s="669"/>
      <c r="K32" s="669"/>
      <c r="L32" s="669"/>
      <c r="M32" s="509" t="s">
        <v>77</v>
      </c>
      <c r="N32" s="510">
        <v>46183</v>
      </c>
      <c r="O32" s="493"/>
    </row>
    <row r="33" spans="2:15" ht="17.25" customHeight="1" x14ac:dyDescent="0.3">
      <c r="B33" s="669"/>
      <c r="C33" s="669">
        <v>26010716</v>
      </c>
      <c r="D33" s="669"/>
      <c r="E33" s="669"/>
      <c r="F33" s="669"/>
      <c r="G33" s="669" t="s">
        <v>75</v>
      </c>
      <c r="H33" s="669"/>
      <c r="I33" s="669"/>
      <c r="J33" s="669"/>
      <c r="K33" s="669"/>
      <c r="L33" s="669"/>
      <c r="M33" s="508" t="s">
        <v>77</v>
      </c>
      <c r="N33" s="510">
        <v>46183</v>
      </c>
      <c r="O33" s="493"/>
    </row>
    <row r="34" spans="2:15" ht="17.25" customHeight="1" x14ac:dyDescent="0.3">
      <c r="B34" s="669"/>
      <c r="C34" s="670">
        <v>26010717</v>
      </c>
      <c r="D34" s="670"/>
      <c r="E34" s="670"/>
      <c r="F34" s="670"/>
      <c r="G34" s="669" t="s">
        <v>75</v>
      </c>
      <c r="H34" s="669"/>
      <c r="I34" s="669"/>
      <c r="J34" s="669"/>
      <c r="K34" s="669"/>
      <c r="L34" s="669"/>
      <c r="M34" s="509" t="s">
        <v>77</v>
      </c>
      <c r="N34" s="510">
        <v>46183</v>
      </c>
      <c r="O34" s="493"/>
    </row>
    <row r="35" spans="2:15" ht="17.25" customHeight="1" x14ac:dyDescent="0.3">
      <c r="B35" s="669"/>
      <c r="C35" s="669">
        <v>26010718</v>
      </c>
      <c r="D35" s="669"/>
      <c r="E35" s="673"/>
      <c r="F35" s="673"/>
      <c r="G35" s="669" t="s">
        <v>75</v>
      </c>
      <c r="H35" s="669"/>
      <c r="I35" s="669"/>
      <c r="J35" s="669"/>
      <c r="K35" s="669"/>
      <c r="L35" s="669"/>
      <c r="M35" s="508" t="s">
        <v>77</v>
      </c>
      <c r="N35" s="510">
        <v>46183</v>
      </c>
      <c r="O35" s="493"/>
    </row>
    <row r="36" spans="2:15" ht="17.25" customHeight="1" x14ac:dyDescent="0.3">
      <c r="B36" s="669"/>
      <c r="C36" s="670">
        <v>26010719</v>
      </c>
      <c r="D36" s="670"/>
      <c r="E36" s="670"/>
      <c r="F36" s="670"/>
      <c r="G36" s="669" t="s">
        <v>75</v>
      </c>
      <c r="H36" s="669"/>
      <c r="I36" s="669"/>
      <c r="J36" s="669"/>
      <c r="K36" s="669"/>
      <c r="L36" s="669"/>
      <c r="M36" s="509" t="s">
        <v>77</v>
      </c>
      <c r="N36" s="510">
        <v>46184</v>
      </c>
      <c r="O36" s="493"/>
    </row>
    <row r="37" spans="2:15" ht="17.25" customHeight="1" x14ac:dyDescent="0.3">
      <c r="B37" s="669"/>
      <c r="C37" s="669">
        <v>26010720</v>
      </c>
      <c r="D37" s="669"/>
      <c r="E37" s="669"/>
      <c r="F37" s="669"/>
      <c r="G37" s="669" t="s">
        <v>75</v>
      </c>
      <c r="H37" s="669"/>
      <c r="I37" s="669"/>
      <c r="J37" s="669"/>
      <c r="K37" s="669"/>
      <c r="L37" s="669"/>
      <c r="M37" s="508" t="s">
        <v>77</v>
      </c>
      <c r="N37" s="510">
        <v>46184</v>
      </c>
      <c r="O37" s="493"/>
    </row>
    <row r="38" spans="2:15" ht="17.25" customHeight="1" x14ac:dyDescent="0.3">
      <c r="B38" s="669"/>
      <c r="C38" s="670">
        <v>26010721</v>
      </c>
      <c r="D38" s="670"/>
      <c r="E38" s="670"/>
      <c r="F38" s="670"/>
      <c r="G38" s="669" t="s">
        <v>75</v>
      </c>
      <c r="H38" s="669"/>
      <c r="I38" s="669"/>
      <c r="J38" s="669"/>
      <c r="K38" s="669"/>
      <c r="L38" s="669"/>
      <c r="M38" s="509" t="s">
        <v>77</v>
      </c>
      <c r="N38" s="510">
        <v>46184</v>
      </c>
      <c r="O38" s="493"/>
    </row>
    <row r="39" spans="2:15" ht="17.25" customHeight="1" x14ac:dyDescent="0.3">
      <c r="B39" s="669"/>
      <c r="C39" s="669">
        <v>26010722</v>
      </c>
      <c r="D39" s="669"/>
      <c r="E39" s="669"/>
      <c r="F39" s="669"/>
      <c r="G39" s="669" t="s">
        <v>75</v>
      </c>
      <c r="H39" s="669"/>
      <c r="I39" s="669"/>
      <c r="J39" s="669"/>
      <c r="K39" s="669"/>
      <c r="L39" s="669"/>
      <c r="M39" s="508" t="s">
        <v>77</v>
      </c>
      <c r="N39" s="510">
        <v>46184</v>
      </c>
      <c r="O39" s="493"/>
    </row>
    <row r="40" spans="2:15" ht="17.25" customHeight="1" x14ac:dyDescent="0.3">
      <c r="B40" s="669"/>
      <c r="C40" s="670">
        <v>26010723</v>
      </c>
      <c r="D40" s="670"/>
      <c r="E40" s="670"/>
      <c r="F40" s="670"/>
      <c r="G40" s="669" t="s">
        <v>357</v>
      </c>
      <c r="H40" s="669"/>
      <c r="I40" s="669"/>
      <c r="J40" s="669"/>
      <c r="K40" s="669"/>
      <c r="L40" s="669"/>
      <c r="M40" s="509" t="s">
        <v>77</v>
      </c>
      <c r="N40" s="510">
        <v>46184</v>
      </c>
      <c r="O40" s="493"/>
    </row>
    <row r="41" spans="2:15" ht="17.25" customHeight="1" x14ac:dyDescent="0.3">
      <c r="B41" s="669"/>
      <c r="C41" s="669">
        <v>26010724</v>
      </c>
      <c r="D41" s="669"/>
      <c r="E41" s="669"/>
      <c r="F41" s="669"/>
      <c r="G41" s="669" t="s">
        <v>357</v>
      </c>
      <c r="H41" s="669"/>
      <c r="I41" s="669"/>
      <c r="J41" s="669"/>
      <c r="K41" s="669"/>
      <c r="L41" s="669"/>
      <c r="M41" s="508" t="s">
        <v>77</v>
      </c>
      <c r="N41" s="510">
        <v>46184</v>
      </c>
      <c r="O41" s="493"/>
    </row>
    <row r="42" spans="2:15" ht="17.25" customHeight="1" x14ac:dyDescent="0.3">
      <c r="B42" s="669"/>
      <c r="C42" s="670">
        <v>26010725</v>
      </c>
      <c r="D42" s="670"/>
      <c r="E42" s="670"/>
      <c r="F42" s="670"/>
      <c r="G42" s="669" t="s">
        <v>75</v>
      </c>
      <c r="H42" s="669"/>
      <c r="I42" s="669"/>
      <c r="J42" s="669"/>
      <c r="K42" s="669"/>
      <c r="L42" s="669"/>
      <c r="M42" s="509" t="s">
        <v>77</v>
      </c>
      <c r="N42" s="510">
        <v>46184</v>
      </c>
      <c r="O42" s="493"/>
    </row>
    <row r="43" spans="2:15" ht="17.25" customHeight="1" x14ac:dyDescent="0.3">
      <c r="B43" s="669"/>
      <c r="C43" s="669">
        <v>26010726</v>
      </c>
      <c r="D43" s="669"/>
      <c r="E43" s="669"/>
      <c r="F43" s="669"/>
      <c r="G43" s="669" t="s">
        <v>75</v>
      </c>
      <c r="H43" s="669"/>
      <c r="I43" s="669"/>
      <c r="J43" s="669"/>
      <c r="K43" s="669"/>
      <c r="L43" s="669"/>
      <c r="M43" s="508" t="s">
        <v>77</v>
      </c>
      <c r="N43" s="510">
        <v>46184</v>
      </c>
      <c r="O43" s="493"/>
    </row>
    <row r="44" spans="2:15" ht="17.25" customHeight="1" x14ac:dyDescent="0.3">
      <c r="B44" s="669"/>
      <c r="C44" s="670">
        <v>26010727</v>
      </c>
      <c r="D44" s="670"/>
      <c r="E44" s="670"/>
      <c r="F44" s="670"/>
      <c r="G44" s="669" t="s">
        <v>75</v>
      </c>
      <c r="H44" s="669"/>
      <c r="I44" s="669"/>
      <c r="J44" s="669"/>
      <c r="K44" s="669"/>
      <c r="L44" s="669"/>
      <c r="M44" s="509" t="s">
        <v>77</v>
      </c>
      <c r="N44" s="510">
        <v>46185</v>
      </c>
      <c r="O44" s="493"/>
    </row>
    <row r="45" spans="2:15" ht="17.25" customHeight="1" x14ac:dyDescent="0.3">
      <c r="B45" s="669"/>
      <c r="C45" s="669">
        <v>26010728</v>
      </c>
      <c r="D45" s="669"/>
      <c r="E45" s="673"/>
      <c r="F45" s="673"/>
      <c r="G45" s="669" t="s">
        <v>75</v>
      </c>
      <c r="H45" s="669"/>
      <c r="I45" s="669"/>
      <c r="J45" s="669"/>
      <c r="K45" s="669"/>
      <c r="L45" s="669"/>
      <c r="M45" s="508" t="s">
        <v>77</v>
      </c>
      <c r="N45" s="510">
        <v>46185</v>
      </c>
      <c r="O45" s="493"/>
    </row>
    <row r="46" spans="2:15" ht="17.25" customHeight="1" x14ac:dyDescent="0.3">
      <c r="B46" s="669"/>
      <c r="C46" s="670">
        <v>26010729</v>
      </c>
      <c r="D46" s="670"/>
      <c r="E46" s="670"/>
      <c r="F46" s="670"/>
      <c r="G46" s="669" t="s">
        <v>118</v>
      </c>
      <c r="H46" s="669"/>
      <c r="I46" s="669"/>
      <c r="J46" s="669"/>
      <c r="K46" s="669"/>
      <c r="L46" s="669"/>
      <c r="M46" s="509" t="s">
        <v>77</v>
      </c>
      <c r="N46" s="510">
        <v>46185</v>
      </c>
      <c r="O46" s="493"/>
    </row>
    <row r="47" spans="2:15" ht="17.25" customHeight="1" x14ac:dyDescent="0.3">
      <c r="B47" s="669"/>
      <c r="C47" s="669">
        <v>26010730</v>
      </c>
      <c r="D47" s="669"/>
      <c r="E47" s="669"/>
      <c r="F47" s="669"/>
      <c r="G47" s="669" t="s">
        <v>118</v>
      </c>
      <c r="H47" s="669"/>
      <c r="I47" s="669"/>
      <c r="J47" s="669"/>
      <c r="K47" s="669"/>
      <c r="L47" s="669"/>
      <c r="M47" s="508" t="s">
        <v>77</v>
      </c>
      <c r="N47" s="510">
        <v>46185</v>
      </c>
      <c r="O47" s="493"/>
    </row>
    <row r="48" spans="2:15" ht="17.25" customHeight="1" x14ac:dyDescent="0.3">
      <c r="B48" s="669"/>
      <c r="C48" s="670">
        <v>26010731</v>
      </c>
      <c r="D48" s="670"/>
      <c r="E48" s="670"/>
      <c r="F48" s="670"/>
      <c r="G48" s="669" t="s">
        <v>118</v>
      </c>
      <c r="H48" s="669"/>
      <c r="I48" s="669"/>
      <c r="J48" s="669"/>
      <c r="K48" s="669"/>
      <c r="L48" s="669"/>
      <c r="M48" s="509" t="s">
        <v>77</v>
      </c>
      <c r="N48" s="510">
        <v>46185</v>
      </c>
      <c r="O48" s="493"/>
    </row>
    <row r="49" spans="2:15" ht="17.25" customHeight="1" x14ac:dyDescent="0.3">
      <c r="B49" s="669"/>
      <c r="C49" s="669">
        <v>26010732</v>
      </c>
      <c r="D49" s="669"/>
      <c r="E49" s="669"/>
      <c r="F49" s="669"/>
      <c r="G49" s="669" t="s">
        <v>118</v>
      </c>
      <c r="H49" s="669"/>
      <c r="I49" s="669"/>
      <c r="J49" s="669"/>
      <c r="K49" s="669"/>
      <c r="L49" s="669"/>
      <c r="M49" s="508" t="s">
        <v>77</v>
      </c>
      <c r="N49" s="510">
        <v>46185</v>
      </c>
      <c r="O49" s="493"/>
    </row>
    <row r="50" spans="2:15" ht="17.25" customHeight="1" x14ac:dyDescent="0.3">
      <c r="B50" s="669"/>
      <c r="C50" s="670">
        <v>26010733</v>
      </c>
      <c r="D50" s="670"/>
      <c r="E50" s="670"/>
      <c r="F50" s="670"/>
      <c r="G50" s="669" t="s">
        <v>118</v>
      </c>
      <c r="H50" s="669"/>
      <c r="I50" s="669"/>
      <c r="J50" s="669"/>
      <c r="K50" s="669"/>
      <c r="L50" s="669"/>
      <c r="M50" s="509" t="s">
        <v>77</v>
      </c>
      <c r="N50" s="510">
        <v>46185</v>
      </c>
      <c r="O50" s="493"/>
    </row>
    <row r="51" spans="2:15" ht="17.25" customHeight="1" x14ac:dyDescent="0.3">
      <c r="B51" s="669"/>
      <c r="C51" s="669">
        <v>26010734</v>
      </c>
      <c r="D51" s="669"/>
      <c r="E51" s="669"/>
      <c r="F51" s="669"/>
      <c r="G51" s="669" t="s">
        <v>118</v>
      </c>
      <c r="H51" s="669"/>
      <c r="I51" s="669"/>
      <c r="J51" s="669"/>
      <c r="K51" s="669"/>
      <c r="L51" s="669"/>
      <c r="M51" s="508" t="s">
        <v>77</v>
      </c>
      <c r="N51" s="510">
        <v>46186</v>
      </c>
      <c r="O51" s="493"/>
    </row>
    <row r="52" spans="2:15" ht="17.25" customHeight="1" x14ac:dyDescent="0.3">
      <c r="B52" s="669"/>
      <c r="C52" s="670">
        <v>26010735</v>
      </c>
      <c r="D52" s="670"/>
      <c r="E52" s="670"/>
      <c r="F52" s="670"/>
      <c r="G52" s="669" t="s">
        <v>118</v>
      </c>
      <c r="H52" s="669"/>
      <c r="I52" s="669"/>
      <c r="J52" s="669"/>
      <c r="K52" s="669"/>
      <c r="L52" s="669"/>
      <c r="M52" s="509" t="s">
        <v>77</v>
      </c>
      <c r="N52" s="510">
        <v>46186</v>
      </c>
      <c r="O52" s="493"/>
    </row>
    <row r="53" spans="2:15" ht="17.25" customHeight="1" x14ac:dyDescent="0.3">
      <c r="B53" s="669" t="s">
        <v>1075</v>
      </c>
      <c r="C53" s="669">
        <v>26010736</v>
      </c>
      <c r="D53" s="669"/>
      <c r="E53" s="669"/>
      <c r="F53" s="669"/>
      <c r="G53" s="669" t="s">
        <v>57</v>
      </c>
      <c r="H53" s="669"/>
      <c r="I53" s="669"/>
      <c r="J53" s="669"/>
      <c r="K53" s="669" t="s">
        <v>58</v>
      </c>
      <c r="L53" s="669"/>
      <c r="M53" s="508" t="s">
        <v>158</v>
      </c>
      <c r="N53" s="510">
        <v>46184</v>
      </c>
      <c r="O53" s="493"/>
    </row>
    <row r="54" spans="2:15" ht="17.25" customHeight="1" x14ac:dyDescent="0.3">
      <c r="B54" s="669"/>
      <c r="C54" s="670">
        <v>26010737</v>
      </c>
      <c r="D54" s="670"/>
      <c r="E54" s="670"/>
      <c r="F54" s="670"/>
      <c r="G54" s="670" t="s">
        <v>453</v>
      </c>
      <c r="H54" s="670"/>
      <c r="I54" s="670"/>
      <c r="J54" s="670"/>
      <c r="K54" s="669"/>
      <c r="L54" s="669"/>
      <c r="M54" s="506" t="s">
        <v>1076</v>
      </c>
      <c r="N54" s="510">
        <v>46185</v>
      </c>
      <c r="O54" s="493"/>
    </row>
    <row r="55" spans="2:15" ht="17.25" customHeight="1" x14ac:dyDescent="0.3">
      <c r="B55" s="508" t="s">
        <v>1077</v>
      </c>
      <c r="C55" s="669">
        <v>26010738</v>
      </c>
      <c r="D55" s="669"/>
      <c r="E55" s="669" t="s">
        <v>1079</v>
      </c>
      <c r="F55" s="669"/>
      <c r="G55" s="669" t="s">
        <v>358</v>
      </c>
      <c r="H55" s="669"/>
      <c r="I55" s="669"/>
      <c r="J55" s="669"/>
      <c r="K55" s="669" t="s">
        <v>76</v>
      </c>
      <c r="L55" s="669"/>
      <c r="M55" s="508" t="s">
        <v>1078</v>
      </c>
      <c r="N55" s="510">
        <v>46184</v>
      </c>
      <c r="O55" s="493"/>
    </row>
    <row r="56" spans="2:15" ht="17.25" customHeight="1" x14ac:dyDescent="0.3">
      <c r="B56" s="675" t="s">
        <v>1083</v>
      </c>
      <c r="C56" s="670">
        <v>26010739</v>
      </c>
      <c r="D56" s="670"/>
      <c r="E56" s="670"/>
      <c r="F56" s="670"/>
      <c r="G56" s="669" t="s">
        <v>118</v>
      </c>
      <c r="H56" s="669"/>
      <c r="I56" s="669"/>
      <c r="J56" s="669"/>
      <c r="K56" s="670" t="s">
        <v>76</v>
      </c>
      <c r="L56" s="670"/>
      <c r="M56" s="509" t="s">
        <v>77</v>
      </c>
      <c r="N56" s="510">
        <v>46186</v>
      </c>
      <c r="O56" s="493"/>
    </row>
    <row r="57" spans="2:15" ht="17.25" customHeight="1" x14ac:dyDescent="0.3">
      <c r="B57" s="675"/>
      <c r="C57" s="669">
        <v>26010740</v>
      </c>
      <c r="D57" s="669"/>
      <c r="E57" s="669"/>
      <c r="F57" s="669"/>
      <c r="G57" s="669" t="s">
        <v>75</v>
      </c>
      <c r="H57" s="669"/>
      <c r="I57" s="669"/>
      <c r="J57" s="669"/>
      <c r="K57" s="670"/>
      <c r="L57" s="670"/>
      <c r="M57" s="508" t="s">
        <v>77</v>
      </c>
      <c r="N57" s="510">
        <v>46186</v>
      </c>
      <c r="O57" s="493"/>
    </row>
    <row r="58" spans="2:15" ht="17.25" customHeight="1" x14ac:dyDescent="0.3">
      <c r="B58" s="675"/>
      <c r="C58" s="670">
        <v>26010741</v>
      </c>
      <c r="D58" s="670"/>
      <c r="E58" s="670"/>
      <c r="F58" s="670"/>
      <c r="G58" s="669" t="s">
        <v>75</v>
      </c>
      <c r="H58" s="669"/>
      <c r="I58" s="669"/>
      <c r="J58" s="669"/>
      <c r="K58" s="670"/>
      <c r="L58" s="670"/>
      <c r="M58" s="509" t="s">
        <v>77</v>
      </c>
      <c r="N58" s="510">
        <v>46188</v>
      </c>
      <c r="O58" s="493"/>
    </row>
    <row r="59" spans="2:15" ht="17.25" customHeight="1" x14ac:dyDescent="0.3">
      <c r="B59" s="675"/>
      <c r="C59" s="669">
        <v>26010742</v>
      </c>
      <c r="D59" s="669"/>
      <c r="E59" s="669"/>
      <c r="F59" s="669"/>
      <c r="G59" s="669" t="s">
        <v>75</v>
      </c>
      <c r="H59" s="669"/>
      <c r="I59" s="669"/>
      <c r="J59" s="669"/>
      <c r="K59" s="670"/>
      <c r="L59" s="670"/>
      <c r="M59" s="508" t="s">
        <v>77</v>
      </c>
      <c r="N59" s="510">
        <v>46188</v>
      </c>
      <c r="O59" s="493"/>
    </row>
    <row r="60" spans="2:15" ht="17.25" customHeight="1" x14ac:dyDescent="0.3">
      <c r="B60" s="675"/>
      <c r="C60" s="670">
        <v>26010743</v>
      </c>
      <c r="D60" s="670"/>
      <c r="E60" s="670"/>
      <c r="F60" s="670"/>
      <c r="G60" s="669" t="s">
        <v>75</v>
      </c>
      <c r="H60" s="669"/>
      <c r="I60" s="669"/>
      <c r="J60" s="669"/>
      <c r="K60" s="670"/>
      <c r="L60" s="670"/>
      <c r="M60" s="509" t="s">
        <v>77</v>
      </c>
      <c r="N60" s="510">
        <v>46188</v>
      </c>
      <c r="O60" s="493"/>
    </row>
    <row r="61" spans="2:15" ht="17.25" customHeight="1" x14ac:dyDescent="0.3">
      <c r="B61" s="675"/>
      <c r="C61" s="669">
        <v>26010744</v>
      </c>
      <c r="D61" s="669"/>
      <c r="E61" s="669"/>
      <c r="F61" s="669"/>
      <c r="G61" s="669" t="s">
        <v>75</v>
      </c>
      <c r="H61" s="669"/>
      <c r="I61" s="669"/>
      <c r="J61" s="669"/>
      <c r="K61" s="670"/>
      <c r="L61" s="670"/>
      <c r="M61" s="508" t="s">
        <v>77</v>
      </c>
      <c r="N61" s="510">
        <v>46188</v>
      </c>
      <c r="O61" s="493"/>
    </row>
    <row r="62" spans="2:15" ht="17.25" customHeight="1" x14ac:dyDescent="0.3">
      <c r="B62" s="675"/>
      <c r="C62" s="670">
        <v>26010745</v>
      </c>
      <c r="D62" s="670"/>
      <c r="E62" s="670"/>
      <c r="F62" s="670"/>
      <c r="G62" s="669" t="s">
        <v>75</v>
      </c>
      <c r="H62" s="669"/>
      <c r="I62" s="669"/>
      <c r="J62" s="669"/>
      <c r="K62" s="670"/>
      <c r="L62" s="670"/>
      <c r="M62" s="509" t="s">
        <v>77</v>
      </c>
      <c r="N62" s="510">
        <v>46188</v>
      </c>
      <c r="O62" s="493"/>
    </row>
    <row r="63" spans="2:15" ht="17.25" customHeight="1" x14ac:dyDescent="0.3">
      <c r="B63" s="675"/>
      <c r="C63" s="669">
        <v>26010746</v>
      </c>
      <c r="D63" s="669"/>
      <c r="E63" s="669"/>
      <c r="F63" s="669"/>
      <c r="G63" s="669" t="s">
        <v>75</v>
      </c>
      <c r="H63" s="669"/>
      <c r="I63" s="669"/>
      <c r="J63" s="669"/>
      <c r="K63" s="670"/>
      <c r="L63" s="670"/>
      <c r="M63" s="508" t="s">
        <v>77</v>
      </c>
      <c r="N63" s="510">
        <v>46188</v>
      </c>
      <c r="O63" s="493"/>
    </row>
    <row r="64" spans="2:15" ht="17.25" customHeight="1" x14ac:dyDescent="0.3">
      <c r="B64" s="675"/>
      <c r="C64" s="670">
        <v>26010747</v>
      </c>
      <c r="D64" s="670"/>
      <c r="E64" s="670"/>
      <c r="F64" s="670"/>
      <c r="G64" s="669" t="s">
        <v>75</v>
      </c>
      <c r="H64" s="669"/>
      <c r="I64" s="669"/>
      <c r="J64" s="669"/>
      <c r="K64" s="670"/>
      <c r="L64" s="670"/>
      <c r="M64" s="509" t="s">
        <v>77</v>
      </c>
      <c r="N64" s="510">
        <v>46188</v>
      </c>
      <c r="O64" s="493"/>
    </row>
    <row r="65" spans="2:15" ht="17.25" customHeight="1" x14ac:dyDescent="0.3">
      <c r="B65" s="675"/>
      <c r="C65" s="669">
        <v>26010748</v>
      </c>
      <c r="D65" s="669"/>
      <c r="E65" s="669"/>
      <c r="F65" s="669"/>
      <c r="G65" s="669" t="s">
        <v>75</v>
      </c>
      <c r="H65" s="669"/>
      <c r="I65" s="669"/>
      <c r="J65" s="669"/>
      <c r="K65" s="670"/>
      <c r="L65" s="670"/>
      <c r="M65" s="508" t="s">
        <v>77</v>
      </c>
      <c r="N65" s="510">
        <v>46189</v>
      </c>
      <c r="O65" s="493"/>
    </row>
    <row r="66" spans="2:15" ht="17.25" customHeight="1" x14ac:dyDescent="0.3">
      <c r="B66" s="675"/>
      <c r="C66" s="670">
        <v>26010749</v>
      </c>
      <c r="D66" s="670"/>
      <c r="E66" s="673"/>
      <c r="F66" s="673"/>
      <c r="G66" s="669" t="s">
        <v>75</v>
      </c>
      <c r="H66" s="669"/>
      <c r="I66" s="669"/>
      <c r="J66" s="669"/>
      <c r="K66" s="670"/>
      <c r="L66" s="670"/>
      <c r="M66" s="509" t="s">
        <v>77</v>
      </c>
      <c r="N66" s="510">
        <v>46189</v>
      </c>
      <c r="O66" s="493"/>
    </row>
    <row r="67" spans="2:15" ht="17.25" customHeight="1" x14ac:dyDescent="0.3">
      <c r="B67" s="675"/>
      <c r="C67" s="669">
        <v>26010750</v>
      </c>
      <c r="D67" s="669"/>
      <c r="E67" s="669"/>
      <c r="F67" s="669"/>
      <c r="G67" s="669" t="s">
        <v>75</v>
      </c>
      <c r="H67" s="669"/>
      <c r="I67" s="669"/>
      <c r="J67" s="669"/>
      <c r="K67" s="670"/>
      <c r="L67" s="670"/>
      <c r="M67" s="508" t="s">
        <v>77</v>
      </c>
      <c r="N67" s="510">
        <v>46189</v>
      </c>
      <c r="O67" s="493"/>
    </row>
    <row r="68" spans="2:15" ht="17.25" customHeight="1" x14ac:dyDescent="0.3">
      <c r="B68" s="675"/>
      <c r="C68" s="670">
        <v>26010751</v>
      </c>
      <c r="D68" s="670"/>
      <c r="E68" s="670"/>
      <c r="F68" s="670"/>
      <c r="G68" s="669" t="s">
        <v>75</v>
      </c>
      <c r="H68" s="669"/>
      <c r="I68" s="669"/>
      <c r="J68" s="669"/>
      <c r="K68" s="670"/>
      <c r="L68" s="670"/>
      <c r="M68" s="509" t="s">
        <v>77</v>
      </c>
      <c r="N68" s="510">
        <v>46189</v>
      </c>
      <c r="O68" s="493"/>
    </row>
    <row r="69" spans="2:15" ht="17.25" customHeight="1" x14ac:dyDescent="0.3">
      <c r="B69" s="675"/>
      <c r="C69" s="669">
        <v>26010752</v>
      </c>
      <c r="D69" s="669"/>
      <c r="E69" s="669"/>
      <c r="F69" s="669"/>
      <c r="G69" s="669" t="s">
        <v>75</v>
      </c>
      <c r="H69" s="669"/>
      <c r="I69" s="669"/>
      <c r="J69" s="669"/>
      <c r="K69" s="670"/>
      <c r="L69" s="670"/>
      <c r="M69" s="508" t="s">
        <v>77</v>
      </c>
      <c r="N69" s="510">
        <v>46189</v>
      </c>
      <c r="O69" s="493"/>
    </row>
    <row r="70" spans="2:15" ht="17.25" customHeight="1" x14ac:dyDescent="0.3">
      <c r="B70" s="675"/>
      <c r="C70" s="670">
        <v>26010753</v>
      </c>
      <c r="D70" s="670"/>
      <c r="E70" s="670"/>
      <c r="F70" s="670"/>
      <c r="G70" s="669" t="s">
        <v>75</v>
      </c>
      <c r="H70" s="669"/>
      <c r="I70" s="669"/>
      <c r="J70" s="669"/>
      <c r="K70" s="670"/>
      <c r="L70" s="670"/>
      <c r="M70" s="509" t="s">
        <v>77</v>
      </c>
      <c r="N70" s="510">
        <v>46189</v>
      </c>
      <c r="O70" s="493"/>
    </row>
    <row r="71" spans="2:15" ht="17.25" customHeight="1" x14ac:dyDescent="0.3">
      <c r="B71" s="675"/>
      <c r="C71" s="669">
        <v>26010754</v>
      </c>
      <c r="D71" s="669"/>
      <c r="E71" s="669"/>
      <c r="F71" s="669"/>
      <c r="G71" s="669" t="s">
        <v>75</v>
      </c>
      <c r="H71" s="669"/>
      <c r="I71" s="669"/>
      <c r="J71" s="669"/>
      <c r="K71" s="670"/>
      <c r="L71" s="670"/>
      <c r="M71" s="508" t="s">
        <v>77</v>
      </c>
      <c r="N71" s="510">
        <v>46189</v>
      </c>
      <c r="O71" s="493"/>
    </row>
    <row r="72" spans="2:15" ht="17.25" customHeight="1" x14ac:dyDescent="0.3">
      <c r="B72" s="675"/>
      <c r="C72" s="670">
        <v>26010755</v>
      </c>
      <c r="D72" s="670"/>
      <c r="E72" s="670"/>
      <c r="F72" s="670"/>
      <c r="G72" s="669" t="s">
        <v>75</v>
      </c>
      <c r="H72" s="669"/>
      <c r="I72" s="669"/>
      <c r="J72" s="669"/>
      <c r="K72" s="670"/>
      <c r="L72" s="670"/>
      <c r="M72" s="509" t="s">
        <v>77</v>
      </c>
      <c r="N72" s="510">
        <v>46189</v>
      </c>
      <c r="O72" s="493"/>
    </row>
    <row r="73" spans="2:15" ht="17.25" customHeight="1" x14ac:dyDescent="0.3">
      <c r="B73" s="675"/>
      <c r="C73" s="669">
        <v>26010756</v>
      </c>
      <c r="D73" s="669"/>
      <c r="E73" s="669"/>
      <c r="F73" s="669"/>
      <c r="G73" s="669" t="s">
        <v>75</v>
      </c>
      <c r="H73" s="669"/>
      <c r="I73" s="669"/>
      <c r="J73" s="669"/>
      <c r="K73" s="670"/>
      <c r="L73" s="670"/>
      <c r="M73" s="508" t="s">
        <v>77</v>
      </c>
      <c r="N73" s="510">
        <v>46251</v>
      </c>
      <c r="O73" s="493"/>
    </row>
    <row r="74" spans="2:15" ht="17.25" customHeight="1" x14ac:dyDescent="0.3">
      <c r="B74" s="675"/>
      <c r="C74" s="670">
        <v>26010757</v>
      </c>
      <c r="D74" s="670"/>
      <c r="E74" s="670"/>
      <c r="F74" s="670"/>
      <c r="G74" s="669" t="s">
        <v>75</v>
      </c>
      <c r="H74" s="669"/>
      <c r="I74" s="669"/>
      <c r="J74" s="669"/>
      <c r="K74" s="670"/>
      <c r="L74" s="670"/>
      <c r="M74" s="509" t="s">
        <v>77</v>
      </c>
      <c r="N74" s="510">
        <v>46251</v>
      </c>
      <c r="O74" s="493"/>
    </row>
    <row r="75" spans="2:15" ht="17.25" customHeight="1" x14ac:dyDescent="0.3">
      <c r="B75" s="675"/>
      <c r="C75" s="669">
        <v>26010758</v>
      </c>
      <c r="D75" s="669"/>
      <c r="E75" s="669"/>
      <c r="F75" s="669"/>
      <c r="G75" s="669" t="s">
        <v>75</v>
      </c>
      <c r="H75" s="669"/>
      <c r="I75" s="669"/>
      <c r="J75" s="669"/>
      <c r="K75" s="670"/>
      <c r="L75" s="670"/>
      <c r="M75" s="508" t="s">
        <v>77</v>
      </c>
      <c r="N75" s="510">
        <v>46251</v>
      </c>
      <c r="O75" s="493"/>
    </row>
    <row r="76" spans="2:15" ht="17.25" customHeight="1" x14ac:dyDescent="0.3">
      <c r="B76" s="675"/>
      <c r="C76" s="670">
        <v>26010759</v>
      </c>
      <c r="D76" s="670"/>
      <c r="E76" s="673"/>
      <c r="F76" s="673"/>
      <c r="G76" s="669" t="s">
        <v>75</v>
      </c>
      <c r="H76" s="669"/>
      <c r="I76" s="669"/>
      <c r="J76" s="669"/>
      <c r="K76" s="670"/>
      <c r="L76" s="670"/>
      <c r="M76" s="509" t="s">
        <v>77</v>
      </c>
      <c r="N76" s="510">
        <v>46251</v>
      </c>
      <c r="O76" s="493"/>
    </row>
    <row r="77" spans="2:15" ht="17.25" customHeight="1" x14ac:dyDescent="0.3">
      <c r="B77" s="675"/>
      <c r="C77" s="669">
        <v>26010760</v>
      </c>
      <c r="D77" s="669"/>
      <c r="E77" s="669"/>
      <c r="F77" s="669"/>
      <c r="G77" s="669" t="s">
        <v>75</v>
      </c>
      <c r="H77" s="669"/>
      <c r="I77" s="669"/>
      <c r="J77" s="669"/>
      <c r="K77" s="670"/>
      <c r="L77" s="670"/>
      <c r="M77" s="508" t="s">
        <v>77</v>
      </c>
      <c r="N77" s="510">
        <v>46251</v>
      </c>
      <c r="O77" s="493"/>
    </row>
    <row r="78" spans="2:15" ht="17.25" customHeight="1" x14ac:dyDescent="0.3">
      <c r="B78" s="675"/>
      <c r="C78" s="670">
        <v>26010761</v>
      </c>
      <c r="D78" s="670"/>
      <c r="E78" s="670"/>
      <c r="F78" s="670"/>
      <c r="G78" s="669" t="s">
        <v>75</v>
      </c>
      <c r="H78" s="669"/>
      <c r="I78" s="669"/>
      <c r="J78" s="669"/>
      <c r="K78" s="670"/>
      <c r="L78" s="670"/>
      <c r="M78" s="509" t="s">
        <v>77</v>
      </c>
      <c r="N78" s="510">
        <v>46191</v>
      </c>
      <c r="O78" s="493"/>
    </row>
    <row r="79" spans="2:15" ht="17.25" customHeight="1" x14ac:dyDescent="0.3">
      <c r="B79" s="675"/>
      <c r="C79" s="669">
        <v>26010762</v>
      </c>
      <c r="D79" s="669"/>
      <c r="E79" s="669"/>
      <c r="F79" s="669"/>
      <c r="G79" s="669" t="s">
        <v>75</v>
      </c>
      <c r="H79" s="669"/>
      <c r="I79" s="669"/>
      <c r="J79" s="669"/>
      <c r="K79" s="670"/>
      <c r="L79" s="670"/>
      <c r="M79" s="508" t="s">
        <v>77</v>
      </c>
      <c r="N79" s="510">
        <v>46191</v>
      </c>
      <c r="O79" s="493"/>
    </row>
    <row r="80" spans="2:15" ht="17.25" customHeight="1" x14ac:dyDescent="0.3">
      <c r="B80" s="675"/>
      <c r="C80" s="670">
        <v>26010763</v>
      </c>
      <c r="D80" s="670"/>
      <c r="E80" s="673" t="s">
        <v>364</v>
      </c>
      <c r="F80" s="673"/>
      <c r="G80" s="669" t="s">
        <v>75</v>
      </c>
      <c r="H80" s="669"/>
      <c r="I80" s="669"/>
      <c r="J80" s="669"/>
      <c r="K80" s="670"/>
      <c r="L80" s="670"/>
      <c r="M80" s="509" t="s">
        <v>77</v>
      </c>
      <c r="N80" s="510">
        <v>46191</v>
      </c>
      <c r="O80" s="493"/>
    </row>
    <row r="81" spans="2:15" ht="17.25" customHeight="1" x14ac:dyDescent="0.3">
      <c r="B81" s="669" t="s">
        <v>1089</v>
      </c>
      <c r="C81" s="669"/>
      <c r="D81" s="669"/>
      <c r="E81" s="669">
        <v>2634400</v>
      </c>
      <c r="F81" s="669"/>
      <c r="G81" s="669" t="s">
        <v>524</v>
      </c>
      <c r="H81" s="669"/>
      <c r="I81" s="669"/>
      <c r="J81" s="669"/>
      <c r="K81" s="669" t="s">
        <v>149</v>
      </c>
      <c r="L81" s="669"/>
      <c r="M81" s="508" t="s">
        <v>332</v>
      </c>
      <c r="N81" s="510">
        <v>46190</v>
      </c>
      <c r="O81" s="493"/>
    </row>
    <row r="82" spans="2:15" ht="17.25" customHeight="1" x14ac:dyDescent="0.3">
      <c r="B82" s="669"/>
      <c r="C82" s="670"/>
      <c r="D82" s="670"/>
      <c r="E82" s="670">
        <v>2633960</v>
      </c>
      <c r="F82" s="670"/>
      <c r="G82" s="670" t="s">
        <v>1090</v>
      </c>
      <c r="H82" s="670"/>
      <c r="I82" s="670"/>
      <c r="J82" s="670"/>
      <c r="K82" s="669"/>
      <c r="L82" s="669"/>
      <c r="M82" s="506" t="s">
        <v>1091</v>
      </c>
      <c r="N82" s="510">
        <v>46188</v>
      </c>
      <c r="O82" s="493"/>
    </row>
    <row r="83" spans="2:15" ht="17.25" customHeight="1" x14ac:dyDescent="0.3">
      <c r="B83" s="508" t="s">
        <v>1092</v>
      </c>
      <c r="C83" s="669">
        <v>26010764</v>
      </c>
      <c r="D83" s="669"/>
      <c r="E83" s="669"/>
      <c r="F83" s="669"/>
      <c r="G83" s="669" t="s">
        <v>134</v>
      </c>
      <c r="H83" s="669"/>
      <c r="I83" s="669"/>
      <c r="J83" s="669"/>
      <c r="K83" s="669" t="s">
        <v>135</v>
      </c>
      <c r="L83" s="669"/>
      <c r="M83" s="508" t="s">
        <v>136</v>
      </c>
      <c r="N83" s="510">
        <v>46189</v>
      </c>
      <c r="O83" s="493"/>
    </row>
    <row r="84" spans="2:15" ht="17.25" customHeight="1" x14ac:dyDescent="0.3">
      <c r="B84" s="506" t="s">
        <v>1093</v>
      </c>
      <c r="C84" s="670">
        <v>26010765</v>
      </c>
      <c r="D84" s="670"/>
      <c r="E84" s="670"/>
      <c r="F84" s="670"/>
      <c r="G84" s="670" t="s">
        <v>138</v>
      </c>
      <c r="H84" s="670"/>
      <c r="I84" s="670"/>
      <c r="J84" s="670"/>
      <c r="K84" s="670" t="s">
        <v>189</v>
      </c>
      <c r="L84" s="670"/>
      <c r="M84" s="506" t="s">
        <v>140</v>
      </c>
      <c r="N84" s="510">
        <v>46189</v>
      </c>
      <c r="O84" s="493"/>
    </row>
    <row r="85" spans="2:15" ht="17.25" customHeight="1" x14ac:dyDescent="0.3">
      <c r="B85" s="508" t="s">
        <v>1094</v>
      </c>
      <c r="C85" s="669">
        <v>26010766</v>
      </c>
      <c r="D85" s="669"/>
      <c r="E85" s="669"/>
      <c r="F85" s="669"/>
      <c r="G85" s="669" t="s">
        <v>235</v>
      </c>
      <c r="H85" s="669"/>
      <c r="I85" s="669"/>
      <c r="J85" s="669"/>
      <c r="K85" s="669" t="s">
        <v>72</v>
      </c>
      <c r="L85" s="669"/>
      <c r="M85" s="509" t="s">
        <v>237</v>
      </c>
      <c r="N85" s="510">
        <v>46189</v>
      </c>
      <c r="O85" s="493"/>
    </row>
    <row r="86" spans="2:15" ht="17.25" customHeight="1" x14ac:dyDescent="0.3">
      <c r="B86" s="670" t="s">
        <v>1107</v>
      </c>
      <c r="C86" s="670">
        <v>26010767</v>
      </c>
      <c r="D86" s="670"/>
      <c r="E86" s="670"/>
      <c r="F86" s="670"/>
      <c r="G86" s="669" t="s">
        <v>75</v>
      </c>
      <c r="H86" s="669"/>
      <c r="I86" s="669"/>
      <c r="J86" s="669"/>
      <c r="K86" s="670" t="s">
        <v>76</v>
      </c>
      <c r="L86" s="670"/>
      <c r="M86" s="506" t="s">
        <v>77</v>
      </c>
      <c r="N86" s="510">
        <v>46191</v>
      </c>
      <c r="O86" s="493"/>
    </row>
    <row r="87" spans="2:15" ht="17.25" customHeight="1" x14ac:dyDescent="0.3">
      <c r="B87" s="670"/>
      <c r="C87" s="669">
        <v>26010768</v>
      </c>
      <c r="D87" s="669"/>
      <c r="E87" s="669"/>
      <c r="F87" s="669"/>
      <c r="G87" s="669" t="s">
        <v>75</v>
      </c>
      <c r="H87" s="669"/>
      <c r="I87" s="669"/>
      <c r="J87" s="669"/>
      <c r="K87" s="670"/>
      <c r="L87" s="670"/>
      <c r="M87" s="508" t="s">
        <v>77</v>
      </c>
      <c r="N87" s="510">
        <v>46191</v>
      </c>
      <c r="O87" s="493"/>
    </row>
    <row r="88" spans="2:15" ht="17.25" customHeight="1" x14ac:dyDescent="0.3">
      <c r="B88" s="670"/>
      <c r="C88" s="670">
        <v>26010769</v>
      </c>
      <c r="D88" s="670"/>
      <c r="E88" s="670"/>
      <c r="F88" s="670"/>
      <c r="G88" s="670" t="s">
        <v>75</v>
      </c>
      <c r="H88" s="670"/>
      <c r="I88" s="670"/>
      <c r="J88" s="670"/>
      <c r="K88" s="670"/>
      <c r="L88" s="670"/>
      <c r="M88" s="506" t="s">
        <v>77</v>
      </c>
      <c r="N88" s="510">
        <v>46191</v>
      </c>
      <c r="O88" s="493"/>
    </row>
    <row r="89" spans="2:15" ht="17.25" customHeight="1" x14ac:dyDescent="0.3">
      <c r="B89" s="670"/>
      <c r="C89" s="669">
        <v>26010770</v>
      </c>
      <c r="D89" s="669"/>
      <c r="E89" s="669"/>
      <c r="F89" s="669"/>
      <c r="G89" s="669" t="s">
        <v>75</v>
      </c>
      <c r="H89" s="669"/>
      <c r="I89" s="669"/>
      <c r="J89" s="669"/>
      <c r="K89" s="670"/>
      <c r="L89" s="670"/>
      <c r="M89" s="508" t="s">
        <v>77</v>
      </c>
      <c r="N89" s="510">
        <v>46191</v>
      </c>
      <c r="O89" s="493"/>
    </row>
    <row r="90" spans="2:15" ht="17.25" customHeight="1" x14ac:dyDescent="0.3">
      <c r="B90" s="670"/>
      <c r="C90" s="670">
        <v>26010771</v>
      </c>
      <c r="D90" s="670"/>
      <c r="E90" s="670"/>
      <c r="F90" s="670"/>
      <c r="G90" s="670" t="s">
        <v>75</v>
      </c>
      <c r="H90" s="670"/>
      <c r="I90" s="670"/>
      <c r="J90" s="670"/>
      <c r="K90" s="670"/>
      <c r="L90" s="670"/>
      <c r="M90" s="506" t="s">
        <v>77</v>
      </c>
      <c r="N90" s="510">
        <v>46192</v>
      </c>
      <c r="O90" s="493"/>
    </row>
    <row r="91" spans="2:15" ht="17.25" customHeight="1" x14ac:dyDescent="0.3">
      <c r="B91" s="670"/>
      <c r="C91" s="669">
        <v>26010772</v>
      </c>
      <c r="D91" s="669"/>
      <c r="E91" s="669"/>
      <c r="F91" s="669"/>
      <c r="G91" s="669" t="s">
        <v>75</v>
      </c>
      <c r="H91" s="669"/>
      <c r="I91" s="669"/>
      <c r="J91" s="669"/>
      <c r="K91" s="670"/>
      <c r="L91" s="670"/>
      <c r="M91" s="508" t="s">
        <v>77</v>
      </c>
      <c r="N91" s="510">
        <v>46192</v>
      </c>
      <c r="O91" s="493"/>
    </row>
    <row r="92" spans="2:15" ht="17.25" customHeight="1" x14ac:dyDescent="0.3">
      <c r="B92" s="670"/>
      <c r="C92" s="670">
        <v>26010773</v>
      </c>
      <c r="D92" s="670"/>
      <c r="E92" s="670"/>
      <c r="F92" s="670"/>
      <c r="G92" s="670" t="s">
        <v>75</v>
      </c>
      <c r="H92" s="670"/>
      <c r="I92" s="670"/>
      <c r="J92" s="670"/>
      <c r="K92" s="670"/>
      <c r="L92" s="670"/>
      <c r="M92" s="506" t="s">
        <v>77</v>
      </c>
      <c r="N92" s="510">
        <v>46192</v>
      </c>
      <c r="O92" s="493"/>
    </row>
    <row r="93" spans="2:15" ht="17.25" customHeight="1" x14ac:dyDescent="0.3">
      <c r="B93" s="670"/>
      <c r="C93" s="669">
        <v>26010774</v>
      </c>
      <c r="D93" s="669"/>
      <c r="E93" s="669"/>
      <c r="F93" s="669"/>
      <c r="G93" s="669" t="s">
        <v>75</v>
      </c>
      <c r="H93" s="669"/>
      <c r="I93" s="669"/>
      <c r="J93" s="669"/>
      <c r="K93" s="670"/>
      <c r="L93" s="670"/>
      <c r="M93" s="509" t="s">
        <v>77</v>
      </c>
      <c r="N93" s="510">
        <v>46192</v>
      </c>
      <c r="O93" s="493"/>
    </row>
    <row r="94" spans="2:15" ht="17.25" customHeight="1" x14ac:dyDescent="0.3">
      <c r="B94" s="670"/>
      <c r="C94" s="670">
        <v>26010775</v>
      </c>
      <c r="D94" s="670"/>
      <c r="E94" s="670"/>
      <c r="F94" s="670"/>
      <c r="G94" s="670" t="s">
        <v>75</v>
      </c>
      <c r="H94" s="670"/>
      <c r="I94" s="670"/>
      <c r="J94" s="670"/>
      <c r="K94" s="670"/>
      <c r="L94" s="670"/>
      <c r="M94" s="506" t="s">
        <v>77</v>
      </c>
      <c r="N94" s="510">
        <v>46192</v>
      </c>
      <c r="O94" s="493"/>
    </row>
    <row r="95" spans="2:15" ht="17.25" customHeight="1" x14ac:dyDescent="0.3">
      <c r="B95" s="670"/>
      <c r="C95" s="669">
        <v>26010776</v>
      </c>
      <c r="D95" s="669"/>
      <c r="E95" s="669"/>
      <c r="F95" s="669"/>
      <c r="G95" s="669" t="s">
        <v>75</v>
      </c>
      <c r="H95" s="669"/>
      <c r="I95" s="669"/>
      <c r="J95" s="669"/>
      <c r="K95" s="670"/>
      <c r="L95" s="670"/>
      <c r="M95" s="509" t="s">
        <v>77</v>
      </c>
      <c r="N95" s="510">
        <v>46192</v>
      </c>
      <c r="O95" s="493"/>
    </row>
    <row r="96" spans="2:15" ht="17.25" customHeight="1" x14ac:dyDescent="0.3">
      <c r="B96" s="670"/>
      <c r="C96" s="670">
        <v>26010777</v>
      </c>
      <c r="D96" s="670"/>
      <c r="E96" s="670"/>
      <c r="F96" s="670"/>
      <c r="G96" s="670" t="s">
        <v>75</v>
      </c>
      <c r="H96" s="670"/>
      <c r="I96" s="670"/>
      <c r="J96" s="670"/>
      <c r="K96" s="670"/>
      <c r="L96" s="670"/>
      <c r="M96" s="506" t="s">
        <v>77</v>
      </c>
      <c r="N96" s="510">
        <v>46254</v>
      </c>
      <c r="O96" s="493"/>
    </row>
    <row r="97" spans="2:15" ht="17.25" customHeight="1" x14ac:dyDescent="0.3">
      <c r="B97" s="670"/>
      <c r="C97" s="669">
        <v>26010778</v>
      </c>
      <c r="D97" s="669"/>
      <c r="E97" s="673"/>
      <c r="F97" s="673"/>
      <c r="G97" s="669" t="s">
        <v>75</v>
      </c>
      <c r="H97" s="669"/>
      <c r="I97" s="669"/>
      <c r="J97" s="669"/>
      <c r="K97" s="670"/>
      <c r="L97" s="670"/>
      <c r="M97" s="508" t="s">
        <v>77</v>
      </c>
      <c r="N97" s="510">
        <v>46254</v>
      </c>
      <c r="O97" s="493"/>
    </row>
    <row r="98" spans="2:15" ht="17.25" customHeight="1" x14ac:dyDescent="0.3">
      <c r="B98" s="670"/>
      <c r="C98" s="670">
        <v>26010779</v>
      </c>
      <c r="D98" s="670"/>
      <c r="E98" s="670"/>
      <c r="F98" s="670"/>
      <c r="G98" s="670" t="s">
        <v>75</v>
      </c>
      <c r="H98" s="670"/>
      <c r="I98" s="670"/>
      <c r="J98" s="670"/>
      <c r="K98" s="670"/>
      <c r="L98" s="670"/>
      <c r="M98" s="506" t="s">
        <v>77</v>
      </c>
      <c r="N98" s="510">
        <v>46254</v>
      </c>
      <c r="O98" s="493"/>
    </row>
    <row r="99" spans="2:15" ht="17.25" customHeight="1" x14ac:dyDescent="0.3">
      <c r="B99" s="670"/>
      <c r="C99" s="669">
        <v>26010780</v>
      </c>
      <c r="D99" s="669"/>
      <c r="E99" s="669"/>
      <c r="F99" s="669"/>
      <c r="G99" s="669" t="s">
        <v>75</v>
      </c>
      <c r="H99" s="669"/>
      <c r="I99" s="669"/>
      <c r="J99" s="669"/>
      <c r="K99" s="670"/>
      <c r="L99" s="670"/>
      <c r="M99" s="508" t="s">
        <v>77</v>
      </c>
      <c r="N99" s="510">
        <v>46254</v>
      </c>
      <c r="O99" s="493"/>
    </row>
    <row r="100" spans="2:15" ht="17.25" customHeight="1" x14ac:dyDescent="0.3">
      <c r="B100" s="670"/>
      <c r="C100" s="670">
        <v>26010781</v>
      </c>
      <c r="D100" s="670"/>
      <c r="E100" s="670"/>
      <c r="F100" s="670"/>
      <c r="G100" s="670" t="s">
        <v>75</v>
      </c>
      <c r="H100" s="670"/>
      <c r="I100" s="670"/>
      <c r="J100" s="670"/>
      <c r="K100" s="670"/>
      <c r="L100" s="670"/>
      <c r="M100" s="506" t="s">
        <v>77</v>
      </c>
      <c r="N100" s="510">
        <v>46195</v>
      </c>
      <c r="O100" s="493"/>
    </row>
    <row r="101" spans="2:15" ht="17.25" customHeight="1" x14ac:dyDescent="0.3">
      <c r="B101" s="670"/>
      <c r="C101" s="669">
        <v>26010782</v>
      </c>
      <c r="D101" s="669"/>
      <c r="E101" s="669"/>
      <c r="F101" s="669"/>
      <c r="G101" s="669" t="s">
        <v>75</v>
      </c>
      <c r="H101" s="669"/>
      <c r="I101" s="669"/>
      <c r="J101" s="669"/>
      <c r="K101" s="670"/>
      <c r="L101" s="670"/>
      <c r="M101" s="508" t="s">
        <v>77</v>
      </c>
      <c r="N101" s="510">
        <v>46195</v>
      </c>
      <c r="O101" s="493"/>
    </row>
    <row r="102" spans="2:15" ht="17.25" customHeight="1" x14ac:dyDescent="0.3">
      <c r="B102" s="670"/>
      <c r="C102" s="670">
        <v>26010783</v>
      </c>
      <c r="D102" s="670"/>
      <c r="E102" s="670"/>
      <c r="F102" s="670"/>
      <c r="G102" s="670" t="s">
        <v>75</v>
      </c>
      <c r="H102" s="670"/>
      <c r="I102" s="670"/>
      <c r="J102" s="670"/>
      <c r="K102" s="670"/>
      <c r="L102" s="670"/>
      <c r="M102" s="506" t="s">
        <v>77</v>
      </c>
      <c r="N102" s="510">
        <v>46195</v>
      </c>
      <c r="O102" s="493"/>
    </row>
    <row r="103" spans="2:15" ht="17.25" customHeight="1" x14ac:dyDescent="0.3">
      <c r="B103" s="670"/>
      <c r="C103" s="669">
        <v>26010784</v>
      </c>
      <c r="D103" s="669"/>
      <c r="E103" s="669"/>
      <c r="F103" s="669"/>
      <c r="G103" s="669" t="s">
        <v>75</v>
      </c>
      <c r="H103" s="669"/>
      <c r="I103" s="669"/>
      <c r="J103" s="669"/>
      <c r="K103" s="670"/>
      <c r="L103" s="670"/>
      <c r="M103" s="509" t="s">
        <v>77</v>
      </c>
      <c r="N103" s="510">
        <v>46195</v>
      </c>
      <c r="O103" s="493"/>
    </row>
    <row r="104" spans="2:15" ht="17.25" customHeight="1" x14ac:dyDescent="0.3">
      <c r="B104" s="670"/>
      <c r="C104" s="670">
        <v>26010785</v>
      </c>
      <c r="D104" s="670"/>
      <c r="E104" s="670"/>
      <c r="F104" s="670"/>
      <c r="G104" s="670" t="s">
        <v>75</v>
      </c>
      <c r="H104" s="670"/>
      <c r="I104" s="670"/>
      <c r="J104" s="670"/>
      <c r="K104" s="670"/>
      <c r="L104" s="670"/>
      <c r="M104" s="506" t="s">
        <v>77</v>
      </c>
      <c r="N104" s="510">
        <v>46195</v>
      </c>
      <c r="O104" s="493"/>
    </row>
    <row r="105" spans="2:15" ht="17.25" customHeight="1" x14ac:dyDescent="0.3">
      <c r="B105" s="670"/>
      <c r="C105" s="669">
        <v>26010786</v>
      </c>
      <c r="D105" s="669"/>
      <c r="E105" s="673"/>
      <c r="F105" s="673"/>
      <c r="G105" s="669" t="s">
        <v>75</v>
      </c>
      <c r="H105" s="669"/>
      <c r="I105" s="669"/>
      <c r="J105" s="669"/>
      <c r="K105" s="670"/>
      <c r="L105" s="670"/>
      <c r="M105" s="509" t="s">
        <v>77</v>
      </c>
      <c r="N105" s="510">
        <v>46195</v>
      </c>
      <c r="O105" s="493"/>
    </row>
    <row r="106" spans="2:15" ht="17.25" customHeight="1" x14ac:dyDescent="0.3">
      <c r="B106" s="670"/>
      <c r="C106" s="670">
        <v>26010787</v>
      </c>
      <c r="D106" s="670"/>
      <c r="E106" s="670"/>
      <c r="F106" s="670"/>
      <c r="G106" s="670" t="s">
        <v>75</v>
      </c>
      <c r="H106" s="670"/>
      <c r="I106" s="670"/>
      <c r="J106" s="670"/>
      <c r="K106" s="670"/>
      <c r="L106" s="670"/>
      <c r="M106" s="506" t="s">
        <v>77</v>
      </c>
      <c r="N106" s="510">
        <v>46195</v>
      </c>
      <c r="O106" s="493"/>
    </row>
    <row r="107" spans="2:15" ht="17.25" customHeight="1" x14ac:dyDescent="0.3">
      <c r="B107" s="670"/>
      <c r="C107" s="669">
        <v>26010788</v>
      </c>
      <c r="D107" s="669"/>
      <c r="E107" s="669"/>
      <c r="F107" s="669"/>
      <c r="G107" s="669" t="s">
        <v>75</v>
      </c>
      <c r="H107" s="669"/>
      <c r="I107" s="669"/>
      <c r="J107" s="669"/>
      <c r="K107" s="670"/>
      <c r="L107" s="670"/>
      <c r="M107" s="508" t="s">
        <v>77</v>
      </c>
      <c r="N107" s="510">
        <v>46195</v>
      </c>
      <c r="O107" s="493"/>
    </row>
    <row r="108" spans="2:15" ht="17.25" customHeight="1" x14ac:dyDescent="0.3">
      <c r="B108" s="670"/>
      <c r="C108" s="670">
        <v>26010789</v>
      </c>
      <c r="D108" s="670"/>
      <c r="E108" s="670"/>
      <c r="F108" s="670"/>
      <c r="G108" s="670" t="s">
        <v>75</v>
      </c>
      <c r="H108" s="670"/>
      <c r="I108" s="670"/>
      <c r="J108" s="670"/>
      <c r="K108" s="670"/>
      <c r="L108" s="670"/>
      <c r="M108" s="506" t="s">
        <v>77</v>
      </c>
      <c r="N108" s="510">
        <v>46196</v>
      </c>
      <c r="O108" s="493"/>
    </row>
    <row r="109" spans="2:15" ht="17.25" customHeight="1" x14ac:dyDescent="0.3">
      <c r="B109" s="670"/>
      <c r="C109" s="669">
        <v>26010790</v>
      </c>
      <c r="D109" s="669"/>
      <c r="E109" s="669"/>
      <c r="F109" s="669"/>
      <c r="G109" s="669" t="s">
        <v>75</v>
      </c>
      <c r="H109" s="669"/>
      <c r="I109" s="669"/>
      <c r="J109" s="669"/>
      <c r="K109" s="670"/>
      <c r="L109" s="670"/>
      <c r="M109" s="508" t="s">
        <v>77</v>
      </c>
      <c r="N109" s="510">
        <v>46196</v>
      </c>
      <c r="O109" s="493"/>
    </row>
    <row r="110" spans="2:15" ht="17.25" customHeight="1" x14ac:dyDescent="0.3">
      <c r="B110" s="670"/>
      <c r="C110" s="670">
        <v>26010791</v>
      </c>
      <c r="D110" s="670"/>
      <c r="E110" s="673"/>
      <c r="F110" s="673"/>
      <c r="G110" s="670" t="s">
        <v>75</v>
      </c>
      <c r="H110" s="670"/>
      <c r="I110" s="670"/>
      <c r="J110" s="670"/>
      <c r="K110" s="670"/>
      <c r="L110" s="670"/>
      <c r="M110" s="506" t="s">
        <v>77</v>
      </c>
      <c r="N110" s="510">
        <v>46196</v>
      </c>
      <c r="O110" s="493"/>
    </row>
    <row r="111" spans="2:15" ht="17.25" customHeight="1" x14ac:dyDescent="0.3">
      <c r="B111" s="508" t="s">
        <v>1108</v>
      </c>
      <c r="C111" s="669">
        <v>26010792</v>
      </c>
      <c r="D111" s="669"/>
      <c r="E111" s="669"/>
      <c r="F111" s="669"/>
      <c r="G111" s="669" t="s">
        <v>235</v>
      </c>
      <c r="H111" s="669"/>
      <c r="I111" s="669"/>
      <c r="J111" s="669"/>
      <c r="K111" s="669" t="s">
        <v>403</v>
      </c>
      <c r="L111" s="669"/>
      <c r="M111" s="508" t="s">
        <v>136</v>
      </c>
      <c r="N111" s="510">
        <v>46191</v>
      </c>
      <c r="O111" s="493"/>
    </row>
    <row r="112" spans="2:15" ht="17.25" customHeight="1" x14ac:dyDescent="0.3">
      <c r="B112" s="506" t="s">
        <v>1110</v>
      </c>
      <c r="C112" s="670">
        <v>26010793</v>
      </c>
      <c r="D112" s="670"/>
      <c r="E112" s="670"/>
      <c r="F112" s="670"/>
      <c r="G112" s="670" t="s">
        <v>1111</v>
      </c>
      <c r="H112" s="670"/>
      <c r="I112" s="670"/>
      <c r="J112" s="670"/>
      <c r="K112" s="670" t="s">
        <v>240</v>
      </c>
      <c r="L112" s="670"/>
      <c r="M112" s="506" t="s">
        <v>1109</v>
      </c>
      <c r="N112" s="510">
        <v>46191</v>
      </c>
      <c r="O112" s="493"/>
    </row>
    <row r="113" spans="2:15" ht="17.25" customHeight="1" x14ac:dyDescent="0.3">
      <c r="B113" s="508" t="s">
        <v>1112</v>
      </c>
      <c r="C113" s="669">
        <v>26070794</v>
      </c>
      <c r="D113" s="669"/>
      <c r="E113" s="669"/>
      <c r="F113" s="669"/>
      <c r="G113" s="669" t="s">
        <v>543</v>
      </c>
      <c r="H113" s="669"/>
      <c r="I113" s="669"/>
      <c r="J113" s="669"/>
      <c r="K113" s="669" t="s">
        <v>76</v>
      </c>
      <c r="L113" s="669"/>
      <c r="M113" s="509" t="s">
        <v>431</v>
      </c>
      <c r="N113" s="510">
        <v>46190</v>
      </c>
      <c r="O113" s="493"/>
    </row>
    <row r="114" spans="2:15" ht="17.25" customHeight="1" x14ac:dyDescent="0.3">
      <c r="B114" s="506" t="s">
        <v>1114</v>
      </c>
      <c r="C114" s="670"/>
      <c r="D114" s="670"/>
      <c r="E114" s="670">
        <v>26070794</v>
      </c>
      <c r="F114" s="670"/>
      <c r="G114" s="670" t="s">
        <v>546</v>
      </c>
      <c r="H114" s="670"/>
      <c r="I114" s="670"/>
      <c r="J114" s="670"/>
      <c r="K114" s="670" t="s">
        <v>62</v>
      </c>
      <c r="L114" s="670"/>
      <c r="M114" s="506" t="s">
        <v>1113</v>
      </c>
      <c r="N114" s="510">
        <v>46192</v>
      </c>
      <c r="O114" s="493"/>
    </row>
    <row r="115" spans="2:15" ht="17.25" customHeight="1" x14ac:dyDescent="0.3">
      <c r="B115" s="508" t="s">
        <v>1123</v>
      </c>
      <c r="C115" s="669">
        <v>26010795</v>
      </c>
      <c r="D115" s="669"/>
      <c r="E115" s="669"/>
      <c r="F115" s="669"/>
      <c r="G115" s="669" t="s">
        <v>130</v>
      </c>
      <c r="H115" s="669"/>
      <c r="I115" s="669"/>
      <c r="J115" s="669"/>
      <c r="K115" s="669" t="s">
        <v>131</v>
      </c>
      <c r="L115" s="669"/>
      <c r="M115" s="509" t="s">
        <v>73</v>
      </c>
      <c r="N115" s="510">
        <v>46193</v>
      </c>
      <c r="O115" s="493"/>
    </row>
    <row r="116" spans="2:15" ht="17.25" customHeight="1" x14ac:dyDescent="0.3">
      <c r="B116" s="670" t="s">
        <v>1124</v>
      </c>
      <c r="C116" s="670">
        <v>26010796</v>
      </c>
      <c r="D116" s="670"/>
      <c r="E116" s="670"/>
      <c r="F116" s="670"/>
      <c r="G116" s="670" t="s">
        <v>86</v>
      </c>
      <c r="H116" s="670"/>
      <c r="I116" s="670"/>
      <c r="J116" s="670"/>
      <c r="K116" s="670" t="s">
        <v>27</v>
      </c>
      <c r="L116" s="670"/>
      <c r="M116" s="506" t="s">
        <v>431</v>
      </c>
      <c r="N116" s="510">
        <v>46195</v>
      </c>
      <c r="O116" s="493"/>
    </row>
    <row r="117" spans="2:15" ht="17.25" customHeight="1" x14ac:dyDescent="0.3">
      <c r="B117" s="670"/>
      <c r="C117" s="669">
        <v>26010797</v>
      </c>
      <c r="D117" s="669"/>
      <c r="E117" s="669"/>
      <c r="F117" s="669"/>
      <c r="G117" s="669" t="s">
        <v>86</v>
      </c>
      <c r="H117" s="669"/>
      <c r="I117" s="669"/>
      <c r="J117" s="669"/>
      <c r="K117" s="670"/>
      <c r="L117" s="670"/>
      <c r="M117" s="509" t="s">
        <v>544</v>
      </c>
      <c r="N117" s="510">
        <v>46196</v>
      </c>
      <c r="O117" s="493"/>
    </row>
    <row r="118" spans="2:15" ht="17.25" customHeight="1" x14ac:dyDescent="0.3">
      <c r="B118" s="670"/>
      <c r="C118" s="670">
        <v>26010798</v>
      </c>
      <c r="D118" s="670"/>
      <c r="E118" s="670"/>
      <c r="F118" s="670"/>
      <c r="G118" s="670" t="s">
        <v>86</v>
      </c>
      <c r="H118" s="670"/>
      <c r="I118" s="670"/>
      <c r="J118" s="670"/>
      <c r="K118" s="670"/>
      <c r="L118" s="670"/>
      <c r="M118" s="506" t="s">
        <v>544</v>
      </c>
      <c r="N118" s="510">
        <v>46197</v>
      </c>
      <c r="O118" s="493"/>
    </row>
    <row r="119" spans="2:15" ht="17.25" customHeight="1" x14ac:dyDescent="0.3">
      <c r="B119" s="670"/>
      <c r="C119" s="669">
        <v>26010799</v>
      </c>
      <c r="D119" s="669"/>
      <c r="E119" s="669"/>
      <c r="F119" s="669"/>
      <c r="G119" s="669" t="s">
        <v>86</v>
      </c>
      <c r="H119" s="669"/>
      <c r="I119" s="669"/>
      <c r="J119" s="669"/>
      <c r="K119" s="670"/>
      <c r="L119" s="670"/>
      <c r="M119" s="509" t="s">
        <v>544</v>
      </c>
      <c r="N119" s="510">
        <v>46198</v>
      </c>
      <c r="O119" s="493"/>
    </row>
    <row r="120" spans="2:15" ht="17.25" customHeight="1" x14ac:dyDescent="0.3">
      <c r="B120" s="670"/>
      <c r="C120" s="670">
        <v>26010800</v>
      </c>
      <c r="D120" s="670"/>
      <c r="E120" s="670"/>
      <c r="F120" s="670"/>
      <c r="G120" s="670" t="s">
        <v>86</v>
      </c>
      <c r="H120" s="670"/>
      <c r="I120" s="670"/>
      <c r="J120" s="670"/>
      <c r="K120" s="670"/>
      <c r="L120" s="670"/>
      <c r="M120" s="506" t="s">
        <v>544</v>
      </c>
      <c r="N120" s="510">
        <v>46199</v>
      </c>
      <c r="O120" s="493"/>
    </row>
    <row r="121" spans="2:15" ht="17.25" customHeight="1" x14ac:dyDescent="0.3">
      <c r="B121" s="670"/>
      <c r="C121" s="669">
        <v>26010801</v>
      </c>
      <c r="D121" s="669"/>
      <c r="E121" s="669"/>
      <c r="F121" s="669"/>
      <c r="G121" s="669" t="s">
        <v>86</v>
      </c>
      <c r="H121" s="669"/>
      <c r="I121" s="669"/>
      <c r="J121" s="669"/>
      <c r="K121" s="670"/>
      <c r="L121" s="670"/>
      <c r="M121" s="509" t="s">
        <v>544</v>
      </c>
      <c r="N121" s="510">
        <v>46202</v>
      </c>
      <c r="O121" s="493"/>
    </row>
    <row r="122" spans="2:15" ht="17.25" customHeight="1" x14ac:dyDescent="0.3">
      <c r="B122" s="670"/>
      <c r="C122" s="670">
        <v>26010802</v>
      </c>
      <c r="D122" s="670"/>
      <c r="E122" s="670"/>
      <c r="F122" s="670"/>
      <c r="G122" s="670" t="s">
        <v>86</v>
      </c>
      <c r="H122" s="670"/>
      <c r="I122" s="670"/>
      <c r="J122" s="670"/>
      <c r="K122" s="670"/>
      <c r="L122" s="670"/>
      <c r="M122" s="506" t="s">
        <v>544</v>
      </c>
      <c r="N122" s="510">
        <v>46203</v>
      </c>
      <c r="O122" s="493"/>
    </row>
    <row r="123" spans="2:15" ht="17.25" customHeight="1" x14ac:dyDescent="0.3">
      <c r="B123" s="508" t="s">
        <v>1125</v>
      </c>
      <c r="C123" s="669" t="s">
        <v>1127</v>
      </c>
      <c r="D123" s="669"/>
      <c r="E123" s="669"/>
      <c r="F123" s="669"/>
      <c r="G123" s="669" t="s">
        <v>54</v>
      </c>
      <c r="H123" s="669"/>
      <c r="I123" s="669"/>
      <c r="J123" s="669"/>
      <c r="K123" s="669" t="s">
        <v>31</v>
      </c>
      <c r="L123" s="669"/>
      <c r="M123" s="509" t="s">
        <v>55</v>
      </c>
      <c r="N123" s="510">
        <v>46196</v>
      </c>
      <c r="O123" s="493"/>
    </row>
    <row r="124" spans="2:15" ht="17.25" customHeight="1" x14ac:dyDescent="0.3">
      <c r="B124" s="670" t="s">
        <v>1126</v>
      </c>
      <c r="C124" s="670">
        <v>26010804</v>
      </c>
      <c r="D124" s="670"/>
      <c r="E124" s="674"/>
      <c r="F124" s="674"/>
      <c r="G124" s="670" t="s">
        <v>75</v>
      </c>
      <c r="H124" s="670"/>
      <c r="I124" s="670"/>
      <c r="J124" s="670"/>
      <c r="K124" s="670" t="s">
        <v>76</v>
      </c>
      <c r="L124" s="670"/>
      <c r="M124" s="506" t="s">
        <v>77</v>
      </c>
      <c r="N124" s="510">
        <v>46196</v>
      </c>
      <c r="O124" s="493"/>
    </row>
    <row r="125" spans="2:15" ht="17.25" customHeight="1" x14ac:dyDescent="0.3">
      <c r="B125" s="670"/>
      <c r="C125" s="669">
        <v>26010805</v>
      </c>
      <c r="D125" s="669"/>
      <c r="E125" s="669"/>
      <c r="F125" s="669"/>
      <c r="G125" s="669" t="s">
        <v>75</v>
      </c>
      <c r="H125" s="669"/>
      <c r="I125" s="669"/>
      <c r="J125" s="669"/>
      <c r="K125" s="670"/>
      <c r="L125" s="670"/>
      <c r="M125" s="508" t="s">
        <v>77</v>
      </c>
      <c r="N125" s="510">
        <v>46196</v>
      </c>
      <c r="O125" s="493"/>
    </row>
    <row r="126" spans="2:15" ht="17.25" customHeight="1" x14ac:dyDescent="0.3">
      <c r="B126" s="670"/>
      <c r="C126" s="670">
        <v>26010806</v>
      </c>
      <c r="D126" s="670"/>
      <c r="E126" s="670"/>
      <c r="F126" s="670"/>
      <c r="G126" s="670" t="s">
        <v>75</v>
      </c>
      <c r="H126" s="670"/>
      <c r="I126" s="670"/>
      <c r="J126" s="670"/>
      <c r="K126" s="670"/>
      <c r="L126" s="670"/>
      <c r="M126" s="506" t="s">
        <v>77</v>
      </c>
      <c r="N126" s="510">
        <v>46196</v>
      </c>
      <c r="O126" s="493"/>
    </row>
    <row r="127" spans="2:15" ht="17.25" customHeight="1" x14ac:dyDescent="0.3">
      <c r="B127" s="670"/>
      <c r="C127" s="669">
        <v>26010807</v>
      </c>
      <c r="D127" s="669"/>
      <c r="E127" s="669"/>
      <c r="F127" s="669"/>
      <c r="G127" s="669" t="s">
        <v>75</v>
      </c>
      <c r="H127" s="669"/>
      <c r="I127" s="669"/>
      <c r="J127" s="669"/>
      <c r="K127" s="670"/>
      <c r="L127" s="670"/>
      <c r="M127" s="508" t="s">
        <v>77</v>
      </c>
      <c r="N127" s="510">
        <v>46196</v>
      </c>
      <c r="O127" s="493"/>
    </row>
    <row r="128" spans="2:15" ht="17.25" customHeight="1" x14ac:dyDescent="0.3">
      <c r="B128" s="670"/>
      <c r="C128" s="670">
        <v>26010808</v>
      </c>
      <c r="D128" s="670"/>
      <c r="E128" s="670"/>
      <c r="F128" s="670"/>
      <c r="G128" s="670" t="s">
        <v>75</v>
      </c>
      <c r="H128" s="670"/>
      <c r="I128" s="670"/>
      <c r="J128" s="670"/>
      <c r="K128" s="670"/>
      <c r="L128" s="670"/>
      <c r="M128" s="506" t="s">
        <v>77</v>
      </c>
      <c r="N128" s="510">
        <v>46196</v>
      </c>
      <c r="O128" s="493"/>
    </row>
    <row r="129" spans="2:15" ht="17.25" customHeight="1" x14ac:dyDescent="0.3">
      <c r="B129" s="670"/>
      <c r="C129" s="669">
        <v>26010809</v>
      </c>
      <c r="D129" s="669"/>
      <c r="E129" s="669"/>
      <c r="F129" s="669"/>
      <c r="G129" s="669" t="s">
        <v>75</v>
      </c>
      <c r="H129" s="669"/>
      <c r="I129" s="669"/>
      <c r="J129" s="669"/>
      <c r="K129" s="670"/>
      <c r="L129" s="670"/>
      <c r="M129" s="508" t="s">
        <v>77</v>
      </c>
      <c r="N129" s="510">
        <v>46197</v>
      </c>
      <c r="O129" s="493"/>
    </row>
    <row r="130" spans="2:15" ht="17.25" customHeight="1" x14ac:dyDescent="0.3">
      <c r="B130" s="670"/>
      <c r="C130" s="670">
        <v>26010810</v>
      </c>
      <c r="D130" s="670"/>
      <c r="E130" s="670"/>
      <c r="F130" s="670"/>
      <c r="G130" s="670" t="s">
        <v>75</v>
      </c>
      <c r="H130" s="670"/>
      <c r="I130" s="670"/>
      <c r="J130" s="670"/>
      <c r="K130" s="670"/>
      <c r="L130" s="670"/>
      <c r="M130" s="506" t="s">
        <v>77</v>
      </c>
      <c r="N130" s="510">
        <v>46197</v>
      </c>
      <c r="O130" s="493"/>
    </row>
    <row r="131" spans="2:15" ht="17.25" customHeight="1" x14ac:dyDescent="0.3">
      <c r="B131" s="670"/>
      <c r="C131" s="669">
        <v>26010811</v>
      </c>
      <c r="D131" s="669"/>
      <c r="E131" s="669"/>
      <c r="F131" s="669"/>
      <c r="G131" s="669" t="s">
        <v>75</v>
      </c>
      <c r="H131" s="669"/>
      <c r="I131" s="669"/>
      <c r="J131" s="669"/>
      <c r="K131" s="670"/>
      <c r="L131" s="670"/>
      <c r="M131" s="508" t="s">
        <v>77</v>
      </c>
      <c r="N131" s="510">
        <v>46197</v>
      </c>
      <c r="O131" s="493"/>
    </row>
    <row r="132" spans="2:15" ht="17.25" customHeight="1" x14ac:dyDescent="0.3">
      <c r="B132" s="670"/>
      <c r="C132" s="670">
        <v>26010812</v>
      </c>
      <c r="D132" s="670"/>
      <c r="E132" s="674"/>
      <c r="F132" s="674"/>
      <c r="G132" s="670" t="s">
        <v>75</v>
      </c>
      <c r="H132" s="670"/>
      <c r="I132" s="670"/>
      <c r="J132" s="670"/>
      <c r="K132" s="670"/>
      <c r="L132" s="670"/>
      <c r="M132" s="506" t="s">
        <v>77</v>
      </c>
      <c r="N132" s="510">
        <v>46197</v>
      </c>
      <c r="O132" s="493"/>
    </row>
    <row r="133" spans="2:15" ht="17.25" customHeight="1" x14ac:dyDescent="0.3">
      <c r="B133" s="670"/>
      <c r="C133" s="669">
        <v>26010813</v>
      </c>
      <c r="D133" s="669"/>
      <c r="E133" s="669"/>
      <c r="F133" s="669"/>
      <c r="G133" s="669" t="s">
        <v>75</v>
      </c>
      <c r="H133" s="669"/>
      <c r="I133" s="669"/>
      <c r="J133" s="669"/>
      <c r="K133" s="670"/>
      <c r="L133" s="670"/>
      <c r="M133" s="508" t="s">
        <v>77</v>
      </c>
      <c r="N133" s="510">
        <v>46198</v>
      </c>
      <c r="O133" s="493"/>
    </row>
    <row r="134" spans="2:15" ht="17.25" customHeight="1" x14ac:dyDescent="0.3">
      <c r="B134" s="670"/>
      <c r="C134" s="670">
        <v>26010814</v>
      </c>
      <c r="D134" s="670"/>
      <c r="E134" s="670"/>
      <c r="F134" s="670"/>
      <c r="G134" s="670" t="s">
        <v>75</v>
      </c>
      <c r="H134" s="670"/>
      <c r="I134" s="670"/>
      <c r="J134" s="670"/>
      <c r="K134" s="670"/>
      <c r="L134" s="670"/>
      <c r="M134" s="506" t="s">
        <v>77</v>
      </c>
      <c r="N134" s="510">
        <v>46198</v>
      </c>
      <c r="O134" s="493"/>
    </row>
    <row r="135" spans="2:15" ht="17.25" customHeight="1" x14ac:dyDescent="0.3">
      <c r="B135" s="670"/>
      <c r="C135" s="669">
        <v>26010815</v>
      </c>
      <c r="D135" s="669"/>
      <c r="E135" s="669"/>
      <c r="F135" s="669"/>
      <c r="G135" s="669" t="s">
        <v>75</v>
      </c>
      <c r="H135" s="669"/>
      <c r="I135" s="669"/>
      <c r="J135" s="669"/>
      <c r="K135" s="670"/>
      <c r="L135" s="670"/>
      <c r="M135" s="508" t="s">
        <v>77</v>
      </c>
      <c r="N135" s="510">
        <v>46198</v>
      </c>
      <c r="O135" s="493"/>
    </row>
    <row r="136" spans="2:15" ht="17.25" customHeight="1" x14ac:dyDescent="0.3">
      <c r="B136" s="670"/>
      <c r="C136" s="670">
        <v>26010816</v>
      </c>
      <c r="D136" s="670"/>
      <c r="E136" s="670"/>
      <c r="F136" s="670"/>
      <c r="G136" s="670" t="s">
        <v>75</v>
      </c>
      <c r="H136" s="670"/>
      <c r="I136" s="670"/>
      <c r="J136" s="670"/>
      <c r="K136" s="670"/>
      <c r="L136" s="670"/>
      <c r="M136" s="506" t="s">
        <v>77</v>
      </c>
      <c r="N136" s="510">
        <v>46198</v>
      </c>
      <c r="O136" s="493"/>
    </row>
    <row r="137" spans="2:15" ht="17.25" customHeight="1" x14ac:dyDescent="0.3">
      <c r="B137" s="670"/>
      <c r="C137" s="669">
        <v>26010817</v>
      </c>
      <c r="D137" s="669"/>
      <c r="E137" s="669"/>
      <c r="F137" s="669"/>
      <c r="G137" s="669" t="s">
        <v>75</v>
      </c>
      <c r="H137" s="669"/>
      <c r="I137" s="669"/>
      <c r="J137" s="669"/>
      <c r="K137" s="670"/>
      <c r="L137" s="670"/>
      <c r="M137" s="508" t="s">
        <v>77</v>
      </c>
      <c r="N137" s="510">
        <v>46198</v>
      </c>
      <c r="O137" s="493"/>
    </row>
    <row r="138" spans="2:15" ht="17.25" customHeight="1" x14ac:dyDescent="0.3">
      <c r="B138" s="670"/>
      <c r="C138" s="670">
        <v>26010818</v>
      </c>
      <c r="D138" s="670"/>
      <c r="E138" s="674"/>
      <c r="F138" s="674"/>
      <c r="G138" s="670" t="s">
        <v>75</v>
      </c>
      <c r="H138" s="670"/>
      <c r="I138" s="670"/>
      <c r="J138" s="670"/>
      <c r="K138" s="670"/>
      <c r="L138" s="670"/>
      <c r="M138" s="506" t="s">
        <v>77</v>
      </c>
      <c r="N138" s="510">
        <v>46198</v>
      </c>
      <c r="O138" s="493"/>
    </row>
    <row r="139" spans="2:15" ht="17.25" customHeight="1" x14ac:dyDescent="0.3">
      <c r="B139" s="670"/>
      <c r="C139" s="669">
        <v>26010819</v>
      </c>
      <c r="D139" s="669"/>
      <c r="E139" s="669"/>
      <c r="F139" s="669"/>
      <c r="G139" s="669" t="s">
        <v>75</v>
      </c>
      <c r="H139" s="669"/>
      <c r="I139" s="669"/>
      <c r="J139" s="669"/>
      <c r="K139" s="670"/>
      <c r="L139" s="670"/>
      <c r="M139" s="508" t="s">
        <v>77</v>
      </c>
      <c r="N139" s="510">
        <v>46198</v>
      </c>
      <c r="O139" s="493"/>
    </row>
    <row r="140" spans="2:15" ht="17.25" customHeight="1" x14ac:dyDescent="0.3">
      <c r="B140" s="670"/>
      <c r="C140" s="670">
        <v>26010820</v>
      </c>
      <c r="D140" s="670"/>
      <c r="E140" s="670"/>
      <c r="F140" s="670"/>
      <c r="G140" s="670" t="s">
        <v>75</v>
      </c>
      <c r="H140" s="670"/>
      <c r="I140" s="670"/>
      <c r="J140" s="670"/>
      <c r="K140" s="670"/>
      <c r="L140" s="670"/>
      <c r="M140" s="506" t="s">
        <v>77</v>
      </c>
      <c r="N140" s="510">
        <v>46199</v>
      </c>
      <c r="O140" s="493"/>
    </row>
    <row r="141" spans="2:15" ht="17.25" customHeight="1" x14ac:dyDescent="0.3">
      <c r="B141" s="670"/>
      <c r="C141" s="669">
        <v>26010821</v>
      </c>
      <c r="D141" s="669"/>
      <c r="E141" s="669"/>
      <c r="F141" s="669"/>
      <c r="G141" s="669" t="s">
        <v>75</v>
      </c>
      <c r="H141" s="669"/>
      <c r="I141" s="669"/>
      <c r="J141" s="669"/>
      <c r="K141" s="670"/>
      <c r="L141" s="670"/>
      <c r="M141" s="508" t="s">
        <v>77</v>
      </c>
      <c r="N141" s="510">
        <v>46199</v>
      </c>
      <c r="O141" s="493"/>
    </row>
    <row r="142" spans="2:15" ht="17.25" customHeight="1" x14ac:dyDescent="0.3">
      <c r="B142" s="670"/>
      <c r="C142" s="670">
        <v>26010822</v>
      </c>
      <c r="D142" s="670"/>
      <c r="E142" s="670"/>
      <c r="F142" s="670"/>
      <c r="G142" s="670" t="s">
        <v>75</v>
      </c>
      <c r="H142" s="670"/>
      <c r="I142" s="670"/>
      <c r="J142" s="670"/>
      <c r="K142" s="670"/>
      <c r="L142" s="670"/>
      <c r="M142" s="506" t="s">
        <v>77</v>
      </c>
      <c r="N142" s="510">
        <v>46199</v>
      </c>
      <c r="O142" s="493"/>
    </row>
    <row r="143" spans="2:15" ht="17.25" customHeight="1" x14ac:dyDescent="0.3">
      <c r="B143" s="670"/>
      <c r="C143" s="669">
        <v>26010823</v>
      </c>
      <c r="D143" s="669"/>
      <c r="E143" s="669"/>
      <c r="F143" s="669"/>
      <c r="G143" s="669" t="s">
        <v>357</v>
      </c>
      <c r="H143" s="669"/>
      <c r="I143" s="669"/>
      <c r="J143" s="669"/>
      <c r="K143" s="670"/>
      <c r="L143" s="670"/>
      <c r="M143" s="508" t="s">
        <v>77</v>
      </c>
      <c r="N143" s="510">
        <v>46199</v>
      </c>
      <c r="O143" s="493"/>
    </row>
    <row r="144" spans="2:15" ht="17.25" customHeight="1" x14ac:dyDescent="0.3">
      <c r="B144" s="670"/>
      <c r="C144" s="670">
        <v>26010824</v>
      </c>
      <c r="D144" s="670"/>
      <c r="E144" s="670"/>
      <c r="F144" s="670"/>
      <c r="G144" s="670" t="s">
        <v>75</v>
      </c>
      <c r="H144" s="670"/>
      <c r="I144" s="670"/>
      <c r="J144" s="670"/>
      <c r="K144" s="670"/>
      <c r="L144" s="670"/>
      <c r="M144" s="506" t="s">
        <v>77</v>
      </c>
      <c r="N144" s="510">
        <v>46200</v>
      </c>
      <c r="O144" s="493"/>
    </row>
    <row r="145" spans="2:15" ht="17.25" customHeight="1" x14ac:dyDescent="0.3">
      <c r="B145" s="670"/>
      <c r="C145" s="669">
        <v>26010825</v>
      </c>
      <c r="D145" s="669"/>
      <c r="E145" s="669"/>
      <c r="F145" s="669"/>
      <c r="G145" s="669" t="s">
        <v>75</v>
      </c>
      <c r="H145" s="669"/>
      <c r="I145" s="669"/>
      <c r="J145" s="669"/>
      <c r="K145" s="670"/>
      <c r="L145" s="670"/>
      <c r="M145" s="508" t="s">
        <v>77</v>
      </c>
      <c r="N145" s="510">
        <v>46200</v>
      </c>
      <c r="O145" s="493"/>
    </row>
    <row r="146" spans="2:15" ht="17.25" customHeight="1" x14ac:dyDescent="0.3">
      <c r="B146" s="670"/>
      <c r="C146" s="670">
        <v>26010826</v>
      </c>
      <c r="D146" s="670"/>
      <c r="E146" s="670"/>
      <c r="F146" s="670"/>
      <c r="G146" s="670" t="s">
        <v>75</v>
      </c>
      <c r="H146" s="670"/>
      <c r="I146" s="670"/>
      <c r="J146" s="670"/>
      <c r="K146" s="670"/>
      <c r="L146" s="670"/>
      <c r="M146" s="506" t="s">
        <v>77</v>
      </c>
      <c r="N146" s="510">
        <v>46200</v>
      </c>
      <c r="O146" s="493"/>
    </row>
    <row r="147" spans="2:15" ht="17.25" customHeight="1" x14ac:dyDescent="0.3">
      <c r="B147" s="670"/>
      <c r="C147" s="669">
        <v>26010827</v>
      </c>
      <c r="D147" s="669"/>
      <c r="E147" s="669"/>
      <c r="F147" s="669"/>
      <c r="G147" s="669" t="s">
        <v>75</v>
      </c>
      <c r="H147" s="669"/>
      <c r="I147" s="669"/>
      <c r="J147" s="669"/>
      <c r="K147" s="670"/>
      <c r="L147" s="670"/>
      <c r="M147" s="508" t="s">
        <v>77</v>
      </c>
      <c r="N147" s="510">
        <v>46200</v>
      </c>
      <c r="O147" s="493"/>
    </row>
    <row r="148" spans="2:15" ht="17.25" customHeight="1" x14ac:dyDescent="0.3">
      <c r="B148" s="670"/>
      <c r="C148" s="670">
        <v>26010828</v>
      </c>
      <c r="D148" s="670"/>
      <c r="E148" s="674"/>
      <c r="F148" s="674"/>
      <c r="G148" s="670" t="s">
        <v>75</v>
      </c>
      <c r="H148" s="670"/>
      <c r="I148" s="670"/>
      <c r="J148" s="670"/>
      <c r="K148" s="670"/>
      <c r="L148" s="670"/>
      <c r="M148" s="506" t="s">
        <v>77</v>
      </c>
      <c r="N148" s="510">
        <v>46200</v>
      </c>
      <c r="O148" s="493"/>
    </row>
    <row r="149" spans="2:15" ht="17.25" customHeight="1" x14ac:dyDescent="0.3">
      <c r="B149" s="508" t="s">
        <v>1136</v>
      </c>
      <c r="C149" s="669">
        <v>26010829</v>
      </c>
      <c r="D149" s="669"/>
      <c r="E149" s="669"/>
      <c r="F149" s="669"/>
      <c r="G149" s="669" t="s">
        <v>1137</v>
      </c>
      <c r="H149" s="669"/>
      <c r="I149" s="669"/>
      <c r="J149" s="669"/>
      <c r="K149" s="669" t="s">
        <v>236</v>
      </c>
      <c r="L149" s="669"/>
      <c r="M149" s="509" t="s">
        <v>136</v>
      </c>
      <c r="N149" s="510">
        <v>46199</v>
      </c>
      <c r="O149" s="493"/>
    </row>
    <row r="150" spans="2:15" ht="17.25" customHeight="1" x14ac:dyDescent="0.3">
      <c r="B150" s="675" t="s">
        <v>1140</v>
      </c>
      <c r="C150" s="670">
        <v>26010830</v>
      </c>
      <c r="D150" s="670"/>
      <c r="E150" s="670"/>
      <c r="F150" s="670"/>
      <c r="G150" s="670" t="s">
        <v>75</v>
      </c>
      <c r="H150" s="670"/>
      <c r="I150" s="670"/>
      <c r="J150" s="670"/>
      <c r="K150" s="670" t="s">
        <v>76</v>
      </c>
      <c r="L150" s="670"/>
      <c r="M150" s="506" t="s">
        <v>77</v>
      </c>
      <c r="N150" s="510">
        <v>46202</v>
      </c>
      <c r="O150" s="493"/>
    </row>
    <row r="151" spans="2:15" ht="17.25" customHeight="1" x14ac:dyDescent="0.3">
      <c r="B151" s="675"/>
      <c r="C151" s="669">
        <v>26010831</v>
      </c>
      <c r="D151" s="669"/>
      <c r="E151" s="669"/>
      <c r="F151" s="669"/>
      <c r="G151" s="669" t="s">
        <v>75</v>
      </c>
      <c r="H151" s="669"/>
      <c r="I151" s="669"/>
      <c r="J151" s="669"/>
      <c r="K151" s="670"/>
      <c r="L151" s="670"/>
      <c r="M151" s="508" t="s">
        <v>77</v>
      </c>
      <c r="N151" s="510">
        <v>46202</v>
      </c>
      <c r="O151" s="493"/>
    </row>
    <row r="152" spans="2:15" ht="17.25" customHeight="1" x14ac:dyDescent="0.3">
      <c r="B152" s="675"/>
      <c r="C152" s="670">
        <v>26010832</v>
      </c>
      <c r="D152" s="670"/>
      <c r="E152" s="670"/>
      <c r="F152" s="670"/>
      <c r="G152" s="670" t="s">
        <v>75</v>
      </c>
      <c r="H152" s="670"/>
      <c r="I152" s="670"/>
      <c r="J152" s="670"/>
      <c r="K152" s="670"/>
      <c r="L152" s="670"/>
      <c r="M152" s="506" t="s">
        <v>77</v>
      </c>
      <c r="N152" s="510">
        <v>46202</v>
      </c>
      <c r="O152" s="493"/>
    </row>
    <row r="153" spans="2:15" ht="17.25" customHeight="1" x14ac:dyDescent="0.3">
      <c r="B153" s="675"/>
      <c r="C153" s="669">
        <v>26010833</v>
      </c>
      <c r="D153" s="669"/>
      <c r="E153" s="669"/>
      <c r="F153" s="669"/>
      <c r="G153" s="669" t="s">
        <v>75</v>
      </c>
      <c r="H153" s="669"/>
      <c r="I153" s="669"/>
      <c r="J153" s="669"/>
      <c r="K153" s="670"/>
      <c r="L153" s="670"/>
      <c r="M153" s="508" t="s">
        <v>77</v>
      </c>
      <c r="N153" s="510">
        <v>46202</v>
      </c>
      <c r="O153" s="493"/>
    </row>
    <row r="154" spans="2:15" ht="17.25" customHeight="1" x14ac:dyDescent="0.3">
      <c r="B154" s="675"/>
      <c r="C154" s="670">
        <v>26010834</v>
      </c>
      <c r="D154" s="670"/>
      <c r="E154" s="670"/>
      <c r="F154" s="670"/>
      <c r="G154" s="670" t="s">
        <v>75</v>
      </c>
      <c r="H154" s="670"/>
      <c r="I154" s="670"/>
      <c r="J154" s="670"/>
      <c r="K154" s="670"/>
      <c r="L154" s="670"/>
      <c r="M154" s="506" t="s">
        <v>77</v>
      </c>
      <c r="N154" s="510">
        <v>46202</v>
      </c>
      <c r="O154" s="493"/>
    </row>
    <row r="155" spans="2:15" ht="17.25" customHeight="1" x14ac:dyDescent="0.3">
      <c r="B155" s="675"/>
      <c r="C155" s="669">
        <v>26010835</v>
      </c>
      <c r="D155" s="669"/>
      <c r="E155" s="669"/>
      <c r="F155" s="669"/>
      <c r="G155" s="669" t="s">
        <v>75</v>
      </c>
      <c r="H155" s="669"/>
      <c r="I155" s="669"/>
      <c r="J155" s="669"/>
      <c r="K155" s="670"/>
      <c r="L155" s="670"/>
      <c r="M155" s="508" t="s">
        <v>77</v>
      </c>
      <c r="N155" s="510">
        <v>46203</v>
      </c>
      <c r="O155" s="493"/>
    </row>
    <row r="156" spans="2:15" ht="17.25" customHeight="1" x14ac:dyDescent="0.3">
      <c r="B156" s="675"/>
      <c r="C156" s="670">
        <v>26010836</v>
      </c>
      <c r="D156" s="670"/>
      <c r="E156" s="674"/>
      <c r="F156" s="674"/>
      <c r="G156" s="670" t="s">
        <v>75</v>
      </c>
      <c r="H156" s="670"/>
      <c r="I156" s="670"/>
      <c r="J156" s="670"/>
      <c r="K156" s="670"/>
      <c r="L156" s="670"/>
      <c r="M156" s="506" t="s">
        <v>77</v>
      </c>
      <c r="N156" s="510">
        <v>46203</v>
      </c>
      <c r="O156" s="493"/>
    </row>
    <row r="157" spans="2:15" ht="17.25" customHeight="1" x14ac:dyDescent="0.3">
      <c r="B157" s="675"/>
      <c r="C157" s="669">
        <v>26010837</v>
      </c>
      <c r="D157" s="669"/>
      <c r="E157" s="669"/>
      <c r="F157" s="669"/>
      <c r="G157" s="669" t="s">
        <v>75</v>
      </c>
      <c r="H157" s="669"/>
      <c r="I157" s="669"/>
      <c r="J157" s="669"/>
      <c r="K157" s="670"/>
      <c r="L157" s="670"/>
      <c r="M157" s="508" t="s">
        <v>77</v>
      </c>
      <c r="N157" s="510">
        <v>46203</v>
      </c>
      <c r="O157" s="493"/>
    </row>
    <row r="158" spans="2:15" ht="17.25" customHeight="1" x14ac:dyDescent="0.3">
      <c r="B158" s="675"/>
      <c r="C158" s="670">
        <v>26010838</v>
      </c>
      <c r="D158" s="670"/>
      <c r="E158" s="670"/>
      <c r="F158" s="670"/>
      <c r="G158" s="670" t="s">
        <v>75</v>
      </c>
      <c r="H158" s="670"/>
      <c r="I158" s="670"/>
      <c r="J158" s="670"/>
      <c r="K158" s="670"/>
      <c r="L158" s="670"/>
      <c r="M158" s="506" t="s">
        <v>77</v>
      </c>
      <c r="N158" s="510">
        <v>46203</v>
      </c>
      <c r="O158" s="493"/>
    </row>
    <row r="159" spans="2:15" ht="17.25" customHeight="1" x14ac:dyDescent="0.3">
      <c r="B159" s="675"/>
      <c r="C159" s="669">
        <v>26010839</v>
      </c>
      <c r="D159" s="669"/>
      <c r="E159" s="669"/>
      <c r="F159" s="669"/>
      <c r="G159" s="669" t="s">
        <v>75</v>
      </c>
      <c r="H159" s="669"/>
      <c r="I159" s="669"/>
      <c r="J159" s="669"/>
      <c r="K159" s="670"/>
      <c r="L159" s="670"/>
      <c r="M159" s="508" t="s">
        <v>77</v>
      </c>
      <c r="N159" s="510">
        <v>46203</v>
      </c>
      <c r="O159" s="493"/>
    </row>
    <row r="160" spans="2:15" ht="17.25" customHeight="1" x14ac:dyDescent="0.3">
      <c r="B160" s="675"/>
      <c r="C160" s="670">
        <v>26010840</v>
      </c>
      <c r="D160" s="670"/>
      <c r="E160" s="670"/>
      <c r="F160" s="670"/>
      <c r="G160" s="670" t="s">
        <v>75</v>
      </c>
      <c r="H160" s="670"/>
      <c r="I160" s="670"/>
      <c r="J160" s="670"/>
      <c r="K160" s="670"/>
      <c r="L160" s="670"/>
      <c r="M160" s="506" t="s">
        <v>77</v>
      </c>
      <c r="N160" s="510">
        <v>46203</v>
      </c>
      <c r="O160" s="493"/>
    </row>
    <row r="161" spans="2:15" ht="17.25" customHeight="1" x14ac:dyDescent="0.3">
      <c r="B161" s="675"/>
      <c r="C161" s="669">
        <v>26010841</v>
      </c>
      <c r="D161" s="669"/>
      <c r="E161" s="669"/>
      <c r="F161" s="669"/>
      <c r="G161" s="669" t="s">
        <v>75</v>
      </c>
      <c r="H161" s="669"/>
      <c r="I161" s="669"/>
      <c r="J161" s="669"/>
      <c r="K161" s="670"/>
      <c r="L161" s="670"/>
      <c r="M161" s="508" t="s">
        <v>77</v>
      </c>
      <c r="N161" s="510">
        <v>46203</v>
      </c>
      <c r="O161" s="493"/>
    </row>
    <row r="162" spans="2:15" ht="17.25" customHeight="1" x14ac:dyDescent="0.3">
      <c r="B162" s="675"/>
      <c r="C162" s="670">
        <v>26010842</v>
      </c>
      <c r="D162" s="670"/>
      <c r="E162" s="674"/>
      <c r="F162" s="674"/>
      <c r="G162" s="670" t="s">
        <v>75</v>
      </c>
      <c r="H162" s="670"/>
      <c r="I162" s="670"/>
      <c r="J162" s="670"/>
      <c r="K162" s="670"/>
      <c r="L162" s="670"/>
      <c r="M162" s="506" t="s">
        <v>77</v>
      </c>
      <c r="N162" s="510">
        <v>46204</v>
      </c>
      <c r="O162" s="493"/>
    </row>
    <row r="163" spans="2:15" ht="17.25" customHeight="1" x14ac:dyDescent="0.3">
      <c r="B163" s="675"/>
      <c r="C163" s="669">
        <v>26010843</v>
      </c>
      <c r="D163" s="669"/>
      <c r="E163" s="669"/>
      <c r="F163" s="669"/>
      <c r="G163" s="669" t="s">
        <v>75</v>
      </c>
      <c r="H163" s="669"/>
      <c r="I163" s="669"/>
      <c r="J163" s="669"/>
      <c r="K163" s="670"/>
      <c r="L163" s="670"/>
      <c r="M163" s="508" t="s">
        <v>77</v>
      </c>
      <c r="N163" s="510">
        <v>46204</v>
      </c>
      <c r="O163" s="493"/>
    </row>
    <row r="164" spans="2:15" ht="17.25" customHeight="1" x14ac:dyDescent="0.3">
      <c r="B164" s="675"/>
      <c r="C164" s="670">
        <v>26010844</v>
      </c>
      <c r="D164" s="670"/>
      <c r="E164" s="670"/>
      <c r="F164" s="670"/>
      <c r="G164" s="670" t="s">
        <v>75</v>
      </c>
      <c r="H164" s="670"/>
      <c r="I164" s="670"/>
      <c r="J164" s="670"/>
      <c r="K164" s="670"/>
      <c r="L164" s="670"/>
      <c r="M164" s="506" t="s">
        <v>77</v>
      </c>
      <c r="N164" s="510">
        <v>46204</v>
      </c>
      <c r="O164" s="493"/>
    </row>
    <row r="165" spans="2:15" ht="17.25" customHeight="1" x14ac:dyDescent="0.3">
      <c r="B165" s="675"/>
      <c r="C165" s="669">
        <v>26010845</v>
      </c>
      <c r="D165" s="669"/>
      <c r="E165" s="669"/>
      <c r="F165" s="669"/>
      <c r="G165" s="669" t="s">
        <v>75</v>
      </c>
      <c r="H165" s="669"/>
      <c r="I165" s="669"/>
      <c r="J165" s="669"/>
      <c r="K165" s="670"/>
      <c r="L165" s="670"/>
      <c r="M165" s="508" t="s">
        <v>77</v>
      </c>
      <c r="N165" s="510">
        <v>46204</v>
      </c>
      <c r="O165" s="493"/>
    </row>
    <row r="166" spans="2:15" ht="17.25" customHeight="1" x14ac:dyDescent="0.3">
      <c r="B166" s="675"/>
      <c r="C166" s="670">
        <v>26010846</v>
      </c>
      <c r="D166" s="670"/>
      <c r="E166" s="670"/>
      <c r="F166" s="670"/>
      <c r="G166" s="670" t="s">
        <v>75</v>
      </c>
      <c r="H166" s="670"/>
      <c r="I166" s="670"/>
      <c r="J166" s="670"/>
      <c r="K166" s="670"/>
      <c r="L166" s="670"/>
      <c r="M166" s="506" t="s">
        <v>77</v>
      </c>
      <c r="N166" s="510">
        <v>46204</v>
      </c>
      <c r="O166" s="493"/>
    </row>
    <row r="167" spans="2:15" ht="17.25" customHeight="1" x14ac:dyDescent="0.3">
      <c r="B167" s="675"/>
      <c r="C167" s="669">
        <v>26010847</v>
      </c>
      <c r="D167" s="669"/>
      <c r="E167" s="669"/>
      <c r="F167" s="669"/>
      <c r="G167" s="669" t="s">
        <v>75</v>
      </c>
      <c r="H167" s="669"/>
      <c r="I167" s="669"/>
      <c r="J167" s="669"/>
      <c r="K167" s="670"/>
      <c r="L167" s="670"/>
      <c r="M167" s="508" t="s">
        <v>77</v>
      </c>
      <c r="N167" s="510">
        <v>46204</v>
      </c>
      <c r="O167" s="493"/>
    </row>
    <row r="168" spans="2:15" ht="17.25" customHeight="1" x14ac:dyDescent="0.3">
      <c r="B168" s="675"/>
      <c r="C168" s="670">
        <v>26010848</v>
      </c>
      <c r="D168" s="670"/>
      <c r="E168" s="674"/>
      <c r="F168" s="674"/>
      <c r="G168" s="670" t="s">
        <v>75</v>
      </c>
      <c r="H168" s="670"/>
      <c r="I168" s="670"/>
      <c r="J168" s="670"/>
      <c r="K168" s="670"/>
      <c r="L168" s="670"/>
      <c r="M168" s="506" t="s">
        <v>77</v>
      </c>
      <c r="N168" s="510">
        <v>46205</v>
      </c>
      <c r="O168" s="493"/>
    </row>
    <row r="169" spans="2:15" ht="17.25" customHeight="1" x14ac:dyDescent="0.3">
      <c r="B169" s="675"/>
      <c r="C169" s="669">
        <v>26010849</v>
      </c>
      <c r="D169" s="669"/>
      <c r="E169" s="669"/>
      <c r="F169" s="669"/>
      <c r="G169" s="669" t="s">
        <v>75</v>
      </c>
      <c r="H169" s="669"/>
      <c r="I169" s="669"/>
      <c r="J169" s="669"/>
      <c r="K169" s="670"/>
      <c r="L169" s="670"/>
      <c r="M169" s="508" t="s">
        <v>77</v>
      </c>
      <c r="N169" s="510">
        <v>46205</v>
      </c>
      <c r="O169" s="493"/>
    </row>
    <row r="170" spans="2:15" ht="17.25" customHeight="1" x14ac:dyDescent="0.3">
      <c r="B170" s="675"/>
      <c r="C170" s="670">
        <v>26010850</v>
      </c>
      <c r="D170" s="670"/>
      <c r="E170" s="674"/>
      <c r="F170" s="674"/>
      <c r="G170" s="670" t="s">
        <v>75</v>
      </c>
      <c r="H170" s="670"/>
      <c r="I170" s="670"/>
      <c r="J170" s="670"/>
      <c r="K170" s="670"/>
      <c r="L170" s="670"/>
      <c r="M170" s="506" t="s">
        <v>77</v>
      </c>
      <c r="N170" s="510">
        <v>46205</v>
      </c>
      <c r="O170" s="493"/>
    </row>
    <row r="171" spans="2:15" ht="17.25" customHeight="1" x14ac:dyDescent="0.3">
      <c r="B171" s="675"/>
      <c r="C171" s="669">
        <v>26010851</v>
      </c>
      <c r="D171" s="669"/>
      <c r="E171" s="669"/>
      <c r="F171" s="669"/>
      <c r="G171" s="669" t="s">
        <v>75</v>
      </c>
      <c r="H171" s="669"/>
      <c r="I171" s="669"/>
      <c r="J171" s="669"/>
      <c r="K171" s="670"/>
      <c r="L171" s="670"/>
      <c r="M171" s="508" t="s">
        <v>77</v>
      </c>
      <c r="N171" s="510">
        <v>46205</v>
      </c>
      <c r="O171" s="493"/>
    </row>
    <row r="172" spans="2:15" ht="17.25" customHeight="1" x14ac:dyDescent="0.3">
      <c r="B172" s="675"/>
      <c r="C172" s="670">
        <v>26010852</v>
      </c>
      <c r="D172" s="670"/>
      <c r="E172" s="670"/>
      <c r="F172" s="670"/>
      <c r="G172" s="670" t="s">
        <v>75</v>
      </c>
      <c r="H172" s="670"/>
      <c r="I172" s="670"/>
      <c r="J172" s="670"/>
      <c r="K172" s="670"/>
      <c r="L172" s="670"/>
      <c r="M172" s="506" t="s">
        <v>77</v>
      </c>
      <c r="N172" s="510">
        <v>46205</v>
      </c>
      <c r="O172" s="493"/>
    </row>
    <row r="173" spans="2:15" ht="17.25" customHeight="1" x14ac:dyDescent="0.3">
      <c r="B173" s="675"/>
      <c r="C173" s="669">
        <v>26010853</v>
      </c>
      <c r="D173" s="669"/>
      <c r="E173" s="673"/>
      <c r="F173" s="673"/>
      <c r="G173" s="669" t="s">
        <v>75</v>
      </c>
      <c r="H173" s="669"/>
      <c r="I173" s="669"/>
      <c r="J173" s="669"/>
      <c r="K173" s="670"/>
      <c r="L173" s="670"/>
      <c r="M173" s="508" t="s">
        <v>77</v>
      </c>
      <c r="N173" s="510">
        <v>46205</v>
      </c>
      <c r="O173" s="493"/>
    </row>
    <row r="174" spans="2:15" ht="17.25" customHeight="1" x14ac:dyDescent="0.3">
      <c r="B174" s="675"/>
      <c r="C174" s="670">
        <v>26010854</v>
      </c>
      <c r="D174" s="670"/>
      <c r="E174" s="674" t="s">
        <v>364</v>
      </c>
      <c r="F174" s="674"/>
      <c r="G174" s="670" t="s">
        <v>75</v>
      </c>
      <c r="H174" s="670"/>
      <c r="I174" s="670"/>
      <c r="J174" s="670"/>
      <c r="K174" s="670"/>
      <c r="L174" s="670"/>
      <c r="M174" s="506" t="s">
        <v>77</v>
      </c>
      <c r="N174" s="510">
        <v>46205</v>
      </c>
      <c r="O174" s="493"/>
    </row>
    <row r="175" spans="2:15" ht="17.25" customHeight="1" x14ac:dyDescent="0.3">
      <c r="B175" s="508" t="s">
        <v>1142</v>
      </c>
      <c r="C175" s="669">
        <v>26010855</v>
      </c>
      <c r="D175" s="669"/>
      <c r="E175" s="669"/>
      <c r="F175" s="669"/>
      <c r="G175" s="669" t="s">
        <v>253</v>
      </c>
      <c r="H175" s="669"/>
      <c r="I175" s="669"/>
      <c r="J175" s="669"/>
      <c r="K175" s="669" t="s">
        <v>254</v>
      </c>
      <c r="L175" s="669"/>
      <c r="M175" s="509" t="s">
        <v>256</v>
      </c>
      <c r="N175" s="510">
        <v>46199</v>
      </c>
      <c r="O175" s="493"/>
    </row>
    <row r="176" spans="2:15" ht="17.25" customHeight="1" x14ac:dyDescent="0.3">
      <c r="B176" s="670" t="s">
        <v>1143</v>
      </c>
      <c r="C176" s="670">
        <v>26010856</v>
      </c>
      <c r="D176" s="670"/>
      <c r="E176" s="670"/>
      <c r="F176" s="670"/>
      <c r="G176" s="670" t="s">
        <v>143</v>
      </c>
      <c r="H176" s="670"/>
      <c r="I176" s="670"/>
      <c r="J176" s="670"/>
      <c r="K176" s="670" t="s">
        <v>62</v>
      </c>
      <c r="L176" s="670"/>
      <c r="M176" s="506" t="s">
        <v>1145</v>
      </c>
      <c r="N176" s="510">
        <v>46199</v>
      </c>
      <c r="O176" s="493"/>
    </row>
    <row r="177" spans="2:15" ht="17.25" customHeight="1" x14ac:dyDescent="0.3">
      <c r="B177" s="670"/>
      <c r="C177" s="669">
        <v>26010857</v>
      </c>
      <c r="D177" s="669"/>
      <c r="E177" s="669"/>
      <c r="F177" s="669"/>
      <c r="G177" s="669" t="s">
        <v>1144</v>
      </c>
      <c r="H177" s="669"/>
      <c r="I177" s="669"/>
      <c r="J177" s="669"/>
      <c r="K177" s="670"/>
      <c r="L177" s="670"/>
      <c r="M177" s="509" t="s">
        <v>106</v>
      </c>
      <c r="N177" s="510">
        <v>46200</v>
      </c>
      <c r="O177" s="493"/>
    </row>
    <row r="178" spans="2:15" ht="17.25" customHeight="1" x14ac:dyDescent="0.3">
      <c r="B178" s="506" t="s">
        <v>1147</v>
      </c>
      <c r="C178" s="670">
        <v>26010858</v>
      </c>
      <c r="D178" s="670"/>
      <c r="E178" s="670" t="s">
        <v>1148</v>
      </c>
      <c r="F178" s="670"/>
      <c r="G178" s="670" t="s">
        <v>358</v>
      </c>
      <c r="H178" s="670"/>
      <c r="I178" s="670"/>
      <c r="J178" s="670"/>
      <c r="K178" s="670" t="s">
        <v>76</v>
      </c>
      <c r="L178" s="670"/>
      <c r="M178" s="506" t="s">
        <v>1149</v>
      </c>
      <c r="N178" s="510">
        <v>46199</v>
      </c>
      <c r="O178" s="493"/>
    </row>
    <row r="179" spans="2:15" ht="17.25" customHeight="1" x14ac:dyDescent="0.3">
      <c r="B179" s="508" t="s">
        <v>1156</v>
      </c>
      <c r="C179" s="669">
        <v>26010859</v>
      </c>
      <c r="D179" s="669"/>
      <c r="E179" s="669"/>
      <c r="F179" s="669"/>
      <c r="G179" s="669" t="s">
        <v>86</v>
      </c>
      <c r="H179" s="669"/>
      <c r="I179" s="669"/>
      <c r="J179" s="669"/>
      <c r="K179" s="669" t="s">
        <v>27</v>
      </c>
      <c r="L179" s="669"/>
      <c r="M179" s="509" t="s">
        <v>544</v>
      </c>
      <c r="N179" s="510">
        <v>46204</v>
      </c>
      <c r="O179" s="493"/>
    </row>
    <row r="180" spans="2:15" ht="18" customHeight="1" x14ac:dyDescent="0.3">
      <c r="B180" s="125"/>
      <c r="C180" s="125"/>
      <c r="D180" s="125"/>
      <c r="E180" s="125"/>
      <c r="F180" s="125"/>
      <c r="G180" s="125"/>
      <c r="H180" s="125"/>
      <c r="I180" s="125"/>
      <c r="J180" s="125"/>
      <c r="K180" s="125"/>
      <c r="L180" s="125"/>
      <c r="M180" s="125"/>
      <c r="N180" s="124"/>
    </row>
    <row r="181" spans="2:15" ht="18" customHeight="1" x14ac:dyDescent="0.3">
      <c r="B181" s="125"/>
      <c r="C181" s="125"/>
      <c r="D181" s="125"/>
      <c r="E181" s="125"/>
      <c r="F181" s="125"/>
      <c r="G181" s="125"/>
      <c r="H181" s="125"/>
      <c r="I181" s="125"/>
      <c r="J181" s="125"/>
      <c r="K181" s="125"/>
      <c r="L181" s="125"/>
      <c r="M181" s="125"/>
      <c r="N181" s="124"/>
    </row>
    <row r="182" spans="2:15" ht="18" customHeight="1" x14ac:dyDescent="0.3">
      <c r="B182" s="125"/>
      <c r="C182" s="125"/>
      <c r="D182" s="125"/>
      <c r="E182" s="125"/>
      <c r="F182" s="125"/>
      <c r="G182" s="125"/>
      <c r="H182" s="125"/>
      <c r="I182" s="125"/>
      <c r="J182" s="125"/>
      <c r="K182" s="125"/>
      <c r="L182" s="125"/>
      <c r="M182" s="125"/>
      <c r="N182" s="124"/>
    </row>
    <row r="183" spans="2:15" ht="18" customHeight="1" x14ac:dyDescent="0.3">
      <c r="B183" s="125"/>
      <c r="C183" s="125"/>
      <c r="D183" s="125"/>
      <c r="E183" s="125"/>
      <c r="F183" s="125"/>
      <c r="G183" s="125"/>
      <c r="H183" s="125"/>
      <c r="I183" s="125"/>
      <c r="J183" s="125"/>
      <c r="K183" s="125"/>
      <c r="L183" s="125"/>
      <c r="M183" s="125"/>
      <c r="N183" s="124"/>
    </row>
    <row r="184" spans="2:15" ht="18" customHeight="1" x14ac:dyDescent="0.3">
      <c r="B184" s="125"/>
      <c r="C184" s="125"/>
      <c r="D184" s="125"/>
      <c r="E184" s="125"/>
      <c r="F184" s="125"/>
      <c r="G184" s="125"/>
      <c r="H184" s="125"/>
      <c r="I184" s="125"/>
      <c r="J184" s="125"/>
      <c r="K184" s="125"/>
      <c r="L184" s="125"/>
      <c r="M184" s="125"/>
      <c r="N184" s="124"/>
    </row>
    <row r="185" spans="2:15" ht="18" customHeight="1" x14ac:dyDescent="0.3">
      <c r="B185" s="125"/>
      <c r="C185" s="125"/>
      <c r="D185" s="125"/>
      <c r="E185" s="125"/>
      <c r="F185" s="125"/>
      <c r="G185" s="125"/>
      <c r="H185" s="125"/>
      <c r="I185" s="125"/>
      <c r="J185" s="125"/>
      <c r="K185" s="125"/>
      <c r="L185" s="125"/>
      <c r="M185" s="125"/>
      <c r="N185" s="124"/>
    </row>
    <row r="186" spans="2:15" ht="18" customHeight="1" x14ac:dyDescent="0.3">
      <c r="B186" s="125"/>
      <c r="C186" s="125"/>
      <c r="D186" s="125"/>
      <c r="E186" s="125"/>
      <c r="F186" s="125"/>
      <c r="G186" s="125"/>
      <c r="H186" s="125"/>
      <c r="I186" s="125"/>
      <c r="J186" s="125"/>
      <c r="K186" s="125"/>
      <c r="L186" s="125"/>
      <c r="M186" s="125"/>
      <c r="N186" s="124"/>
    </row>
    <row r="187" spans="2:15" ht="18" customHeight="1" x14ac:dyDescent="0.3">
      <c r="B187" s="125"/>
      <c r="C187" s="125"/>
      <c r="D187" s="125"/>
      <c r="E187" s="125"/>
      <c r="F187" s="125"/>
      <c r="G187" s="125"/>
      <c r="H187" s="125"/>
      <c r="I187" s="125"/>
      <c r="J187" s="125"/>
      <c r="K187" s="125"/>
      <c r="L187" s="125"/>
      <c r="M187" s="125"/>
      <c r="N187" s="124"/>
    </row>
    <row r="188" spans="2:15" ht="18" customHeight="1" x14ac:dyDescent="0.3">
      <c r="B188" s="125"/>
      <c r="C188" s="125"/>
      <c r="D188" s="125"/>
      <c r="E188" s="125"/>
      <c r="F188" s="125"/>
      <c r="G188" s="125"/>
      <c r="H188" s="125"/>
      <c r="I188" s="125"/>
      <c r="J188" s="125"/>
      <c r="K188" s="125"/>
      <c r="L188" s="125"/>
      <c r="M188" s="125"/>
      <c r="N188" s="124"/>
    </row>
    <row r="189" spans="2:15" ht="18" customHeight="1" x14ac:dyDescent="0.3">
      <c r="B189" s="125"/>
      <c r="C189" s="125"/>
      <c r="D189" s="125"/>
      <c r="E189" s="125"/>
      <c r="F189" s="125"/>
      <c r="G189" s="125"/>
      <c r="H189" s="125"/>
      <c r="I189" s="125"/>
      <c r="J189" s="125"/>
      <c r="K189" s="125"/>
      <c r="L189" s="125"/>
      <c r="M189" s="125"/>
      <c r="N189" s="124"/>
    </row>
    <row r="190" spans="2:15" ht="18" customHeight="1" x14ac:dyDescent="0.3">
      <c r="B190" s="125"/>
      <c r="C190" s="125"/>
      <c r="D190" s="125"/>
      <c r="E190" s="125"/>
      <c r="F190" s="125"/>
      <c r="G190" s="125"/>
      <c r="H190" s="125"/>
      <c r="I190" s="125"/>
      <c r="J190" s="125"/>
      <c r="K190" s="125"/>
      <c r="L190" s="125"/>
      <c r="M190" s="125"/>
      <c r="N190" s="124"/>
    </row>
    <row r="191" spans="2:15" ht="18" customHeight="1" x14ac:dyDescent="0.3">
      <c r="B191" s="125"/>
      <c r="C191" s="125"/>
      <c r="D191" s="125"/>
      <c r="E191" s="125"/>
      <c r="F191" s="125"/>
      <c r="G191" s="125"/>
      <c r="H191" s="125"/>
      <c r="I191" s="125"/>
      <c r="J191" s="125"/>
      <c r="K191" s="125"/>
      <c r="L191" s="125"/>
      <c r="M191" s="125"/>
      <c r="N191" s="124"/>
    </row>
    <row r="192" spans="2:15" ht="18" customHeight="1" x14ac:dyDescent="0.3">
      <c r="B192" s="125"/>
      <c r="C192" s="125"/>
      <c r="D192" s="125"/>
      <c r="E192" s="125"/>
      <c r="F192" s="125"/>
      <c r="G192" s="125"/>
      <c r="H192" s="125"/>
      <c r="I192" s="125"/>
      <c r="J192" s="125"/>
      <c r="K192" s="125"/>
      <c r="L192" s="125"/>
      <c r="M192" s="125"/>
      <c r="N192" s="124"/>
    </row>
    <row r="193" spans="2:14" ht="18" customHeight="1" x14ac:dyDescent="0.3">
      <c r="B193" s="125"/>
      <c r="C193" s="125"/>
      <c r="D193" s="125"/>
      <c r="E193" s="125"/>
      <c r="F193" s="125"/>
      <c r="G193" s="125"/>
      <c r="H193" s="125"/>
      <c r="I193" s="125"/>
      <c r="J193" s="125"/>
      <c r="K193" s="125"/>
      <c r="L193" s="125"/>
      <c r="M193" s="125"/>
      <c r="N193" s="124"/>
    </row>
    <row r="194" spans="2:14" ht="18" customHeight="1" x14ac:dyDescent="0.3">
      <c r="B194" s="125"/>
      <c r="C194" s="125"/>
      <c r="D194" s="125"/>
      <c r="E194" s="125"/>
      <c r="F194" s="125"/>
      <c r="G194" s="125"/>
      <c r="H194" s="125"/>
      <c r="I194" s="125"/>
      <c r="J194" s="125"/>
      <c r="K194" s="125"/>
      <c r="L194" s="125"/>
      <c r="M194" s="125"/>
      <c r="N194" s="124"/>
    </row>
    <row r="195" spans="2:14" ht="18" customHeight="1" x14ac:dyDescent="0.3">
      <c r="B195" s="125"/>
      <c r="C195" s="125"/>
      <c r="D195" s="125"/>
      <c r="E195" s="125"/>
      <c r="F195" s="125"/>
      <c r="G195" s="125"/>
      <c r="H195" s="125"/>
      <c r="I195" s="125"/>
      <c r="J195" s="125"/>
      <c r="K195" s="125"/>
      <c r="L195" s="125"/>
      <c r="M195" s="125"/>
      <c r="N195" s="124"/>
    </row>
    <row r="196" spans="2:14" ht="18" customHeight="1" x14ac:dyDescent="0.3">
      <c r="B196" s="125"/>
      <c r="C196" s="125"/>
      <c r="D196" s="125"/>
      <c r="E196" s="125"/>
      <c r="F196" s="125"/>
      <c r="G196" s="125"/>
      <c r="H196" s="125"/>
      <c r="I196" s="125"/>
      <c r="J196" s="125"/>
      <c r="K196" s="125"/>
      <c r="L196" s="125"/>
      <c r="M196" s="125"/>
      <c r="N196" s="124"/>
    </row>
    <row r="197" spans="2:14" ht="18" customHeight="1" x14ac:dyDescent="0.3">
      <c r="B197" s="125"/>
      <c r="C197" s="125"/>
      <c r="D197" s="125"/>
      <c r="E197" s="125"/>
      <c r="F197" s="125"/>
      <c r="G197" s="125"/>
      <c r="H197" s="125"/>
      <c r="I197" s="125"/>
      <c r="J197" s="125"/>
      <c r="K197" s="125"/>
      <c r="L197" s="125"/>
      <c r="M197" s="125"/>
      <c r="N197" s="124"/>
    </row>
    <row r="198" spans="2:14" ht="18" customHeight="1" x14ac:dyDescent="0.3">
      <c r="B198" s="125"/>
      <c r="C198" s="125"/>
      <c r="D198" s="125"/>
      <c r="E198" s="125"/>
      <c r="F198" s="125"/>
      <c r="G198" s="125"/>
      <c r="H198" s="125"/>
      <c r="I198" s="125"/>
      <c r="J198" s="125"/>
      <c r="K198" s="125"/>
      <c r="L198" s="125"/>
      <c r="M198" s="125"/>
      <c r="N198" s="124"/>
    </row>
    <row r="199" spans="2:14" ht="18" customHeight="1" x14ac:dyDescent="0.3">
      <c r="B199" s="125"/>
      <c r="C199" s="125"/>
      <c r="D199" s="125"/>
      <c r="E199" s="125"/>
      <c r="F199" s="125"/>
      <c r="G199" s="125"/>
      <c r="H199" s="125"/>
      <c r="I199" s="125"/>
      <c r="J199" s="125"/>
      <c r="K199" s="125"/>
      <c r="L199" s="125"/>
      <c r="M199" s="125"/>
      <c r="N199" s="124"/>
    </row>
    <row r="200" spans="2:14" ht="18" customHeight="1" x14ac:dyDescent="0.3">
      <c r="B200" s="125"/>
      <c r="C200" s="125"/>
      <c r="D200" s="125"/>
      <c r="E200" s="125"/>
      <c r="F200" s="125"/>
      <c r="G200" s="125"/>
      <c r="H200" s="125"/>
      <c r="I200" s="125"/>
      <c r="J200" s="125"/>
      <c r="K200" s="125"/>
      <c r="L200" s="125"/>
      <c r="M200" s="125"/>
      <c r="N200" s="124"/>
    </row>
    <row r="201" spans="2:14" ht="18" customHeight="1" x14ac:dyDescent="0.3">
      <c r="N201" s="62"/>
    </row>
    <row r="202" spans="2:14" ht="18" customHeight="1" x14ac:dyDescent="0.3">
      <c r="N202" s="62"/>
    </row>
    <row r="203" spans="2:14" ht="18" customHeight="1" x14ac:dyDescent="0.3">
      <c r="N203" s="62"/>
    </row>
    <row r="204" spans="2:14" ht="18" customHeight="1" x14ac:dyDescent="0.3">
      <c r="N204" s="62"/>
    </row>
    <row r="205" spans="2:14" ht="18" customHeight="1" x14ac:dyDescent="0.3">
      <c r="N205" s="62"/>
    </row>
    <row r="206" spans="2:14" ht="18" customHeight="1" x14ac:dyDescent="0.3">
      <c r="N206" s="62"/>
    </row>
    <row r="207" spans="2:14" ht="18" customHeight="1" x14ac:dyDescent="0.3">
      <c r="N207" s="62"/>
    </row>
    <row r="208" spans="2: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sheetData>
  <mergeCells count="573">
    <mergeCell ref="C164:D164"/>
    <mergeCell ref="E164:F164"/>
    <mergeCell ref="G164:J164"/>
    <mergeCell ref="B176:B177"/>
    <mergeCell ref="K176:L177"/>
    <mergeCell ref="G159:J159"/>
    <mergeCell ref="C160:D160"/>
    <mergeCell ref="E160:F160"/>
    <mergeCell ref="C163:D163"/>
    <mergeCell ref="E163:F163"/>
    <mergeCell ref="G163:J163"/>
    <mergeCell ref="G160:J160"/>
    <mergeCell ref="C161:D161"/>
    <mergeCell ref="E161:F161"/>
    <mergeCell ref="G161:J161"/>
    <mergeCell ref="C162:D162"/>
    <mergeCell ref="E162:F162"/>
    <mergeCell ref="G162:J162"/>
    <mergeCell ref="C165:D165"/>
    <mergeCell ref="E165:F165"/>
    <mergeCell ref="G165:J165"/>
    <mergeCell ref="C166:D166"/>
    <mergeCell ref="E166:F166"/>
    <mergeCell ref="G166:J166"/>
    <mergeCell ref="C157:D157"/>
    <mergeCell ref="E157:F157"/>
    <mergeCell ref="G157:J157"/>
    <mergeCell ref="C158:D158"/>
    <mergeCell ref="E158:F158"/>
    <mergeCell ref="G158:J158"/>
    <mergeCell ref="B150:B174"/>
    <mergeCell ref="K150:L174"/>
    <mergeCell ref="C179:D179"/>
    <mergeCell ref="E179:F179"/>
    <mergeCell ref="G179:J179"/>
    <mergeCell ref="K179:L179"/>
    <mergeCell ref="C156:D156"/>
    <mergeCell ref="E156:F156"/>
    <mergeCell ref="G156:J156"/>
    <mergeCell ref="C159:D159"/>
    <mergeCell ref="C153:D153"/>
    <mergeCell ref="E153:F153"/>
    <mergeCell ref="G153:J153"/>
    <mergeCell ref="C154:D154"/>
    <mergeCell ref="E154:F154"/>
    <mergeCell ref="G154:J154"/>
    <mergeCell ref="C155:D155"/>
    <mergeCell ref="E159:F159"/>
    <mergeCell ref="C148:D148"/>
    <mergeCell ref="E148:F148"/>
    <mergeCell ref="G148:J148"/>
    <mergeCell ref="C149:D149"/>
    <mergeCell ref="E149:F149"/>
    <mergeCell ref="C151:D151"/>
    <mergeCell ref="E151:F151"/>
    <mergeCell ref="G151:J151"/>
    <mergeCell ref="C152:D152"/>
    <mergeCell ref="E152:F152"/>
    <mergeCell ref="G152:J152"/>
    <mergeCell ref="E155:F155"/>
    <mergeCell ref="G155:J155"/>
    <mergeCell ref="G146:J146"/>
    <mergeCell ref="C147:D147"/>
    <mergeCell ref="E147:F147"/>
    <mergeCell ref="G147:J147"/>
    <mergeCell ref="B116:B122"/>
    <mergeCell ref="K116:L122"/>
    <mergeCell ref="B124:B148"/>
    <mergeCell ref="K124:L148"/>
    <mergeCell ref="G149:J149"/>
    <mergeCell ref="K149:L149"/>
    <mergeCell ref="C150:D150"/>
    <mergeCell ref="E150:F150"/>
    <mergeCell ref="G150:J150"/>
    <mergeCell ref="C145:D145"/>
    <mergeCell ref="E145:F145"/>
    <mergeCell ref="G145:J145"/>
    <mergeCell ref="C146:D146"/>
    <mergeCell ref="E146:F146"/>
    <mergeCell ref="C142:D142"/>
    <mergeCell ref="E142:F142"/>
    <mergeCell ref="G142:J142"/>
    <mergeCell ref="C137:D137"/>
    <mergeCell ref="C143:D143"/>
    <mergeCell ref="E143:F143"/>
    <mergeCell ref="G143:J143"/>
    <mergeCell ref="C144:D144"/>
    <mergeCell ref="E144:F144"/>
    <mergeCell ref="G144:J144"/>
    <mergeCell ref="C136:D136"/>
    <mergeCell ref="E136:F136"/>
    <mergeCell ref="G136:J136"/>
    <mergeCell ref="E137:F137"/>
    <mergeCell ref="G137:J137"/>
    <mergeCell ref="C138:D138"/>
    <mergeCell ref="E138:F138"/>
    <mergeCell ref="C140:D140"/>
    <mergeCell ref="E140:F140"/>
    <mergeCell ref="G140:J140"/>
    <mergeCell ref="C141:D141"/>
    <mergeCell ref="E141:F141"/>
    <mergeCell ref="G141:J141"/>
    <mergeCell ref="B86:B110"/>
    <mergeCell ref="K86:L110"/>
    <mergeCell ref="B81:B82"/>
    <mergeCell ref="K81:L82"/>
    <mergeCell ref="G138:J138"/>
    <mergeCell ref="C139:D139"/>
    <mergeCell ref="E139:F139"/>
    <mergeCell ref="G139:J139"/>
    <mergeCell ref="C134:D134"/>
    <mergeCell ref="E134:F134"/>
    <mergeCell ref="G134:J134"/>
    <mergeCell ref="C135:D135"/>
    <mergeCell ref="E135:F135"/>
    <mergeCell ref="G135:J135"/>
    <mergeCell ref="C132:D132"/>
    <mergeCell ref="E132:F132"/>
    <mergeCell ref="G132:J132"/>
    <mergeCell ref="C133:D133"/>
    <mergeCell ref="E133:F133"/>
    <mergeCell ref="G133:J133"/>
    <mergeCell ref="C130:D130"/>
    <mergeCell ref="E130:F130"/>
    <mergeCell ref="G130:J130"/>
    <mergeCell ref="C131:D131"/>
    <mergeCell ref="E131:F131"/>
    <mergeCell ref="G131:J131"/>
    <mergeCell ref="C128:D128"/>
    <mergeCell ref="E128:F128"/>
    <mergeCell ref="G128:J128"/>
    <mergeCell ref="C129:D129"/>
    <mergeCell ref="E129:F129"/>
    <mergeCell ref="G129:J129"/>
    <mergeCell ref="C126:D126"/>
    <mergeCell ref="E126:F126"/>
    <mergeCell ref="G126:J126"/>
    <mergeCell ref="C127:D127"/>
    <mergeCell ref="E127:F127"/>
    <mergeCell ref="G127:J127"/>
    <mergeCell ref="C84:D84"/>
    <mergeCell ref="E84:F84"/>
    <mergeCell ref="G84:J84"/>
    <mergeCell ref="K84:L84"/>
    <mergeCell ref="G89:J89"/>
    <mergeCell ref="C125:D125"/>
    <mergeCell ref="E125:F125"/>
    <mergeCell ref="G125:J125"/>
    <mergeCell ref="G92:J92"/>
    <mergeCell ref="C93:D93"/>
    <mergeCell ref="E93:F93"/>
    <mergeCell ref="G93:J93"/>
    <mergeCell ref="C88:D88"/>
    <mergeCell ref="E88:F88"/>
    <mergeCell ref="G88:J88"/>
    <mergeCell ref="C89:D89"/>
    <mergeCell ref="E89:F89"/>
    <mergeCell ref="C97:D97"/>
    <mergeCell ref="E97:F97"/>
    <mergeCell ref="G97:J97"/>
    <mergeCell ref="C96:D96"/>
    <mergeCell ref="E96:F96"/>
    <mergeCell ref="G96:J96"/>
    <mergeCell ref="G103:J103"/>
    <mergeCell ref="B27:B52"/>
    <mergeCell ref="K27:L52"/>
    <mergeCell ref="C94:D94"/>
    <mergeCell ref="E94:F94"/>
    <mergeCell ref="G94:J94"/>
    <mergeCell ref="C91:D91"/>
    <mergeCell ref="E91:F91"/>
    <mergeCell ref="G91:J91"/>
    <mergeCell ref="C92:D92"/>
    <mergeCell ref="E92:F92"/>
    <mergeCell ref="K85:L85"/>
    <mergeCell ref="C86:D86"/>
    <mergeCell ref="E86:F86"/>
    <mergeCell ref="G86:J86"/>
    <mergeCell ref="C87:D87"/>
    <mergeCell ref="E87:F87"/>
    <mergeCell ref="G87:J87"/>
    <mergeCell ref="C90:D90"/>
    <mergeCell ref="E90:F90"/>
    <mergeCell ref="G90:J90"/>
    <mergeCell ref="C85:D85"/>
    <mergeCell ref="E85:F85"/>
    <mergeCell ref="G85:J85"/>
    <mergeCell ref="C83:D83"/>
    <mergeCell ref="E83:F83"/>
    <mergeCell ref="G83:J83"/>
    <mergeCell ref="K83:L83"/>
    <mergeCell ref="C79:D79"/>
    <mergeCell ref="E79:F79"/>
    <mergeCell ref="G79:J79"/>
    <mergeCell ref="C80:D80"/>
    <mergeCell ref="E80:F80"/>
    <mergeCell ref="G80:J80"/>
    <mergeCell ref="C78:D78"/>
    <mergeCell ref="E78:F78"/>
    <mergeCell ref="G78:J78"/>
    <mergeCell ref="C82:D82"/>
    <mergeCell ref="E82:F82"/>
    <mergeCell ref="G82:J82"/>
    <mergeCell ref="C81:D81"/>
    <mergeCell ref="E81:F81"/>
    <mergeCell ref="G81:J81"/>
    <mergeCell ref="C76:D76"/>
    <mergeCell ref="E76:F76"/>
    <mergeCell ref="G76:J76"/>
    <mergeCell ref="C77:D77"/>
    <mergeCell ref="E77:F77"/>
    <mergeCell ref="G77:J77"/>
    <mergeCell ref="C74:D74"/>
    <mergeCell ref="E74:F74"/>
    <mergeCell ref="G74:J74"/>
    <mergeCell ref="C75:D75"/>
    <mergeCell ref="E75:F75"/>
    <mergeCell ref="G75:J75"/>
    <mergeCell ref="C72:D72"/>
    <mergeCell ref="E72:F72"/>
    <mergeCell ref="G72:J72"/>
    <mergeCell ref="C73:D73"/>
    <mergeCell ref="E73:F73"/>
    <mergeCell ref="G73:J73"/>
    <mergeCell ref="C70:D70"/>
    <mergeCell ref="E70:F70"/>
    <mergeCell ref="G70:J70"/>
    <mergeCell ref="C71:D71"/>
    <mergeCell ref="E71:F71"/>
    <mergeCell ref="G71:J71"/>
    <mergeCell ref="C68:D68"/>
    <mergeCell ref="E68:F68"/>
    <mergeCell ref="G68:J68"/>
    <mergeCell ref="C69:D69"/>
    <mergeCell ref="E69:F69"/>
    <mergeCell ref="G69:J69"/>
    <mergeCell ref="C66:D66"/>
    <mergeCell ref="E66:F66"/>
    <mergeCell ref="G66:J66"/>
    <mergeCell ref="C67:D67"/>
    <mergeCell ref="E67:F67"/>
    <mergeCell ref="G67:J67"/>
    <mergeCell ref="C64:D64"/>
    <mergeCell ref="E64:F64"/>
    <mergeCell ref="G64:J64"/>
    <mergeCell ref="C65:D65"/>
    <mergeCell ref="E65:F65"/>
    <mergeCell ref="G65:J65"/>
    <mergeCell ref="C62:D62"/>
    <mergeCell ref="E62:F62"/>
    <mergeCell ref="G62:J62"/>
    <mergeCell ref="C63:D63"/>
    <mergeCell ref="E63:F63"/>
    <mergeCell ref="G63:J63"/>
    <mergeCell ref="C60:D60"/>
    <mergeCell ref="E60:F60"/>
    <mergeCell ref="G60:J60"/>
    <mergeCell ref="C61:D61"/>
    <mergeCell ref="E61:F61"/>
    <mergeCell ref="G61:J61"/>
    <mergeCell ref="C58:D58"/>
    <mergeCell ref="E58:F58"/>
    <mergeCell ref="G58:J58"/>
    <mergeCell ref="C59:D59"/>
    <mergeCell ref="E59:F59"/>
    <mergeCell ref="G59:J59"/>
    <mergeCell ref="K55:L55"/>
    <mergeCell ref="C56:D56"/>
    <mergeCell ref="E56:F56"/>
    <mergeCell ref="G56:J56"/>
    <mergeCell ref="C57:D57"/>
    <mergeCell ref="E57:F57"/>
    <mergeCell ref="G57:J57"/>
    <mergeCell ref="C54:D54"/>
    <mergeCell ref="E54:F54"/>
    <mergeCell ref="G54:J54"/>
    <mergeCell ref="C55:D55"/>
    <mergeCell ref="E55:F55"/>
    <mergeCell ref="G55:J55"/>
    <mergeCell ref="C52:D52"/>
    <mergeCell ref="E52:F52"/>
    <mergeCell ref="G52:J52"/>
    <mergeCell ref="C53:D53"/>
    <mergeCell ref="E53:F53"/>
    <mergeCell ref="G53:J53"/>
    <mergeCell ref="C50:D50"/>
    <mergeCell ref="E50:F50"/>
    <mergeCell ref="G50:J50"/>
    <mergeCell ref="C51:D51"/>
    <mergeCell ref="E51:F51"/>
    <mergeCell ref="G51:J51"/>
    <mergeCell ref="C48:D48"/>
    <mergeCell ref="E48:F48"/>
    <mergeCell ref="G48:J48"/>
    <mergeCell ref="C49:D49"/>
    <mergeCell ref="E49:F49"/>
    <mergeCell ref="G49:J49"/>
    <mergeCell ref="C46:D46"/>
    <mergeCell ref="E46:F46"/>
    <mergeCell ref="G46:J46"/>
    <mergeCell ref="C47:D47"/>
    <mergeCell ref="E47:F47"/>
    <mergeCell ref="G47:J47"/>
    <mergeCell ref="C44:D44"/>
    <mergeCell ref="E44:F44"/>
    <mergeCell ref="G44:J44"/>
    <mergeCell ref="C45:D45"/>
    <mergeCell ref="E45:F45"/>
    <mergeCell ref="G45:J45"/>
    <mergeCell ref="C42:D42"/>
    <mergeCell ref="E42:F42"/>
    <mergeCell ref="G42:J42"/>
    <mergeCell ref="C43:D43"/>
    <mergeCell ref="E43:F43"/>
    <mergeCell ref="G43:J43"/>
    <mergeCell ref="C40:D40"/>
    <mergeCell ref="E40:F40"/>
    <mergeCell ref="G40:J40"/>
    <mergeCell ref="C41:D41"/>
    <mergeCell ref="E41:F41"/>
    <mergeCell ref="G41:J41"/>
    <mergeCell ref="C38:D38"/>
    <mergeCell ref="E38:F38"/>
    <mergeCell ref="G38:J38"/>
    <mergeCell ref="C39:D39"/>
    <mergeCell ref="E39:F39"/>
    <mergeCell ref="G39:J39"/>
    <mergeCell ref="C36:D36"/>
    <mergeCell ref="E36:F36"/>
    <mergeCell ref="G36:J36"/>
    <mergeCell ref="C37:D37"/>
    <mergeCell ref="E37:F37"/>
    <mergeCell ref="G37:J37"/>
    <mergeCell ref="C34:D34"/>
    <mergeCell ref="E34:F34"/>
    <mergeCell ref="G34:J34"/>
    <mergeCell ref="C35:D35"/>
    <mergeCell ref="E35:F35"/>
    <mergeCell ref="G35:J35"/>
    <mergeCell ref="C32:D32"/>
    <mergeCell ref="E32:F32"/>
    <mergeCell ref="G32:J32"/>
    <mergeCell ref="C33:D33"/>
    <mergeCell ref="E33:F33"/>
    <mergeCell ref="G33:J33"/>
    <mergeCell ref="C30:D30"/>
    <mergeCell ref="E30:F30"/>
    <mergeCell ref="G30:J30"/>
    <mergeCell ref="C31:D31"/>
    <mergeCell ref="E31:F31"/>
    <mergeCell ref="G31:J31"/>
    <mergeCell ref="C28:D28"/>
    <mergeCell ref="E28:F28"/>
    <mergeCell ref="G28:J28"/>
    <mergeCell ref="C29:D29"/>
    <mergeCell ref="E29:F29"/>
    <mergeCell ref="G29:J29"/>
    <mergeCell ref="K25:L25"/>
    <mergeCell ref="C26:D26"/>
    <mergeCell ref="E26:F26"/>
    <mergeCell ref="G26:J26"/>
    <mergeCell ref="K26:L26"/>
    <mergeCell ref="C27:D27"/>
    <mergeCell ref="E27:F27"/>
    <mergeCell ref="G27:J27"/>
    <mergeCell ref="C24:D24"/>
    <mergeCell ref="E24:F24"/>
    <mergeCell ref="G24:J24"/>
    <mergeCell ref="C25:D25"/>
    <mergeCell ref="E25:F25"/>
    <mergeCell ref="G25:J25"/>
    <mergeCell ref="C22:D22"/>
    <mergeCell ref="E22:F22"/>
    <mergeCell ref="G22:J22"/>
    <mergeCell ref="C23:D23"/>
    <mergeCell ref="E23:F23"/>
    <mergeCell ref="G23:J23"/>
    <mergeCell ref="K19:L19"/>
    <mergeCell ref="C20:D20"/>
    <mergeCell ref="E20:F20"/>
    <mergeCell ref="G20:J20"/>
    <mergeCell ref="K20:L20"/>
    <mergeCell ref="C21:D21"/>
    <mergeCell ref="E21:F21"/>
    <mergeCell ref="G21:J21"/>
    <mergeCell ref="C18:D18"/>
    <mergeCell ref="E18:F18"/>
    <mergeCell ref="G18:J18"/>
    <mergeCell ref="C19:D19"/>
    <mergeCell ref="E19:F19"/>
    <mergeCell ref="G19:J19"/>
    <mergeCell ref="C16:D16"/>
    <mergeCell ref="E16:F16"/>
    <mergeCell ref="G16:J16"/>
    <mergeCell ref="C17:D17"/>
    <mergeCell ref="E17:F17"/>
    <mergeCell ref="G17:J17"/>
    <mergeCell ref="C14:D14"/>
    <mergeCell ref="E14:F14"/>
    <mergeCell ref="G14:J14"/>
    <mergeCell ref="C15:D15"/>
    <mergeCell ref="E15:F15"/>
    <mergeCell ref="G15:J15"/>
    <mergeCell ref="C9:D9"/>
    <mergeCell ref="E9:F9"/>
    <mergeCell ref="G9:J9"/>
    <mergeCell ref="G4:J4"/>
    <mergeCell ref="C12:D12"/>
    <mergeCell ref="E12:F12"/>
    <mergeCell ref="G12:J12"/>
    <mergeCell ref="C13:D13"/>
    <mergeCell ref="E13:F13"/>
    <mergeCell ref="G13:J13"/>
    <mergeCell ref="C10:D10"/>
    <mergeCell ref="E10:F10"/>
    <mergeCell ref="G10:J10"/>
    <mergeCell ref="C11:D11"/>
    <mergeCell ref="E11:F11"/>
    <mergeCell ref="G11:J11"/>
    <mergeCell ref="B1:N2"/>
    <mergeCell ref="C3:D3"/>
    <mergeCell ref="E3:F3"/>
    <mergeCell ref="G3:J3"/>
    <mergeCell ref="K3:L3"/>
    <mergeCell ref="C4:D4"/>
    <mergeCell ref="E4:F4"/>
    <mergeCell ref="C95:D95"/>
    <mergeCell ref="E95:F95"/>
    <mergeCell ref="G95:J95"/>
    <mergeCell ref="B4:B18"/>
    <mergeCell ref="K4:L18"/>
    <mergeCell ref="C5:D5"/>
    <mergeCell ref="E5:F5"/>
    <mergeCell ref="G5:J5"/>
    <mergeCell ref="C6:D6"/>
    <mergeCell ref="E6:F6"/>
    <mergeCell ref="G6:J6"/>
    <mergeCell ref="C7:D7"/>
    <mergeCell ref="E7:F7"/>
    <mergeCell ref="G7:J7"/>
    <mergeCell ref="C8:D8"/>
    <mergeCell ref="E8:F8"/>
    <mergeCell ref="G8:J8"/>
    <mergeCell ref="C101:D101"/>
    <mergeCell ref="E101:F101"/>
    <mergeCell ref="G101:J101"/>
    <mergeCell ref="C102:D102"/>
    <mergeCell ref="E102:F102"/>
    <mergeCell ref="G102:J102"/>
    <mergeCell ref="C103:D103"/>
    <mergeCell ref="E103:F103"/>
    <mergeCell ref="C98:D98"/>
    <mergeCell ref="E98:F98"/>
    <mergeCell ref="G98:J98"/>
    <mergeCell ref="C99:D99"/>
    <mergeCell ref="E99:F99"/>
    <mergeCell ref="G99:J99"/>
    <mergeCell ref="C100:D100"/>
    <mergeCell ref="E100:F100"/>
    <mergeCell ref="G100:J100"/>
    <mergeCell ref="C112:D112"/>
    <mergeCell ref="E112:F112"/>
    <mergeCell ref="C115:D115"/>
    <mergeCell ref="E115:F115"/>
    <mergeCell ref="G115:J115"/>
    <mergeCell ref="C109:D109"/>
    <mergeCell ref="E109:F109"/>
    <mergeCell ref="G109:J109"/>
    <mergeCell ref="C104:D104"/>
    <mergeCell ref="E104:F104"/>
    <mergeCell ref="G104:J104"/>
    <mergeCell ref="C105:D105"/>
    <mergeCell ref="E105:F105"/>
    <mergeCell ref="G105:J105"/>
    <mergeCell ref="C106:D106"/>
    <mergeCell ref="C107:D107"/>
    <mergeCell ref="E107:F107"/>
    <mergeCell ref="G107:J107"/>
    <mergeCell ref="C108:D108"/>
    <mergeCell ref="E108:F108"/>
    <mergeCell ref="G108:J108"/>
    <mergeCell ref="E106:F106"/>
    <mergeCell ref="G106:J106"/>
    <mergeCell ref="C124:D124"/>
    <mergeCell ref="E124:F124"/>
    <mergeCell ref="G124:J124"/>
    <mergeCell ref="C119:D119"/>
    <mergeCell ref="E119:F119"/>
    <mergeCell ref="G119:J119"/>
    <mergeCell ref="C120:D120"/>
    <mergeCell ref="E120:F120"/>
    <mergeCell ref="G120:J120"/>
    <mergeCell ref="C121:D121"/>
    <mergeCell ref="E121:F121"/>
    <mergeCell ref="G121:J121"/>
    <mergeCell ref="C123:D123"/>
    <mergeCell ref="E123:F123"/>
    <mergeCell ref="G123:J123"/>
    <mergeCell ref="K123:L123"/>
    <mergeCell ref="C116:D116"/>
    <mergeCell ref="E116:F116"/>
    <mergeCell ref="G116:J116"/>
    <mergeCell ref="C117:D117"/>
    <mergeCell ref="E117:F117"/>
    <mergeCell ref="G117:J117"/>
    <mergeCell ref="C118:D118"/>
    <mergeCell ref="E118:F118"/>
    <mergeCell ref="G118:J118"/>
    <mergeCell ref="C122:D122"/>
    <mergeCell ref="E122:F122"/>
    <mergeCell ref="G122:J122"/>
    <mergeCell ref="K115:L115"/>
    <mergeCell ref="C110:D110"/>
    <mergeCell ref="E110:F110"/>
    <mergeCell ref="G110:J110"/>
    <mergeCell ref="K111:L111"/>
    <mergeCell ref="G112:J112"/>
    <mergeCell ref="K112:L112"/>
    <mergeCell ref="B21:B24"/>
    <mergeCell ref="K21:L24"/>
    <mergeCell ref="C113:D113"/>
    <mergeCell ref="E113:F113"/>
    <mergeCell ref="G113:J113"/>
    <mergeCell ref="K113:L113"/>
    <mergeCell ref="C114:D114"/>
    <mergeCell ref="B53:B54"/>
    <mergeCell ref="K53:L54"/>
    <mergeCell ref="B56:B80"/>
    <mergeCell ref="K56:L80"/>
    <mergeCell ref="E114:F114"/>
    <mergeCell ref="G114:J114"/>
    <mergeCell ref="K114:L114"/>
    <mergeCell ref="C111:D111"/>
    <mergeCell ref="E111:F111"/>
    <mergeCell ref="G111:J111"/>
    <mergeCell ref="E172:F172"/>
    <mergeCell ref="G172:J172"/>
    <mergeCell ref="C167:D167"/>
    <mergeCell ref="E167:F167"/>
    <mergeCell ref="G167:J167"/>
    <mergeCell ref="C168:D168"/>
    <mergeCell ref="E168:F168"/>
    <mergeCell ref="G168:J168"/>
    <mergeCell ref="C169:D169"/>
    <mergeCell ref="E169:F169"/>
    <mergeCell ref="C170:D170"/>
    <mergeCell ref="E170:F170"/>
    <mergeCell ref="G170:J170"/>
    <mergeCell ref="C171:D171"/>
    <mergeCell ref="E171:F171"/>
    <mergeCell ref="G171:J171"/>
    <mergeCell ref="C172:D172"/>
    <mergeCell ref="G169:J169"/>
    <mergeCell ref="G176:J176"/>
    <mergeCell ref="C173:D173"/>
    <mergeCell ref="E173:F173"/>
    <mergeCell ref="G173:J173"/>
    <mergeCell ref="K178:L178"/>
    <mergeCell ref="C174:D174"/>
    <mergeCell ref="E174:F174"/>
    <mergeCell ref="G174:J174"/>
    <mergeCell ref="C175:D175"/>
    <mergeCell ref="E175:F175"/>
    <mergeCell ref="G175:J175"/>
    <mergeCell ref="K175:L175"/>
    <mergeCell ref="C176:D176"/>
    <mergeCell ref="E176:F176"/>
    <mergeCell ref="C178:D178"/>
    <mergeCell ref="E178:F178"/>
    <mergeCell ref="G178:J178"/>
    <mergeCell ref="C177:D177"/>
    <mergeCell ref="E177:F177"/>
    <mergeCell ref="G177:J177"/>
  </mergeCells>
  <conditionalFormatting sqref="B4">
    <cfRule type="expression" dxfId="171" priority="3">
      <formula>AND(COUNTA($C$4:$C$18)+COUNTA($E$4:$E$18)&gt;0,COUNTIFS($N$4:$N$18,"",$C$4:$C$18,"&lt;&gt;")+COUNTIFS($N$4:$N$18,"",$E$4:$E$18,"&lt;&gt;")=0)</formula>
    </cfRule>
  </conditionalFormatting>
  <conditionalFormatting sqref="B19">
    <cfRule type="expression" dxfId="170" priority="4">
      <formula>AND(COUNTA($C$19:$C$19)+COUNTA($E$19:$E$19)&gt;0,COUNTIFS($N$19:$N$19,"",$C$19:$C$19,"&lt;&gt;")+COUNTIFS($N$19:$N$19,"",$E$19:$E$19,"&lt;&gt;")=0)</formula>
    </cfRule>
  </conditionalFormatting>
  <conditionalFormatting sqref="B20">
    <cfRule type="expression" dxfId="169" priority="5">
      <formula>AND(COUNTA($C$20:$C$20)+COUNTA($E$20:$E$20)&gt;0,COUNTIFS($N$20:$N$20,"",$C$20:$C$20,"&lt;&gt;")+COUNTIFS($N$20:$N$20,"",$E$20:$E$20,"&lt;&gt;")=0)</formula>
    </cfRule>
  </conditionalFormatting>
  <conditionalFormatting sqref="B21">
    <cfRule type="expression" dxfId="168" priority="6">
      <formula>AND(COUNTA($C$21:$C$24)+COUNTA($E$21:$E$24)&gt;0,COUNTIFS($N$21:$N$24,"",$C$21:$C$24,"&lt;&gt;")+COUNTIFS($N$21:$N$24,"",$E$21:$E$24,"&lt;&gt;")=0)</formula>
    </cfRule>
  </conditionalFormatting>
  <conditionalFormatting sqref="B25">
    <cfRule type="expression" dxfId="167" priority="7">
      <formula>AND(COUNTA($C$25:$C$25)+COUNTA($E$25:$E$25)&gt;0,COUNTIFS($N$25:$N$25,"",$C$25:$C$25,"&lt;&gt;")+COUNTIFS($N$25:$N$25,"",$E$25:$E$25,"&lt;&gt;")=0)</formula>
    </cfRule>
  </conditionalFormatting>
  <conditionalFormatting sqref="B26">
    <cfRule type="expression" dxfId="166" priority="8">
      <formula>AND(COUNTA($C$26:$C$26)+COUNTA($E$26:$E$26)&gt;0,COUNTIFS($N$26:$N$26,"",$C$26:$C$26,"&lt;&gt;")+COUNTIFS($N$26:$N$26,"",$E$26:$E$26,"&lt;&gt;")=0)</formula>
    </cfRule>
  </conditionalFormatting>
  <conditionalFormatting sqref="B27">
    <cfRule type="expression" dxfId="165" priority="9">
      <formula>AND(COUNTA($C$27:$C$52)+COUNTA($E$27:$E$52)&gt;0,COUNTIFS($N$27:$N$52,"",$C$27:$C$52,"&lt;&gt;")+COUNTIFS($N$27:$N$52,"",$E$27:$E$52,"&lt;&gt;")=0)</formula>
    </cfRule>
  </conditionalFormatting>
  <conditionalFormatting sqref="B53">
    <cfRule type="expression" dxfId="164" priority="10">
      <formula>AND(COUNTA($C$53:$C$54)+COUNTA($E$53:$E$54)&gt;0,COUNTIFS($N$53:$N$54,"",$C$53:$C$54,"&lt;&gt;")+COUNTIFS($N$53:$N$54,"",$E$53:$E$54,"&lt;&gt;")=0)</formula>
    </cfRule>
  </conditionalFormatting>
  <conditionalFormatting sqref="B55">
    <cfRule type="expression" dxfId="163" priority="11">
      <formula>AND(COUNTA($C$55:$C$55)+COUNTA($E$55:$E$55)&gt;0,COUNTIFS($N$55:$N$55,"",$C$55:$C$55,"&lt;&gt;")+COUNTIFS($N$55:$N$55,"",$E$55:$E$55,"&lt;&gt;")=0)</formula>
    </cfRule>
  </conditionalFormatting>
  <conditionalFormatting sqref="B56">
    <cfRule type="expression" dxfId="162" priority="12">
      <formula>AND(COUNTA($C$56:$C$80)+COUNTA($E$56:$E$80)&gt;0,COUNTIFS($N$56:$N$80,"",$C$56:$C$80,"&lt;&gt;")+COUNTIFS($N$56:$N$80,"",$E$56:$E$80,"&lt;&gt;")=0)</formula>
    </cfRule>
  </conditionalFormatting>
  <conditionalFormatting sqref="B81">
    <cfRule type="expression" dxfId="161" priority="13">
      <formula>AND(COUNTA($C$81:$C$82)+COUNTA($E$81:$E$82)&gt;0,COUNTIFS($N$81:$N$82,"",$C$81:$C$82,"&lt;&gt;")+COUNTIFS($N$81:$N$82,"",$E$81:$E$82,"&lt;&gt;")=0)</formula>
    </cfRule>
  </conditionalFormatting>
  <conditionalFormatting sqref="B83">
    <cfRule type="expression" dxfId="160" priority="14">
      <formula>AND(COUNTA($C$83:$C$83)+COUNTA($E$83:$E$83)&gt;0,COUNTIFS($N$83:$N$83,"",$C$83:$C$83,"&lt;&gt;")+COUNTIFS($N$83:$N$83,"",$E$83:$E$83,"&lt;&gt;")=0)</formula>
    </cfRule>
  </conditionalFormatting>
  <conditionalFormatting sqref="B84">
    <cfRule type="expression" dxfId="159" priority="15">
      <formula>AND(COUNTA($C$84:$C$84)+COUNTA($E$84:$E$84)&gt;0,COUNTIFS($N$84:$N$84,"",$C$84:$C$84,"&lt;&gt;")+COUNTIFS($N$84:$N$84,"",$E$84:$E$84,"&lt;&gt;")=0)</formula>
    </cfRule>
  </conditionalFormatting>
  <conditionalFormatting sqref="B85">
    <cfRule type="expression" dxfId="158" priority="16">
      <formula>AND(COUNTA($C$85:$C$85)+COUNTA($E$85:$E$85)&gt;0,COUNTIFS($N$85:$N$85,"",$C$85:$C$85,"&lt;&gt;")+COUNTIFS($N$85:$N$85,"",$E$85:$E$85,"&lt;&gt;")=0)</formula>
    </cfRule>
  </conditionalFormatting>
  <conditionalFormatting sqref="B86">
    <cfRule type="expression" dxfId="157" priority="17">
      <formula>AND(COUNTA($C$86:$C$110)+COUNTA($E$86:$E$110)&gt;0,COUNTIFS($N$86:$N$110,"",$C$86:$C$110,"&lt;&gt;")+COUNTIFS($N$86:$N$110,"",$E$86:$E$110,"&lt;&gt;")=0)</formula>
    </cfRule>
  </conditionalFormatting>
  <conditionalFormatting sqref="B111">
    <cfRule type="expression" dxfId="156" priority="18">
      <formula>AND(COUNTA($C$111:$C$111)+COUNTA($E$111:$E$111)&gt;0,COUNTIFS($N$111:$N$111,"",$C$111:$C$111,"&lt;&gt;")+COUNTIFS($N$111:$N$111,"",$E$111:$E$111,"&lt;&gt;")=0)</formula>
    </cfRule>
  </conditionalFormatting>
  <conditionalFormatting sqref="B112">
    <cfRule type="expression" dxfId="155" priority="19">
      <formula>AND(COUNTA($C$112:$C$112)+COUNTA($E$112:$E$112)&gt;0,COUNTIFS($N$112:$N$112,"",$C$112:$C$112,"&lt;&gt;")+COUNTIFS($N$112:$N$112,"",$E$112:$E$112,"&lt;&gt;")=0)</formula>
    </cfRule>
  </conditionalFormatting>
  <conditionalFormatting sqref="B113">
    <cfRule type="expression" dxfId="154" priority="20">
      <formula>AND(COUNTA($C$113:$C$113)+COUNTA($E$113:$E$113)&gt;0,COUNTIFS($N$113:$N$113,"",$C$113:$C$113,"&lt;&gt;")+COUNTIFS($N$113:$N$113,"",$E$113:$E$113,"&lt;&gt;")=0)</formula>
    </cfRule>
  </conditionalFormatting>
  <conditionalFormatting sqref="B114">
    <cfRule type="expression" dxfId="153" priority="21">
      <formula>AND(COUNTA($C$114:$C$114)+COUNTA($E$114:$E$114)&gt;0,COUNTIFS($N$114:$N$114,"",$C$114:$C$114,"&lt;&gt;")+COUNTIFS($N$114:$N$114,"",$E$114:$E$114,"&lt;&gt;")=0)</formula>
    </cfRule>
  </conditionalFormatting>
  <conditionalFormatting sqref="B115">
    <cfRule type="expression" dxfId="152" priority="22">
      <formula>AND(COUNTA($C$115:$C$115)+COUNTA($E$115:$E$115)&gt;0,COUNTIFS($N$115:$N$115,"",$C$115:$C$115,"&lt;&gt;")+COUNTIFS($N$115:$N$115,"",$E$115:$E$115,"&lt;&gt;")=0)</formula>
    </cfRule>
  </conditionalFormatting>
  <conditionalFormatting sqref="B116">
    <cfRule type="expression" dxfId="151" priority="23">
      <formula>AND(COUNTA($C$116:$C$122)+COUNTA($E$116:$E$122)&gt;0,COUNTIFS($N$116:$N$122,"",$C$116:$C$122,"&lt;&gt;")+COUNTIFS($N$116:$N$122,"",$E$116:$E$122,"&lt;&gt;")=0)</formula>
    </cfRule>
  </conditionalFormatting>
  <conditionalFormatting sqref="B123">
    <cfRule type="expression" dxfId="150" priority="24">
      <formula>AND(COUNTA($C$123:$C$123)+COUNTA($E$123:$E$123)&gt;0,COUNTIFS($N$123:$N$123,"",$C$123:$C$123,"&lt;&gt;")+COUNTIFS($N$123:$N$123,"",$E$123:$E$123,"&lt;&gt;")=0)</formula>
    </cfRule>
  </conditionalFormatting>
  <conditionalFormatting sqref="B124">
    <cfRule type="expression" dxfId="149" priority="25">
      <formula>AND(COUNTA($C$124:$C$148)+COUNTA($E$124:$E$148)&gt;0,COUNTIFS($N$124:$N$148,"",$C$124:$C$148,"&lt;&gt;")+COUNTIFS($N$124:$N$148,"",$E$124:$E$148,"&lt;&gt;")=0)</formula>
    </cfRule>
  </conditionalFormatting>
  <conditionalFormatting sqref="B149">
    <cfRule type="expression" dxfId="148" priority="26">
      <formula>AND(COUNTA($C$149:$C$149)+COUNTA($E$149:$E$149)&gt;0,COUNTIFS($N$149:$N$149,"",$C$149:$C$149,"&lt;&gt;")+COUNTIFS($N$149:$N$149,"",$E$149:$E$149,"&lt;&gt;")=0)</formula>
    </cfRule>
  </conditionalFormatting>
  <conditionalFormatting sqref="B150">
    <cfRule type="expression" dxfId="147" priority="27">
      <formula>AND(COUNTA($C$150:$C$174)+COUNTA($E$150:$E$174)&gt;0,COUNTIFS($N$150:$N$174,"",$C$150:$C$174,"&lt;&gt;")+COUNTIFS($N$150:$N$174,"",$E$150:$E$174,"&lt;&gt;")=0)</formula>
    </cfRule>
  </conditionalFormatting>
  <conditionalFormatting sqref="B175">
    <cfRule type="expression" dxfId="146" priority="28">
      <formula>AND(COUNTA($C$175:$C$175)+COUNTA($E$175:$E$175)&gt;0,COUNTIFS($N$175:$N$175,"",$C$175:$C$175,"&lt;&gt;")+COUNTIFS($N$175:$N$175,"",$E$175:$E$175,"&lt;&gt;")=0)</formula>
    </cfRule>
  </conditionalFormatting>
  <conditionalFormatting sqref="B176">
    <cfRule type="expression" dxfId="145" priority="29">
      <formula>AND(COUNTA($C$176:$C$177)+COUNTA($E$176:$E$177)&gt;0,COUNTIFS($N$176:$N$177,"",$C$176:$C$177,"&lt;&gt;")+COUNTIFS($N$176:$N$177,"",$E$176:$E$177,"&lt;&gt;")=0)</formula>
    </cfRule>
  </conditionalFormatting>
  <conditionalFormatting sqref="B178">
    <cfRule type="expression" dxfId="144" priority="30">
      <formula>AND(COUNTA($C$178:$C$178)+COUNTA($E$178:$E$178)&gt;0,COUNTIFS($N$178:$N$178,"",$C$178:$C$178,"&lt;&gt;")+COUNTIFS($N$178:$N$178,"",$E$178:$E$178,"&lt;&gt;")=0)</formula>
    </cfRule>
  </conditionalFormatting>
  <conditionalFormatting sqref="B179">
    <cfRule type="expression" dxfId="143" priority="31">
      <formula>AND(COUNTA($C$179:$C$179)+COUNTA($E$179:$E$179)&gt;0,COUNTIFS($N$179:$N$179,"",$C$179:$C$179,"&lt;&gt;")+COUNTIFS($N$179:$N$179,"",$E$179:$E$179,"&lt;&gt;")=0)</formula>
    </cfRule>
  </conditionalFormatting>
  <conditionalFormatting sqref="C4:J473 M4:N473">
    <cfRule type="expression" dxfId="142" priority="1">
      <formula>$N4&lt;&gt;""</formula>
    </cfRule>
  </conditionalFormatting>
  <conditionalFormatting sqref="K4">
    <cfRule type="expression" dxfId="141" priority="32">
      <formula>AND(COUNTA($C$4:$C$18)+COUNTA($E$4:$E$18)&gt;0,COUNTIFS($N$4:$N$18,"",$C$4:$C$18,"&lt;&gt;")+COUNTIFS($N$4:$N$18,"",$E$4:$E$18,"&lt;&gt;")=0)</formula>
    </cfRule>
  </conditionalFormatting>
  <conditionalFormatting sqref="K19">
    <cfRule type="expression" dxfId="140" priority="33">
      <formula>AND(COUNTA($C$19:$C$19)+COUNTA($E$19:$E$19)&gt;0,COUNTIFS($N$19:$N$19,"",$C$19:$C$19,"&lt;&gt;")+COUNTIFS($N$19:$N$19,"",$E$19:$E$19,"&lt;&gt;")=0)</formula>
    </cfRule>
  </conditionalFormatting>
  <conditionalFormatting sqref="K20">
    <cfRule type="expression" dxfId="139" priority="34">
      <formula>AND(COUNTA($C$20:$C$20)+COUNTA($E$20:$E$20)&gt;0,COUNTIFS($N$20:$N$20,"",$C$20:$C$20,"&lt;&gt;")+COUNTIFS($N$20:$N$20,"",$E$20:$E$20,"&lt;&gt;")=0)</formula>
    </cfRule>
  </conditionalFormatting>
  <conditionalFormatting sqref="K21">
    <cfRule type="expression" dxfId="138" priority="35">
      <formula>AND(COUNTA($C$21:$C$24)+COUNTA($E$21:$E$24)&gt;0,COUNTIFS($N$21:$N$24,"",$C$21:$C$24,"&lt;&gt;")+COUNTIFS($N$21:$N$24,"",$E$21:$E$24,"&lt;&gt;")=0)</formula>
    </cfRule>
  </conditionalFormatting>
  <conditionalFormatting sqref="K25">
    <cfRule type="expression" dxfId="137" priority="36">
      <formula>AND(COUNTA($C$25:$C$25)+COUNTA($E$25:$E$25)&gt;0,COUNTIFS($N$25:$N$25,"",$C$25:$C$25,"&lt;&gt;")+COUNTIFS($N$25:$N$25,"",$E$25:$E$25,"&lt;&gt;")=0)</formula>
    </cfRule>
  </conditionalFormatting>
  <conditionalFormatting sqref="K26">
    <cfRule type="expression" dxfId="136" priority="37">
      <formula>AND(COUNTA($C$26:$C$26)+COUNTA($E$26:$E$26)&gt;0,COUNTIFS($N$26:$N$26,"",$C$26:$C$26,"&lt;&gt;")+COUNTIFS($N$26:$N$26,"",$E$26:$E$26,"&lt;&gt;")=0)</formula>
    </cfRule>
  </conditionalFormatting>
  <conditionalFormatting sqref="K27">
    <cfRule type="expression" dxfId="135" priority="38">
      <formula>AND(COUNTA($C$27:$C$52)+COUNTA($E$27:$E$52)&gt;0,COUNTIFS($N$27:$N$52,"",$C$27:$C$52,"&lt;&gt;")+COUNTIFS($N$27:$N$52,"",$E$27:$E$52,"&lt;&gt;")=0)</formula>
    </cfRule>
  </conditionalFormatting>
  <conditionalFormatting sqref="K53">
    <cfRule type="expression" dxfId="134" priority="39">
      <formula>AND(COUNTA($C$53:$C$54)+COUNTA($E$53:$E$54)&gt;0,COUNTIFS($N$53:$N$54,"",$C$53:$C$54,"&lt;&gt;")+COUNTIFS($N$53:$N$54,"",$E$53:$E$54,"&lt;&gt;")=0)</formula>
    </cfRule>
  </conditionalFormatting>
  <conditionalFormatting sqref="K55">
    <cfRule type="expression" dxfId="133" priority="40">
      <formula>AND(COUNTA($C$55:$C$55)+COUNTA($E$55:$E$55)&gt;0,COUNTIFS($N$55:$N$55,"",$C$55:$C$55,"&lt;&gt;")+COUNTIFS($N$55:$N$55,"",$E$55:$E$55,"&lt;&gt;")=0)</formula>
    </cfRule>
  </conditionalFormatting>
  <conditionalFormatting sqref="K56">
    <cfRule type="expression" dxfId="132" priority="41">
      <formula>AND(COUNTA($C$56:$C$80)+COUNTA($E$56:$E$80)&gt;0,COUNTIFS($N$56:$N$80,"",$C$56:$C$80,"&lt;&gt;")+COUNTIFS($N$56:$N$80,"",$E$56:$E$80,"&lt;&gt;")=0)</formula>
    </cfRule>
  </conditionalFormatting>
  <conditionalFormatting sqref="K81">
    <cfRule type="expression" dxfId="131" priority="42">
      <formula>AND(COUNTA($C$81:$C$82)+COUNTA($E$81:$E$82)&gt;0,COUNTIFS($N$81:$N$82,"",$C$81:$C$82,"&lt;&gt;")+COUNTIFS($N$81:$N$82,"",$E$81:$E$82,"&lt;&gt;")=0)</formula>
    </cfRule>
  </conditionalFormatting>
  <conditionalFormatting sqref="K83">
    <cfRule type="expression" dxfId="130" priority="43">
      <formula>AND(COUNTA($C$83:$C$83)+COUNTA($E$83:$E$83)&gt;0,COUNTIFS($N$83:$N$83,"",$C$83:$C$83,"&lt;&gt;")+COUNTIFS($N$83:$N$83,"",$E$83:$E$83,"&lt;&gt;")=0)</formula>
    </cfRule>
  </conditionalFormatting>
  <conditionalFormatting sqref="K84">
    <cfRule type="expression" dxfId="129" priority="44">
      <formula>AND(COUNTA($C$84:$C$84)+COUNTA($E$84:$E$84)&gt;0,COUNTIFS($N$84:$N$84,"",$C$84:$C$84,"&lt;&gt;")+COUNTIFS($N$84:$N$84,"",$E$84:$E$84,"&lt;&gt;")=0)</formula>
    </cfRule>
  </conditionalFormatting>
  <conditionalFormatting sqref="K85">
    <cfRule type="expression" dxfId="128" priority="45">
      <formula>AND(COUNTA($C$85:$C$85)+COUNTA($E$85:$E$85)&gt;0,COUNTIFS($N$85:$N$85,"",$C$85:$C$85,"&lt;&gt;")+COUNTIFS($N$85:$N$85,"",$E$85:$E$85,"&lt;&gt;")=0)</formula>
    </cfRule>
  </conditionalFormatting>
  <conditionalFormatting sqref="K86">
    <cfRule type="expression" dxfId="127" priority="46">
      <formula>AND(COUNTA($C$86:$C$110)+COUNTA($E$86:$E$110)&gt;0,COUNTIFS($N$86:$N$110,"",$C$86:$C$110,"&lt;&gt;")+COUNTIFS($N$86:$N$110,"",$E$86:$E$110,"&lt;&gt;")=0)</formula>
    </cfRule>
  </conditionalFormatting>
  <conditionalFormatting sqref="K111">
    <cfRule type="expression" dxfId="126" priority="47">
      <formula>AND(COUNTA($C$111:$C$111)+COUNTA($E$111:$E$111)&gt;0,COUNTIFS($N$111:$N$111,"",$C$111:$C$111,"&lt;&gt;")+COUNTIFS($N$111:$N$111,"",$E$111:$E$111,"&lt;&gt;")=0)</formula>
    </cfRule>
  </conditionalFormatting>
  <conditionalFormatting sqref="K112">
    <cfRule type="expression" dxfId="125" priority="48">
      <formula>AND(COUNTA($C$112:$C$112)+COUNTA($E$112:$E$112)&gt;0,COUNTIFS($N$112:$N$112,"",$C$112:$C$112,"&lt;&gt;")+COUNTIFS($N$112:$N$112,"",$E$112:$E$112,"&lt;&gt;")=0)</formula>
    </cfRule>
  </conditionalFormatting>
  <conditionalFormatting sqref="K113">
    <cfRule type="expression" dxfId="124" priority="49">
      <formula>AND(COUNTA($C$113:$C$113)+COUNTA($E$113:$E$113)&gt;0,COUNTIFS($N$113:$N$113,"",$C$113:$C$113,"&lt;&gt;")+COUNTIFS($N$113:$N$113,"",$E$113:$E$113,"&lt;&gt;")=0)</formula>
    </cfRule>
  </conditionalFormatting>
  <conditionalFormatting sqref="K114">
    <cfRule type="expression" dxfId="123" priority="50">
      <formula>AND(COUNTA($C$114:$C$114)+COUNTA($E$114:$E$114)&gt;0,COUNTIFS($N$114:$N$114,"",$C$114:$C$114,"&lt;&gt;")+COUNTIFS($N$114:$N$114,"",$E$114:$E$114,"&lt;&gt;")=0)</formula>
    </cfRule>
  </conditionalFormatting>
  <conditionalFormatting sqref="K115">
    <cfRule type="expression" dxfId="122" priority="51">
      <formula>AND(COUNTA($C$115:$C$115)+COUNTA($E$115:$E$115)&gt;0,COUNTIFS($N$115:$N$115,"",$C$115:$C$115,"&lt;&gt;")+COUNTIFS($N$115:$N$115,"",$E$115:$E$115,"&lt;&gt;")=0)</formula>
    </cfRule>
  </conditionalFormatting>
  <conditionalFormatting sqref="K116">
    <cfRule type="expression" dxfId="121" priority="52">
      <formula>AND(COUNTA($C$116:$C$122)+COUNTA($E$116:$E$122)&gt;0,COUNTIFS($N$116:$N$122,"",$C$116:$C$122,"&lt;&gt;")+COUNTIFS($N$116:$N$122,"",$E$116:$E$122,"&lt;&gt;")=0)</formula>
    </cfRule>
  </conditionalFormatting>
  <conditionalFormatting sqref="K123">
    <cfRule type="expression" dxfId="120" priority="53">
      <formula>AND(COUNTA($C$123:$C$123)+COUNTA($E$123:$E$123)&gt;0,COUNTIFS($N$123:$N$123,"",$C$123:$C$123,"&lt;&gt;")+COUNTIFS($N$123:$N$123,"",$E$123:$E$123,"&lt;&gt;")=0)</formula>
    </cfRule>
  </conditionalFormatting>
  <conditionalFormatting sqref="K124">
    <cfRule type="expression" dxfId="119" priority="54">
      <formula>AND(COUNTA($C$124:$C$148)+COUNTA($E$124:$E$148)&gt;0,COUNTIFS($N$124:$N$148,"",$C$124:$C$148,"&lt;&gt;")+COUNTIFS($N$124:$N$148,"",$E$124:$E$148,"&lt;&gt;")=0)</formula>
    </cfRule>
  </conditionalFormatting>
  <conditionalFormatting sqref="K149">
    <cfRule type="expression" dxfId="118" priority="55">
      <formula>AND(COUNTA($C$149:$C$149)+COUNTA($E$149:$E$149)&gt;0,COUNTIFS($N$149:$N$149,"",$C$149:$C$149,"&lt;&gt;")+COUNTIFS($N$149:$N$149,"",$E$149:$E$149,"&lt;&gt;")=0)</formula>
    </cfRule>
  </conditionalFormatting>
  <conditionalFormatting sqref="K150">
    <cfRule type="expression" dxfId="117" priority="56">
      <formula>AND(COUNTA($C$150:$C$174)+COUNTA($E$150:$E$174)&gt;0,COUNTIFS($N$150:$N$174,"",$C$150:$C$174,"&lt;&gt;")+COUNTIFS($N$150:$N$174,"",$E$150:$E$174,"&lt;&gt;")=0)</formula>
    </cfRule>
  </conditionalFormatting>
  <conditionalFormatting sqref="K175">
    <cfRule type="expression" dxfId="116" priority="57">
      <formula>AND(COUNTA($C$175:$C$175)+COUNTA($E$175:$E$175)&gt;0,COUNTIFS($N$175:$N$175,"",$C$175:$C$175,"&lt;&gt;")+COUNTIFS($N$175:$N$175,"",$E$175:$E$175,"&lt;&gt;")=0)</formula>
    </cfRule>
  </conditionalFormatting>
  <conditionalFormatting sqref="K176">
    <cfRule type="expression" dxfId="115" priority="58">
      <formula>AND(COUNTA($C$176:$C$177)+COUNTA($E$176:$E$177)&gt;0,COUNTIFS($N$176:$N$177,"",$C$176:$C$177,"&lt;&gt;")+COUNTIFS($N$176:$N$177,"",$E$176:$E$177,"&lt;&gt;")=0)</formula>
    </cfRule>
  </conditionalFormatting>
  <conditionalFormatting sqref="K178">
    <cfRule type="expression" dxfId="114" priority="59">
      <formula>AND(COUNTA($C$178:$C$178)+COUNTA($E$178:$E$178)&gt;0,COUNTIFS($N$178:$N$178,"",$C$178:$C$178,"&lt;&gt;")+COUNTIFS($N$178:$N$178,"",$E$178:$E$178,"&lt;&gt;")=0)</formula>
    </cfRule>
  </conditionalFormatting>
  <conditionalFormatting sqref="K179">
    <cfRule type="expression" dxfId="113" priority="60">
      <formula>AND(COUNTA($C$179:$C$179)+COUNTA($E$179:$E$179)&gt;0,COUNTIFS($N$179:$N$179,"",$C$179:$C$179,"&lt;&gt;")+COUNTIFS($N$179:$N$179,"",$E$179:$E$179,"&lt;&gt;")=0)</formula>
    </cfRule>
  </conditionalFormatting>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A880D-E588-4530-9416-FC532B49DD4B}">
  <sheetPr>
    <tabColor rgb="FF2F3A4A"/>
  </sheetPr>
  <dimension ref="A1:AP220"/>
  <sheetViews>
    <sheetView showGridLines="0" topLeftCell="A39" zoomScale="90" zoomScaleNormal="90" workbookViewId="0">
      <selection activeCell="H62" sqref="H62"/>
    </sheetView>
  </sheetViews>
  <sheetFormatPr defaultColWidth="8.5546875" defaultRowHeight="14.4" x14ac:dyDescent="0.3"/>
  <cols>
    <col min="1" max="1" width="32.5546875"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1" customWidth="1"/>
    <col min="15" max="15" width="17.77734375" style="1" customWidth="1"/>
    <col min="16" max="16" width="11.44140625" style="1" customWidth="1"/>
    <col min="17"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46174</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c r="AP3" s="65">
        <v>600</v>
      </c>
    </row>
    <row r="4" spans="1:42" ht="21" customHeight="1" x14ac:dyDescent="0.3">
      <c r="A4" s="110"/>
      <c r="B4" s="109" t="s">
        <v>492</v>
      </c>
      <c r="C4" s="108">
        <v>600</v>
      </c>
      <c r="D4" s="104">
        <v>3990</v>
      </c>
      <c r="E4" s="107" t="s">
        <v>184</v>
      </c>
      <c r="F4" s="871">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190</v>
      </c>
      <c r="G4" s="106">
        <f>IFERROR(ROUNDUP(D4/F4,0),"")</f>
        <v>21</v>
      </c>
      <c r="H4" s="105">
        <v>1463</v>
      </c>
      <c r="I4" s="104">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8778</v>
      </c>
      <c r="AA4" t="s">
        <v>185</v>
      </c>
      <c r="AB4" t="s">
        <v>1423</v>
      </c>
      <c r="AH4" s="900">
        <v>600</v>
      </c>
      <c r="AO4" s="900">
        <v>125</v>
      </c>
    </row>
    <row r="5" spans="1:42" ht="21" customHeight="1" x14ac:dyDescent="0.3">
      <c r="A5" s="110"/>
      <c r="B5" s="109"/>
      <c r="C5" s="108"/>
      <c r="D5" s="104"/>
      <c r="E5" s="107" t="s">
        <v>184</v>
      </c>
      <c r="F5" s="871"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06" t="str">
        <f>IFERROR(ROUNDUP(D5/F5,0),"")</f>
        <v/>
      </c>
      <c r="H5" s="105"/>
      <c r="I5" s="104"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AA5" t="s">
        <v>183</v>
      </c>
      <c r="AB5" t="s">
        <v>1423</v>
      </c>
      <c r="AO5" s="900">
        <v>180</v>
      </c>
    </row>
    <row r="6" spans="1:42"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2"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2"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2" ht="15" customHeight="1" x14ac:dyDescent="0.3">
      <c r="A9" s="899"/>
      <c r="B9" s="846" t="s">
        <v>186</v>
      </c>
      <c r="C9" s="847"/>
      <c r="D9" s="848">
        <f>SUM(D2:D8)</f>
        <v>3990</v>
      </c>
      <c r="E9" s="849"/>
      <c r="F9" s="856" t="s">
        <v>1400</v>
      </c>
      <c r="G9" s="850">
        <f>SUM(G2:G8)</f>
        <v>21</v>
      </c>
      <c r="H9" s="848">
        <f>SUM(H2:H8)</f>
        <v>1463</v>
      </c>
      <c r="I9" s="848">
        <f>SUM(I2:I8)</f>
        <v>8778</v>
      </c>
      <c r="J9" s="63">
        <f>D9</f>
        <v>3990</v>
      </c>
      <c r="K9" s="93">
        <f>G9</f>
        <v>21</v>
      </c>
      <c r="L9" s="63">
        <f>H9</f>
        <v>1463</v>
      </c>
      <c r="M9" s="63">
        <f>I9</f>
        <v>8778</v>
      </c>
      <c r="N9" s="587" cm="1">
        <f t="array" ref="N9">IF(H9=0,"",SUMPRODUCT(IFERROR(INT(H4:H8/F4:F8),0)))</f>
        <v>7</v>
      </c>
      <c r="O9" s="770">
        <f>IF(N9="","",MAX(0,G9-N9))</f>
        <v>14</v>
      </c>
      <c r="P9" s="583"/>
      <c r="AA9" t="s">
        <v>58</v>
      </c>
      <c r="AB9" t="s">
        <v>1423</v>
      </c>
      <c r="AO9" s="900">
        <v>600</v>
      </c>
    </row>
    <row r="10" spans="1:42" ht="6" customHeight="1" x14ac:dyDescent="0.3">
      <c r="C10" s="65"/>
      <c r="AA10" t="s">
        <v>496</v>
      </c>
      <c r="AB10" t="s">
        <v>1423</v>
      </c>
    </row>
    <row r="11" spans="1:42" ht="15" customHeight="1" x14ac:dyDescent="0.3">
      <c r="A11" s="75">
        <v>46175</v>
      </c>
      <c r="B11" s="113" t="s">
        <v>49</v>
      </c>
      <c r="C11" s="112" t="s">
        <v>176</v>
      </c>
      <c r="D11" s="111" t="s">
        <v>177</v>
      </c>
      <c r="E11" s="111" t="s">
        <v>178</v>
      </c>
      <c r="F11" s="860" t="s">
        <v>179</v>
      </c>
      <c r="G11" s="111" t="s">
        <v>180</v>
      </c>
      <c r="H11" s="111" t="s">
        <v>181</v>
      </c>
      <c r="I11" s="111" t="s">
        <v>182</v>
      </c>
      <c r="AA11" t="s">
        <v>37</v>
      </c>
      <c r="AB11" t="s">
        <v>1423</v>
      </c>
    </row>
    <row r="12" spans="1:42" ht="21" customHeight="1" x14ac:dyDescent="0.3">
      <c r="A12" s="110"/>
      <c r="B12" s="109" t="s">
        <v>492</v>
      </c>
      <c r="C12" s="108">
        <v>600</v>
      </c>
      <c r="D12" s="104">
        <f>D4-H4</f>
        <v>2527</v>
      </c>
      <c r="E12" s="107" t="s">
        <v>184</v>
      </c>
      <c r="F12" s="871">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190</v>
      </c>
      <c r="G12" s="106">
        <f>IFERROR(ROUNDUP(D12/F12,0),"")</f>
        <v>14</v>
      </c>
      <c r="H12" s="105">
        <v>1416</v>
      </c>
      <c r="I12" s="104">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8496</v>
      </c>
      <c r="AA12" t="s">
        <v>1080</v>
      </c>
      <c r="AB12" t="s">
        <v>1423</v>
      </c>
    </row>
    <row r="13" spans="1:42"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2"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2527</v>
      </c>
      <c r="E17" s="849"/>
      <c r="F17" s="856" t="s">
        <v>1400</v>
      </c>
      <c r="G17" s="850">
        <f>SUM(G10:G16)</f>
        <v>14</v>
      </c>
      <c r="H17" s="848">
        <f>SUM(H10:H16)</f>
        <v>1416</v>
      </c>
      <c r="I17" s="848">
        <f>SUM(I10:I16)</f>
        <v>8496</v>
      </c>
      <c r="J17" s="63">
        <f>D17</f>
        <v>2527</v>
      </c>
      <c r="K17" s="93">
        <f>G17</f>
        <v>14</v>
      </c>
      <c r="L17" s="63">
        <f>H17</f>
        <v>1416</v>
      </c>
      <c r="M17" s="63">
        <f>I17</f>
        <v>8496</v>
      </c>
      <c r="N17" s="587" cm="1">
        <f t="array" ref="N17">IF(H17=0,"",SUMPRODUCT(IFERROR(INT(H12:H16/F12:F16),0)))</f>
        <v>7</v>
      </c>
      <c r="O17" s="770">
        <f>IF(N17="","",MAX(0,G17-N17))</f>
        <v>7</v>
      </c>
      <c r="P17" s="583"/>
      <c r="AA17" t="s">
        <v>236</v>
      </c>
      <c r="AB17" t="s">
        <v>1425</v>
      </c>
    </row>
    <row r="18" spans="1:28" ht="6" customHeight="1" x14ac:dyDescent="0.3">
      <c r="C18" s="65"/>
      <c r="AA18" t="s">
        <v>593</v>
      </c>
      <c r="AB18" t="s">
        <v>1426</v>
      </c>
    </row>
    <row r="19" spans="1:28" ht="15" customHeight="1" x14ac:dyDescent="0.3">
      <c r="A19" s="75">
        <v>46176</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t="s">
        <v>492</v>
      </c>
      <c r="C20" s="108">
        <v>600</v>
      </c>
      <c r="D20" s="104">
        <f>D12-H12</f>
        <v>1111</v>
      </c>
      <c r="E20" s="107" t="s">
        <v>184</v>
      </c>
      <c r="F20" s="871">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190</v>
      </c>
      <c r="G20" s="106">
        <f>IFERROR(ROUNDUP(D20/F20,0),"")</f>
        <v>6</v>
      </c>
      <c r="H20" s="105">
        <v>1111</v>
      </c>
      <c r="I20" s="104">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6666</v>
      </c>
      <c r="AA20" t="s">
        <v>189</v>
      </c>
      <c r="AB20" t="s">
        <v>1425</v>
      </c>
    </row>
    <row r="21" spans="1:28" ht="21" customHeight="1" x14ac:dyDescent="0.3">
      <c r="A21" s="110"/>
      <c r="B21" s="109" t="s">
        <v>498</v>
      </c>
      <c r="C21" s="108">
        <v>600</v>
      </c>
      <c r="D21" s="104">
        <v>1995</v>
      </c>
      <c r="E21" s="107" t="s">
        <v>184</v>
      </c>
      <c r="F21" s="871">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95</v>
      </c>
      <c r="G21" s="106">
        <f>IFERROR(ROUNDUP(D21/F21,0),"")</f>
        <v>21</v>
      </c>
      <c r="H21" s="105">
        <v>330</v>
      </c>
      <c r="I21" s="104">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3960</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3106</v>
      </c>
      <c r="E25" s="849"/>
      <c r="F25" s="856" t="s">
        <v>1400</v>
      </c>
      <c r="G25" s="850">
        <f>SUM(G18:G24)</f>
        <v>27</v>
      </c>
      <c r="H25" s="848">
        <f>SUM(H18:H24)</f>
        <v>1441</v>
      </c>
      <c r="I25" s="848">
        <f>SUM(I18:I24)</f>
        <v>10626</v>
      </c>
      <c r="J25" s="63">
        <f>D25</f>
        <v>3106</v>
      </c>
      <c r="K25" s="93">
        <f>G25</f>
        <v>27</v>
      </c>
      <c r="L25" s="63">
        <f>H25</f>
        <v>1441</v>
      </c>
      <c r="M25" s="63">
        <f>I25</f>
        <v>10626</v>
      </c>
      <c r="N25" s="587" cm="1">
        <f t="array" ref="N25">IF(H25=0,"",SUMPRODUCT(IFERROR(INT(H20:H24/F20:F24),0)))</f>
        <v>8</v>
      </c>
      <c r="O25" s="770">
        <f>IF(N25="","",MAX(0,G25-N25))</f>
        <v>19</v>
      </c>
      <c r="P25" s="583"/>
      <c r="AA25" t="s">
        <v>1159</v>
      </c>
      <c r="AB25" t="s">
        <v>1423</v>
      </c>
    </row>
    <row r="26" spans="1:28" ht="6" customHeight="1" x14ac:dyDescent="0.3">
      <c r="C26" s="65"/>
      <c r="AA26" t="s">
        <v>287</v>
      </c>
      <c r="AB26" t="s">
        <v>1427</v>
      </c>
    </row>
    <row r="27" spans="1:28" ht="15" customHeight="1" x14ac:dyDescent="0.3">
      <c r="A27" s="75">
        <v>46177</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t="s">
        <v>498</v>
      </c>
      <c r="C28" s="108">
        <v>600</v>
      </c>
      <c r="D28" s="104">
        <f>D21-H21</f>
        <v>1665</v>
      </c>
      <c r="E28" s="107" t="s">
        <v>184</v>
      </c>
      <c r="F28" s="871">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95</v>
      </c>
      <c r="G28" s="106">
        <f>IFERROR(ROUNDUP(D28/F28,0),"")</f>
        <v>18</v>
      </c>
      <c r="H28" s="105">
        <v>929</v>
      </c>
      <c r="I28" s="104">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11148</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1665</v>
      </c>
      <c r="E33" s="849"/>
      <c r="F33" s="856" t="s">
        <v>1400</v>
      </c>
      <c r="G33" s="850">
        <f>SUM(G26:G32)</f>
        <v>18</v>
      </c>
      <c r="H33" s="848">
        <f>SUM(H26:H32)</f>
        <v>929</v>
      </c>
      <c r="I33" s="848">
        <f>SUM(I26:I32)</f>
        <v>11148</v>
      </c>
      <c r="J33" s="63">
        <f>D33</f>
        <v>1665</v>
      </c>
      <c r="K33" s="93">
        <f>G33</f>
        <v>18</v>
      </c>
      <c r="L33" s="63">
        <f>H33</f>
        <v>929</v>
      </c>
      <c r="M33" s="63">
        <f>I33</f>
        <v>11148</v>
      </c>
      <c r="N33" s="587" cm="1">
        <f t="array" ref="N33">IF(H33=0,"",SUMPRODUCT(IFERROR(INT(H28:H32/F28:F32),0)))</f>
        <v>9</v>
      </c>
      <c r="O33" s="770">
        <f>IF(N33="","",MAX(0,G33-N33))</f>
        <v>9</v>
      </c>
      <c r="P33" s="583"/>
      <c r="AA33" t="s">
        <v>471</v>
      </c>
      <c r="AB33" t="s">
        <v>1428</v>
      </c>
    </row>
    <row r="34" spans="1:28" ht="6" customHeight="1" x14ac:dyDescent="0.3">
      <c r="C34" s="65"/>
      <c r="AA34" t="s">
        <v>292</v>
      </c>
      <c r="AB34" t="s">
        <v>1428</v>
      </c>
    </row>
    <row r="35" spans="1:28" ht="15" customHeight="1" x14ac:dyDescent="0.3">
      <c r="A35" s="75">
        <v>46178</v>
      </c>
      <c r="B35" s="113" t="s">
        <v>49</v>
      </c>
      <c r="C35" s="112" t="s">
        <v>176</v>
      </c>
      <c r="D35" s="111" t="s">
        <v>177</v>
      </c>
      <c r="E35" s="111" t="s">
        <v>178</v>
      </c>
      <c r="F35" s="860" t="s">
        <v>179</v>
      </c>
      <c r="G35" s="111" t="s">
        <v>180</v>
      </c>
      <c r="H35" s="111" t="s">
        <v>181</v>
      </c>
      <c r="I35" s="111" t="s">
        <v>182</v>
      </c>
      <c r="AA35" t="s">
        <v>1193</v>
      </c>
      <c r="AB35" t="s">
        <v>1428</v>
      </c>
    </row>
    <row r="36" spans="1:28" ht="21" customHeight="1" x14ac:dyDescent="0.3">
      <c r="A36" s="110"/>
      <c r="B36" s="678" t="s">
        <v>478</v>
      </c>
      <c r="C36" s="679"/>
      <c r="D36" s="679"/>
      <c r="E36" s="679"/>
      <c r="F36" s="874"/>
      <c r="G36" s="679"/>
      <c r="H36" s="679"/>
      <c r="I36" s="680"/>
      <c r="AA36" t="s">
        <v>294</v>
      </c>
      <c r="AB36" t="s">
        <v>1428</v>
      </c>
    </row>
    <row r="37" spans="1:28" ht="21" customHeight="1" x14ac:dyDescent="0.3">
      <c r="A37" s="110"/>
      <c r="B37" s="681"/>
      <c r="C37" s="682"/>
      <c r="D37" s="682"/>
      <c r="E37" s="682"/>
      <c r="F37" s="875"/>
      <c r="G37" s="682"/>
      <c r="H37" s="682"/>
      <c r="I37" s="683"/>
      <c r="AA37" t="s">
        <v>591</v>
      </c>
      <c r="AB37" t="s">
        <v>1428</v>
      </c>
    </row>
    <row r="38" spans="1:28" ht="21" customHeight="1" x14ac:dyDescent="0.3">
      <c r="A38" s="110"/>
      <c r="B38" s="681"/>
      <c r="C38" s="682"/>
      <c r="D38" s="682"/>
      <c r="E38" s="682"/>
      <c r="F38" s="875"/>
      <c r="G38" s="682"/>
      <c r="H38" s="682"/>
      <c r="I38" s="683"/>
      <c r="AA38" t="s">
        <v>590</v>
      </c>
      <c r="AB38" t="s">
        <v>1428</v>
      </c>
    </row>
    <row r="39" spans="1:28" ht="21" customHeight="1" x14ac:dyDescent="0.3">
      <c r="A39" s="110"/>
      <c r="B39" s="681"/>
      <c r="C39" s="682"/>
      <c r="D39" s="682"/>
      <c r="E39" s="682"/>
      <c r="F39" s="875"/>
      <c r="G39" s="682"/>
      <c r="H39" s="682"/>
      <c r="I39" s="683"/>
      <c r="AA39" t="s">
        <v>592</v>
      </c>
      <c r="AB39" t="s">
        <v>1428</v>
      </c>
    </row>
    <row r="40" spans="1:28" ht="21" customHeight="1" x14ac:dyDescent="0.3">
      <c r="A40" s="817"/>
      <c r="B40" s="681"/>
      <c r="C40" s="827"/>
      <c r="D40" s="827"/>
      <c r="E40" s="827"/>
      <c r="F40" s="876"/>
      <c r="G40" s="827"/>
      <c r="H40" s="827"/>
      <c r="I40" s="683"/>
      <c r="AA40" t="s">
        <v>473</v>
      </c>
      <c r="AB40" t="s">
        <v>1428</v>
      </c>
    </row>
    <row r="41" spans="1:28" ht="15" customHeight="1" x14ac:dyDescent="0.3">
      <c r="A41" s="899"/>
      <c r="B41" s="846" t="s">
        <v>186</v>
      </c>
      <c r="C41" s="847"/>
      <c r="D41" s="848">
        <f>SUM(D34:D40)</f>
        <v>0</v>
      </c>
      <c r="E41" s="849"/>
      <c r="F41" s="856" t="s">
        <v>1400</v>
      </c>
      <c r="G41" s="850">
        <f>SUM(G34:G40)</f>
        <v>0</v>
      </c>
      <c r="H41" s="848">
        <f>SUM(H34:H40)</f>
        <v>0</v>
      </c>
      <c r="I41" s="848">
        <f>SUM(I34:I40)</f>
        <v>0</v>
      </c>
      <c r="J41" s="63">
        <f>D41</f>
        <v>0</v>
      </c>
      <c r="K41" s="93">
        <f>G41</f>
        <v>0</v>
      </c>
      <c r="L41" s="63">
        <f>H41</f>
        <v>0</v>
      </c>
      <c r="M41" s="63">
        <f>I41</f>
        <v>0</v>
      </c>
      <c r="N41" s="587" t="str" cm="1">
        <f t="array" ref="N41">IF(H41=0,"",SUMPRODUCT(IFERROR(INT(H36:H40/F36:F40),0)))</f>
        <v/>
      </c>
      <c r="O41" s="770" t="str">
        <f>IF(N41="","",MAX(0,G41-N41))</f>
        <v/>
      </c>
      <c r="P41" s="583"/>
      <c r="AA41" t="s">
        <v>296</v>
      </c>
      <c r="AB41" t="s">
        <v>1428</v>
      </c>
    </row>
    <row r="42" spans="1:28" ht="6" customHeight="1" x14ac:dyDescent="0.3">
      <c r="C42" s="65"/>
      <c r="AA42" t="s">
        <v>472</v>
      </c>
      <c r="AB42" t="s">
        <v>1428</v>
      </c>
    </row>
    <row r="43" spans="1:28" ht="15" customHeight="1" x14ac:dyDescent="0.3">
      <c r="A43" s="135">
        <v>46179</v>
      </c>
      <c r="B43" s="113" t="s">
        <v>49</v>
      </c>
      <c r="C43" s="112" t="s">
        <v>176</v>
      </c>
      <c r="D43" s="111" t="s">
        <v>177</v>
      </c>
      <c r="E43" s="111" t="s">
        <v>178</v>
      </c>
      <c r="F43" s="862" t="s">
        <v>179</v>
      </c>
      <c r="G43" s="111" t="s">
        <v>180</v>
      </c>
      <c r="H43" s="111" t="s">
        <v>181</v>
      </c>
      <c r="I43" s="111" t="s">
        <v>182</v>
      </c>
      <c r="J43" s="128"/>
      <c r="K43" s="128"/>
      <c r="L43" s="128"/>
      <c r="M43" s="128"/>
      <c r="AA43" t="s">
        <v>293</v>
      </c>
      <c r="AB43" t="s">
        <v>1428</v>
      </c>
    </row>
    <row r="44" spans="1:28" ht="21" customHeight="1" x14ac:dyDescent="0.3">
      <c r="A44" s="110"/>
      <c r="B44" s="684" t="s">
        <v>495</v>
      </c>
      <c r="C44" s="685"/>
      <c r="D44" s="685"/>
      <c r="E44" s="685"/>
      <c r="F44" s="874"/>
      <c r="G44" s="685"/>
      <c r="H44" s="685"/>
      <c r="I44" s="686"/>
      <c r="J44" s="128"/>
      <c r="K44" s="128"/>
      <c r="L44" s="128"/>
      <c r="M44" s="128"/>
      <c r="AA44" t="s">
        <v>101</v>
      </c>
      <c r="AB44" t="s">
        <v>1428</v>
      </c>
    </row>
    <row r="45" spans="1:28" ht="21" customHeight="1" x14ac:dyDescent="0.3">
      <c r="A45" s="110"/>
      <c r="B45" s="687"/>
      <c r="C45" s="688"/>
      <c r="D45" s="688"/>
      <c r="E45" s="688"/>
      <c r="F45" s="875"/>
      <c r="G45" s="688"/>
      <c r="H45" s="688"/>
      <c r="I45" s="689"/>
      <c r="J45" s="128"/>
      <c r="K45" s="128"/>
      <c r="L45" s="128"/>
      <c r="M45" s="128"/>
      <c r="AA45" t="s">
        <v>474</v>
      </c>
      <c r="AB45" t="s">
        <v>1428</v>
      </c>
    </row>
    <row r="46" spans="1:28" ht="21" customHeight="1" x14ac:dyDescent="0.3">
      <c r="A46" s="110"/>
      <c r="B46" s="687"/>
      <c r="C46" s="688"/>
      <c r="D46" s="688"/>
      <c r="E46" s="688"/>
      <c r="F46" s="875"/>
      <c r="G46" s="688"/>
      <c r="H46" s="688"/>
      <c r="I46" s="689"/>
      <c r="J46" s="128"/>
      <c r="K46" s="128"/>
      <c r="L46" s="128"/>
      <c r="M46" s="128"/>
      <c r="AA46" t="s">
        <v>295</v>
      </c>
      <c r="AB46" t="s">
        <v>1428</v>
      </c>
    </row>
    <row r="47" spans="1:28" ht="21" customHeight="1" x14ac:dyDescent="0.3">
      <c r="A47" s="110"/>
      <c r="B47" s="687"/>
      <c r="C47" s="688"/>
      <c r="D47" s="688"/>
      <c r="E47" s="688"/>
      <c r="F47" s="875"/>
      <c r="G47" s="688"/>
      <c r="H47" s="688"/>
      <c r="I47" s="689"/>
      <c r="J47" s="128"/>
      <c r="K47" s="128"/>
      <c r="L47" s="128"/>
      <c r="M47" s="128"/>
      <c r="AA47" t="s">
        <v>97</v>
      </c>
      <c r="AB47" t="s">
        <v>1428</v>
      </c>
    </row>
    <row r="48" spans="1:28" ht="21" customHeight="1" x14ac:dyDescent="0.3">
      <c r="A48" s="817"/>
      <c r="B48" s="687"/>
      <c r="C48" s="828"/>
      <c r="D48" s="828"/>
      <c r="E48" s="828"/>
      <c r="F48" s="876"/>
      <c r="G48" s="828"/>
      <c r="H48" s="828"/>
      <c r="I48" s="689"/>
      <c r="J48" s="128"/>
      <c r="K48" s="128"/>
      <c r="L48" s="128"/>
      <c r="M48" s="128"/>
      <c r="AA48" t="s">
        <v>475</v>
      </c>
      <c r="AB48" t="s">
        <v>1428</v>
      </c>
    </row>
    <row r="49" spans="1:28" ht="15" customHeight="1" x14ac:dyDescent="0.3">
      <c r="A49" s="899"/>
      <c r="B49" s="846" t="s">
        <v>186</v>
      </c>
      <c r="C49" s="851"/>
      <c r="D49" s="848">
        <f>SUM(D42:D48)</f>
        <v>0</v>
      </c>
      <c r="E49" s="852"/>
      <c r="F49" s="857" t="s">
        <v>1400</v>
      </c>
      <c r="G49" s="850">
        <f>SUM(G42:G48)</f>
        <v>0</v>
      </c>
      <c r="H49" s="848">
        <f>SUM(H42:H48)</f>
        <v>0</v>
      </c>
      <c r="I49" s="848">
        <f>SUM(I42:I48)</f>
        <v>0</v>
      </c>
      <c r="J49" s="133">
        <f>D49</f>
        <v>0</v>
      </c>
      <c r="K49" s="134">
        <f>G49</f>
        <v>0</v>
      </c>
      <c r="L49" s="133">
        <f>H49</f>
        <v>0</v>
      </c>
      <c r="M49" s="133">
        <f>I49</f>
        <v>0</v>
      </c>
      <c r="N49" s="587" t="str" cm="1">
        <f t="array" ref="N49">IF(H49=0,"",SUMPRODUCT(IFERROR(INT(H44:H48/F44:F48),0)))</f>
        <v/>
      </c>
      <c r="O49" s="770" t="str">
        <f>IF(N49="","",MAX(0,G49-N49))</f>
        <v/>
      </c>
      <c r="P49" s="583"/>
      <c r="AA49" t="s">
        <v>491</v>
      </c>
      <c r="AB49" t="s">
        <v>1425</v>
      </c>
    </row>
    <row r="50" spans="1:28" ht="6" customHeight="1" x14ac:dyDescent="0.3">
      <c r="A50" s="128"/>
      <c r="B50" s="128"/>
      <c r="C50" s="132"/>
      <c r="D50" s="128"/>
      <c r="E50" s="128"/>
      <c r="F50" s="128"/>
      <c r="G50" s="128"/>
      <c r="H50" s="128"/>
      <c r="I50" s="128"/>
      <c r="J50" s="128"/>
      <c r="K50" s="128"/>
      <c r="L50" s="128"/>
      <c r="M50" s="128"/>
      <c r="AA50" t="s">
        <v>1162</v>
      </c>
      <c r="AB50" t="s">
        <v>1424</v>
      </c>
    </row>
    <row r="51" spans="1:28" ht="15" customHeight="1" x14ac:dyDescent="0.3">
      <c r="A51" s="75">
        <v>46181</v>
      </c>
      <c r="B51" s="113" t="s">
        <v>49</v>
      </c>
      <c r="C51" s="112" t="s">
        <v>176</v>
      </c>
      <c r="D51" s="111" t="s">
        <v>177</v>
      </c>
      <c r="E51" s="111" t="s">
        <v>178</v>
      </c>
      <c r="F51" s="860" t="s">
        <v>179</v>
      </c>
      <c r="G51" s="111" t="s">
        <v>180</v>
      </c>
      <c r="H51" s="111" t="s">
        <v>181</v>
      </c>
      <c r="I51" s="111" t="s">
        <v>182</v>
      </c>
      <c r="AA51" t="s">
        <v>39</v>
      </c>
      <c r="AB51" t="s">
        <v>1423</v>
      </c>
    </row>
    <row r="52" spans="1:28" ht="21" customHeight="1" x14ac:dyDescent="0.3">
      <c r="A52" s="110"/>
      <c r="B52" s="109" t="s">
        <v>498</v>
      </c>
      <c r="C52" s="108">
        <v>600</v>
      </c>
      <c r="D52" s="104">
        <f>D28-H28</f>
        <v>736</v>
      </c>
      <c r="E52" s="107" t="s">
        <v>184</v>
      </c>
      <c r="F52" s="871">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95</v>
      </c>
      <c r="G52" s="106">
        <f>IFERROR(ROUNDUP(D52/F52,0),"")</f>
        <v>8</v>
      </c>
      <c r="H52" s="105">
        <v>619</v>
      </c>
      <c r="I52" s="104">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7428</v>
      </c>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IFERROR(ROUNDUP(D53/F53,0),"")</f>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AA53" t="s">
        <v>596</v>
      </c>
      <c r="AB53" t="s">
        <v>1425</v>
      </c>
    </row>
    <row r="54" spans="1:28" ht="21" customHeight="1" x14ac:dyDescent="0.3">
      <c r="A54" s="110"/>
      <c r="B54" s="109"/>
      <c r="C54" s="108"/>
      <c r="D54" s="104"/>
      <c r="E54" s="107" t="s">
        <v>184</v>
      </c>
      <c r="F54" s="871"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06" t="str">
        <f>IFERROR(ROUNDUP(D54/F54,0),"")</f>
        <v/>
      </c>
      <c r="H54" s="105"/>
      <c r="I54" s="104"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21" customHeight="1" x14ac:dyDescent="0.3">
      <c r="A55" s="110"/>
      <c r="B55" s="109"/>
      <c r="C55" s="108"/>
      <c r="D55" s="104"/>
      <c r="E55" s="107" t="s">
        <v>184</v>
      </c>
      <c r="F55" s="871"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06" t="str">
        <f>IFERROR(ROUNDUP(D55/F55,0),"")</f>
        <v/>
      </c>
      <c r="H55" s="105"/>
      <c r="I55" s="104"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AA55" t="s">
        <v>571</v>
      </c>
      <c r="AB55" t="s">
        <v>1425</v>
      </c>
    </row>
    <row r="56" spans="1:28" ht="21" customHeight="1" x14ac:dyDescent="0.3">
      <c r="A56" s="817"/>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IFERROR(ROUNDUP(D56/F56,0),"")</f>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736</v>
      </c>
      <c r="E57" s="849"/>
      <c r="F57" s="856" t="s">
        <v>1400</v>
      </c>
      <c r="G57" s="850">
        <f>SUM(G50:G56)</f>
        <v>8</v>
      </c>
      <c r="H57" s="848">
        <f>SUM(H50:H56)</f>
        <v>619</v>
      </c>
      <c r="I57" s="848">
        <f>SUM(I50:I56)</f>
        <v>7428</v>
      </c>
      <c r="J57" s="63">
        <f>D57</f>
        <v>736</v>
      </c>
      <c r="K57" s="93">
        <f>G57</f>
        <v>8</v>
      </c>
      <c r="L57" s="63">
        <f>H57</f>
        <v>619</v>
      </c>
      <c r="M57" s="63">
        <f>I57</f>
        <v>7428</v>
      </c>
      <c r="N57" s="587" cm="1">
        <f t="array" ref="N57">IF(H57=0,"",SUMPRODUCT(IFERROR(INT(H52:H56/F52:F56),0)))</f>
        <v>6</v>
      </c>
      <c r="O57" s="770">
        <f>IF(N57="","",MAX(0,G57-N57))</f>
        <v>2</v>
      </c>
      <c r="P57" s="583"/>
      <c r="AA57" t="s">
        <v>595</v>
      </c>
      <c r="AB57" t="s">
        <v>1425</v>
      </c>
    </row>
    <row r="58" spans="1:28" ht="6" customHeight="1" x14ac:dyDescent="0.3">
      <c r="C58" s="65"/>
      <c r="AA58" t="s">
        <v>483</v>
      </c>
      <c r="AB58" t="s">
        <v>1422</v>
      </c>
    </row>
    <row r="59" spans="1:28" ht="15" customHeight="1" x14ac:dyDescent="0.3">
      <c r="A59" s="75">
        <v>46182</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t="s">
        <v>498</v>
      </c>
      <c r="C60" s="108">
        <v>600</v>
      </c>
      <c r="D60" s="104">
        <f>D52-H52</f>
        <v>117</v>
      </c>
      <c r="E60" s="107" t="s">
        <v>184</v>
      </c>
      <c r="F60" s="871">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95</v>
      </c>
      <c r="G60" s="106">
        <f t="shared" ref="G60:G65" si="0">IFERROR(ROUNDUP(D60/F60,0),"")</f>
        <v>2</v>
      </c>
      <c r="H60" s="105">
        <v>117</v>
      </c>
      <c r="I60" s="104">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1404</v>
      </c>
      <c r="AA60" t="s">
        <v>577</v>
      </c>
      <c r="AB60" t="s">
        <v>1422</v>
      </c>
    </row>
    <row r="61" spans="1:28" ht="21" customHeight="1" x14ac:dyDescent="0.3">
      <c r="A61" s="110"/>
      <c r="B61" s="109" t="s">
        <v>499</v>
      </c>
      <c r="C61" s="108">
        <v>600</v>
      </c>
      <c r="D61" s="104">
        <v>665</v>
      </c>
      <c r="E61" s="107" t="s">
        <v>184</v>
      </c>
      <c r="F61" s="871">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95</v>
      </c>
      <c r="G61" s="106">
        <f t="shared" si="0"/>
        <v>7</v>
      </c>
      <c r="H61" s="105">
        <v>598</v>
      </c>
      <c r="I61" s="104">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7176</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 t="shared" si="0"/>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 t="shared" si="0"/>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110"/>
      <c r="B64" s="109"/>
      <c r="C64" s="108"/>
      <c r="D64" s="104"/>
      <c r="E64" s="107" t="s">
        <v>184</v>
      </c>
      <c r="F64" s="871"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106" t="str">
        <f t="shared" si="0"/>
        <v/>
      </c>
      <c r="H64" s="105"/>
      <c r="I64" s="104"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21" customHeight="1" x14ac:dyDescent="0.3">
      <c r="A65" s="817"/>
      <c r="B65" s="818"/>
      <c r="C65" s="819"/>
      <c r="D65" s="820"/>
      <c r="E65" s="821" t="s">
        <v>184</v>
      </c>
      <c r="F65" s="872" t="str">
        <f>IF($B65="","",IF(SUMIFS(CONFIG_PALETES!$C:$C,CONFIG_PALETES!$A:$A,TRIM($B65),CONFIG_PALETES!$B:$B,$C65&amp;" ml")&gt;0,SUMIFS(CONFIG_PALETES!$C:$C,CONFIG_PALETES!$A:$A,TRIM($B65),CONFIG_PALETES!$B:$B,$C65&amp;" ml"),IF(SUMIFS(CONFIG_PALETES!$C:$C,CONFIG_PALETES!$A:$A,"GERAL",CONFIG_PALETES!$B:$B,$C65&amp;" ml")&gt;0,SUMIFS(CONFIG_PALETES!$C:$C,CONFIG_PALETES!$A:$A,"GERAL",CONFIG_PALETES!$B:$B,$C65&amp;" ml"),"")))</f>
        <v/>
      </c>
      <c r="G65" s="822" t="str">
        <f t="shared" si="0"/>
        <v/>
      </c>
      <c r="H65" s="823"/>
      <c r="I65" s="820" t="str">
        <f>IF(H65="","",H65*IF(SUMIFS(CONFIG_PALETES!$D:$D,CONFIG_PALETES!$A:$A,IF(ISNUMBER(SEARCH("ESPUMA",$B65)),"ESPUMA",IF(OR(ISNUMBER(SEARCH("OLEO DE COCO",$B65)),ISNUMBER(SEARCH("ÓLEO DE COCO",$B65)),ISNUMBER(SEARCH("COPRA",$B65))),"ÓLEO DE COCO",IF(ISNUMBER(SEARCH("CORANTE",$B65)),"CORANTE",TRIM($B65)))),CONFIG_PALETES!$B:$B,$C65&amp;" ml")&gt;0,SUMIFS(CONFIG_PALETES!$D:$D,CONFIG_PALETES!$A:$A,IF(ISNUMBER(SEARCH("ESPUMA",$B65)),"ESPUMA",IF(OR(ISNUMBER(SEARCH("OLEO DE COCO",$B65)),ISNUMBER(SEARCH("ÓLEO DE COCO",$B65)),ISNUMBER(SEARCH("COPRA",$B65))),"ÓLEO DE COCO",IF(ISNUMBER(SEARCH("CORANTE",$B65)),"CORANTE",TRIM($B65)))),CONFIG_PALETES!$B:$B,$C65&amp;" ml"),IF(SUMIFS(CONFIG_PALETES!$D:$D,CONFIG_PALETES!$A:$A,"GERAL",CONFIG_PALETES!$B:$B,$C65&amp;" ml")&gt;0,SUMIFS(CONFIG_PALETES!$D:$D,CONFIG_PALETES!$A:$A,"GERAL",CONFIG_PALETES!$B:$B,$C65&amp;" ml"),12)))</f>
        <v/>
      </c>
      <c r="AA65" t="s">
        <v>114</v>
      </c>
      <c r="AB65" t="s">
        <v>1422</v>
      </c>
    </row>
    <row r="66" spans="1:28" ht="15" customHeight="1" x14ac:dyDescent="0.3">
      <c r="A66" s="899"/>
      <c r="B66" s="846" t="s">
        <v>186</v>
      </c>
      <c r="C66" s="847"/>
      <c r="D66" s="848">
        <f>SUM(D58:D65)</f>
        <v>782</v>
      </c>
      <c r="E66" s="849"/>
      <c r="F66" s="856" t="s">
        <v>1400</v>
      </c>
      <c r="G66" s="850">
        <f>SUM(G58:G65)</f>
        <v>9</v>
      </c>
      <c r="H66" s="848">
        <f>SUM(H58:H65)</f>
        <v>715</v>
      </c>
      <c r="I66" s="848">
        <f>SUM(I58:I65)</f>
        <v>8580</v>
      </c>
      <c r="J66" s="63">
        <f>D66</f>
        <v>782</v>
      </c>
      <c r="K66" s="93">
        <f>G66</f>
        <v>9</v>
      </c>
      <c r="L66" s="63">
        <f>H66</f>
        <v>715</v>
      </c>
      <c r="M66" s="63">
        <f>I66</f>
        <v>8580</v>
      </c>
      <c r="N66" s="587" cm="1">
        <f t="array" ref="N66">IF(H66=0,"",SUMPRODUCT(IFERROR(INT(H60:H65/F60:F65),0)))</f>
        <v>7</v>
      </c>
      <c r="O66" s="770">
        <f>IF(N66="","",MAX(0,G66-N66))</f>
        <v>2</v>
      </c>
      <c r="P66" s="583"/>
      <c r="AA66" t="s">
        <v>487</v>
      </c>
      <c r="AB66" t="s">
        <v>1422</v>
      </c>
    </row>
    <row r="67" spans="1:28" ht="6" customHeight="1" x14ac:dyDescent="0.3">
      <c r="C67" s="65"/>
      <c r="AA67" t="s">
        <v>488</v>
      </c>
      <c r="AB67" t="s">
        <v>1422</v>
      </c>
    </row>
    <row r="68" spans="1:28" ht="15" customHeight="1" x14ac:dyDescent="0.3">
      <c r="A68" s="75">
        <v>46183</v>
      </c>
      <c r="B68" s="113" t="s">
        <v>49</v>
      </c>
      <c r="C68" s="112" t="s">
        <v>176</v>
      </c>
      <c r="D68" s="111" t="s">
        <v>177</v>
      </c>
      <c r="E68" s="111" t="s">
        <v>178</v>
      </c>
      <c r="F68" s="860" t="s">
        <v>179</v>
      </c>
      <c r="G68" s="111" t="s">
        <v>180</v>
      </c>
      <c r="H68" s="111" t="s">
        <v>181</v>
      </c>
      <c r="I68" s="111" t="s">
        <v>182</v>
      </c>
      <c r="AA68" t="s">
        <v>477</v>
      </c>
      <c r="AB68" t="s">
        <v>1422</v>
      </c>
    </row>
    <row r="69" spans="1:28" ht="21" customHeight="1" x14ac:dyDescent="0.3">
      <c r="A69" s="110"/>
      <c r="B69" s="109" t="s">
        <v>499</v>
      </c>
      <c r="C69" s="108">
        <v>600</v>
      </c>
      <c r="D69" s="104">
        <f>D61-H61</f>
        <v>67</v>
      </c>
      <c r="E69" s="107" t="s">
        <v>184</v>
      </c>
      <c r="F69" s="871">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95</v>
      </c>
      <c r="G69" s="106">
        <f t="shared" ref="G69:G74" si="1">IFERROR(ROUNDUP(D69/F69,0),"")</f>
        <v>1</v>
      </c>
      <c r="H69" s="105">
        <v>74</v>
      </c>
      <c r="I69" s="104">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888</v>
      </c>
      <c r="AA69" t="s">
        <v>1189</v>
      </c>
      <c r="AB69" t="s">
        <v>1422</v>
      </c>
    </row>
    <row r="70" spans="1:28" ht="21" customHeight="1" x14ac:dyDescent="0.3">
      <c r="A70" s="110"/>
      <c r="B70" s="109" t="s">
        <v>25</v>
      </c>
      <c r="C70" s="108">
        <v>600</v>
      </c>
      <c r="D70" s="104">
        <v>1330</v>
      </c>
      <c r="E70" s="107" t="s">
        <v>184</v>
      </c>
      <c r="F70" s="871">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95</v>
      </c>
      <c r="G70" s="106">
        <f t="shared" si="1"/>
        <v>14</v>
      </c>
      <c r="H70" s="105">
        <v>866</v>
      </c>
      <c r="I70" s="104">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10392</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 t="shared" si="1"/>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110"/>
      <c r="B72" s="109"/>
      <c r="C72" s="108"/>
      <c r="D72" s="104"/>
      <c r="E72" s="107" t="s">
        <v>184</v>
      </c>
      <c r="F72" s="871"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106" t="str">
        <f t="shared" si="1"/>
        <v/>
      </c>
      <c r="H72" s="105"/>
      <c r="I72" s="104"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21" customHeight="1" x14ac:dyDescent="0.3">
      <c r="A73" s="110"/>
      <c r="B73" s="109"/>
      <c r="C73" s="108"/>
      <c r="D73" s="104"/>
      <c r="E73" s="107" t="s">
        <v>184</v>
      </c>
      <c r="F73" s="871" t="str">
        <f>IF($B73="","",IF(SUMIFS(CONFIG_PALETES!$C:$C,CONFIG_PALETES!$A:$A,TRIM($B73),CONFIG_PALETES!$B:$B,$C73&amp;" ml")&gt;0,SUMIFS(CONFIG_PALETES!$C:$C,CONFIG_PALETES!$A:$A,TRIM($B73),CONFIG_PALETES!$B:$B,$C73&amp;" ml"),IF(SUMIFS(CONFIG_PALETES!$C:$C,CONFIG_PALETES!$A:$A,"GERAL",CONFIG_PALETES!$B:$B,$C73&amp;" ml")&gt;0,SUMIFS(CONFIG_PALETES!$C:$C,CONFIG_PALETES!$A:$A,"GERAL",CONFIG_PALETES!$B:$B,$C73&amp;" ml"),"")))</f>
        <v/>
      </c>
      <c r="G73" s="106" t="str">
        <f t="shared" si="1"/>
        <v/>
      </c>
      <c r="H73" s="105"/>
      <c r="I73" s="104" t="str">
        <f>IF(H73="","",H73*IF(SUMIFS(CONFIG_PALETES!$D:$D,CONFIG_PALETES!$A:$A,IF(ISNUMBER(SEARCH("ESPUMA",$B73)),"ESPUMA",IF(OR(ISNUMBER(SEARCH("OLEO DE COCO",$B73)),ISNUMBER(SEARCH("ÓLEO DE COCO",$B73)),ISNUMBER(SEARCH("COPRA",$B73))),"ÓLEO DE COCO",IF(ISNUMBER(SEARCH("CORANTE",$B73)),"CORANTE",TRIM($B73)))),CONFIG_PALETES!$B:$B,$C73&amp;" ml")&gt;0,SUMIFS(CONFIG_PALETES!$D:$D,CONFIG_PALETES!$A:$A,IF(ISNUMBER(SEARCH("ESPUMA",$B73)),"ESPUMA",IF(OR(ISNUMBER(SEARCH("OLEO DE COCO",$B73)),ISNUMBER(SEARCH("ÓLEO DE COCO",$B73)),ISNUMBER(SEARCH("COPRA",$B73))),"ÓLEO DE COCO",IF(ISNUMBER(SEARCH("CORANTE",$B73)),"CORANTE",TRIM($B73)))),CONFIG_PALETES!$B:$B,$C73&amp;" ml"),IF(SUMIFS(CONFIG_PALETES!$D:$D,CONFIG_PALETES!$A:$A,"GERAL",CONFIG_PALETES!$B:$B,$C73&amp;" ml")&gt;0,SUMIFS(CONFIG_PALETES!$D:$D,CONFIG_PALETES!$A:$A,"GERAL",CONFIG_PALETES!$B:$B,$C73&amp;" ml"),12)))</f>
        <v/>
      </c>
      <c r="AA73" t="s">
        <v>1191</v>
      </c>
      <c r="AB73" t="s">
        <v>1422</v>
      </c>
    </row>
    <row r="74" spans="1:28" ht="21" customHeight="1" x14ac:dyDescent="0.3">
      <c r="A74" s="817"/>
      <c r="B74" s="818"/>
      <c r="C74" s="819"/>
      <c r="D74" s="820"/>
      <c r="E74" s="821" t="s">
        <v>184</v>
      </c>
      <c r="F74" s="872" t="str">
        <f>IF($B74="","",IF(SUMIFS(CONFIG_PALETES!$C:$C,CONFIG_PALETES!$A:$A,TRIM($B74),CONFIG_PALETES!$B:$B,$C74&amp;" ml")&gt;0,SUMIFS(CONFIG_PALETES!$C:$C,CONFIG_PALETES!$A:$A,TRIM($B74),CONFIG_PALETES!$B:$B,$C74&amp;" ml"),IF(SUMIFS(CONFIG_PALETES!$C:$C,CONFIG_PALETES!$A:$A,"GERAL",CONFIG_PALETES!$B:$B,$C74&amp;" ml")&gt;0,SUMIFS(CONFIG_PALETES!$C:$C,CONFIG_PALETES!$A:$A,"GERAL",CONFIG_PALETES!$B:$B,$C74&amp;" ml"),"")))</f>
        <v/>
      </c>
      <c r="G74" s="822" t="str">
        <f t="shared" si="1"/>
        <v/>
      </c>
      <c r="H74" s="823"/>
      <c r="I74" s="820" t="str">
        <f>IF(H74="","",H74*IF(SUMIFS(CONFIG_PALETES!$D:$D,CONFIG_PALETES!$A:$A,IF(ISNUMBER(SEARCH("ESPUMA",$B74)),"ESPUMA",IF(OR(ISNUMBER(SEARCH("OLEO DE COCO",$B74)),ISNUMBER(SEARCH("ÓLEO DE COCO",$B74)),ISNUMBER(SEARCH("COPRA",$B74))),"ÓLEO DE COCO",IF(ISNUMBER(SEARCH("CORANTE",$B74)),"CORANTE",TRIM($B74)))),CONFIG_PALETES!$B:$B,$C74&amp;" ml")&gt;0,SUMIFS(CONFIG_PALETES!$D:$D,CONFIG_PALETES!$A:$A,IF(ISNUMBER(SEARCH("ESPUMA",$B74)),"ESPUMA",IF(OR(ISNUMBER(SEARCH("OLEO DE COCO",$B74)),ISNUMBER(SEARCH("ÓLEO DE COCO",$B74)),ISNUMBER(SEARCH("COPRA",$B74))),"ÓLEO DE COCO",IF(ISNUMBER(SEARCH("CORANTE",$B74)),"CORANTE",TRIM($B74)))),CONFIG_PALETES!$B:$B,$C74&amp;" ml"),IF(SUMIFS(CONFIG_PALETES!$D:$D,CONFIG_PALETES!$A:$A,"GERAL",CONFIG_PALETES!$B:$B,$C74&amp;" ml")&gt;0,SUMIFS(CONFIG_PALETES!$D:$D,CONFIG_PALETES!$A:$A,"GERAL",CONFIG_PALETES!$B:$B,$C74&amp;" ml"),12)))</f>
        <v/>
      </c>
      <c r="AA74" t="s">
        <v>481</v>
      </c>
      <c r="AB74" t="s">
        <v>1422</v>
      </c>
    </row>
    <row r="75" spans="1:28" ht="15" customHeight="1" x14ac:dyDescent="0.3">
      <c r="A75" s="899"/>
      <c r="B75" s="846" t="s">
        <v>186</v>
      </c>
      <c r="C75" s="847"/>
      <c r="D75" s="848">
        <f>SUM(D67:D74)</f>
        <v>1397</v>
      </c>
      <c r="E75" s="849"/>
      <c r="F75" s="856" t="s">
        <v>1400</v>
      </c>
      <c r="G75" s="850">
        <f>SUM(G67:G74)</f>
        <v>15</v>
      </c>
      <c r="H75" s="848">
        <f>SUM(H67:H74)</f>
        <v>940</v>
      </c>
      <c r="I75" s="848">
        <f>SUM(I67:I74)</f>
        <v>11280</v>
      </c>
      <c r="J75" s="63">
        <f>D75</f>
        <v>1397</v>
      </c>
      <c r="K75" s="93">
        <f>G75</f>
        <v>15</v>
      </c>
      <c r="L75" s="63">
        <f>H75</f>
        <v>940</v>
      </c>
      <c r="M75" s="63">
        <f>I75</f>
        <v>11280</v>
      </c>
      <c r="N75" s="587" cm="1">
        <f t="array" ref="N75">IF(H75=0,"",SUMPRODUCT(IFERROR(INT(H69:H74/F69:F74),0)))</f>
        <v>9</v>
      </c>
      <c r="O75" s="770">
        <f>IF(N75="","",MAX(0,G75-N75))</f>
        <v>6</v>
      </c>
      <c r="P75" s="583"/>
      <c r="AA75" t="s">
        <v>482</v>
      </c>
      <c r="AB75" t="s">
        <v>1422</v>
      </c>
    </row>
    <row r="76" spans="1:28" ht="6" customHeight="1" x14ac:dyDescent="0.3">
      <c r="C76" s="65"/>
      <c r="AA76" t="s">
        <v>1192</v>
      </c>
      <c r="AB76" t="s">
        <v>1422</v>
      </c>
    </row>
    <row r="77" spans="1:28" ht="15" customHeight="1" x14ac:dyDescent="0.3">
      <c r="A77" s="75">
        <v>46184</v>
      </c>
      <c r="B77" s="113" t="s">
        <v>49</v>
      </c>
      <c r="C77" s="112" t="s">
        <v>176</v>
      </c>
      <c r="D77" s="111" t="s">
        <v>177</v>
      </c>
      <c r="E77" s="111" t="s">
        <v>178</v>
      </c>
      <c r="F77" s="860" t="s">
        <v>179</v>
      </c>
      <c r="G77" s="111" t="s">
        <v>180</v>
      </c>
      <c r="H77" s="111" t="s">
        <v>181</v>
      </c>
      <c r="I77" s="111" t="s">
        <v>182</v>
      </c>
      <c r="AA77" t="s">
        <v>480</v>
      </c>
      <c r="AB77" t="s">
        <v>1422</v>
      </c>
    </row>
    <row r="78" spans="1:28" ht="21" customHeight="1" x14ac:dyDescent="0.3">
      <c r="A78" s="110"/>
      <c r="B78" s="109" t="s">
        <v>25</v>
      </c>
      <c r="C78" s="108">
        <v>600</v>
      </c>
      <c r="D78" s="104">
        <f>D70-H70</f>
        <v>464</v>
      </c>
      <c r="E78" s="107" t="s">
        <v>184</v>
      </c>
      <c r="F78" s="871">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95</v>
      </c>
      <c r="G78" s="106">
        <f>IFERROR(ROUNDUP(D78/F78,0),"")</f>
        <v>5</v>
      </c>
      <c r="H78" s="105">
        <v>480</v>
      </c>
      <c r="I78" s="104">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5760</v>
      </c>
      <c r="AA78" t="s">
        <v>1414</v>
      </c>
      <c r="AB78" t="s">
        <v>1422</v>
      </c>
    </row>
    <row r="79" spans="1:28" ht="21" customHeight="1" x14ac:dyDescent="0.3">
      <c r="A79" s="110"/>
      <c r="B79" s="109" t="s">
        <v>37</v>
      </c>
      <c r="C79" s="108">
        <v>600</v>
      </c>
      <c r="D79" s="104">
        <v>768</v>
      </c>
      <c r="E79" s="107" t="s">
        <v>184</v>
      </c>
      <c r="F79" s="871">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95</v>
      </c>
      <c r="G79" s="106">
        <f>IFERROR(ROUNDUP(D79/F79,0),"")</f>
        <v>9</v>
      </c>
      <c r="H79" s="105">
        <v>449</v>
      </c>
      <c r="I79" s="104">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5388</v>
      </c>
      <c r="AA79" t="s">
        <v>582</v>
      </c>
      <c r="AB79" t="s">
        <v>1422</v>
      </c>
    </row>
    <row r="80" spans="1:28" ht="21" customHeight="1" x14ac:dyDescent="0.3">
      <c r="A80" s="110"/>
      <c r="B80" s="109"/>
      <c r="C80" s="108"/>
      <c r="D80" s="104"/>
      <c r="E80" s="107" t="s">
        <v>184</v>
      </c>
      <c r="F80" s="871"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106" t="str">
        <f>IFERROR(ROUNDUP(D80/F80,0),"")</f>
        <v/>
      </c>
      <c r="H80" s="105"/>
      <c r="I80" s="104"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21" customHeight="1" x14ac:dyDescent="0.3">
      <c r="A81" s="110"/>
      <c r="B81" s="109"/>
      <c r="C81" s="108"/>
      <c r="D81" s="104"/>
      <c r="E81" s="107" t="s">
        <v>184</v>
      </c>
      <c r="F81" s="871" t="str">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
      </c>
      <c r="G81" s="106" t="str">
        <f>IFERROR(ROUNDUP(D81/F81,0),"")</f>
        <v/>
      </c>
      <c r="H81" s="105"/>
      <c r="I81" s="104" t="str">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
      </c>
      <c r="AA81" t="s">
        <v>486</v>
      </c>
      <c r="AB81" t="s">
        <v>1422</v>
      </c>
    </row>
    <row r="82" spans="1:28" ht="21" customHeight="1" x14ac:dyDescent="0.3">
      <c r="A82" s="817"/>
      <c r="B82" s="818"/>
      <c r="C82" s="819"/>
      <c r="D82" s="820"/>
      <c r="E82" s="821" t="s">
        <v>184</v>
      </c>
      <c r="F82" s="872" t="str">
        <f>IF($B82="","",IF(SUMIFS(CONFIG_PALETES!$C:$C,CONFIG_PALETES!$A:$A,TRIM($B82),CONFIG_PALETES!$B:$B,$C82&amp;" ml")&gt;0,SUMIFS(CONFIG_PALETES!$C:$C,CONFIG_PALETES!$A:$A,TRIM($B82),CONFIG_PALETES!$B:$B,$C82&amp;" ml"),IF(SUMIFS(CONFIG_PALETES!$C:$C,CONFIG_PALETES!$A:$A,"GERAL",CONFIG_PALETES!$B:$B,$C82&amp;" ml")&gt;0,SUMIFS(CONFIG_PALETES!$C:$C,CONFIG_PALETES!$A:$A,"GERAL",CONFIG_PALETES!$B:$B,$C82&amp;" ml"),"")))</f>
        <v/>
      </c>
      <c r="G82" s="822" t="str">
        <f>IFERROR(ROUNDUP(D82/F82,0),"")</f>
        <v/>
      </c>
      <c r="H82" s="823"/>
      <c r="I82" s="820" t="str">
        <f>IF(H82="","",H82*IF(SUMIFS(CONFIG_PALETES!$D:$D,CONFIG_PALETES!$A:$A,IF(ISNUMBER(SEARCH("ESPUMA",$B82)),"ESPUMA",IF(OR(ISNUMBER(SEARCH("OLEO DE COCO",$B82)),ISNUMBER(SEARCH("ÓLEO DE COCO",$B82)),ISNUMBER(SEARCH("COPRA",$B82))),"ÓLEO DE COCO",IF(ISNUMBER(SEARCH("CORANTE",$B82)),"CORANTE",TRIM($B82)))),CONFIG_PALETES!$B:$B,$C82&amp;" ml")&gt;0,SUMIFS(CONFIG_PALETES!$D:$D,CONFIG_PALETES!$A:$A,IF(ISNUMBER(SEARCH("ESPUMA",$B82)),"ESPUMA",IF(OR(ISNUMBER(SEARCH("OLEO DE COCO",$B82)),ISNUMBER(SEARCH("ÓLEO DE COCO",$B82)),ISNUMBER(SEARCH("COPRA",$B82))),"ÓLEO DE COCO",IF(ISNUMBER(SEARCH("CORANTE",$B82)),"CORANTE",TRIM($B82)))),CONFIG_PALETES!$B:$B,$C82&amp;" ml"),IF(SUMIFS(CONFIG_PALETES!$D:$D,CONFIG_PALETES!$A:$A,"GERAL",CONFIG_PALETES!$B:$B,$C82&amp;" ml")&gt;0,SUMIFS(CONFIG_PALETES!$D:$D,CONFIG_PALETES!$A:$A,"GERAL",CONFIG_PALETES!$B:$B,$C82&amp;" ml"),12)))</f>
        <v/>
      </c>
      <c r="AA82" t="s">
        <v>485</v>
      </c>
      <c r="AB82" t="s">
        <v>1422</v>
      </c>
    </row>
    <row r="83" spans="1:28" ht="15" customHeight="1" x14ac:dyDescent="0.3">
      <c r="A83" s="899"/>
      <c r="B83" s="846" t="s">
        <v>186</v>
      </c>
      <c r="C83" s="847"/>
      <c r="D83" s="848">
        <f>SUM(D76:D82)</f>
        <v>1232</v>
      </c>
      <c r="E83" s="849"/>
      <c r="F83" s="856" t="s">
        <v>1400</v>
      </c>
      <c r="G83" s="850">
        <f>SUM(G76:G82)</f>
        <v>14</v>
      </c>
      <c r="H83" s="848">
        <f>SUM(H76:H82)</f>
        <v>929</v>
      </c>
      <c r="I83" s="848">
        <f>SUM(I76:I82)</f>
        <v>11148</v>
      </c>
      <c r="J83" s="63">
        <f>D83</f>
        <v>1232</v>
      </c>
      <c r="K83" s="93">
        <f>G83</f>
        <v>14</v>
      </c>
      <c r="L83" s="63">
        <f>H83</f>
        <v>929</v>
      </c>
      <c r="M83" s="63">
        <f>I83</f>
        <v>11148</v>
      </c>
      <c r="N83" s="587" cm="1">
        <f t="array" ref="N83">IF(H83=0,"",SUMPRODUCT(IFERROR(INT(H78:H82/F78:F82),0)))</f>
        <v>9</v>
      </c>
      <c r="O83" s="770">
        <f>IF(N83="","",MAX(0,G83-N83))</f>
        <v>5</v>
      </c>
      <c r="P83" s="583"/>
      <c r="AA83" t="s">
        <v>583</v>
      </c>
      <c r="AB83" t="s">
        <v>1422</v>
      </c>
    </row>
    <row r="84" spans="1:28" ht="6" customHeight="1" x14ac:dyDescent="0.3">
      <c r="C84" s="65"/>
      <c r="AA84" t="s">
        <v>584</v>
      </c>
      <c r="AB84" t="s">
        <v>1422</v>
      </c>
    </row>
    <row r="85" spans="1:28" ht="15" customHeight="1" x14ac:dyDescent="0.3">
      <c r="A85" s="75">
        <v>46185</v>
      </c>
      <c r="B85" s="113" t="s">
        <v>49</v>
      </c>
      <c r="C85" s="112" t="s">
        <v>176</v>
      </c>
      <c r="D85" s="111" t="s">
        <v>177</v>
      </c>
      <c r="E85" s="111" t="s">
        <v>178</v>
      </c>
      <c r="F85" s="860" t="s">
        <v>179</v>
      </c>
      <c r="G85" s="111" t="s">
        <v>180</v>
      </c>
      <c r="H85" s="111" t="s">
        <v>181</v>
      </c>
      <c r="I85" s="111" t="s">
        <v>182</v>
      </c>
      <c r="AA85" t="s">
        <v>579</v>
      </c>
      <c r="AB85" t="s">
        <v>1422</v>
      </c>
    </row>
    <row r="86" spans="1:28" ht="21" customHeight="1" x14ac:dyDescent="0.3">
      <c r="A86" s="110"/>
      <c r="B86" s="109" t="s">
        <v>37</v>
      </c>
      <c r="C86" s="108">
        <v>600</v>
      </c>
      <c r="D86" s="104">
        <f>D79-H79</f>
        <v>319</v>
      </c>
      <c r="E86" s="107" t="s">
        <v>184</v>
      </c>
      <c r="F86" s="871">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95</v>
      </c>
      <c r="G86" s="106">
        <f t="shared" ref="G86:G91" si="2">IFERROR(ROUNDUP(D86/F86,0),"")</f>
        <v>4</v>
      </c>
      <c r="H86" s="105">
        <v>319</v>
      </c>
      <c r="I86" s="104">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3828</v>
      </c>
      <c r="AA86" t="s">
        <v>484</v>
      </c>
      <c r="AB86" t="s">
        <v>1422</v>
      </c>
    </row>
    <row r="87" spans="1:28" ht="21" customHeight="1" x14ac:dyDescent="0.3">
      <c r="A87" s="110"/>
      <c r="B87" s="109" t="s">
        <v>1080</v>
      </c>
      <c r="C87" s="108">
        <v>600</v>
      </c>
      <c r="D87" s="104">
        <v>218</v>
      </c>
      <c r="E87" s="107" t="s">
        <v>184</v>
      </c>
      <c r="F87" s="871">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95</v>
      </c>
      <c r="G87" s="106">
        <f t="shared" si="2"/>
        <v>3</v>
      </c>
      <c r="H87" s="105">
        <v>221</v>
      </c>
      <c r="I87" s="104">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2652</v>
      </c>
      <c r="AA87" t="s">
        <v>580</v>
      </c>
      <c r="AB87" t="s">
        <v>1422</v>
      </c>
    </row>
    <row r="88" spans="1:28" ht="21" customHeight="1" x14ac:dyDescent="0.3">
      <c r="A88" s="110"/>
      <c r="B88" s="109" t="s">
        <v>401</v>
      </c>
      <c r="C88" s="108">
        <v>600</v>
      </c>
      <c r="D88" s="104">
        <v>475</v>
      </c>
      <c r="E88" s="107" t="s">
        <v>184</v>
      </c>
      <c r="F88" s="871">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95</v>
      </c>
      <c r="G88" s="106">
        <f t="shared" si="2"/>
        <v>5</v>
      </c>
      <c r="H88" s="105">
        <v>262</v>
      </c>
      <c r="I88" s="104">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3144</v>
      </c>
      <c r="AA88" t="s">
        <v>585</v>
      </c>
      <c r="AB88" t="s">
        <v>1422</v>
      </c>
    </row>
    <row r="89" spans="1:28" ht="21" customHeight="1" x14ac:dyDescent="0.3">
      <c r="A89" s="110"/>
      <c r="B89" s="109"/>
      <c r="C89" s="108"/>
      <c r="D89" s="104"/>
      <c r="E89" s="107" t="s">
        <v>184</v>
      </c>
      <c r="F89" s="871" t="str">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
      </c>
      <c r="G89" s="106" t="str">
        <f t="shared" si="2"/>
        <v/>
      </c>
      <c r="H89" s="105"/>
      <c r="I89" s="104" t="str">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
      </c>
      <c r="AA89" t="s">
        <v>586</v>
      </c>
      <c r="AB89" t="s">
        <v>1422</v>
      </c>
    </row>
    <row r="90" spans="1:28" ht="21" customHeight="1" x14ac:dyDescent="0.3">
      <c r="A90" s="110"/>
      <c r="B90" s="109"/>
      <c r="C90" s="108"/>
      <c r="D90" s="104"/>
      <c r="E90" s="107" t="s">
        <v>184</v>
      </c>
      <c r="F90" s="871" t="str">
        <f>IF($B90="","",IF(SUMIFS(CONFIG_PALETES!$C:$C,CONFIG_PALETES!$A:$A,TRIM($B90),CONFIG_PALETES!$B:$B,$C90&amp;" ml")&gt;0,SUMIFS(CONFIG_PALETES!$C:$C,CONFIG_PALETES!$A:$A,TRIM($B90),CONFIG_PALETES!$B:$B,$C90&amp;" ml"),IF(SUMIFS(CONFIG_PALETES!$C:$C,CONFIG_PALETES!$A:$A,"GERAL",CONFIG_PALETES!$B:$B,$C90&amp;" ml")&gt;0,SUMIFS(CONFIG_PALETES!$C:$C,CONFIG_PALETES!$A:$A,"GERAL",CONFIG_PALETES!$B:$B,$C90&amp;" ml"),"")))</f>
        <v/>
      </c>
      <c r="G90" s="106" t="str">
        <f t="shared" si="2"/>
        <v/>
      </c>
      <c r="H90" s="105"/>
      <c r="I90" s="104" t="str">
        <f>IF(H90="","",H90*IF(SUMIFS(CONFIG_PALETES!$D:$D,CONFIG_PALETES!$A:$A,IF(ISNUMBER(SEARCH("ESPUMA",$B90)),"ESPUMA",IF(OR(ISNUMBER(SEARCH("OLEO DE COCO",$B90)),ISNUMBER(SEARCH("ÓLEO DE COCO",$B90)),ISNUMBER(SEARCH("COPRA",$B90))),"ÓLEO DE COCO",IF(ISNUMBER(SEARCH("CORANTE",$B90)),"CORANTE",TRIM($B90)))),CONFIG_PALETES!$B:$B,$C90&amp;" ml")&gt;0,SUMIFS(CONFIG_PALETES!$D:$D,CONFIG_PALETES!$A:$A,IF(ISNUMBER(SEARCH("ESPUMA",$B90)),"ESPUMA",IF(OR(ISNUMBER(SEARCH("OLEO DE COCO",$B90)),ISNUMBER(SEARCH("ÓLEO DE COCO",$B90)),ISNUMBER(SEARCH("COPRA",$B90))),"ÓLEO DE COCO",IF(ISNUMBER(SEARCH("CORANTE",$B90)),"CORANTE",TRIM($B90)))),CONFIG_PALETES!$B:$B,$C90&amp;" ml"),IF(SUMIFS(CONFIG_PALETES!$D:$D,CONFIG_PALETES!$A:$A,"GERAL",CONFIG_PALETES!$B:$B,$C90&amp;" ml")&gt;0,SUMIFS(CONFIG_PALETES!$D:$D,CONFIG_PALETES!$A:$A,"GERAL",CONFIG_PALETES!$B:$B,$C90&amp;" ml"),12)))</f>
        <v/>
      </c>
      <c r="AA90" t="s">
        <v>194</v>
      </c>
      <c r="AB90" t="s">
        <v>1422</v>
      </c>
    </row>
    <row r="91" spans="1:28" ht="21" customHeight="1" x14ac:dyDescent="0.3">
      <c r="A91" s="817"/>
      <c r="B91" s="818"/>
      <c r="C91" s="819"/>
      <c r="D91" s="820"/>
      <c r="E91" s="821" t="s">
        <v>184</v>
      </c>
      <c r="F91" s="872" t="str">
        <f>IF($B91="","",IF(SUMIFS(CONFIG_PALETES!$C:$C,CONFIG_PALETES!$A:$A,TRIM($B91),CONFIG_PALETES!$B:$B,$C91&amp;" ml")&gt;0,SUMIFS(CONFIG_PALETES!$C:$C,CONFIG_PALETES!$A:$A,TRIM($B91),CONFIG_PALETES!$B:$B,$C91&amp;" ml"),IF(SUMIFS(CONFIG_PALETES!$C:$C,CONFIG_PALETES!$A:$A,"GERAL",CONFIG_PALETES!$B:$B,$C91&amp;" ml")&gt;0,SUMIFS(CONFIG_PALETES!$C:$C,CONFIG_PALETES!$A:$A,"GERAL",CONFIG_PALETES!$B:$B,$C91&amp;" ml"),"")))</f>
        <v/>
      </c>
      <c r="G91" s="822" t="str">
        <f t="shared" si="2"/>
        <v/>
      </c>
      <c r="H91" s="823"/>
      <c r="I91" s="820" t="str">
        <f>IF(H91="","",H91*IF(SUMIFS(CONFIG_PALETES!$D:$D,CONFIG_PALETES!$A:$A,IF(ISNUMBER(SEARCH("ESPUMA",$B91)),"ESPUMA",IF(OR(ISNUMBER(SEARCH("OLEO DE COCO",$B91)),ISNUMBER(SEARCH("ÓLEO DE COCO",$B91)),ISNUMBER(SEARCH("COPRA",$B91))),"ÓLEO DE COCO",IF(ISNUMBER(SEARCH("CORANTE",$B91)),"CORANTE",TRIM($B91)))),CONFIG_PALETES!$B:$B,$C91&amp;" ml")&gt;0,SUMIFS(CONFIG_PALETES!$D:$D,CONFIG_PALETES!$A:$A,IF(ISNUMBER(SEARCH("ESPUMA",$B91)),"ESPUMA",IF(OR(ISNUMBER(SEARCH("OLEO DE COCO",$B91)),ISNUMBER(SEARCH("ÓLEO DE COCO",$B91)),ISNUMBER(SEARCH("COPRA",$B91))),"ÓLEO DE COCO",IF(ISNUMBER(SEARCH("CORANTE",$B91)),"CORANTE",TRIM($B91)))),CONFIG_PALETES!$B:$B,$C91&amp;" ml"),IF(SUMIFS(CONFIG_PALETES!$D:$D,CONFIG_PALETES!$A:$A,"GERAL",CONFIG_PALETES!$B:$B,$C91&amp;" ml")&gt;0,SUMIFS(CONFIG_PALETES!$D:$D,CONFIG_PALETES!$A:$A,"GERAL",CONFIG_PALETES!$B:$B,$C91&amp;" ml"),12)))</f>
        <v/>
      </c>
      <c r="AA91" t="s">
        <v>35</v>
      </c>
      <c r="AB91" t="s">
        <v>1425</v>
      </c>
    </row>
    <row r="92" spans="1:28" ht="15" customHeight="1" x14ac:dyDescent="0.3">
      <c r="A92" s="899"/>
      <c r="B92" s="846" t="s">
        <v>186</v>
      </c>
      <c r="C92" s="847"/>
      <c r="D92" s="848">
        <f>SUM(D84:D91)</f>
        <v>1012</v>
      </c>
      <c r="E92" s="849"/>
      <c r="F92" s="856" t="s">
        <v>1400</v>
      </c>
      <c r="G92" s="850">
        <f>SUM(G84:G91)</f>
        <v>12</v>
      </c>
      <c r="H92" s="848">
        <f>SUM(H84:H91)</f>
        <v>802</v>
      </c>
      <c r="I92" s="848">
        <f>SUM(I84:I91)</f>
        <v>9624</v>
      </c>
      <c r="J92" s="63">
        <f>D92</f>
        <v>1012</v>
      </c>
      <c r="K92" s="93">
        <f>G92</f>
        <v>12</v>
      </c>
      <c r="L92" s="63">
        <f>H92</f>
        <v>802</v>
      </c>
      <c r="M92" s="63">
        <f>I92</f>
        <v>9624</v>
      </c>
      <c r="N92" s="587" cm="1">
        <f t="array" ref="N92">IF(H92=0,"",SUMPRODUCT(IFERROR(INT(H86:H91/F86:F91),0)))</f>
        <v>7</v>
      </c>
      <c r="O92" s="770">
        <f>IF(N92="","",MAX(0,G92-N92))</f>
        <v>5</v>
      </c>
      <c r="P92" s="583"/>
      <c r="AA92" t="s">
        <v>597</v>
      </c>
      <c r="AB92" t="s">
        <v>1425</v>
      </c>
    </row>
    <row r="93" spans="1:28" ht="6" customHeight="1" x14ac:dyDescent="0.3">
      <c r="C93" s="65"/>
      <c r="AA93" t="s">
        <v>196</v>
      </c>
      <c r="AB93" t="s">
        <v>1429</v>
      </c>
    </row>
    <row r="94" spans="1:28" ht="15" customHeight="1" x14ac:dyDescent="0.3">
      <c r="A94" s="135">
        <v>46186</v>
      </c>
      <c r="B94" s="113" t="s">
        <v>49</v>
      </c>
      <c r="C94" s="112" t="s">
        <v>176</v>
      </c>
      <c r="D94" s="111" t="s">
        <v>177</v>
      </c>
      <c r="E94" s="111" t="s">
        <v>178</v>
      </c>
      <c r="F94" s="862" t="s">
        <v>179</v>
      </c>
      <c r="G94" s="111" t="s">
        <v>180</v>
      </c>
      <c r="H94" s="111" t="s">
        <v>181</v>
      </c>
      <c r="I94" s="111" t="s">
        <v>182</v>
      </c>
      <c r="J94" s="128"/>
      <c r="K94" s="128"/>
      <c r="L94" s="128"/>
      <c r="M94" s="128"/>
      <c r="AA94" t="s">
        <v>298</v>
      </c>
      <c r="AB94" t="s">
        <v>1422</v>
      </c>
    </row>
    <row r="95" spans="1:28" ht="21" customHeight="1" x14ac:dyDescent="0.3">
      <c r="A95" s="110"/>
      <c r="B95" s="109" t="s">
        <v>401</v>
      </c>
      <c r="C95" s="108">
        <v>600</v>
      </c>
      <c r="D95" s="129">
        <f>D88-H88</f>
        <v>213</v>
      </c>
      <c r="E95" s="131" t="s">
        <v>184</v>
      </c>
      <c r="F95" s="877">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95</v>
      </c>
      <c r="G95" s="130">
        <f t="shared" ref="G95:G102" si="3">IFERROR(ROUNDUP(D95/F95,0),"")</f>
        <v>3</v>
      </c>
      <c r="H95" s="105">
        <v>213</v>
      </c>
      <c r="I95" s="129">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2556</v>
      </c>
      <c r="J95" s="128"/>
      <c r="K95" s="128"/>
      <c r="L95" s="128"/>
      <c r="M95" s="128"/>
      <c r="AA95" t="s">
        <v>191</v>
      </c>
      <c r="AB95" t="s">
        <v>1422</v>
      </c>
    </row>
    <row r="96" spans="1:28" ht="21" customHeight="1" x14ac:dyDescent="0.3">
      <c r="A96" s="110"/>
      <c r="B96" s="109" t="s">
        <v>395</v>
      </c>
      <c r="C96" s="108">
        <v>600</v>
      </c>
      <c r="D96" s="104">
        <v>285</v>
      </c>
      <c r="E96" s="107" t="s">
        <v>184</v>
      </c>
      <c r="F96" s="871">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95</v>
      </c>
      <c r="G96" s="106">
        <f t="shared" si="3"/>
        <v>3</v>
      </c>
      <c r="H96" s="105">
        <v>285</v>
      </c>
      <c r="I96" s="104">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3420</v>
      </c>
      <c r="AA96" t="s">
        <v>190</v>
      </c>
      <c r="AB96" t="s">
        <v>1422</v>
      </c>
    </row>
    <row r="97" spans="1:28" ht="21" customHeight="1" x14ac:dyDescent="0.3">
      <c r="A97" s="110"/>
      <c r="B97" s="109" t="s">
        <v>1061</v>
      </c>
      <c r="C97" s="108">
        <v>210</v>
      </c>
      <c r="D97" s="104">
        <v>17</v>
      </c>
      <c r="E97" s="107" t="s">
        <v>184</v>
      </c>
      <c r="F97" s="871">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120</v>
      </c>
      <c r="G97" s="106">
        <f t="shared" si="3"/>
        <v>1</v>
      </c>
      <c r="H97" s="105">
        <v>10</v>
      </c>
      <c r="I97" s="104">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1200</v>
      </c>
      <c r="AA97" t="s">
        <v>594</v>
      </c>
      <c r="AB97" t="s">
        <v>1424</v>
      </c>
    </row>
    <row r="98" spans="1:28" ht="21" customHeight="1" x14ac:dyDescent="0.3">
      <c r="A98" s="110"/>
      <c r="B98" s="109"/>
      <c r="C98" s="108"/>
      <c r="D98" s="104"/>
      <c r="E98" s="107" t="s">
        <v>184</v>
      </c>
      <c r="F98" s="871" t="str">
        <f>IF($B98="","",IF(SUMIFS(CONFIG_PALETES!$C:$C,CONFIG_PALETES!$A:$A,TRIM($B98),CONFIG_PALETES!$B:$B,$C98&amp;" ml")&gt;0,SUMIFS(CONFIG_PALETES!$C:$C,CONFIG_PALETES!$A:$A,TRIM($B98),CONFIG_PALETES!$B:$B,$C98&amp;" ml"),IF(SUMIFS(CONFIG_PALETES!$C:$C,CONFIG_PALETES!$A:$A,"GERAL",CONFIG_PALETES!$B:$B,$C98&amp;" ml")&gt;0,SUMIFS(CONFIG_PALETES!$C:$C,CONFIG_PALETES!$A:$A,"GERAL",CONFIG_PALETES!$B:$B,$C98&amp;" ml"),"")))</f>
        <v/>
      </c>
      <c r="G98" s="106" t="str">
        <f t="shared" si="3"/>
        <v/>
      </c>
      <c r="H98" s="105"/>
      <c r="I98" s="104" t="str">
        <f>IF(H98="","",H98*IF(SUMIFS(CONFIG_PALETES!$D:$D,CONFIG_PALETES!$A:$A,IF(ISNUMBER(SEARCH("ESPUMA",$B98)),"ESPUMA",IF(OR(ISNUMBER(SEARCH("OLEO DE COCO",$B98)),ISNUMBER(SEARCH("ÓLEO DE COCO",$B98)),ISNUMBER(SEARCH("COPRA",$B98))),"ÓLEO DE COCO",IF(ISNUMBER(SEARCH("CORANTE",$B98)),"CORANTE",TRIM($B98)))),CONFIG_PALETES!$B:$B,$C98&amp;" ml")&gt;0,SUMIFS(CONFIG_PALETES!$D:$D,CONFIG_PALETES!$A:$A,IF(ISNUMBER(SEARCH("ESPUMA",$B98)),"ESPUMA",IF(OR(ISNUMBER(SEARCH("OLEO DE COCO",$B98)),ISNUMBER(SEARCH("ÓLEO DE COCO",$B98)),ISNUMBER(SEARCH("COPRA",$B98))),"ÓLEO DE COCO",IF(ISNUMBER(SEARCH("CORANTE",$B98)),"CORANTE",TRIM($B98)))),CONFIG_PALETES!$B:$B,$C98&amp;" ml"),IF(SUMIFS(CONFIG_PALETES!$D:$D,CONFIG_PALETES!$A:$A,"GERAL",CONFIG_PALETES!$B:$B,$C98&amp;" ml")&gt;0,SUMIFS(CONFIG_PALETES!$D:$D,CONFIG_PALETES!$A:$A,"GERAL",CONFIG_PALETES!$B:$B,$C98&amp;" ml"),12)))</f>
        <v/>
      </c>
      <c r="AA98" t="s">
        <v>1061</v>
      </c>
      <c r="AB98" t="s">
        <v>1429</v>
      </c>
    </row>
    <row r="99" spans="1:28" ht="21" customHeight="1" x14ac:dyDescent="0.3">
      <c r="A99" s="110"/>
      <c r="B99" s="109"/>
      <c r="C99" s="108"/>
      <c r="D99" s="129"/>
      <c r="E99" s="131" t="s">
        <v>184</v>
      </c>
      <c r="F99" s="877" t="str">
        <f>IF($B99="","",IF(SUMIFS(CONFIG_PALETES!$C:$C,CONFIG_PALETES!$A:$A,TRIM($B99),CONFIG_PALETES!$B:$B,$C99&amp;" ml")&gt;0,SUMIFS(CONFIG_PALETES!$C:$C,CONFIG_PALETES!$A:$A,TRIM($B99),CONFIG_PALETES!$B:$B,$C99&amp;" ml"),IF(SUMIFS(CONFIG_PALETES!$C:$C,CONFIG_PALETES!$A:$A,"GERAL",CONFIG_PALETES!$B:$B,$C99&amp;" ml")&gt;0,SUMIFS(CONFIG_PALETES!$C:$C,CONFIG_PALETES!$A:$A,"GERAL",CONFIG_PALETES!$B:$B,$C99&amp;" ml"),"")))</f>
        <v/>
      </c>
      <c r="G99" s="130" t="str">
        <f t="shared" si="3"/>
        <v/>
      </c>
      <c r="H99" s="105"/>
      <c r="I99" s="129" t="str">
        <f>IF(H99="","",H99*IF(SUMIFS(CONFIG_PALETES!$D:$D,CONFIG_PALETES!$A:$A,IF(ISNUMBER(SEARCH("ESPUMA",$B99)),"ESPUMA",IF(OR(ISNUMBER(SEARCH("OLEO DE COCO",$B99)),ISNUMBER(SEARCH("ÓLEO DE COCO",$B99)),ISNUMBER(SEARCH("COPRA",$B99))),"ÓLEO DE COCO",IF(ISNUMBER(SEARCH("CORANTE",$B99)),"CORANTE",TRIM($B99)))),CONFIG_PALETES!$B:$B,$C99&amp;" ml")&gt;0,SUMIFS(CONFIG_PALETES!$D:$D,CONFIG_PALETES!$A:$A,IF(ISNUMBER(SEARCH("ESPUMA",$B99)),"ESPUMA",IF(OR(ISNUMBER(SEARCH("OLEO DE COCO",$B99)),ISNUMBER(SEARCH("ÓLEO DE COCO",$B99)),ISNUMBER(SEARCH("COPRA",$B99))),"ÓLEO DE COCO",IF(ISNUMBER(SEARCH("CORANTE",$B99)),"CORANTE",TRIM($B99)))),CONFIG_PALETES!$B:$B,$C99&amp;" ml"),IF(SUMIFS(CONFIG_PALETES!$D:$D,CONFIG_PALETES!$A:$A,"GERAL",CONFIG_PALETES!$B:$B,$C99&amp;" ml")&gt;0,SUMIFS(CONFIG_PALETES!$D:$D,CONFIG_PALETES!$A:$A,"GERAL",CONFIG_PALETES!$B:$B,$C99&amp;" ml"),12)))</f>
        <v/>
      </c>
      <c r="J99" s="128"/>
      <c r="K99" s="128"/>
      <c r="L99" s="128"/>
      <c r="M99" s="128"/>
      <c r="AA99" t="s">
        <v>149</v>
      </c>
      <c r="AB99" t="s">
        <v>1425</v>
      </c>
    </row>
    <row r="100" spans="1:28" ht="21" customHeight="1" x14ac:dyDescent="0.3">
      <c r="A100" s="110"/>
      <c r="B100" s="127"/>
      <c r="C100" s="126"/>
      <c r="D100" s="129"/>
      <c r="E100" s="131" t="s">
        <v>184</v>
      </c>
      <c r="F100" s="877"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30" t="str">
        <f t="shared" si="3"/>
        <v/>
      </c>
      <c r="H100" s="105"/>
      <c r="I100" s="129"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J100" s="128"/>
      <c r="K100" s="128"/>
      <c r="L100" s="128"/>
      <c r="M100" s="128"/>
      <c r="AA100" t="s">
        <v>29</v>
      </c>
      <c r="AB100" t="s">
        <v>1425</v>
      </c>
    </row>
    <row r="101" spans="1:28" ht="21" customHeight="1" x14ac:dyDescent="0.3">
      <c r="A101" s="110"/>
      <c r="B101" s="127"/>
      <c r="C101" s="126"/>
      <c r="D101" s="129"/>
      <c r="E101" s="131" t="s">
        <v>184</v>
      </c>
      <c r="F101" s="877"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30" t="str">
        <f t="shared" si="3"/>
        <v/>
      </c>
      <c r="H101" s="105"/>
      <c r="I101" s="129"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J101" s="128"/>
      <c r="K101" s="128"/>
      <c r="L101" s="128"/>
      <c r="M101" s="128"/>
      <c r="AA101" t="s">
        <v>62</v>
      </c>
      <c r="AB101" t="s">
        <v>1423</v>
      </c>
    </row>
    <row r="102" spans="1:28" ht="21" customHeight="1" x14ac:dyDescent="0.3">
      <c r="A102" s="817"/>
      <c r="B102" s="829"/>
      <c r="C102" s="830"/>
      <c r="D102" s="831"/>
      <c r="E102" s="832" t="s">
        <v>184</v>
      </c>
      <c r="F102" s="878"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833" t="str">
        <f t="shared" si="3"/>
        <v/>
      </c>
      <c r="H102" s="823"/>
      <c r="I102" s="831"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J102" s="128"/>
      <c r="K102" s="128"/>
      <c r="L102" s="128"/>
      <c r="M102" s="128"/>
      <c r="AA102" t="s">
        <v>649</v>
      </c>
      <c r="AB102" t="s">
        <v>1423</v>
      </c>
    </row>
    <row r="103" spans="1:28" ht="15" customHeight="1" x14ac:dyDescent="0.3">
      <c r="A103" s="899"/>
      <c r="B103" s="846" t="s">
        <v>186</v>
      </c>
      <c r="C103" s="851"/>
      <c r="D103" s="848">
        <f>SUM(D93:D102)</f>
        <v>515</v>
      </c>
      <c r="E103" s="852"/>
      <c r="F103" s="857" t="s">
        <v>1400</v>
      </c>
      <c r="G103" s="850">
        <f>SUM(G93:G102)</f>
        <v>7</v>
      </c>
      <c r="H103" s="848">
        <f>SUM(H93:H102)</f>
        <v>508</v>
      </c>
      <c r="I103" s="848">
        <f>SUM(I93:I102)</f>
        <v>7176</v>
      </c>
      <c r="J103" s="133">
        <f>D103</f>
        <v>515</v>
      </c>
      <c r="K103" s="134">
        <f>G103</f>
        <v>7</v>
      </c>
      <c r="L103" s="133">
        <f>H103</f>
        <v>508</v>
      </c>
      <c r="M103" s="133">
        <f>I103</f>
        <v>7176</v>
      </c>
      <c r="N103" s="587" cm="1">
        <f t="array" ref="N103">IF(H103=0,"",SUMPRODUCT(IFERROR(INT(H95:H102/F95:F102),0)))</f>
        <v>5</v>
      </c>
      <c r="O103" s="770">
        <f>IF(N103="","",MAX(0,G103-N103))</f>
        <v>2</v>
      </c>
      <c r="P103" s="583"/>
      <c r="AA103" t="s">
        <v>188</v>
      </c>
      <c r="AB103" t="s">
        <v>1423</v>
      </c>
    </row>
    <row r="104" spans="1:28" ht="6" customHeight="1" x14ac:dyDescent="0.3">
      <c r="A104" s="128"/>
      <c r="B104" s="128"/>
      <c r="C104" s="132"/>
      <c r="D104" s="128"/>
      <c r="E104" s="128"/>
      <c r="F104" s="128"/>
      <c r="G104" s="128"/>
      <c r="H104" s="128"/>
      <c r="I104" s="128"/>
      <c r="J104" s="128"/>
      <c r="K104" s="128"/>
      <c r="L104" s="128"/>
      <c r="M104" s="128"/>
      <c r="AA104" t="s">
        <v>1164</v>
      </c>
      <c r="AB104" t="s">
        <v>1423</v>
      </c>
    </row>
    <row r="105" spans="1:28" ht="15" customHeight="1" x14ac:dyDescent="0.3">
      <c r="A105" s="75">
        <v>46188</v>
      </c>
      <c r="B105" s="113" t="s">
        <v>49</v>
      </c>
      <c r="C105" s="112" t="s">
        <v>176</v>
      </c>
      <c r="D105" s="111" t="s">
        <v>177</v>
      </c>
      <c r="E105" s="111" t="s">
        <v>178</v>
      </c>
      <c r="F105" s="860" t="s">
        <v>179</v>
      </c>
      <c r="G105" s="111" t="s">
        <v>180</v>
      </c>
      <c r="H105" s="111" t="s">
        <v>181</v>
      </c>
      <c r="I105" s="111" t="s">
        <v>182</v>
      </c>
      <c r="N105" s="137" t="s">
        <v>1098</v>
      </c>
      <c r="AA105" t="s">
        <v>131</v>
      </c>
      <c r="AB105" t="s">
        <v>1423</v>
      </c>
    </row>
    <row r="106" spans="1:28" ht="21" customHeight="1" x14ac:dyDescent="0.3">
      <c r="A106" s="110"/>
      <c r="B106" s="109" t="s">
        <v>1061</v>
      </c>
      <c r="C106" s="108">
        <v>210</v>
      </c>
      <c r="D106" s="104">
        <f>D97-H97</f>
        <v>7</v>
      </c>
      <c r="E106" s="107" t="s">
        <v>184</v>
      </c>
      <c r="F106" s="871">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120</v>
      </c>
      <c r="G106" s="106">
        <f>IFERROR(ROUNDUP(D106/F106,0),"")</f>
        <v>1</v>
      </c>
      <c r="H106" s="105">
        <v>10</v>
      </c>
      <c r="I106" s="104">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ml"),12))+IF(N106="",0,N106))</f>
        <v>1216</v>
      </c>
      <c r="N106" s="136">
        <v>16</v>
      </c>
      <c r="AA106" t="s">
        <v>1225</v>
      </c>
      <c r="AB106" t="s">
        <v>1426</v>
      </c>
    </row>
    <row r="107" spans="1:28" ht="21" customHeight="1" x14ac:dyDescent="0.3">
      <c r="A107" s="110"/>
      <c r="B107" s="109" t="s">
        <v>401</v>
      </c>
      <c r="C107" s="108">
        <v>400</v>
      </c>
      <c r="D107" s="104">
        <v>195</v>
      </c>
      <c r="E107" s="107" t="s">
        <v>184</v>
      </c>
      <c r="F107" s="871">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125</v>
      </c>
      <c r="G107" s="106">
        <f>IFERROR(ROUNDUP(D107/F107,0),"")</f>
        <v>2</v>
      </c>
      <c r="H107" s="105">
        <v>196</v>
      </c>
      <c r="I107" s="104">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2352</v>
      </c>
      <c r="AA107" t="s">
        <v>198</v>
      </c>
      <c r="AB107" t="s">
        <v>1425</v>
      </c>
    </row>
    <row r="108" spans="1:28" ht="21" customHeight="1" x14ac:dyDescent="0.3">
      <c r="A108" s="110"/>
      <c r="B108" s="109" t="s">
        <v>25</v>
      </c>
      <c r="C108" s="108">
        <v>400</v>
      </c>
      <c r="D108" s="104">
        <v>1750</v>
      </c>
      <c r="E108" s="107" t="s">
        <v>184</v>
      </c>
      <c r="F108" s="871">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125</v>
      </c>
      <c r="G108" s="106">
        <f>IFERROR(ROUNDUP(D108/F108,0),"")</f>
        <v>14</v>
      </c>
      <c r="H108" s="105">
        <v>895</v>
      </c>
      <c r="I108" s="104">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10740</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817"/>
      <c r="B110" s="818"/>
      <c r="C110" s="819"/>
      <c r="D110" s="820"/>
      <c r="E110" s="821" t="s">
        <v>184</v>
      </c>
      <c r="F110" s="872"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822" t="str">
        <f>IFERROR(ROUNDUP(D110/F110,0),"")</f>
        <v/>
      </c>
      <c r="H110" s="823"/>
      <c r="I110" s="820"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15" customHeight="1" x14ac:dyDescent="0.3">
      <c r="A111" s="899"/>
      <c r="B111" s="846" t="s">
        <v>186</v>
      </c>
      <c r="C111" s="847"/>
      <c r="D111" s="848">
        <f>SUM(D104:D110)</f>
        <v>1952</v>
      </c>
      <c r="E111" s="849"/>
      <c r="F111" s="856" t="s">
        <v>1400</v>
      </c>
      <c r="G111" s="850">
        <f>SUM(G104:G110)</f>
        <v>17</v>
      </c>
      <c r="H111" s="848">
        <f>SUM(H104:H110)</f>
        <v>1101</v>
      </c>
      <c r="I111" s="848">
        <f>SUM(I104:I110)</f>
        <v>14308</v>
      </c>
      <c r="J111" s="63">
        <f>D111</f>
        <v>1952</v>
      </c>
      <c r="K111" s="93">
        <f>G111</f>
        <v>17</v>
      </c>
      <c r="L111" s="63">
        <f>H111</f>
        <v>1101</v>
      </c>
      <c r="M111" s="63">
        <f>I111</f>
        <v>14308</v>
      </c>
      <c r="N111" s="587" cm="1">
        <f t="array" ref="N111">IF(H111=0,"",SUMPRODUCT(IFERROR(INT(H106:H110/F106:F110),0)))</f>
        <v>8</v>
      </c>
      <c r="O111" s="770">
        <f>IF(N111="","",MAX(0,G111-N111))</f>
        <v>9</v>
      </c>
      <c r="P111" s="583"/>
      <c r="AA111" t="s">
        <v>41</v>
      </c>
      <c r="AB111" t="s">
        <v>1423</v>
      </c>
    </row>
    <row r="112" spans="1:28" ht="6" customHeight="1" x14ac:dyDescent="0.3">
      <c r="C112" s="65"/>
      <c r="AA112" t="s">
        <v>399</v>
      </c>
      <c r="AB112" t="s">
        <v>1430</v>
      </c>
    </row>
    <row r="113" spans="1:28" ht="15" customHeight="1" x14ac:dyDescent="0.3">
      <c r="A113" s="75">
        <v>46189</v>
      </c>
      <c r="B113" s="113" t="s">
        <v>49</v>
      </c>
      <c r="C113" s="112" t="s">
        <v>176</v>
      </c>
      <c r="D113" s="111" t="s">
        <v>177</v>
      </c>
      <c r="E113" s="111" t="s">
        <v>178</v>
      </c>
      <c r="F113" s="860" t="s">
        <v>179</v>
      </c>
      <c r="G113" s="111" t="s">
        <v>180</v>
      </c>
      <c r="H113" s="111" t="s">
        <v>181</v>
      </c>
      <c r="I113" s="111" t="s">
        <v>182</v>
      </c>
      <c r="AA113" t="s">
        <v>494</v>
      </c>
      <c r="AB113" t="s">
        <v>1426</v>
      </c>
    </row>
    <row r="114" spans="1:28" ht="21" customHeight="1" x14ac:dyDescent="0.3">
      <c r="A114" s="110"/>
      <c r="B114" s="109" t="s">
        <v>25</v>
      </c>
      <c r="C114" s="108">
        <v>400</v>
      </c>
      <c r="D114" s="104">
        <f>D108-H108</f>
        <v>855</v>
      </c>
      <c r="E114" s="107" t="s">
        <v>184</v>
      </c>
      <c r="F114" s="871">
        <f>IF($B114="","",IF(SUMIFS(CONFIG_PALETES!$C:$C,CONFIG_PALETES!$A:$A,TRIM($B114),CONFIG_PALETES!$B:$B,$C114&amp;" ml")&gt;0,SUMIFS(CONFIG_PALETES!$C:$C,CONFIG_PALETES!$A:$A,TRIM($B114),CONFIG_PALETES!$B:$B,$C114&amp;" ml"),IF(SUMIFS(CONFIG_PALETES!$C:$C,CONFIG_PALETES!$A:$A,"GERAL",CONFIG_PALETES!$B:$B,$C114&amp;" ml")&gt;0,SUMIFS(CONFIG_PALETES!$C:$C,CONFIG_PALETES!$A:$A,"GERAL",CONFIG_PALETES!$B:$B,$C114&amp;" ml"),"")))</f>
        <v>125</v>
      </c>
      <c r="G114" s="106">
        <f t="shared" ref="G114:G121" si="4">IFERROR(ROUNDUP(D114/F114,0),"")</f>
        <v>7</v>
      </c>
      <c r="H114" s="105">
        <v>844</v>
      </c>
      <c r="I114" s="104">
        <f>IF(H114="","",H114*IF(SUMIFS(CONFIG_PALETES!$D:$D,CONFIG_PALETES!$A:$A,IF(ISNUMBER(SEARCH("ESPUMA",$B114)),"ESPUMA",IF(OR(ISNUMBER(SEARCH("OLEO DE COCO",$B114)),ISNUMBER(SEARCH("ÓLEO DE COCO",$B114)),ISNUMBER(SEARCH("COPRA",$B114))),"ÓLEO DE COCO",IF(ISNUMBER(SEARCH("CORANTE",$B114)),"CORANTE",TRIM($B114)))),CONFIG_PALETES!$B:$B,$C114&amp;" ml")&gt;0,SUMIFS(CONFIG_PALETES!$D:$D,CONFIG_PALETES!$A:$A,IF(ISNUMBER(SEARCH("ESPUMA",$B114)),"ESPUMA",IF(OR(ISNUMBER(SEARCH("OLEO DE COCO",$B114)),ISNUMBER(SEARCH("ÓLEO DE COCO",$B114)),ISNUMBER(SEARCH("COPRA",$B114))),"ÓLEO DE COCO",IF(ISNUMBER(SEARCH("CORANTE",$B114)),"CORANTE",TRIM($B114)))),CONFIG_PALETES!$B:$B,$C114&amp;" ml"),IF(SUMIFS(CONFIG_PALETES!$D:$D,CONFIG_PALETES!$A:$A,"GERAL",CONFIG_PALETES!$B:$B,$C114&amp;" ml")&gt;0,SUMIFS(CONFIG_PALETES!$D:$D,CONFIG_PALETES!$A:$A,"GERAL",CONFIG_PALETES!$B:$B,$C114&amp;" ml"),12)))</f>
        <v>10128</v>
      </c>
      <c r="AA114" t="s">
        <v>404</v>
      </c>
      <c r="AB114" t="s">
        <v>1422</v>
      </c>
    </row>
    <row r="115" spans="1:28" ht="21" customHeight="1" x14ac:dyDescent="0.3">
      <c r="A115" s="110"/>
      <c r="B115" s="109" t="s">
        <v>139</v>
      </c>
      <c r="C115" s="108">
        <v>400</v>
      </c>
      <c r="D115" s="104">
        <v>200</v>
      </c>
      <c r="E115" s="107" t="s">
        <v>184</v>
      </c>
      <c r="F115" s="871">
        <f>IF($B115="","",IF(SUMIFS(CONFIG_PALETES!$C:$C,CONFIG_PALETES!$A:$A,TRIM($B115),CONFIG_PALETES!$B:$B,$C115&amp;" ml")&gt;0,SUMIFS(CONFIG_PALETES!$C:$C,CONFIG_PALETES!$A:$A,TRIM($B115),CONFIG_PALETES!$B:$B,$C115&amp;" ml"),IF(SUMIFS(CONFIG_PALETES!$C:$C,CONFIG_PALETES!$A:$A,"GERAL",CONFIG_PALETES!$B:$B,$C115&amp;" ml")&gt;0,SUMIFS(CONFIG_PALETES!$C:$C,CONFIG_PALETES!$A:$A,"GERAL",CONFIG_PALETES!$B:$B,$C115&amp;" ml"),"")))</f>
        <v>125</v>
      </c>
      <c r="G115" s="106">
        <f t="shared" si="4"/>
        <v>2</v>
      </c>
      <c r="H115" s="105">
        <v>201</v>
      </c>
      <c r="I115" s="104">
        <f>IF(H115="","",H115*IF(SUMIFS(CONFIG_PALETES!$D:$D,CONFIG_PALETES!$A:$A,IF(ISNUMBER(SEARCH("ESPUMA",$B115)),"ESPUMA",IF(OR(ISNUMBER(SEARCH("OLEO DE COCO",$B115)),ISNUMBER(SEARCH("ÓLEO DE COCO",$B115)),ISNUMBER(SEARCH("COPRA",$B115))),"ÓLEO DE COCO",IF(ISNUMBER(SEARCH("CORANTE",$B115)),"CORANTE",TRIM($B115)))),CONFIG_PALETES!$B:$B,$C115&amp;" ml")&gt;0,SUMIFS(CONFIG_PALETES!$D:$D,CONFIG_PALETES!$A:$A,IF(ISNUMBER(SEARCH("ESPUMA",$B115)),"ESPUMA",IF(OR(ISNUMBER(SEARCH("OLEO DE COCO",$B115)),ISNUMBER(SEARCH("ÓLEO DE COCO",$B115)),ISNUMBER(SEARCH("COPRA",$B115))),"ÓLEO DE COCO",IF(ISNUMBER(SEARCH("CORANTE",$B115)),"CORANTE",TRIM($B115)))),CONFIG_PALETES!$B:$B,$C115&amp;" ml"),IF(SUMIFS(CONFIG_PALETES!$D:$D,CONFIG_PALETES!$A:$A,"GERAL",CONFIG_PALETES!$B:$B,$C115&amp;" ml")&gt;0,SUMIFS(CONFIG_PALETES!$D:$D,CONFIG_PALETES!$A:$A,"GERAL",CONFIG_PALETES!$B:$B,$C115&amp;" ml"),12)))</f>
        <v>2412</v>
      </c>
      <c r="AA115" t="s">
        <v>493</v>
      </c>
      <c r="AB115" t="s">
        <v>1431</v>
      </c>
    </row>
    <row r="116" spans="1:28" ht="21" customHeight="1" x14ac:dyDescent="0.3">
      <c r="A116" s="110"/>
      <c r="B116" s="109" t="s">
        <v>1014</v>
      </c>
      <c r="C116" s="108">
        <v>400</v>
      </c>
      <c r="D116" s="104">
        <v>250</v>
      </c>
      <c r="E116" s="107" t="s">
        <v>184</v>
      </c>
      <c r="F116" s="871">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125</v>
      </c>
      <c r="G116" s="106">
        <f t="shared" si="4"/>
        <v>2</v>
      </c>
      <c r="H116" s="105">
        <v>250</v>
      </c>
      <c r="I116" s="104">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3000</v>
      </c>
      <c r="AA116" t="s">
        <v>400</v>
      </c>
      <c r="AB116" t="s">
        <v>1430</v>
      </c>
    </row>
    <row r="117" spans="1:28" ht="21" customHeight="1" x14ac:dyDescent="0.3">
      <c r="A117" s="110"/>
      <c r="B117" s="109" t="s">
        <v>1015</v>
      </c>
      <c r="C117" s="108">
        <v>400</v>
      </c>
      <c r="D117" s="104">
        <v>125</v>
      </c>
      <c r="E117" s="107" t="s">
        <v>184</v>
      </c>
      <c r="F117" s="871">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125</v>
      </c>
      <c r="G117" s="106">
        <f t="shared" si="4"/>
        <v>1</v>
      </c>
      <c r="H117" s="105">
        <v>47</v>
      </c>
      <c r="I117" s="104">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564</v>
      </c>
      <c r="AA117" t="s">
        <v>492</v>
      </c>
      <c r="AB117" t="s">
        <v>1435</v>
      </c>
    </row>
    <row r="118" spans="1:28" ht="21" customHeight="1" x14ac:dyDescent="0.3">
      <c r="A118" s="11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 t="shared" si="4"/>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1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 t="shared" si="4"/>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110"/>
      <c r="B120" s="109"/>
      <c r="C120" s="108"/>
      <c r="D120" s="104"/>
      <c r="E120" s="107" t="s">
        <v>184</v>
      </c>
      <c r="F120" s="871"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106" t="str">
        <f t="shared" si="4"/>
        <v/>
      </c>
      <c r="H120" s="105"/>
      <c r="I120" s="104"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21" customHeight="1" x14ac:dyDescent="0.3">
      <c r="A121" s="817"/>
      <c r="B121" s="818"/>
      <c r="C121" s="819"/>
      <c r="D121" s="820"/>
      <c r="E121" s="821" t="s">
        <v>184</v>
      </c>
      <c r="F121" s="872" t="str">
        <f>IF($B121="","",IF(SUMIFS(CONFIG_PALETES!$C:$C,CONFIG_PALETES!$A:$A,TRIM($B121),CONFIG_PALETES!$B:$B,$C121&amp;" ml")&gt;0,SUMIFS(CONFIG_PALETES!$C:$C,CONFIG_PALETES!$A:$A,TRIM($B121),CONFIG_PALETES!$B:$B,$C121&amp;" ml"),IF(SUMIFS(CONFIG_PALETES!$C:$C,CONFIG_PALETES!$A:$A,"GERAL",CONFIG_PALETES!$B:$B,$C121&amp;" ml")&gt;0,SUMIFS(CONFIG_PALETES!$C:$C,CONFIG_PALETES!$A:$A,"GERAL",CONFIG_PALETES!$B:$B,$C121&amp;" ml"),"")))</f>
        <v/>
      </c>
      <c r="G121" s="822" t="str">
        <f t="shared" si="4"/>
        <v/>
      </c>
      <c r="H121" s="823"/>
      <c r="I121" s="820" t="str">
        <f>IF(H121="","",H121*IF(SUMIFS(CONFIG_PALETES!$D:$D,CONFIG_PALETES!$A:$A,IF(ISNUMBER(SEARCH("ESPUMA",$B121)),"ESPUMA",IF(OR(ISNUMBER(SEARCH("OLEO DE COCO",$B121)),ISNUMBER(SEARCH("ÓLEO DE COCO",$B121)),ISNUMBER(SEARCH("COPRA",$B121))),"ÓLEO DE COCO",IF(ISNUMBER(SEARCH("CORANTE",$B121)),"CORANTE",TRIM($B121)))),CONFIG_PALETES!$B:$B,$C121&amp;" ml")&gt;0,SUMIFS(CONFIG_PALETES!$D:$D,CONFIG_PALETES!$A:$A,IF(ISNUMBER(SEARCH("ESPUMA",$B121)),"ESPUMA",IF(OR(ISNUMBER(SEARCH("OLEO DE COCO",$B121)),ISNUMBER(SEARCH("ÓLEO DE COCO",$B121)),ISNUMBER(SEARCH("COPRA",$B121))),"ÓLEO DE COCO",IF(ISNUMBER(SEARCH("CORANTE",$B121)),"CORANTE",TRIM($B121)))),CONFIG_PALETES!$B:$B,$C121&amp;" ml"),IF(SUMIFS(CONFIG_PALETES!$D:$D,CONFIG_PALETES!$A:$A,"GERAL",CONFIG_PALETES!$B:$B,$C121&amp;" ml")&gt;0,SUMIFS(CONFIG_PALETES!$D:$D,CONFIG_PALETES!$A:$A,"GERAL",CONFIG_PALETES!$B:$B,$C121&amp;" ml"),12)))</f>
        <v/>
      </c>
      <c r="AA121" t="s">
        <v>285</v>
      </c>
      <c r="AB121" t="s">
        <v>1426</v>
      </c>
    </row>
    <row r="122" spans="1:28" ht="15" customHeight="1" x14ac:dyDescent="0.3">
      <c r="A122" s="899"/>
      <c r="B122" s="846" t="s">
        <v>186</v>
      </c>
      <c r="C122" s="847"/>
      <c r="D122" s="848">
        <f>SUM(D112:D121)</f>
        <v>1430</v>
      </c>
      <c r="E122" s="849"/>
      <c r="F122" s="856" t="s">
        <v>1400</v>
      </c>
      <c r="G122" s="850">
        <f>SUM(G112:G121)</f>
        <v>12</v>
      </c>
      <c r="H122" s="848">
        <f>SUM(H112:H121)</f>
        <v>1342</v>
      </c>
      <c r="I122" s="848">
        <f>SUM(I112:I121)</f>
        <v>16104</v>
      </c>
      <c r="J122" s="63">
        <f>D122</f>
        <v>1430</v>
      </c>
      <c r="K122" s="93">
        <f>G122</f>
        <v>12</v>
      </c>
      <c r="L122" s="63">
        <f>H122</f>
        <v>1342</v>
      </c>
      <c r="M122" s="63">
        <f>I122</f>
        <v>16104</v>
      </c>
      <c r="N122" s="587" cm="1">
        <f t="array" ref="N122">IF(H122=0,"",SUMPRODUCT(IFERROR(INT(H114:H121/F114:F121),0)))</f>
        <v>9</v>
      </c>
      <c r="O122" s="770">
        <f>IF(N122="","",MAX(0,G122-N122))</f>
        <v>3</v>
      </c>
      <c r="P122" s="583"/>
      <c r="AA122" t="s">
        <v>103</v>
      </c>
      <c r="AB122" t="s">
        <v>1425</v>
      </c>
    </row>
    <row r="123" spans="1:28" ht="6" customHeight="1" x14ac:dyDescent="0.3">
      <c r="C123" s="65"/>
      <c r="AA123" t="s">
        <v>282</v>
      </c>
      <c r="AB123" t="s">
        <v>1425</v>
      </c>
    </row>
    <row r="124" spans="1:28" ht="15" customHeight="1" x14ac:dyDescent="0.3">
      <c r="A124" s="75">
        <v>46190</v>
      </c>
      <c r="B124" s="113" t="s">
        <v>49</v>
      </c>
      <c r="C124" s="112" t="s">
        <v>176</v>
      </c>
      <c r="D124" s="111" t="s">
        <v>177</v>
      </c>
      <c r="E124" s="111" t="s">
        <v>178</v>
      </c>
      <c r="F124" s="860" t="s">
        <v>179</v>
      </c>
      <c r="G124" s="111" t="s">
        <v>180</v>
      </c>
      <c r="H124" s="111" t="s">
        <v>181</v>
      </c>
      <c r="I124" s="111" t="s">
        <v>182</v>
      </c>
      <c r="AA124" t="s">
        <v>576</v>
      </c>
      <c r="AB124" t="s">
        <v>1425</v>
      </c>
    </row>
    <row r="125" spans="1:28" ht="21" customHeight="1" x14ac:dyDescent="0.3">
      <c r="A125" s="110"/>
      <c r="B125" s="109" t="s">
        <v>72</v>
      </c>
      <c r="C125" s="108">
        <v>400</v>
      </c>
      <c r="D125" s="104">
        <f>D117-H117</f>
        <v>78</v>
      </c>
      <c r="E125" s="107" t="s">
        <v>184</v>
      </c>
      <c r="F125" s="871">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125</v>
      </c>
      <c r="G125" s="106">
        <f>IFERROR(ROUNDUP(D125/F125,0),"")</f>
        <v>1</v>
      </c>
      <c r="H125" s="105">
        <v>80</v>
      </c>
      <c r="I125" s="104">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960</v>
      </c>
      <c r="AA125" t="s">
        <v>135</v>
      </c>
      <c r="AB125" t="s">
        <v>1425</v>
      </c>
    </row>
    <row r="126" spans="1:28" ht="21" customHeight="1" x14ac:dyDescent="0.3">
      <c r="A126" s="110"/>
      <c r="B126" s="109" t="s">
        <v>149</v>
      </c>
      <c r="C126" s="108">
        <v>400</v>
      </c>
      <c r="D126" s="104">
        <v>1540</v>
      </c>
      <c r="E126" s="107" t="s">
        <v>184</v>
      </c>
      <c r="F126" s="871">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110</v>
      </c>
      <c r="G126" s="106">
        <f>IFERROR(ROUNDUP(D126/F126,0),"")</f>
        <v>14</v>
      </c>
      <c r="H126" s="105">
        <v>1066</v>
      </c>
      <c r="I126" s="104">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12792</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110"/>
      <c r="B128" s="109"/>
      <c r="C128" s="108"/>
      <c r="D128" s="104"/>
      <c r="E128" s="107" t="s">
        <v>184</v>
      </c>
      <c r="F128" s="871"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106" t="str">
        <f>IFERROR(ROUNDUP(D128/F128,0),"")</f>
        <v/>
      </c>
      <c r="H128" s="105"/>
      <c r="I128" s="104"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21" customHeight="1" x14ac:dyDescent="0.3">
      <c r="A129" s="817"/>
      <c r="B129" s="818"/>
      <c r="C129" s="819"/>
      <c r="D129" s="820"/>
      <c r="E129" s="821" t="s">
        <v>184</v>
      </c>
      <c r="F129" s="872" t="str">
        <f>IF($B129="","",IF(SUMIFS(CONFIG_PALETES!$C:$C,CONFIG_PALETES!$A:$A,TRIM($B129),CONFIG_PALETES!$B:$B,$C129&amp;" ml")&gt;0,SUMIFS(CONFIG_PALETES!$C:$C,CONFIG_PALETES!$A:$A,TRIM($B129),CONFIG_PALETES!$B:$B,$C129&amp;" ml"),IF(SUMIFS(CONFIG_PALETES!$C:$C,CONFIG_PALETES!$A:$A,"GERAL",CONFIG_PALETES!$B:$B,$C129&amp;" ml")&gt;0,SUMIFS(CONFIG_PALETES!$C:$C,CONFIG_PALETES!$A:$A,"GERAL",CONFIG_PALETES!$B:$B,$C129&amp;" ml"),"")))</f>
        <v/>
      </c>
      <c r="G129" s="822" t="str">
        <f>IFERROR(ROUNDUP(D129/F129,0),"")</f>
        <v/>
      </c>
      <c r="H129" s="823"/>
      <c r="I129" s="820" t="str">
        <f>IF(H129="","",H129*IF(SUMIFS(CONFIG_PALETES!$D:$D,CONFIG_PALETES!$A:$A,IF(ISNUMBER(SEARCH("ESPUMA",$B129)),"ESPUMA",IF(OR(ISNUMBER(SEARCH("OLEO DE COCO",$B129)),ISNUMBER(SEARCH("ÓLEO DE COCO",$B129)),ISNUMBER(SEARCH("COPRA",$B129))),"ÓLEO DE COCO",IF(ISNUMBER(SEARCH("CORANTE",$B129)),"CORANTE",TRIM($B129)))),CONFIG_PALETES!$B:$B,$C129&amp;" ml")&gt;0,SUMIFS(CONFIG_PALETES!$D:$D,CONFIG_PALETES!$A:$A,IF(ISNUMBER(SEARCH("ESPUMA",$B129)),"ESPUMA",IF(OR(ISNUMBER(SEARCH("OLEO DE COCO",$B129)),ISNUMBER(SEARCH("ÓLEO DE COCO",$B129)),ISNUMBER(SEARCH("COPRA",$B129))),"ÓLEO DE COCO",IF(ISNUMBER(SEARCH("CORANTE",$B129)),"CORANTE",TRIM($B129)))),CONFIG_PALETES!$B:$B,$C129&amp;" ml"),IF(SUMIFS(CONFIG_PALETES!$D:$D,CONFIG_PALETES!$A:$A,"GERAL",CONFIG_PALETES!$B:$B,$C129&amp;" ml")&gt;0,SUMIFS(CONFIG_PALETES!$D:$D,CONFIG_PALETES!$A:$A,"GERAL",CONFIG_PALETES!$B:$B,$C129&amp;" ml"),12)))</f>
        <v/>
      </c>
      <c r="AA129" t="s">
        <v>72</v>
      </c>
      <c r="AB129" t="s">
        <v>1432</v>
      </c>
    </row>
    <row r="130" spans="1:28" ht="15" customHeight="1" x14ac:dyDescent="0.3">
      <c r="A130" s="899"/>
      <c r="B130" s="846" t="s">
        <v>186</v>
      </c>
      <c r="C130" s="847"/>
      <c r="D130" s="848">
        <f>SUM(D123:D129)</f>
        <v>1618</v>
      </c>
      <c r="E130" s="849"/>
      <c r="F130" s="856" t="s">
        <v>1400</v>
      </c>
      <c r="G130" s="850">
        <f>SUM(G123:G129)</f>
        <v>15</v>
      </c>
      <c r="H130" s="848">
        <f>SUM(H123:H129)</f>
        <v>1146</v>
      </c>
      <c r="I130" s="848">
        <f>SUM(I123:I129)</f>
        <v>13752</v>
      </c>
      <c r="J130" s="63">
        <f>D130</f>
        <v>1618</v>
      </c>
      <c r="K130" s="93">
        <f>G130</f>
        <v>15</v>
      </c>
      <c r="L130" s="63">
        <f>H130</f>
        <v>1146</v>
      </c>
      <c r="M130" s="63">
        <f>I130</f>
        <v>13752</v>
      </c>
      <c r="N130" s="587" cm="1">
        <f t="array" ref="N130">IF(H130=0,"",SUMPRODUCT(IFERROR(INT(H125:H129/F125:F129),0)))</f>
        <v>9</v>
      </c>
      <c r="O130" s="770">
        <f>IF(N130="","",MAX(0,G130-N130))</f>
        <v>6</v>
      </c>
      <c r="P130" s="583"/>
      <c r="AA130" t="s">
        <v>395</v>
      </c>
      <c r="AB130" t="s">
        <v>1423</v>
      </c>
    </row>
    <row r="131" spans="1:28" ht="6" customHeight="1" x14ac:dyDescent="0.3">
      <c r="C131" s="65"/>
      <c r="AA131" t="s">
        <v>25</v>
      </c>
      <c r="AB131" t="s">
        <v>1433</v>
      </c>
    </row>
    <row r="132" spans="1:28" ht="15" customHeight="1" x14ac:dyDescent="0.3">
      <c r="A132" s="75">
        <v>46191</v>
      </c>
      <c r="B132" s="113" t="s">
        <v>49</v>
      </c>
      <c r="C132" s="112" t="s">
        <v>176</v>
      </c>
      <c r="D132" s="111" t="s">
        <v>177</v>
      </c>
      <c r="E132" s="111" t="s">
        <v>178</v>
      </c>
      <c r="F132" s="860" t="s">
        <v>179</v>
      </c>
      <c r="G132" s="111" t="s">
        <v>180</v>
      </c>
      <c r="H132" s="111" t="s">
        <v>181</v>
      </c>
      <c r="I132" s="111" t="s">
        <v>182</v>
      </c>
      <c r="AA132" t="s">
        <v>398</v>
      </c>
      <c r="AB132" t="s">
        <v>1424</v>
      </c>
    </row>
    <row r="133" spans="1:28" ht="21" customHeight="1" x14ac:dyDescent="0.3">
      <c r="A133" s="110"/>
      <c r="B133" s="109" t="s">
        <v>149</v>
      </c>
      <c r="C133" s="108">
        <v>400</v>
      </c>
      <c r="D133" s="104">
        <f>D126-H126</f>
        <v>474</v>
      </c>
      <c r="E133" s="107" t="s">
        <v>184</v>
      </c>
      <c r="F133" s="871">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110</v>
      </c>
      <c r="G133" s="106">
        <f>IFERROR(ROUNDUP(D133/F133,0),"")</f>
        <v>5</v>
      </c>
      <c r="H133" s="105">
        <v>478</v>
      </c>
      <c r="I133" s="104">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5736</v>
      </c>
      <c r="AA133" t="s">
        <v>396</v>
      </c>
      <c r="AB133" t="s">
        <v>1432</v>
      </c>
    </row>
    <row r="134" spans="1:28" ht="21" customHeight="1" x14ac:dyDescent="0.3">
      <c r="A134" s="110"/>
      <c r="B134" s="109" t="s">
        <v>1105</v>
      </c>
      <c r="C134" s="108">
        <v>400</v>
      </c>
      <c r="D134" s="104">
        <v>377</v>
      </c>
      <c r="E134" s="107" t="s">
        <v>184</v>
      </c>
      <c r="F134" s="871">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125</v>
      </c>
      <c r="G134" s="106">
        <f>IFERROR(ROUNDUP(D134/F134,0),"")</f>
        <v>4</v>
      </c>
      <c r="H134" s="105">
        <v>378</v>
      </c>
      <c r="I134" s="104">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4536</v>
      </c>
      <c r="AA134" t="s">
        <v>490</v>
      </c>
      <c r="AB134" t="s">
        <v>1425</v>
      </c>
    </row>
    <row r="135" spans="1:28" ht="21" customHeight="1" x14ac:dyDescent="0.3">
      <c r="A135" s="110"/>
      <c r="B135" s="109" t="s">
        <v>403</v>
      </c>
      <c r="C135" s="108">
        <v>400</v>
      </c>
      <c r="D135" s="104">
        <v>250</v>
      </c>
      <c r="E135" s="107" t="s">
        <v>184</v>
      </c>
      <c r="F135" s="871">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125</v>
      </c>
      <c r="G135" s="106">
        <f>IFERROR(ROUNDUP(D135/F135,0),"")</f>
        <v>2</v>
      </c>
      <c r="H135" s="105">
        <v>251</v>
      </c>
      <c r="I135" s="104">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3012</v>
      </c>
      <c r="AA135" t="s">
        <v>1082</v>
      </c>
      <c r="AB135" t="s">
        <v>1424</v>
      </c>
    </row>
    <row r="136" spans="1:28" ht="21" customHeight="1" x14ac:dyDescent="0.3">
      <c r="A136" s="110"/>
      <c r="B136" s="109" t="s">
        <v>492</v>
      </c>
      <c r="C136" s="108">
        <v>600</v>
      </c>
      <c r="D136" s="104">
        <v>1330</v>
      </c>
      <c r="E136" s="107" t="s">
        <v>184</v>
      </c>
      <c r="F136" s="871">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190</v>
      </c>
      <c r="G136" s="106">
        <f>IFERROR(ROUNDUP(D136/F136,0),"")</f>
        <v>7</v>
      </c>
      <c r="H136" s="105">
        <v>40</v>
      </c>
      <c r="I136" s="104">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240</v>
      </c>
      <c r="AA136" t="s">
        <v>598</v>
      </c>
      <c r="AB136" t="s">
        <v>1432</v>
      </c>
    </row>
    <row r="137" spans="1:28" ht="21" customHeight="1" x14ac:dyDescent="0.3">
      <c r="A137" s="817"/>
      <c r="B137" s="818"/>
      <c r="C137" s="819"/>
      <c r="D137" s="820"/>
      <c r="E137" s="821" t="s">
        <v>184</v>
      </c>
      <c r="F137" s="872" t="str">
        <f>IF($B137="","",IF(SUMIFS(CONFIG_PALETES!$C:$C,CONFIG_PALETES!$A:$A,TRIM($B137),CONFIG_PALETES!$B:$B,$C137&amp;" ml")&gt;0,SUMIFS(CONFIG_PALETES!$C:$C,CONFIG_PALETES!$A:$A,TRIM($B137),CONFIG_PALETES!$B:$B,$C137&amp;" ml"),IF(SUMIFS(CONFIG_PALETES!$C:$C,CONFIG_PALETES!$A:$A,"GERAL",CONFIG_PALETES!$B:$B,$C137&amp;" ml")&gt;0,SUMIFS(CONFIG_PALETES!$C:$C,CONFIG_PALETES!$A:$A,"GERAL",CONFIG_PALETES!$B:$B,$C137&amp;" ml"),"")))</f>
        <v/>
      </c>
      <c r="G137" s="822" t="str">
        <f>IFERROR(ROUNDUP(D137/F137,0),"")</f>
        <v/>
      </c>
      <c r="H137" s="823"/>
      <c r="I137" s="820" t="str">
        <f>IF(H137="","",H137*IF(SUMIFS(CONFIG_PALETES!$D:$D,CONFIG_PALETES!$A:$A,IF(ISNUMBER(SEARCH("ESPUMA",$B137)),"ESPUMA",IF(OR(ISNUMBER(SEARCH("OLEO DE COCO",$B137)),ISNUMBER(SEARCH("ÓLEO DE COCO",$B137)),ISNUMBER(SEARCH("COPRA",$B137))),"ÓLEO DE COCO",IF(ISNUMBER(SEARCH("CORANTE",$B137)),"CORANTE",TRIM($B137)))),CONFIG_PALETES!$B:$B,$C137&amp;" ml")&gt;0,SUMIFS(CONFIG_PALETES!$D:$D,CONFIG_PALETES!$A:$A,IF(ISNUMBER(SEARCH("ESPUMA",$B137)),"ESPUMA",IF(OR(ISNUMBER(SEARCH("OLEO DE COCO",$B137)),ISNUMBER(SEARCH("ÓLEO DE COCO",$B137)),ISNUMBER(SEARCH("COPRA",$B137))),"ÓLEO DE COCO",IF(ISNUMBER(SEARCH("CORANTE",$B137)),"CORANTE",TRIM($B137)))),CONFIG_PALETES!$B:$B,$C137&amp;" ml"),IF(SUMIFS(CONFIG_PALETES!$D:$D,CONFIG_PALETES!$A:$A,"GERAL",CONFIG_PALETES!$B:$B,$C137&amp;" ml")&gt;0,SUMIFS(CONFIG_PALETES!$D:$D,CONFIG_PALETES!$A:$A,"GERAL",CONFIG_PALETES!$B:$B,$C137&amp;" ml"),12)))</f>
        <v/>
      </c>
      <c r="AA137" t="s">
        <v>397</v>
      </c>
      <c r="AB137" t="s">
        <v>1424</v>
      </c>
    </row>
    <row r="138" spans="1:28" ht="15" customHeight="1" x14ac:dyDescent="0.3">
      <c r="A138" s="899"/>
      <c r="B138" s="846" t="s">
        <v>186</v>
      </c>
      <c r="C138" s="847"/>
      <c r="D138" s="848">
        <f>SUM(D131:D137)</f>
        <v>2431</v>
      </c>
      <c r="E138" s="849"/>
      <c r="F138" s="856" t="s">
        <v>1400</v>
      </c>
      <c r="G138" s="850">
        <f>SUM(G131:G137)</f>
        <v>18</v>
      </c>
      <c r="H138" s="848">
        <f>SUM(H131:H137)</f>
        <v>1147</v>
      </c>
      <c r="I138" s="848">
        <f>SUM(I131:I137)</f>
        <v>13524</v>
      </c>
      <c r="J138" s="63">
        <f>D138</f>
        <v>2431</v>
      </c>
      <c r="K138" s="93">
        <f>G138</f>
        <v>18</v>
      </c>
      <c r="L138" s="63">
        <f>H138</f>
        <v>1147</v>
      </c>
      <c r="M138" s="63">
        <f>I138</f>
        <v>13524</v>
      </c>
      <c r="N138" s="587" cm="1">
        <f t="array" ref="N138">IF(H138=0,"",SUMPRODUCT(IFERROR(INT(H133:H137/F133:F137),0)))</f>
        <v>9</v>
      </c>
      <c r="O138" s="770">
        <f>IF(N138="","",MAX(0,G138-N138))</f>
        <v>9</v>
      </c>
      <c r="P138" s="583"/>
      <c r="AA138" t="s">
        <v>163</v>
      </c>
      <c r="AB138" t="s">
        <v>1423</v>
      </c>
    </row>
    <row r="139" spans="1:28" ht="6" customHeight="1" x14ac:dyDescent="0.3">
      <c r="C139" s="65"/>
      <c r="AA139" t="s">
        <v>1361</v>
      </c>
      <c r="AB139" t="s">
        <v>1436</v>
      </c>
    </row>
    <row r="140" spans="1:28" ht="15" customHeight="1" x14ac:dyDescent="0.3">
      <c r="A140" s="75">
        <v>46192</v>
      </c>
      <c r="B140" s="113" t="s">
        <v>49</v>
      </c>
      <c r="C140" s="112" t="s">
        <v>176</v>
      </c>
      <c r="D140" s="111" t="s">
        <v>177</v>
      </c>
      <c r="E140" s="111" t="s">
        <v>178</v>
      </c>
      <c r="F140" s="860" t="s">
        <v>179</v>
      </c>
      <c r="G140" s="111" t="s">
        <v>180</v>
      </c>
      <c r="H140" s="111" t="s">
        <v>181</v>
      </c>
      <c r="I140" s="111" t="s">
        <v>182</v>
      </c>
    </row>
    <row r="141" spans="1:28" ht="21" customHeight="1" x14ac:dyDescent="0.3">
      <c r="A141" s="110"/>
      <c r="B141" s="109" t="s">
        <v>492</v>
      </c>
      <c r="C141" s="108">
        <v>600</v>
      </c>
      <c r="D141" s="104">
        <f>D136-H136</f>
        <v>1290</v>
      </c>
      <c r="E141" s="107" t="s">
        <v>184</v>
      </c>
      <c r="F141" s="871">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190</v>
      </c>
      <c r="G141" s="106">
        <f>IFERROR(ROUNDUP(D141/F141,0),"")</f>
        <v>7</v>
      </c>
      <c r="H141" s="105">
        <v>1290</v>
      </c>
      <c r="I141" s="104">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7740</v>
      </c>
    </row>
    <row r="142" spans="1:28" ht="21" customHeight="1" x14ac:dyDescent="0.3">
      <c r="A142" s="110"/>
      <c r="B142" s="109" t="s">
        <v>498</v>
      </c>
      <c r="C142" s="108">
        <v>600</v>
      </c>
      <c r="D142" s="104">
        <v>665</v>
      </c>
      <c r="E142" s="107" t="s">
        <v>184</v>
      </c>
      <c r="F142" s="871">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95</v>
      </c>
      <c r="G142" s="106">
        <f>IFERROR(ROUNDUP(D142/F142,0),"")</f>
        <v>7</v>
      </c>
      <c r="H142" s="105">
        <v>185</v>
      </c>
      <c r="I142" s="104">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2220</v>
      </c>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IFERROR(ROUNDUP(D143/F143,0),"")</f>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row>
    <row r="144" spans="1:28" ht="21" customHeight="1" x14ac:dyDescent="0.3">
      <c r="A144" s="110"/>
      <c r="B144" s="109"/>
      <c r="C144" s="108"/>
      <c r="D144" s="104"/>
      <c r="E144" s="107" t="s">
        <v>184</v>
      </c>
      <c r="F144" s="871"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106" t="str">
        <f>IFERROR(ROUNDUP(D144/F144,0),"")</f>
        <v/>
      </c>
      <c r="H144" s="105"/>
      <c r="I144" s="104"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6" ht="21" customHeight="1" x14ac:dyDescent="0.3">
      <c r="A145" s="817"/>
      <c r="B145" s="818"/>
      <c r="C145" s="819"/>
      <c r="D145" s="820"/>
      <c r="E145" s="821" t="s">
        <v>184</v>
      </c>
      <c r="F145" s="872" t="str">
        <f>IF($B145="","",IF(SUMIFS(CONFIG_PALETES!$C:$C,CONFIG_PALETES!$A:$A,TRIM($B145),CONFIG_PALETES!$B:$B,$C145&amp;" ml")&gt;0,SUMIFS(CONFIG_PALETES!$C:$C,CONFIG_PALETES!$A:$A,TRIM($B145),CONFIG_PALETES!$B:$B,$C145&amp;" ml"),IF(SUMIFS(CONFIG_PALETES!$C:$C,CONFIG_PALETES!$A:$A,"GERAL",CONFIG_PALETES!$B:$B,$C145&amp;" ml")&gt;0,SUMIFS(CONFIG_PALETES!$C:$C,CONFIG_PALETES!$A:$A,"GERAL",CONFIG_PALETES!$B:$B,$C145&amp;" ml"),"")))</f>
        <v/>
      </c>
      <c r="G145" s="822" t="str">
        <f>IFERROR(ROUNDUP(D145/F145,0),"")</f>
        <v/>
      </c>
      <c r="H145" s="823"/>
      <c r="I145" s="820" t="str">
        <f>IF(H145="","",H145*IF(SUMIFS(CONFIG_PALETES!$D:$D,CONFIG_PALETES!$A:$A,IF(ISNUMBER(SEARCH("ESPUMA",$B145)),"ESPUMA",IF(OR(ISNUMBER(SEARCH("OLEO DE COCO",$B145)),ISNUMBER(SEARCH("ÓLEO DE COCO",$B145)),ISNUMBER(SEARCH("COPRA",$B145))),"ÓLEO DE COCO",IF(ISNUMBER(SEARCH("CORANTE",$B145)),"CORANTE",TRIM($B145)))),CONFIG_PALETES!$B:$B,$C145&amp;" ml")&gt;0,SUMIFS(CONFIG_PALETES!$D:$D,CONFIG_PALETES!$A:$A,IF(ISNUMBER(SEARCH("ESPUMA",$B145)),"ESPUMA",IF(OR(ISNUMBER(SEARCH("OLEO DE COCO",$B145)),ISNUMBER(SEARCH("ÓLEO DE COCO",$B145)),ISNUMBER(SEARCH("COPRA",$B145))),"ÓLEO DE COCO",IF(ISNUMBER(SEARCH("CORANTE",$B145)),"CORANTE",TRIM($B145)))),CONFIG_PALETES!$B:$B,$C145&amp;" ml"),IF(SUMIFS(CONFIG_PALETES!$D:$D,CONFIG_PALETES!$A:$A,"GERAL",CONFIG_PALETES!$B:$B,$C145&amp;" ml")&gt;0,SUMIFS(CONFIG_PALETES!$D:$D,CONFIG_PALETES!$A:$A,"GERAL",CONFIG_PALETES!$B:$B,$C145&amp;" ml"),12)))</f>
        <v/>
      </c>
    </row>
    <row r="146" spans="1:16" ht="15" customHeight="1" x14ac:dyDescent="0.3">
      <c r="A146" s="899"/>
      <c r="B146" s="846" t="s">
        <v>186</v>
      </c>
      <c r="C146" s="847"/>
      <c r="D146" s="848">
        <f>SUM(D139:D145)</f>
        <v>1955</v>
      </c>
      <c r="E146" s="849"/>
      <c r="F146" s="856" t="s">
        <v>1400</v>
      </c>
      <c r="G146" s="850">
        <f>SUM(G139:G145)</f>
        <v>14</v>
      </c>
      <c r="H146" s="848">
        <f>SUM(H139:H145)</f>
        <v>1475</v>
      </c>
      <c r="I146" s="848">
        <f>SUM(I139:I145)</f>
        <v>9960</v>
      </c>
      <c r="J146" s="63">
        <f>D146</f>
        <v>1955</v>
      </c>
      <c r="K146" s="93">
        <f>G146</f>
        <v>14</v>
      </c>
      <c r="L146" s="63">
        <f>H146</f>
        <v>1475</v>
      </c>
      <c r="M146" s="63">
        <f>I146</f>
        <v>9960</v>
      </c>
      <c r="N146" s="587" cm="1">
        <f t="array" ref="N146">IF(H146=0,"",SUMPRODUCT(IFERROR(INT(H141:H145/F141:F145),0)))</f>
        <v>7</v>
      </c>
      <c r="O146" s="770">
        <f>IF(N146="","",MAX(0,G146-N146))</f>
        <v>7</v>
      </c>
      <c r="P146" s="583"/>
    </row>
    <row r="147" spans="1:16" ht="6" customHeight="1" x14ac:dyDescent="0.3">
      <c r="C147" s="65"/>
    </row>
    <row r="148" spans="1:16" ht="15" customHeight="1" x14ac:dyDescent="0.3">
      <c r="A148" s="135">
        <v>46193</v>
      </c>
      <c r="B148" s="113" t="s">
        <v>49</v>
      </c>
      <c r="C148" s="112" t="s">
        <v>176</v>
      </c>
      <c r="D148" s="111" t="s">
        <v>177</v>
      </c>
      <c r="E148" s="111" t="s">
        <v>178</v>
      </c>
      <c r="F148" s="862" t="s">
        <v>179</v>
      </c>
      <c r="G148" s="111" t="s">
        <v>180</v>
      </c>
      <c r="H148" s="111" t="s">
        <v>181</v>
      </c>
      <c r="I148" s="111" t="s">
        <v>182</v>
      </c>
      <c r="J148" s="128"/>
      <c r="K148" s="128"/>
      <c r="L148" s="128"/>
      <c r="M148" s="128"/>
    </row>
    <row r="149" spans="1:16" ht="21" customHeight="1" x14ac:dyDescent="0.3">
      <c r="A149" s="110"/>
      <c r="B149" s="109" t="s">
        <v>498</v>
      </c>
      <c r="C149" s="108">
        <v>600</v>
      </c>
      <c r="D149" s="104">
        <f>D142-H142</f>
        <v>480</v>
      </c>
      <c r="E149" s="131" t="s">
        <v>184</v>
      </c>
      <c r="F149" s="877">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95</v>
      </c>
      <c r="G149" s="130">
        <f>IFERROR(ROUNDUP(D149/F149,0),"")</f>
        <v>6</v>
      </c>
      <c r="H149" s="105">
        <v>480</v>
      </c>
      <c r="I149" s="129">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5760</v>
      </c>
      <c r="J149" s="128"/>
      <c r="K149" s="128"/>
      <c r="L149" s="128"/>
      <c r="M149" s="128"/>
    </row>
    <row r="150" spans="1:16" ht="21" customHeight="1" x14ac:dyDescent="0.3">
      <c r="A150" s="110"/>
      <c r="B150" s="127" t="s">
        <v>1118</v>
      </c>
      <c r="C150" s="126">
        <v>600</v>
      </c>
      <c r="D150" s="129">
        <v>285</v>
      </c>
      <c r="E150" s="131" t="s">
        <v>184</v>
      </c>
      <c r="F150" s="877">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95</v>
      </c>
      <c r="G150" s="130">
        <f>IFERROR(ROUNDUP(D150/F150,0),"")</f>
        <v>3</v>
      </c>
      <c r="H150" s="105">
        <v>137</v>
      </c>
      <c r="I150" s="129">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1644</v>
      </c>
      <c r="J150" s="128"/>
      <c r="K150" s="128"/>
      <c r="L150" s="128"/>
      <c r="M150" s="128"/>
    </row>
    <row r="151" spans="1:16" ht="21" customHeight="1" x14ac:dyDescent="0.3">
      <c r="A151" s="110"/>
      <c r="B151" s="127"/>
      <c r="C151" s="126"/>
      <c r="D151" s="129"/>
      <c r="E151" s="131" t="s">
        <v>184</v>
      </c>
      <c r="F151" s="877"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30" t="str">
        <f>IFERROR(ROUNDUP(D151/F151,0),"")</f>
        <v/>
      </c>
      <c r="H151" s="105"/>
      <c r="I151" s="129"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c r="J151" s="128"/>
      <c r="K151" s="128"/>
      <c r="L151" s="128"/>
      <c r="M151" s="128"/>
    </row>
    <row r="152" spans="1:16" ht="21" customHeight="1" x14ac:dyDescent="0.3">
      <c r="A152" s="110"/>
      <c r="B152" s="127"/>
      <c r="C152" s="126"/>
      <c r="D152" s="129"/>
      <c r="E152" s="131" t="s">
        <v>184</v>
      </c>
      <c r="F152" s="877"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130" t="str">
        <f>IFERROR(ROUNDUP(D152/F152,0),"")</f>
        <v/>
      </c>
      <c r="H152" s="105"/>
      <c r="I152" s="129"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c r="J152" s="128"/>
      <c r="K152" s="128"/>
      <c r="L152" s="128"/>
      <c r="M152" s="128"/>
    </row>
    <row r="153" spans="1:16" ht="21" customHeight="1" x14ac:dyDescent="0.3">
      <c r="A153" s="817"/>
      <c r="B153" s="829"/>
      <c r="C153" s="830"/>
      <c r="D153" s="831"/>
      <c r="E153" s="832" t="s">
        <v>184</v>
      </c>
      <c r="F153" s="878" t="str">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
      </c>
      <c r="G153" s="833" t="str">
        <f>IFERROR(ROUNDUP(D153/F153,0),"")</f>
        <v/>
      </c>
      <c r="H153" s="823"/>
      <c r="I153" s="831" t="str">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
      </c>
      <c r="J153" s="128"/>
      <c r="K153" s="128"/>
      <c r="L153" s="128"/>
      <c r="M153" s="128"/>
    </row>
    <row r="154" spans="1:16" ht="15" customHeight="1" x14ac:dyDescent="0.3">
      <c r="A154" s="899"/>
      <c r="B154" s="846" t="s">
        <v>186</v>
      </c>
      <c r="C154" s="851"/>
      <c r="D154" s="848">
        <f>SUM(D147:D153)</f>
        <v>765</v>
      </c>
      <c r="E154" s="852"/>
      <c r="F154" s="857" t="s">
        <v>1400</v>
      </c>
      <c r="G154" s="850">
        <f>SUM(G147:G153)</f>
        <v>9</v>
      </c>
      <c r="H154" s="848">
        <f>SUM(H147:H153)</f>
        <v>617</v>
      </c>
      <c r="I154" s="848">
        <f>SUM(I147:I153)</f>
        <v>7404</v>
      </c>
      <c r="J154" s="133">
        <f>D154</f>
        <v>765</v>
      </c>
      <c r="K154" s="134">
        <f>G154</f>
        <v>9</v>
      </c>
      <c r="L154" s="133">
        <f>H154</f>
        <v>617</v>
      </c>
      <c r="M154" s="133">
        <f>I154</f>
        <v>7404</v>
      </c>
      <c r="N154" s="587" cm="1">
        <f t="array" ref="N154">IF(H154=0,"",SUMPRODUCT(IFERROR(INT(H149:H153/F149:F153),0)))</f>
        <v>6</v>
      </c>
      <c r="O154" s="770">
        <f>IF(N154="","",MAX(0,G154-N154))</f>
        <v>3</v>
      </c>
      <c r="P154" s="583"/>
    </row>
    <row r="155" spans="1:16" ht="6" customHeight="1" x14ac:dyDescent="0.3">
      <c r="A155" s="128"/>
      <c r="B155" s="128"/>
      <c r="C155" s="132"/>
      <c r="D155" s="128"/>
      <c r="E155" s="128"/>
      <c r="F155" s="128"/>
      <c r="G155" s="128"/>
      <c r="H155" s="128"/>
      <c r="I155" s="128"/>
      <c r="J155" s="128"/>
      <c r="K155" s="128"/>
      <c r="L155" s="128"/>
      <c r="M155" s="128"/>
    </row>
    <row r="156" spans="1:16" ht="15" customHeight="1" x14ac:dyDescent="0.3">
      <c r="A156" s="75">
        <v>46195</v>
      </c>
      <c r="B156" s="113" t="s">
        <v>49</v>
      </c>
      <c r="C156" s="112" t="s">
        <v>176</v>
      </c>
      <c r="D156" s="111" t="s">
        <v>177</v>
      </c>
      <c r="E156" s="111" t="s">
        <v>178</v>
      </c>
      <c r="F156" s="860" t="s">
        <v>179</v>
      </c>
      <c r="G156" s="111" t="s">
        <v>180</v>
      </c>
      <c r="H156" s="111" t="s">
        <v>181</v>
      </c>
      <c r="I156" s="111" t="s">
        <v>182</v>
      </c>
    </row>
    <row r="157" spans="1:16" ht="21" customHeight="1" x14ac:dyDescent="0.3">
      <c r="A157" s="110"/>
      <c r="B157" s="109" t="s">
        <v>1118</v>
      </c>
      <c r="C157" s="108">
        <v>600</v>
      </c>
      <c r="D157" s="104">
        <f>D150-H150</f>
        <v>148</v>
      </c>
      <c r="E157" s="107" t="s">
        <v>184</v>
      </c>
      <c r="F157" s="871">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95</v>
      </c>
      <c r="G157" s="106">
        <f>IFERROR(ROUNDUP(D157/F157,0),"")</f>
        <v>2</v>
      </c>
      <c r="H157" s="105">
        <v>149</v>
      </c>
      <c r="I157" s="104">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1788</v>
      </c>
    </row>
    <row r="158" spans="1:16" ht="21" customHeight="1" x14ac:dyDescent="0.3">
      <c r="A158" s="110"/>
      <c r="B158" s="109" t="s">
        <v>25</v>
      </c>
      <c r="C158" s="108">
        <v>600</v>
      </c>
      <c r="D158" s="104">
        <v>665</v>
      </c>
      <c r="E158" s="107" t="s">
        <v>184</v>
      </c>
      <c r="F158" s="871">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95</v>
      </c>
      <c r="G158" s="106">
        <f>IFERROR(ROUNDUP(D158/F158,0),"")</f>
        <v>7</v>
      </c>
      <c r="H158" s="105">
        <v>673</v>
      </c>
      <c r="I158" s="104">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8076</v>
      </c>
    </row>
    <row r="159" spans="1:16" ht="21" customHeight="1" x14ac:dyDescent="0.3">
      <c r="A159" s="110"/>
      <c r="B159" s="109" t="s">
        <v>31</v>
      </c>
      <c r="C159" s="108">
        <v>600</v>
      </c>
      <c r="D159" s="104">
        <v>665</v>
      </c>
      <c r="E159" s="107" t="s">
        <v>184</v>
      </c>
      <c r="F159" s="871">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95</v>
      </c>
      <c r="G159" s="106">
        <f>IFERROR(ROUNDUP(D159/F159,0),"")</f>
        <v>7</v>
      </c>
      <c r="H159" s="105">
        <v>103</v>
      </c>
      <c r="I159" s="104">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1236</v>
      </c>
    </row>
    <row r="160" spans="1:16" ht="21" customHeight="1" x14ac:dyDescent="0.3">
      <c r="A160" s="110"/>
      <c r="B160" s="109"/>
      <c r="C160" s="108"/>
      <c r="D160" s="104"/>
      <c r="E160" s="107" t="s">
        <v>184</v>
      </c>
      <c r="F160" s="871"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106" t="str">
        <f>IFERROR(ROUNDUP(D160/F160,0),"")</f>
        <v/>
      </c>
      <c r="H160" s="105"/>
      <c r="I160" s="104"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6" ht="21" customHeight="1" x14ac:dyDescent="0.3">
      <c r="A161" s="817"/>
      <c r="B161" s="818"/>
      <c r="C161" s="819"/>
      <c r="D161" s="820"/>
      <c r="E161" s="821" t="s">
        <v>184</v>
      </c>
      <c r="F161" s="872" t="str">
        <f>IF($B161="","",IF(SUMIFS(CONFIG_PALETES!$C:$C,CONFIG_PALETES!$A:$A,TRIM($B161),CONFIG_PALETES!$B:$B,$C161&amp;" ml")&gt;0,SUMIFS(CONFIG_PALETES!$C:$C,CONFIG_PALETES!$A:$A,TRIM($B161),CONFIG_PALETES!$B:$B,$C161&amp;" ml"),IF(SUMIFS(CONFIG_PALETES!$C:$C,CONFIG_PALETES!$A:$A,"GERAL",CONFIG_PALETES!$B:$B,$C161&amp;" ml")&gt;0,SUMIFS(CONFIG_PALETES!$C:$C,CONFIG_PALETES!$A:$A,"GERAL",CONFIG_PALETES!$B:$B,$C161&amp;" ml"),"")))</f>
        <v/>
      </c>
      <c r="G161" s="822" t="str">
        <f>IFERROR(ROUNDUP(D161/F161,0),"")</f>
        <v/>
      </c>
      <c r="H161" s="823"/>
      <c r="I161" s="820" t="str">
        <f>IF(H161="","",H161*IF(SUMIFS(CONFIG_PALETES!$D:$D,CONFIG_PALETES!$A:$A,IF(ISNUMBER(SEARCH("ESPUMA",$B161)),"ESPUMA",IF(OR(ISNUMBER(SEARCH("OLEO DE COCO",$B161)),ISNUMBER(SEARCH("ÓLEO DE COCO",$B161)),ISNUMBER(SEARCH("COPRA",$B161))),"ÓLEO DE COCO",IF(ISNUMBER(SEARCH("CORANTE",$B161)),"CORANTE",TRIM($B161)))),CONFIG_PALETES!$B:$B,$C161&amp;" ml")&gt;0,SUMIFS(CONFIG_PALETES!$D:$D,CONFIG_PALETES!$A:$A,IF(ISNUMBER(SEARCH("ESPUMA",$B161)),"ESPUMA",IF(OR(ISNUMBER(SEARCH("OLEO DE COCO",$B161)),ISNUMBER(SEARCH("ÓLEO DE COCO",$B161)),ISNUMBER(SEARCH("COPRA",$B161))),"ÓLEO DE COCO",IF(ISNUMBER(SEARCH("CORANTE",$B161)),"CORANTE",TRIM($B161)))),CONFIG_PALETES!$B:$B,$C161&amp;" ml"),IF(SUMIFS(CONFIG_PALETES!$D:$D,CONFIG_PALETES!$A:$A,"GERAL",CONFIG_PALETES!$B:$B,$C161&amp;" ml")&gt;0,SUMIFS(CONFIG_PALETES!$D:$D,CONFIG_PALETES!$A:$A,"GERAL",CONFIG_PALETES!$B:$B,$C161&amp;" ml"),12)))</f>
        <v/>
      </c>
    </row>
    <row r="162" spans="1:16" ht="15" customHeight="1" x14ac:dyDescent="0.3">
      <c r="A162" s="899"/>
      <c r="B162" s="846" t="s">
        <v>186</v>
      </c>
      <c r="C162" s="847"/>
      <c r="D162" s="848">
        <f>SUM(D155:D161)</f>
        <v>1478</v>
      </c>
      <c r="E162" s="849"/>
      <c r="F162" s="856" t="s">
        <v>1400</v>
      </c>
      <c r="G162" s="850">
        <f>SUM(G155:G161)</f>
        <v>16</v>
      </c>
      <c r="H162" s="848">
        <f>SUM(H155:H161)</f>
        <v>925</v>
      </c>
      <c r="I162" s="848">
        <f>SUM(I155:I161)</f>
        <v>11100</v>
      </c>
      <c r="J162" s="63">
        <f>D162</f>
        <v>1478</v>
      </c>
      <c r="K162" s="93">
        <f>G162</f>
        <v>16</v>
      </c>
      <c r="L162" s="63">
        <f>H162</f>
        <v>925</v>
      </c>
      <c r="M162" s="63">
        <f>I162</f>
        <v>11100</v>
      </c>
      <c r="N162" s="587" cm="1">
        <f t="array" ref="N162">IF(H162=0,"",SUMPRODUCT(IFERROR(INT(H157:H161/F157:F161),0)))</f>
        <v>9</v>
      </c>
      <c r="O162" s="770">
        <f>IF(N162="","",MAX(0,G162-N162))</f>
        <v>7</v>
      </c>
      <c r="P162" s="583"/>
    </row>
    <row r="163" spans="1:16" ht="6" customHeight="1" x14ac:dyDescent="0.3">
      <c r="C163" s="65"/>
    </row>
    <row r="164" spans="1:16" ht="15" customHeight="1" x14ac:dyDescent="0.3">
      <c r="A164" s="75">
        <v>46196</v>
      </c>
      <c r="B164" s="113" t="s">
        <v>49</v>
      </c>
      <c r="C164" s="112" t="s">
        <v>176</v>
      </c>
      <c r="D164" s="111" t="s">
        <v>177</v>
      </c>
      <c r="E164" s="111" t="s">
        <v>178</v>
      </c>
      <c r="F164" s="860" t="s">
        <v>179</v>
      </c>
      <c r="G164" s="111" t="s">
        <v>180</v>
      </c>
      <c r="H164" s="111" t="s">
        <v>181</v>
      </c>
      <c r="I164" s="111" t="s">
        <v>182</v>
      </c>
    </row>
    <row r="165" spans="1:16" ht="21" customHeight="1" x14ac:dyDescent="0.3">
      <c r="A165" s="110"/>
      <c r="B165" s="109" t="s">
        <v>31</v>
      </c>
      <c r="C165" s="108">
        <v>600</v>
      </c>
      <c r="D165" s="104">
        <f>D159-H159</f>
        <v>562</v>
      </c>
      <c r="E165" s="107" t="s">
        <v>184</v>
      </c>
      <c r="F165" s="871">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95</v>
      </c>
      <c r="G165" s="106">
        <f>IFERROR(ROUNDUP(D165/F165,0),"")</f>
        <v>6</v>
      </c>
      <c r="H165" s="105">
        <v>513</v>
      </c>
      <c r="I165" s="104">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6156</v>
      </c>
    </row>
    <row r="166" spans="1:16"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IFERROR(ROUNDUP(D166/F166,0),"")</f>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6"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IFERROR(ROUNDUP(D167/F167,0),"")</f>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6" ht="21" customHeight="1" x14ac:dyDescent="0.3">
      <c r="A168" s="110"/>
      <c r="B168" s="109"/>
      <c r="C168" s="108"/>
      <c r="D168" s="104"/>
      <c r="E168" s="107" t="s">
        <v>184</v>
      </c>
      <c r="F168" s="871"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106" t="str">
        <f>IFERROR(ROUNDUP(D168/F168,0),"")</f>
        <v/>
      </c>
      <c r="H168" s="105"/>
      <c r="I168" s="10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6" ht="21" customHeight="1" x14ac:dyDescent="0.3">
      <c r="A169" s="817"/>
      <c r="B169" s="818"/>
      <c r="C169" s="819"/>
      <c r="D169" s="820"/>
      <c r="E169" s="821" t="s">
        <v>184</v>
      </c>
      <c r="F169" s="872"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822" t="str">
        <f>IFERROR(ROUNDUP(D169/F169,0),"")</f>
        <v/>
      </c>
      <c r="H169" s="823"/>
      <c r="I169" s="820"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row>
    <row r="170" spans="1:16" ht="15" customHeight="1" x14ac:dyDescent="0.3">
      <c r="A170" s="899"/>
      <c r="B170" s="846" t="s">
        <v>186</v>
      </c>
      <c r="C170" s="847"/>
      <c r="D170" s="848">
        <f>SUM(D163:D169)</f>
        <v>562</v>
      </c>
      <c r="E170" s="849"/>
      <c r="F170" s="856" t="s">
        <v>1400</v>
      </c>
      <c r="G170" s="850">
        <f>SUM(G163:G169)</f>
        <v>6</v>
      </c>
      <c r="H170" s="848">
        <f>SUM(H163:H169)</f>
        <v>513</v>
      </c>
      <c r="I170" s="848">
        <f>SUM(I163:I169)</f>
        <v>6156</v>
      </c>
      <c r="J170" s="63">
        <f>D170</f>
        <v>562</v>
      </c>
      <c r="K170" s="93">
        <f>G170</f>
        <v>6</v>
      </c>
      <c r="L170" s="63">
        <f>H170</f>
        <v>513</v>
      </c>
      <c r="M170" s="63">
        <f>I170</f>
        <v>6156</v>
      </c>
      <c r="N170" s="587" cm="1">
        <f t="array" ref="N170">IF(H170=0,"",SUMPRODUCT(IFERROR(INT(H165:H169/F165:F169),0)))</f>
        <v>5</v>
      </c>
      <c r="O170" s="770">
        <f>IF(N170="","",MAX(0,G170-N170))</f>
        <v>1</v>
      </c>
      <c r="P170" s="583"/>
    </row>
    <row r="171" spans="1:16" ht="6" customHeight="1" x14ac:dyDescent="0.3">
      <c r="C171" s="65"/>
    </row>
    <row r="172" spans="1:16" ht="15" customHeight="1" x14ac:dyDescent="0.3">
      <c r="A172" s="75">
        <v>46197</v>
      </c>
      <c r="B172" s="113" t="s">
        <v>49</v>
      </c>
      <c r="C172" s="112" t="s">
        <v>176</v>
      </c>
      <c r="D172" s="111" t="s">
        <v>177</v>
      </c>
      <c r="E172" s="111" t="s">
        <v>178</v>
      </c>
      <c r="F172" s="860" t="s">
        <v>179</v>
      </c>
      <c r="G172" s="111" t="s">
        <v>180</v>
      </c>
      <c r="H172" s="111" t="s">
        <v>181</v>
      </c>
      <c r="I172" s="111" t="s">
        <v>182</v>
      </c>
    </row>
    <row r="173" spans="1:16" ht="21" customHeight="1" x14ac:dyDescent="0.3">
      <c r="A173" s="110"/>
      <c r="B173" s="109" t="s">
        <v>31</v>
      </c>
      <c r="C173" s="108">
        <v>600</v>
      </c>
      <c r="D173" s="104">
        <f>D165-H165</f>
        <v>49</v>
      </c>
      <c r="E173" s="107" t="s">
        <v>184</v>
      </c>
      <c r="F173" s="871">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95</v>
      </c>
      <c r="G173" s="106">
        <f t="shared" ref="G173:G178" si="5">IFERROR(ROUNDUP(D173/F173,0),"")</f>
        <v>1</v>
      </c>
      <c r="H173" s="105">
        <v>57</v>
      </c>
      <c r="I173" s="104">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684</v>
      </c>
    </row>
    <row r="174" spans="1:16" ht="21" customHeight="1" x14ac:dyDescent="0.3">
      <c r="A174" s="110"/>
      <c r="B174" s="109" t="s">
        <v>25</v>
      </c>
      <c r="C174" s="108">
        <v>400</v>
      </c>
      <c r="D174" s="104">
        <v>1750</v>
      </c>
      <c r="E174" s="107" t="s">
        <v>184</v>
      </c>
      <c r="F174" s="871">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125</v>
      </c>
      <c r="G174" s="106">
        <f t="shared" si="5"/>
        <v>14</v>
      </c>
      <c r="H174" s="105">
        <v>977</v>
      </c>
      <c r="I174" s="104">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11724</v>
      </c>
    </row>
    <row r="175" spans="1:16"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 t="shared" si="5"/>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6" ht="21" customHeight="1" x14ac:dyDescent="0.3">
      <c r="A176" s="110"/>
      <c r="B176" s="109"/>
      <c r="C176" s="108"/>
      <c r="D176" s="104"/>
      <c r="E176" s="107" t="s">
        <v>184</v>
      </c>
      <c r="F176" s="871"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106" t="str">
        <f t="shared" si="5"/>
        <v/>
      </c>
      <c r="H176" s="105"/>
      <c r="I176" s="104"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6" ht="21" customHeight="1" x14ac:dyDescent="0.3">
      <c r="A177" s="110"/>
      <c r="B177" s="109"/>
      <c r="C177" s="108"/>
      <c r="D177" s="104"/>
      <c r="E177" s="107" t="s">
        <v>184</v>
      </c>
      <c r="F177" s="871" t="str">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
      </c>
      <c r="G177" s="106" t="str">
        <f t="shared" si="5"/>
        <v/>
      </c>
      <c r="H177" s="105"/>
      <c r="I177" s="104" t="str">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
      </c>
    </row>
    <row r="178" spans="1:16" ht="21" customHeight="1" x14ac:dyDescent="0.3">
      <c r="A178" s="817"/>
      <c r="B178" s="818"/>
      <c r="C178" s="819"/>
      <c r="D178" s="820"/>
      <c r="E178" s="821" t="s">
        <v>184</v>
      </c>
      <c r="F178" s="872"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822" t="str">
        <f t="shared" si="5"/>
        <v/>
      </c>
      <c r="H178" s="823"/>
      <c r="I178" s="820"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row>
    <row r="179" spans="1:16" ht="15" customHeight="1" x14ac:dyDescent="0.3">
      <c r="A179" s="899"/>
      <c r="B179" s="846" t="s">
        <v>186</v>
      </c>
      <c r="C179" s="847"/>
      <c r="D179" s="848">
        <f>SUM(D171:D178)</f>
        <v>1799</v>
      </c>
      <c r="E179" s="849"/>
      <c r="F179" s="856" t="s">
        <v>1400</v>
      </c>
      <c r="G179" s="850">
        <f>SUM(G171:G178)</f>
        <v>15</v>
      </c>
      <c r="H179" s="848">
        <f>SUM(H171:H178)</f>
        <v>1034</v>
      </c>
      <c r="I179" s="848">
        <f>SUM(I171:I178)</f>
        <v>12408</v>
      </c>
      <c r="J179" s="63">
        <f>D179</f>
        <v>1799</v>
      </c>
      <c r="K179" s="93">
        <f>G179</f>
        <v>15</v>
      </c>
      <c r="L179" s="63">
        <f>H179</f>
        <v>1034</v>
      </c>
      <c r="M179" s="63">
        <f>I179</f>
        <v>12408</v>
      </c>
      <c r="N179" s="587" cm="1">
        <f t="array" ref="N179">IF(H179=0,"",SUMPRODUCT(IFERROR(INT(H173:H178/F173:F178),0)))</f>
        <v>7</v>
      </c>
      <c r="O179" s="770">
        <f>IF(N179="","",MAX(0,G179-N179))</f>
        <v>8</v>
      </c>
      <c r="P179" s="583"/>
    </row>
    <row r="180" spans="1:16" ht="6" customHeight="1" x14ac:dyDescent="0.3">
      <c r="C180" s="65"/>
    </row>
    <row r="181" spans="1:16" ht="15" customHeight="1" x14ac:dyDescent="0.3">
      <c r="A181" s="75">
        <v>46198</v>
      </c>
      <c r="B181" s="113" t="s">
        <v>49</v>
      </c>
      <c r="C181" s="112" t="s">
        <v>176</v>
      </c>
      <c r="D181" s="111" t="s">
        <v>177</v>
      </c>
      <c r="E181" s="111" t="s">
        <v>178</v>
      </c>
      <c r="F181" s="860" t="s">
        <v>179</v>
      </c>
      <c r="G181" s="111" t="s">
        <v>180</v>
      </c>
      <c r="H181" s="111" t="s">
        <v>181</v>
      </c>
      <c r="I181" s="111" t="s">
        <v>182</v>
      </c>
    </row>
    <row r="182" spans="1:16" ht="21" customHeight="1" x14ac:dyDescent="0.3">
      <c r="A182" s="110"/>
      <c r="B182" s="109" t="s">
        <v>25</v>
      </c>
      <c r="C182" s="108">
        <v>400</v>
      </c>
      <c r="D182" s="104">
        <f>D174-H174</f>
        <v>773</v>
      </c>
      <c r="E182" s="107" t="s">
        <v>184</v>
      </c>
      <c r="F182" s="871">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125</v>
      </c>
      <c r="G182" s="106">
        <f>IFERROR(ROUNDUP(D182/F182,0),"")</f>
        <v>7</v>
      </c>
      <c r="H182" s="105">
        <v>757</v>
      </c>
      <c r="I182" s="104">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9084</v>
      </c>
    </row>
    <row r="183" spans="1:16" ht="21" customHeight="1" x14ac:dyDescent="0.3">
      <c r="A183" s="110"/>
      <c r="B183" s="109" t="s">
        <v>149</v>
      </c>
      <c r="C183" s="108">
        <v>400</v>
      </c>
      <c r="D183" s="104">
        <v>770</v>
      </c>
      <c r="E183" s="107" t="s">
        <v>184</v>
      </c>
      <c r="F183" s="871">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110</v>
      </c>
      <c r="G183" s="106">
        <f>IFERROR(ROUNDUP(D183/F183,0),"")</f>
        <v>7</v>
      </c>
      <c r="H183" s="105">
        <v>590</v>
      </c>
      <c r="I183" s="104">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7080</v>
      </c>
    </row>
    <row r="184" spans="1:16" ht="21" customHeight="1" x14ac:dyDescent="0.3">
      <c r="A184" s="110"/>
      <c r="B184" s="109"/>
      <c r="C184" s="108"/>
      <c r="D184" s="104"/>
      <c r="E184" s="107" t="s">
        <v>184</v>
      </c>
      <c r="F184" s="871"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106" t="str">
        <f>IFERROR(ROUNDUP(D184/F184,0),"")</f>
        <v/>
      </c>
      <c r="H184" s="105"/>
      <c r="I184" s="104"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row>
    <row r="185" spans="1:16" ht="21" customHeight="1" x14ac:dyDescent="0.3">
      <c r="A185" s="110"/>
      <c r="B185" s="109"/>
      <c r="C185" s="108"/>
      <c r="D185" s="104"/>
      <c r="E185" s="107" t="s">
        <v>184</v>
      </c>
      <c r="F185" s="871" t="str">
        <f>IF($B185="","",IF(SUMIFS(CONFIG_PALETES!$C:$C,CONFIG_PALETES!$A:$A,TRIM($B185),CONFIG_PALETES!$B:$B,$C185&amp;" ml")&gt;0,SUMIFS(CONFIG_PALETES!$C:$C,CONFIG_PALETES!$A:$A,TRIM($B185),CONFIG_PALETES!$B:$B,$C185&amp;" ml"),IF(SUMIFS(CONFIG_PALETES!$C:$C,CONFIG_PALETES!$A:$A,"GERAL",CONFIG_PALETES!$B:$B,$C185&amp;" ml")&gt;0,SUMIFS(CONFIG_PALETES!$C:$C,CONFIG_PALETES!$A:$A,"GERAL",CONFIG_PALETES!$B:$B,$C185&amp;" ml"),"")))</f>
        <v/>
      </c>
      <c r="G185" s="106" t="str">
        <f>IFERROR(ROUNDUP(D185/F185,0),"")</f>
        <v/>
      </c>
      <c r="H185" s="105"/>
      <c r="I185" s="104" t="str">
        <f>IF(H185="","",H185*IF(SUMIFS(CONFIG_PALETES!$D:$D,CONFIG_PALETES!$A:$A,IF(ISNUMBER(SEARCH("ESPUMA",$B185)),"ESPUMA",IF(OR(ISNUMBER(SEARCH("OLEO DE COCO",$B185)),ISNUMBER(SEARCH("ÓLEO DE COCO",$B185)),ISNUMBER(SEARCH("COPRA",$B185))),"ÓLEO DE COCO",IF(ISNUMBER(SEARCH("CORANTE",$B185)),"CORANTE",TRIM($B185)))),CONFIG_PALETES!$B:$B,$C185&amp;" ml")&gt;0,SUMIFS(CONFIG_PALETES!$D:$D,CONFIG_PALETES!$A:$A,IF(ISNUMBER(SEARCH("ESPUMA",$B185)),"ESPUMA",IF(OR(ISNUMBER(SEARCH("OLEO DE COCO",$B185)),ISNUMBER(SEARCH("ÓLEO DE COCO",$B185)),ISNUMBER(SEARCH("COPRA",$B185))),"ÓLEO DE COCO",IF(ISNUMBER(SEARCH("CORANTE",$B185)),"CORANTE",TRIM($B185)))),CONFIG_PALETES!$B:$B,$C185&amp;" ml"),IF(SUMIFS(CONFIG_PALETES!$D:$D,CONFIG_PALETES!$A:$A,"GERAL",CONFIG_PALETES!$B:$B,$C185&amp;" ml")&gt;0,SUMIFS(CONFIG_PALETES!$D:$D,CONFIG_PALETES!$A:$A,"GERAL",CONFIG_PALETES!$B:$B,$C185&amp;" ml"),12)))</f>
        <v/>
      </c>
    </row>
    <row r="186" spans="1:16" ht="21" customHeight="1" x14ac:dyDescent="0.3">
      <c r="A186" s="817"/>
      <c r="B186" s="818"/>
      <c r="C186" s="819"/>
      <c r="D186" s="820"/>
      <c r="E186" s="821" t="s">
        <v>184</v>
      </c>
      <c r="F186" s="872" t="str">
        <f>IF($B186="","",IF(SUMIFS(CONFIG_PALETES!$C:$C,CONFIG_PALETES!$A:$A,TRIM($B186),CONFIG_PALETES!$B:$B,$C186&amp;" ml")&gt;0,SUMIFS(CONFIG_PALETES!$C:$C,CONFIG_PALETES!$A:$A,TRIM($B186),CONFIG_PALETES!$B:$B,$C186&amp;" ml"),IF(SUMIFS(CONFIG_PALETES!$C:$C,CONFIG_PALETES!$A:$A,"GERAL",CONFIG_PALETES!$B:$B,$C186&amp;" ml")&gt;0,SUMIFS(CONFIG_PALETES!$C:$C,CONFIG_PALETES!$A:$A,"GERAL",CONFIG_PALETES!$B:$B,$C186&amp;" ml"),"")))</f>
        <v/>
      </c>
      <c r="G186" s="822" t="str">
        <f>IFERROR(ROUNDUP(D186/F186,0),"")</f>
        <v/>
      </c>
      <c r="H186" s="823"/>
      <c r="I186" s="820" t="str">
        <f>IF(H186="","",H186*IF(SUMIFS(CONFIG_PALETES!$D:$D,CONFIG_PALETES!$A:$A,IF(ISNUMBER(SEARCH("ESPUMA",$B186)),"ESPUMA",IF(OR(ISNUMBER(SEARCH("OLEO DE COCO",$B186)),ISNUMBER(SEARCH("ÓLEO DE COCO",$B186)),ISNUMBER(SEARCH("COPRA",$B186))),"ÓLEO DE COCO",IF(ISNUMBER(SEARCH("CORANTE",$B186)),"CORANTE",TRIM($B186)))),CONFIG_PALETES!$B:$B,$C186&amp;" ml")&gt;0,SUMIFS(CONFIG_PALETES!$D:$D,CONFIG_PALETES!$A:$A,IF(ISNUMBER(SEARCH("ESPUMA",$B186)),"ESPUMA",IF(OR(ISNUMBER(SEARCH("OLEO DE COCO",$B186)),ISNUMBER(SEARCH("ÓLEO DE COCO",$B186)),ISNUMBER(SEARCH("COPRA",$B186))),"ÓLEO DE COCO",IF(ISNUMBER(SEARCH("CORANTE",$B186)),"CORANTE",TRIM($B186)))),CONFIG_PALETES!$B:$B,$C186&amp;" ml"),IF(SUMIFS(CONFIG_PALETES!$D:$D,CONFIG_PALETES!$A:$A,"GERAL",CONFIG_PALETES!$B:$B,$C186&amp;" ml")&gt;0,SUMIFS(CONFIG_PALETES!$D:$D,CONFIG_PALETES!$A:$A,"GERAL",CONFIG_PALETES!$B:$B,$C186&amp;" ml"),12)))</f>
        <v/>
      </c>
    </row>
    <row r="187" spans="1:16" ht="15" customHeight="1" x14ac:dyDescent="0.3">
      <c r="A187" s="899"/>
      <c r="B187" s="846" t="s">
        <v>186</v>
      </c>
      <c r="C187" s="847"/>
      <c r="D187" s="848">
        <f>SUM(D180:D186)</f>
        <v>1543</v>
      </c>
      <c r="E187" s="849"/>
      <c r="F187" s="856" t="s">
        <v>1400</v>
      </c>
      <c r="G187" s="850">
        <f>SUM(G180:G186)</f>
        <v>14</v>
      </c>
      <c r="H187" s="848">
        <f>SUM(H180:H186)</f>
        <v>1347</v>
      </c>
      <c r="I187" s="848">
        <f>SUM(I180:I186)</f>
        <v>16164</v>
      </c>
      <c r="J187" s="63">
        <f>D187</f>
        <v>1543</v>
      </c>
      <c r="K187" s="93">
        <f>G187</f>
        <v>14</v>
      </c>
      <c r="L187" s="63">
        <f>H187</f>
        <v>1347</v>
      </c>
      <c r="M187" s="63">
        <f>I187</f>
        <v>16164</v>
      </c>
      <c r="N187" s="587" cm="1">
        <f t="array" ref="N187">IF(H187=0,"",SUMPRODUCT(IFERROR(INT(H182:H186/F182:F186),0)))</f>
        <v>11</v>
      </c>
      <c r="O187" s="770">
        <f>IF(N187="","",MAX(0,G187-N187))</f>
        <v>3</v>
      </c>
      <c r="P187" s="583"/>
    </row>
    <row r="188" spans="1:16" ht="6" customHeight="1" x14ac:dyDescent="0.3">
      <c r="C188" s="65"/>
    </row>
    <row r="189" spans="1:16" ht="14.25" customHeight="1" x14ac:dyDescent="0.3">
      <c r="A189" s="75">
        <v>46199</v>
      </c>
      <c r="B189" s="113" t="s">
        <v>49</v>
      </c>
      <c r="C189" s="112" t="s">
        <v>176</v>
      </c>
      <c r="D189" s="111" t="s">
        <v>177</v>
      </c>
      <c r="E189" s="111" t="s">
        <v>178</v>
      </c>
      <c r="F189" s="860" t="s">
        <v>179</v>
      </c>
      <c r="G189" s="111" t="s">
        <v>180</v>
      </c>
      <c r="H189" s="111" t="s">
        <v>181</v>
      </c>
      <c r="I189" s="111" t="s">
        <v>182</v>
      </c>
    </row>
    <row r="190" spans="1:16" ht="21" customHeight="1" x14ac:dyDescent="0.3">
      <c r="A190" s="110"/>
      <c r="B190" s="109" t="s">
        <v>149</v>
      </c>
      <c r="C190" s="108">
        <v>400</v>
      </c>
      <c r="D190" s="104">
        <f>D183-H183</f>
        <v>180</v>
      </c>
      <c r="E190" s="107" t="s">
        <v>184</v>
      </c>
      <c r="F190" s="871">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110</v>
      </c>
      <c r="G190" s="106">
        <f t="shared" ref="G190:G195" si="6">IFERROR(ROUNDUP(D190/F190,0),"")</f>
        <v>2</v>
      </c>
      <c r="H190" s="105">
        <v>180</v>
      </c>
      <c r="I190" s="104">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2160</v>
      </c>
    </row>
    <row r="191" spans="1:16" ht="21" customHeight="1" x14ac:dyDescent="0.3">
      <c r="A191" s="110"/>
      <c r="B191" s="109" t="s">
        <v>236</v>
      </c>
      <c r="C191" s="108">
        <v>400</v>
      </c>
      <c r="D191" s="104">
        <v>250</v>
      </c>
      <c r="E191" s="107" t="s">
        <v>184</v>
      </c>
      <c r="F191" s="871">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125</v>
      </c>
      <c r="G191" s="106">
        <f t="shared" si="6"/>
        <v>2</v>
      </c>
      <c r="H191" s="105">
        <v>250</v>
      </c>
      <c r="I191" s="104">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3000</v>
      </c>
    </row>
    <row r="192" spans="1:16" ht="21" customHeight="1" x14ac:dyDescent="0.3">
      <c r="A192" s="110"/>
      <c r="B192" s="109" t="s">
        <v>1104</v>
      </c>
      <c r="C192" s="108">
        <v>180</v>
      </c>
      <c r="D192" s="104">
        <v>480</v>
      </c>
      <c r="E192" s="107" t="s">
        <v>184</v>
      </c>
      <c r="F192" s="871">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240</v>
      </c>
      <c r="G192" s="106">
        <f t="shared" si="6"/>
        <v>2</v>
      </c>
      <c r="H192" s="105">
        <v>481</v>
      </c>
      <c r="I192" s="104">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5772</v>
      </c>
    </row>
    <row r="193" spans="1:16" ht="21" customHeight="1" x14ac:dyDescent="0.3">
      <c r="A193" s="110"/>
      <c r="B193" s="109" t="s">
        <v>25</v>
      </c>
      <c r="C193" s="108">
        <v>180</v>
      </c>
      <c r="D193" s="104">
        <v>1200</v>
      </c>
      <c r="E193" s="107" t="s">
        <v>184</v>
      </c>
      <c r="F193" s="871">
        <f>IF($B193="","",IF(SUMIFS(CONFIG_PALETES!$C:$C,CONFIG_PALETES!$A:$A,TRIM($B193),CONFIG_PALETES!$B:$B,$C193&amp;" ml")&gt;0,SUMIFS(CONFIG_PALETES!$C:$C,CONFIG_PALETES!$A:$A,TRIM($B193),CONFIG_PALETES!$B:$B,$C193&amp;" ml"),IF(SUMIFS(CONFIG_PALETES!$C:$C,CONFIG_PALETES!$A:$A,"GERAL",CONFIG_PALETES!$B:$B,$C193&amp;" ml")&gt;0,SUMIFS(CONFIG_PALETES!$C:$C,CONFIG_PALETES!$A:$A,"GERAL",CONFIG_PALETES!$B:$B,$C193&amp;" ml"),"")))</f>
        <v>240</v>
      </c>
      <c r="G193" s="106">
        <f t="shared" si="6"/>
        <v>5</v>
      </c>
      <c r="H193" s="105">
        <v>273</v>
      </c>
      <c r="I193" s="104">
        <f>IF(H193="","",H193*IF(SUMIFS(CONFIG_PALETES!$D:$D,CONFIG_PALETES!$A:$A,IF(ISNUMBER(SEARCH("ESPUMA",$B193)),"ESPUMA",IF(OR(ISNUMBER(SEARCH("OLEO DE COCO",$B193)),ISNUMBER(SEARCH("ÓLEO DE COCO",$B193)),ISNUMBER(SEARCH("COPRA",$B193))),"ÓLEO DE COCO",IF(ISNUMBER(SEARCH("CORANTE",$B193)),"CORANTE",TRIM($B193)))),CONFIG_PALETES!$B:$B,$C193&amp;" ml")&gt;0,SUMIFS(CONFIG_PALETES!$D:$D,CONFIG_PALETES!$A:$A,IF(ISNUMBER(SEARCH("ESPUMA",$B193)),"ESPUMA",IF(OR(ISNUMBER(SEARCH("OLEO DE COCO",$B193)),ISNUMBER(SEARCH("ÓLEO DE COCO",$B193)),ISNUMBER(SEARCH("COPRA",$B193))),"ÓLEO DE COCO",IF(ISNUMBER(SEARCH("CORANTE",$B193)),"CORANTE",TRIM($B193)))),CONFIG_PALETES!$B:$B,$C193&amp;" ml"),IF(SUMIFS(CONFIG_PALETES!$D:$D,CONFIG_PALETES!$A:$A,"GERAL",CONFIG_PALETES!$B:$B,$C193&amp;" ml")&gt;0,SUMIFS(CONFIG_PALETES!$D:$D,CONFIG_PALETES!$A:$A,"GERAL",CONFIG_PALETES!$B:$B,$C193&amp;" ml"),12)))</f>
        <v>3276</v>
      </c>
    </row>
    <row r="194" spans="1:16" ht="21" customHeight="1" x14ac:dyDescent="0.3">
      <c r="A194" s="110"/>
      <c r="B194" s="109"/>
      <c r="C194" s="108"/>
      <c r="D194" s="104"/>
      <c r="E194" s="107" t="s">
        <v>184</v>
      </c>
      <c r="F194" s="871" t="str">
        <f>IF($B194="","",IF(SUMIFS(CONFIG_PALETES!$C:$C,CONFIG_PALETES!$A:$A,TRIM($B194),CONFIG_PALETES!$B:$B,$C194&amp;" ml")&gt;0,SUMIFS(CONFIG_PALETES!$C:$C,CONFIG_PALETES!$A:$A,TRIM($B194),CONFIG_PALETES!$B:$B,$C194&amp;" ml"),IF(SUMIFS(CONFIG_PALETES!$C:$C,CONFIG_PALETES!$A:$A,"GERAL",CONFIG_PALETES!$B:$B,$C194&amp;" ml")&gt;0,SUMIFS(CONFIG_PALETES!$C:$C,CONFIG_PALETES!$A:$A,"GERAL",CONFIG_PALETES!$B:$B,$C194&amp;" ml"),"")))</f>
        <v/>
      </c>
      <c r="G194" s="106" t="str">
        <f t="shared" si="6"/>
        <v/>
      </c>
      <c r="H194" s="105"/>
      <c r="I194" s="104" t="str">
        <f>IF(H194="","",H194*IF(SUMIFS(CONFIG_PALETES!$D:$D,CONFIG_PALETES!$A:$A,IF(ISNUMBER(SEARCH("ESPUMA",$B194)),"ESPUMA",IF(OR(ISNUMBER(SEARCH("OLEO DE COCO",$B194)),ISNUMBER(SEARCH("ÓLEO DE COCO",$B194)),ISNUMBER(SEARCH("COPRA",$B194))),"ÓLEO DE COCO",IF(ISNUMBER(SEARCH("CORANTE",$B194)),"CORANTE",TRIM($B194)))),CONFIG_PALETES!$B:$B,$C194&amp;" ml")&gt;0,SUMIFS(CONFIG_PALETES!$D:$D,CONFIG_PALETES!$A:$A,IF(ISNUMBER(SEARCH("ESPUMA",$B194)),"ESPUMA",IF(OR(ISNUMBER(SEARCH("OLEO DE COCO",$B194)),ISNUMBER(SEARCH("ÓLEO DE COCO",$B194)),ISNUMBER(SEARCH("COPRA",$B194))),"ÓLEO DE COCO",IF(ISNUMBER(SEARCH("CORANTE",$B194)),"CORANTE",TRIM($B194)))),CONFIG_PALETES!$B:$B,$C194&amp;" ml"),IF(SUMIFS(CONFIG_PALETES!$D:$D,CONFIG_PALETES!$A:$A,"GERAL",CONFIG_PALETES!$B:$B,$C194&amp;" ml")&gt;0,SUMIFS(CONFIG_PALETES!$D:$D,CONFIG_PALETES!$A:$A,"GERAL",CONFIG_PALETES!$B:$B,$C194&amp;" ml"),12)))</f>
        <v/>
      </c>
    </row>
    <row r="195" spans="1:16" ht="21" customHeight="1" x14ac:dyDescent="0.3">
      <c r="A195" s="817"/>
      <c r="B195" s="818"/>
      <c r="C195" s="819"/>
      <c r="D195" s="820"/>
      <c r="E195" s="821" t="s">
        <v>184</v>
      </c>
      <c r="F195" s="872" t="str">
        <f>IF($B195="","",IF(SUMIFS(CONFIG_PALETES!$C:$C,CONFIG_PALETES!$A:$A,TRIM($B195),CONFIG_PALETES!$B:$B,$C195&amp;" ml")&gt;0,SUMIFS(CONFIG_PALETES!$C:$C,CONFIG_PALETES!$A:$A,TRIM($B195),CONFIG_PALETES!$B:$B,$C195&amp;" ml"),IF(SUMIFS(CONFIG_PALETES!$C:$C,CONFIG_PALETES!$A:$A,"GERAL",CONFIG_PALETES!$B:$B,$C195&amp;" ml")&gt;0,SUMIFS(CONFIG_PALETES!$C:$C,CONFIG_PALETES!$A:$A,"GERAL",CONFIG_PALETES!$B:$B,$C195&amp;" ml"),"")))</f>
        <v/>
      </c>
      <c r="G195" s="822" t="str">
        <f t="shared" si="6"/>
        <v/>
      </c>
      <c r="H195" s="823"/>
      <c r="I195" s="820" t="str">
        <f>IF(H195="","",H195*IF(SUMIFS(CONFIG_PALETES!$D:$D,CONFIG_PALETES!$A:$A,IF(ISNUMBER(SEARCH("ESPUMA",$B195)),"ESPUMA",IF(OR(ISNUMBER(SEARCH("OLEO DE COCO",$B195)),ISNUMBER(SEARCH("ÓLEO DE COCO",$B195)),ISNUMBER(SEARCH("COPRA",$B195))),"ÓLEO DE COCO",IF(ISNUMBER(SEARCH("CORANTE",$B195)),"CORANTE",TRIM($B195)))),CONFIG_PALETES!$B:$B,$C195&amp;" ml")&gt;0,SUMIFS(CONFIG_PALETES!$D:$D,CONFIG_PALETES!$A:$A,IF(ISNUMBER(SEARCH("ESPUMA",$B195)),"ESPUMA",IF(OR(ISNUMBER(SEARCH("OLEO DE COCO",$B195)),ISNUMBER(SEARCH("ÓLEO DE COCO",$B195)),ISNUMBER(SEARCH("COPRA",$B195))),"ÓLEO DE COCO",IF(ISNUMBER(SEARCH("CORANTE",$B195)),"CORANTE",TRIM($B195)))),CONFIG_PALETES!$B:$B,$C195&amp;" ml"),IF(SUMIFS(CONFIG_PALETES!$D:$D,CONFIG_PALETES!$A:$A,"GERAL",CONFIG_PALETES!$B:$B,$C195&amp;" ml")&gt;0,SUMIFS(CONFIG_PALETES!$D:$D,CONFIG_PALETES!$A:$A,"GERAL",CONFIG_PALETES!$B:$B,$C195&amp;" ml"),12)))</f>
        <v/>
      </c>
    </row>
    <row r="196" spans="1:16" ht="14.25" customHeight="1" x14ac:dyDescent="0.3">
      <c r="A196" s="899"/>
      <c r="B196" s="846" t="s">
        <v>186</v>
      </c>
      <c r="C196" s="847"/>
      <c r="D196" s="848">
        <f>SUM(D188:D195)</f>
        <v>2110</v>
      </c>
      <c r="E196" s="849"/>
      <c r="F196" s="856" t="s">
        <v>1400</v>
      </c>
      <c r="G196" s="850">
        <f>SUM(G188:G195)</f>
        <v>11</v>
      </c>
      <c r="H196" s="848">
        <f>SUM(H188:H195)</f>
        <v>1184</v>
      </c>
      <c r="I196" s="848">
        <f>SUM(I188:I195)</f>
        <v>14208</v>
      </c>
      <c r="J196" s="63">
        <f>D196</f>
        <v>2110</v>
      </c>
      <c r="K196" s="93">
        <f>G196</f>
        <v>11</v>
      </c>
      <c r="L196" s="63">
        <f>H196</f>
        <v>1184</v>
      </c>
      <c r="M196" s="63">
        <f>I196</f>
        <v>14208</v>
      </c>
      <c r="N196" s="587" cm="1">
        <f t="array" ref="N196">IF(H196=0,"",SUMPRODUCT(IFERROR(INT(H190:H195/F190:F195),0)))</f>
        <v>6</v>
      </c>
      <c r="O196" s="770">
        <f>IF(N196="","",MAX(0,G196-N196))</f>
        <v>5</v>
      </c>
      <c r="P196" s="583"/>
    </row>
    <row r="197" spans="1:16" ht="14.25" customHeight="1" x14ac:dyDescent="0.3">
      <c r="C197" s="65"/>
    </row>
    <row r="198" spans="1:16" ht="14.25" customHeight="1" x14ac:dyDescent="0.3">
      <c r="A198" s="135">
        <v>46200</v>
      </c>
      <c r="B198" s="113" t="s">
        <v>49</v>
      </c>
      <c r="C198" s="112" t="s">
        <v>176</v>
      </c>
      <c r="D198" s="111" t="s">
        <v>177</v>
      </c>
      <c r="E198" s="111" t="s">
        <v>178</v>
      </c>
      <c r="F198" s="862" t="s">
        <v>179</v>
      </c>
      <c r="G198" s="111" t="s">
        <v>180</v>
      </c>
      <c r="H198" s="111" t="s">
        <v>181</v>
      </c>
      <c r="I198" s="111" t="s">
        <v>182</v>
      </c>
      <c r="J198" s="128"/>
      <c r="K198" s="128"/>
      <c r="L198" s="128"/>
      <c r="M198" s="128"/>
    </row>
    <row r="199" spans="1:16" ht="21" customHeight="1" x14ac:dyDescent="0.3">
      <c r="A199" s="110"/>
      <c r="B199" s="127" t="s">
        <v>25</v>
      </c>
      <c r="C199" s="126">
        <v>180</v>
      </c>
      <c r="D199" s="129">
        <f>D193-H193</f>
        <v>927</v>
      </c>
      <c r="E199" s="131" t="s">
        <v>184</v>
      </c>
      <c r="F199" s="877">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240</v>
      </c>
      <c r="G199" s="130">
        <f>IFERROR(ROUNDUP(D199/F199,0),"")</f>
        <v>4</v>
      </c>
      <c r="H199" s="105">
        <v>928</v>
      </c>
      <c r="I199" s="129">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11136</v>
      </c>
      <c r="J199" s="128"/>
      <c r="K199" s="128"/>
      <c r="L199" s="128"/>
      <c r="M199" s="128"/>
    </row>
    <row r="200" spans="1:16" ht="21" customHeight="1" x14ac:dyDescent="0.3">
      <c r="A200" s="110"/>
      <c r="B200" s="109" t="s">
        <v>1082</v>
      </c>
      <c r="C200" s="108">
        <v>180</v>
      </c>
      <c r="D200" s="104">
        <v>350</v>
      </c>
      <c r="E200" s="107" t="s">
        <v>184</v>
      </c>
      <c r="F200" s="871">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240</v>
      </c>
      <c r="G200" s="106">
        <f>IFERROR(ROUNDUP(D200/F200,0),"")</f>
        <v>2</v>
      </c>
      <c r="H200" s="105">
        <v>242</v>
      </c>
      <c r="I200" s="104">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2904</v>
      </c>
    </row>
    <row r="201" spans="1:16" ht="21" customHeight="1" x14ac:dyDescent="0.3">
      <c r="A201" s="110"/>
      <c r="B201" s="127"/>
      <c r="C201" s="126"/>
      <c r="D201" s="129"/>
      <c r="E201" s="131" t="s">
        <v>184</v>
      </c>
      <c r="F201" s="877" t="str">
        <f>IF($B201="","",IF(SUMIFS(CONFIG_PALETES!$C:$C,CONFIG_PALETES!$A:$A,TRIM($B201),CONFIG_PALETES!$B:$B,$C201&amp;" ml")&gt;0,SUMIFS(CONFIG_PALETES!$C:$C,CONFIG_PALETES!$A:$A,TRIM($B201),CONFIG_PALETES!$B:$B,$C201&amp;" ml"),IF(SUMIFS(CONFIG_PALETES!$C:$C,CONFIG_PALETES!$A:$A,"GERAL",CONFIG_PALETES!$B:$B,$C201&amp;" ml")&gt;0,SUMIFS(CONFIG_PALETES!$C:$C,CONFIG_PALETES!$A:$A,"GERAL",CONFIG_PALETES!$B:$B,$C201&amp;" ml"),"")))</f>
        <v/>
      </c>
      <c r="G201" s="130" t="str">
        <f>IFERROR(ROUNDUP(D201/F201,0),"")</f>
        <v/>
      </c>
      <c r="H201" s="105"/>
      <c r="I201" s="129" t="str">
        <f>IF(H201="","",H201*IF(SUMIFS(CONFIG_PALETES!$D:$D,CONFIG_PALETES!$A:$A,IF(ISNUMBER(SEARCH("ESPUMA",$B201)),"ESPUMA",IF(OR(ISNUMBER(SEARCH("OLEO DE COCO",$B201)),ISNUMBER(SEARCH("ÓLEO DE COCO",$B201)),ISNUMBER(SEARCH("COPRA",$B201))),"ÓLEO DE COCO",IF(ISNUMBER(SEARCH("CORANTE",$B201)),"CORANTE",TRIM($B201)))),CONFIG_PALETES!$B:$B,$C201&amp;" ml")&gt;0,SUMIFS(CONFIG_PALETES!$D:$D,CONFIG_PALETES!$A:$A,IF(ISNUMBER(SEARCH("ESPUMA",$B201)),"ESPUMA",IF(OR(ISNUMBER(SEARCH("OLEO DE COCO",$B201)),ISNUMBER(SEARCH("ÓLEO DE COCO",$B201)),ISNUMBER(SEARCH("COPRA",$B201))),"ÓLEO DE COCO",IF(ISNUMBER(SEARCH("CORANTE",$B201)),"CORANTE",TRIM($B201)))),CONFIG_PALETES!$B:$B,$C201&amp;" ml"),IF(SUMIFS(CONFIG_PALETES!$D:$D,CONFIG_PALETES!$A:$A,"GERAL",CONFIG_PALETES!$B:$B,$C201&amp;" ml")&gt;0,SUMIFS(CONFIG_PALETES!$D:$D,CONFIG_PALETES!$A:$A,"GERAL",CONFIG_PALETES!$B:$B,$C201&amp;" ml"),12)))</f>
        <v/>
      </c>
      <c r="J201" s="128"/>
      <c r="K201" s="128"/>
      <c r="L201" s="128"/>
      <c r="M201" s="128"/>
    </row>
    <row r="202" spans="1:16" ht="21" customHeight="1" x14ac:dyDescent="0.3">
      <c r="A202" s="110"/>
      <c r="B202" s="127"/>
      <c r="C202" s="126"/>
      <c r="D202" s="129"/>
      <c r="E202" s="131" t="s">
        <v>184</v>
      </c>
      <c r="F202" s="877" t="str">
        <f>IF($B202="","",IF(SUMIFS(CONFIG_PALETES!$C:$C,CONFIG_PALETES!$A:$A,TRIM($B202),CONFIG_PALETES!$B:$B,$C202&amp;" ml")&gt;0,SUMIFS(CONFIG_PALETES!$C:$C,CONFIG_PALETES!$A:$A,TRIM($B202),CONFIG_PALETES!$B:$B,$C202&amp;" ml"),IF(SUMIFS(CONFIG_PALETES!$C:$C,CONFIG_PALETES!$A:$A,"GERAL",CONFIG_PALETES!$B:$B,$C202&amp;" ml")&gt;0,SUMIFS(CONFIG_PALETES!$C:$C,CONFIG_PALETES!$A:$A,"GERAL",CONFIG_PALETES!$B:$B,$C202&amp;" ml"),"")))</f>
        <v/>
      </c>
      <c r="G202" s="130" t="str">
        <f>IFERROR(ROUNDUP(D202/F202,0),"")</f>
        <v/>
      </c>
      <c r="H202" s="105"/>
      <c r="I202" s="129" t="str">
        <f>IF(H202="","",H202*IF(SUMIFS(CONFIG_PALETES!$D:$D,CONFIG_PALETES!$A:$A,IF(ISNUMBER(SEARCH("ESPUMA",$B202)),"ESPUMA",IF(OR(ISNUMBER(SEARCH("OLEO DE COCO",$B202)),ISNUMBER(SEARCH("ÓLEO DE COCO",$B202)),ISNUMBER(SEARCH("COPRA",$B202))),"ÓLEO DE COCO",IF(ISNUMBER(SEARCH("CORANTE",$B202)),"CORANTE",TRIM($B202)))),CONFIG_PALETES!$B:$B,$C202&amp;" ml")&gt;0,SUMIFS(CONFIG_PALETES!$D:$D,CONFIG_PALETES!$A:$A,IF(ISNUMBER(SEARCH("ESPUMA",$B202)),"ESPUMA",IF(OR(ISNUMBER(SEARCH("OLEO DE COCO",$B202)),ISNUMBER(SEARCH("ÓLEO DE COCO",$B202)),ISNUMBER(SEARCH("COPRA",$B202))),"ÓLEO DE COCO",IF(ISNUMBER(SEARCH("CORANTE",$B202)),"CORANTE",TRIM($B202)))),CONFIG_PALETES!$B:$B,$C202&amp;" ml"),IF(SUMIFS(CONFIG_PALETES!$D:$D,CONFIG_PALETES!$A:$A,"GERAL",CONFIG_PALETES!$B:$B,$C202&amp;" ml")&gt;0,SUMIFS(CONFIG_PALETES!$D:$D,CONFIG_PALETES!$A:$A,"GERAL",CONFIG_PALETES!$B:$B,$C202&amp;" ml"),12)))</f>
        <v/>
      </c>
      <c r="J202" s="128"/>
      <c r="K202" s="128"/>
      <c r="L202" s="128"/>
      <c r="M202" s="128"/>
    </row>
    <row r="203" spans="1:16" ht="21" customHeight="1" x14ac:dyDescent="0.3">
      <c r="A203" s="817"/>
      <c r="B203" s="829"/>
      <c r="C203" s="830"/>
      <c r="D203" s="831"/>
      <c r="E203" s="832" t="s">
        <v>184</v>
      </c>
      <c r="F203" s="878" t="str">
        <f>IF($B203="","",IF(SUMIFS(CONFIG_PALETES!$C:$C,CONFIG_PALETES!$A:$A,TRIM($B203),CONFIG_PALETES!$B:$B,$C203&amp;" ml")&gt;0,SUMIFS(CONFIG_PALETES!$C:$C,CONFIG_PALETES!$A:$A,TRIM($B203),CONFIG_PALETES!$B:$B,$C203&amp;" ml"),IF(SUMIFS(CONFIG_PALETES!$C:$C,CONFIG_PALETES!$A:$A,"GERAL",CONFIG_PALETES!$B:$B,$C203&amp;" ml")&gt;0,SUMIFS(CONFIG_PALETES!$C:$C,CONFIG_PALETES!$A:$A,"GERAL",CONFIG_PALETES!$B:$B,$C203&amp;" ml"),"")))</f>
        <v/>
      </c>
      <c r="G203" s="833" t="str">
        <f>IFERROR(ROUNDUP(D203/F203,0),"")</f>
        <v/>
      </c>
      <c r="H203" s="823"/>
      <c r="I203" s="831" t="str">
        <f>IF(H203="","",H203*IF(SUMIFS(CONFIG_PALETES!$D:$D,CONFIG_PALETES!$A:$A,IF(ISNUMBER(SEARCH("ESPUMA",$B203)),"ESPUMA",IF(OR(ISNUMBER(SEARCH("OLEO DE COCO",$B203)),ISNUMBER(SEARCH("ÓLEO DE COCO",$B203)),ISNUMBER(SEARCH("COPRA",$B203))),"ÓLEO DE COCO",IF(ISNUMBER(SEARCH("CORANTE",$B203)),"CORANTE",TRIM($B203)))),CONFIG_PALETES!$B:$B,$C203&amp;" ml")&gt;0,SUMIFS(CONFIG_PALETES!$D:$D,CONFIG_PALETES!$A:$A,IF(ISNUMBER(SEARCH("ESPUMA",$B203)),"ESPUMA",IF(OR(ISNUMBER(SEARCH("OLEO DE COCO",$B203)),ISNUMBER(SEARCH("ÓLEO DE COCO",$B203)),ISNUMBER(SEARCH("COPRA",$B203))),"ÓLEO DE COCO",IF(ISNUMBER(SEARCH("CORANTE",$B203)),"CORANTE",TRIM($B203)))),CONFIG_PALETES!$B:$B,$C203&amp;" ml"),IF(SUMIFS(CONFIG_PALETES!$D:$D,CONFIG_PALETES!$A:$A,"GERAL",CONFIG_PALETES!$B:$B,$C203&amp;" ml")&gt;0,SUMIFS(CONFIG_PALETES!$D:$D,CONFIG_PALETES!$A:$A,"GERAL",CONFIG_PALETES!$B:$B,$C203&amp;" ml"),12)))</f>
        <v/>
      </c>
      <c r="J203" s="128"/>
      <c r="K203" s="128"/>
      <c r="L203" s="128"/>
      <c r="M203" s="128"/>
    </row>
    <row r="204" spans="1:16" ht="14.25" customHeight="1" x14ac:dyDescent="0.3">
      <c r="A204" s="899"/>
      <c r="B204" s="846" t="s">
        <v>186</v>
      </c>
      <c r="C204" s="851"/>
      <c r="D204" s="848">
        <f>SUM(D197:D203)</f>
        <v>1277</v>
      </c>
      <c r="E204" s="852"/>
      <c r="F204" s="857" t="s">
        <v>1400</v>
      </c>
      <c r="G204" s="850">
        <f>SUM(G197:G203)</f>
        <v>6</v>
      </c>
      <c r="H204" s="848">
        <f>SUM(H197:H203)</f>
        <v>1170</v>
      </c>
      <c r="I204" s="848">
        <f>SUM(I197:I203)</f>
        <v>14040</v>
      </c>
      <c r="J204" s="133">
        <f>D204</f>
        <v>1277</v>
      </c>
      <c r="K204" s="134">
        <f>G204</f>
        <v>6</v>
      </c>
      <c r="L204" s="133">
        <f>H204</f>
        <v>1170</v>
      </c>
      <c r="M204" s="133">
        <f>I204</f>
        <v>14040</v>
      </c>
      <c r="N204" s="587" cm="1">
        <f t="array" ref="N204">IF(H204=0,"",SUMPRODUCT(IFERROR(INT(H199:H203/F199:F203),0)))</f>
        <v>4</v>
      </c>
      <c r="O204" s="770">
        <f>IF(N204="","",MAX(0,G204-N204))</f>
        <v>2</v>
      </c>
      <c r="P204" s="583"/>
    </row>
    <row r="205" spans="1:16" ht="14.25" customHeight="1" x14ac:dyDescent="0.3">
      <c r="A205" s="128"/>
      <c r="B205" s="128"/>
      <c r="C205" s="132"/>
      <c r="D205" s="128"/>
      <c r="E205" s="128"/>
      <c r="F205" s="128"/>
      <c r="G205" s="128"/>
      <c r="H205" s="128"/>
      <c r="I205" s="128"/>
      <c r="J205" s="128"/>
      <c r="K205" s="128"/>
      <c r="L205" s="128"/>
      <c r="M205" s="128"/>
    </row>
    <row r="206" spans="1:16" ht="14.25" customHeight="1" x14ac:dyDescent="0.3">
      <c r="A206" s="75">
        <v>46202</v>
      </c>
      <c r="B206" s="113" t="s">
        <v>49</v>
      </c>
      <c r="C206" s="112" t="s">
        <v>176</v>
      </c>
      <c r="D206" s="111" t="s">
        <v>177</v>
      </c>
      <c r="E206" s="111" t="s">
        <v>178</v>
      </c>
      <c r="F206" s="860" t="s">
        <v>179</v>
      </c>
      <c r="G206" s="111" t="s">
        <v>180</v>
      </c>
      <c r="H206" s="111" t="s">
        <v>181</v>
      </c>
      <c r="I206" s="111" t="s">
        <v>182</v>
      </c>
    </row>
    <row r="207" spans="1:16" ht="21" customHeight="1" x14ac:dyDescent="0.3">
      <c r="A207" s="110"/>
      <c r="B207" s="109" t="s">
        <v>1082</v>
      </c>
      <c r="C207" s="108">
        <v>180</v>
      </c>
      <c r="D207" s="104">
        <f>D200-H200</f>
        <v>108</v>
      </c>
      <c r="E207" s="107" t="s">
        <v>184</v>
      </c>
      <c r="F207" s="871">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240</v>
      </c>
      <c r="G207" s="106">
        <f>IFERROR(ROUNDUP(D207/F207,0),"")</f>
        <v>1</v>
      </c>
      <c r="H207" s="105">
        <v>109</v>
      </c>
      <c r="I207" s="104">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1308</v>
      </c>
    </row>
    <row r="208" spans="1:16" ht="21" customHeight="1" x14ac:dyDescent="0.3">
      <c r="A208" s="110"/>
      <c r="B208" s="127" t="s">
        <v>492</v>
      </c>
      <c r="C208" s="126">
        <v>600</v>
      </c>
      <c r="D208" s="129">
        <v>3990</v>
      </c>
      <c r="E208" s="131" t="s">
        <v>184</v>
      </c>
      <c r="F208" s="877">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190</v>
      </c>
      <c r="G208" s="130">
        <f>IFERROR(ROUNDUP(D208/F208,0),"")</f>
        <v>21</v>
      </c>
      <c r="H208" s="105">
        <v>1565</v>
      </c>
      <c r="I208" s="129">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9390</v>
      </c>
      <c r="J208" s="128"/>
      <c r="K208" s="128"/>
      <c r="L208" s="128"/>
      <c r="M208" s="128"/>
    </row>
    <row r="209" spans="1:16" ht="21" customHeight="1" x14ac:dyDescent="0.3">
      <c r="A209" s="110"/>
      <c r="B209" s="109"/>
      <c r="C209" s="108"/>
      <c r="D209" s="104"/>
      <c r="E209" s="107" t="s">
        <v>184</v>
      </c>
      <c r="F209" s="871" t="str">
        <f>IF($B209="","",IF(SUMIFS(CONFIG_PALETES!$C:$C,CONFIG_PALETES!$A:$A,TRIM($B209),CONFIG_PALETES!$B:$B,$C209&amp;" ml")&gt;0,SUMIFS(CONFIG_PALETES!$C:$C,CONFIG_PALETES!$A:$A,TRIM($B209),CONFIG_PALETES!$B:$B,$C209&amp;" ml"),IF(SUMIFS(CONFIG_PALETES!$C:$C,CONFIG_PALETES!$A:$A,"GERAL",CONFIG_PALETES!$B:$B,$C209&amp;" ml")&gt;0,SUMIFS(CONFIG_PALETES!$C:$C,CONFIG_PALETES!$A:$A,"GERAL",CONFIG_PALETES!$B:$B,$C209&amp;" ml"),"")))</f>
        <v/>
      </c>
      <c r="G209" s="106" t="str">
        <f>IFERROR(ROUNDUP(D209/F209,0),"")</f>
        <v/>
      </c>
      <c r="H209" s="105"/>
      <c r="I209" s="104" t="str">
        <f>IF(H209="","",H209*IF(SUMIFS(CONFIG_PALETES!$D:$D,CONFIG_PALETES!$A:$A,IF(ISNUMBER(SEARCH("ESPUMA",$B209)),"ESPUMA",IF(OR(ISNUMBER(SEARCH("OLEO DE COCO",$B209)),ISNUMBER(SEARCH("ÓLEO DE COCO",$B209)),ISNUMBER(SEARCH("COPRA",$B209))),"ÓLEO DE COCO",IF(ISNUMBER(SEARCH("CORANTE",$B209)),"CORANTE",TRIM($B209)))),CONFIG_PALETES!$B:$B,$C209&amp;" ml")&gt;0,SUMIFS(CONFIG_PALETES!$D:$D,CONFIG_PALETES!$A:$A,IF(ISNUMBER(SEARCH("ESPUMA",$B209)),"ESPUMA",IF(OR(ISNUMBER(SEARCH("OLEO DE COCO",$B209)),ISNUMBER(SEARCH("ÓLEO DE COCO",$B209)),ISNUMBER(SEARCH("COPRA",$B209))),"ÓLEO DE COCO",IF(ISNUMBER(SEARCH("CORANTE",$B209)),"CORANTE",TRIM($B209)))),CONFIG_PALETES!$B:$B,$C209&amp;" ml"),IF(SUMIFS(CONFIG_PALETES!$D:$D,CONFIG_PALETES!$A:$A,"GERAL",CONFIG_PALETES!$B:$B,$C209&amp;" ml")&gt;0,SUMIFS(CONFIG_PALETES!$D:$D,CONFIG_PALETES!$A:$A,"GERAL",CONFIG_PALETES!$B:$B,$C209&amp;" ml"),12)))</f>
        <v/>
      </c>
    </row>
    <row r="210" spans="1:16" ht="21" customHeight="1" x14ac:dyDescent="0.3">
      <c r="A210" s="110"/>
      <c r="B210" s="109"/>
      <c r="C210" s="108"/>
      <c r="D210" s="104"/>
      <c r="E210" s="107" t="s">
        <v>184</v>
      </c>
      <c r="F210" s="871" t="str">
        <f>IF($B210="","",IF(SUMIFS(CONFIG_PALETES!$C:$C,CONFIG_PALETES!$A:$A,TRIM($B210),CONFIG_PALETES!$B:$B,$C210&amp;" ml")&gt;0,SUMIFS(CONFIG_PALETES!$C:$C,CONFIG_PALETES!$A:$A,TRIM($B210),CONFIG_PALETES!$B:$B,$C210&amp;" ml"),IF(SUMIFS(CONFIG_PALETES!$C:$C,CONFIG_PALETES!$A:$A,"GERAL",CONFIG_PALETES!$B:$B,$C210&amp;" ml")&gt;0,SUMIFS(CONFIG_PALETES!$C:$C,CONFIG_PALETES!$A:$A,"GERAL",CONFIG_PALETES!$B:$B,$C210&amp;" ml"),"")))</f>
        <v/>
      </c>
      <c r="G210" s="106" t="str">
        <f>IFERROR(ROUNDUP(D210/F210,0),"")</f>
        <v/>
      </c>
      <c r="H210" s="105"/>
      <c r="I210" s="104" t="str">
        <f>IF(H210="","",H210*IF(SUMIFS(CONFIG_PALETES!$D:$D,CONFIG_PALETES!$A:$A,IF(ISNUMBER(SEARCH("ESPUMA",$B210)),"ESPUMA",IF(OR(ISNUMBER(SEARCH("OLEO DE COCO",$B210)),ISNUMBER(SEARCH("ÓLEO DE COCO",$B210)),ISNUMBER(SEARCH("COPRA",$B210))),"ÓLEO DE COCO",IF(ISNUMBER(SEARCH("CORANTE",$B210)),"CORANTE",TRIM($B210)))),CONFIG_PALETES!$B:$B,$C210&amp;" ml")&gt;0,SUMIFS(CONFIG_PALETES!$D:$D,CONFIG_PALETES!$A:$A,IF(ISNUMBER(SEARCH("ESPUMA",$B210)),"ESPUMA",IF(OR(ISNUMBER(SEARCH("OLEO DE COCO",$B210)),ISNUMBER(SEARCH("ÓLEO DE COCO",$B210)),ISNUMBER(SEARCH("COPRA",$B210))),"ÓLEO DE COCO",IF(ISNUMBER(SEARCH("CORANTE",$B210)),"CORANTE",TRIM($B210)))),CONFIG_PALETES!$B:$B,$C210&amp;" ml"),IF(SUMIFS(CONFIG_PALETES!$D:$D,CONFIG_PALETES!$A:$A,"GERAL",CONFIG_PALETES!$B:$B,$C210&amp;" ml")&gt;0,SUMIFS(CONFIG_PALETES!$D:$D,CONFIG_PALETES!$A:$A,"GERAL",CONFIG_PALETES!$B:$B,$C210&amp;" ml"),12)))</f>
        <v/>
      </c>
    </row>
    <row r="211" spans="1:16" ht="21" customHeight="1" x14ac:dyDescent="0.3">
      <c r="A211" s="817"/>
      <c r="B211" s="818"/>
      <c r="C211" s="819"/>
      <c r="D211" s="820"/>
      <c r="E211" s="821" t="s">
        <v>184</v>
      </c>
      <c r="F211" s="872" t="str">
        <f>IF($B211="","",IF(SUMIFS(CONFIG_PALETES!$C:$C,CONFIG_PALETES!$A:$A,TRIM($B211),CONFIG_PALETES!$B:$B,$C211&amp;" ml")&gt;0,SUMIFS(CONFIG_PALETES!$C:$C,CONFIG_PALETES!$A:$A,TRIM($B211),CONFIG_PALETES!$B:$B,$C211&amp;" ml"),IF(SUMIFS(CONFIG_PALETES!$C:$C,CONFIG_PALETES!$A:$A,"GERAL",CONFIG_PALETES!$B:$B,$C211&amp;" ml")&gt;0,SUMIFS(CONFIG_PALETES!$C:$C,CONFIG_PALETES!$A:$A,"GERAL",CONFIG_PALETES!$B:$B,$C211&amp;" ml"),"")))</f>
        <v/>
      </c>
      <c r="G211" s="822" t="str">
        <f>IFERROR(ROUNDUP(D211/F211,0),"")</f>
        <v/>
      </c>
      <c r="H211" s="823"/>
      <c r="I211" s="820" t="str">
        <f>IF(H211="","",H211*IF(SUMIFS(CONFIG_PALETES!$D:$D,CONFIG_PALETES!$A:$A,IF(ISNUMBER(SEARCH("ESPUMA",$B211)),"ESPUMA",IF(OR(ISNUMBER(SEARCH("OLEO DE COCO",$B211)),ISNUMBER(SEARCH("ÓLEO DE COCO",$B211)),ISNUMBER(SEARCH("COPRA",$B211))),"ÓLEO DE COCO",IF(ISNUMBER(SEARCH("CORANTE",$B211)),"CORANTE",TRIM($B211)))),CONFIG_PALETES!$B:$B,$C211&amp;" ml")&gt;0,SUMIFS(CONFIG_PALETES!$D:$D,CONFIG_PALETES!$A:$A,IF(ISNUMBER(SEARCH("ESPUMA",$B211)),"ESPUMA",IF(OR(ISNUMBER(SEARCH("OLEO DE COCO",$B211)),ISNUMBER(SEARCH("ÓLEO DE COCO",$B211)),ISNUMBER(SEARCH("COPRA",$B211))),"ÓLEO DE COCO",IF(ISNUMBER(SEARCH("CORANTE",$B211)),"CORANTE",TRIM($B211)))),CONFIG_PALETES!$B:$B,$C211&amp;" ml"),IF(SUMIFS(CONFIG_PALETES!$D:$D,CONFIG_PALETES!$A:$A,"GERAL",CONFIG_PALETES!$B:$B,$C211&amp;" ml")&gt;0,SUMIFS(CONFIG_PALETES!$D:$D,CONFIG_PALETES!$A:$A,"GERAL",CONFIG_PALETES!$B:$B,$C211&amp;" ml"),12)))</f>
        <v/>
      </c>
    </row>
    <row r="212" spans="1:16" ht="14.25" customHeight="1" x14ac:dyDescent="0.3">
      <c r="A212" s="899"/>
      <c r="B212" s="846" t="s">
        <v>186</v>
      </c>
      <c r="C212" s="847"/>
      <c r="D212" s="848">
        <f>SUM(D205:D211)</f>
        <v>4098</v>
      </c>
      <c r="E212" s="849"/>
      <c r="F212" s="856" t="s">
        <v>1400</v>
      </c>
      <c r="G212" s="850">
        <f>SUM(G205:G211)</f>
        <v>22</v>
      </c>
      <c r="H212" s="848">
        <f>SUM(H205:H211)</f>
        <v>1674</v>
      </c>
      <c r="I212" s="848">
        <f>SUM(I205:I211)</f>
        <v>10698</v>
      </c>
      <c r="J212" s="63">
        <f>D212</f>
        <v>4098</v>
      </c>
      <c r="K212" s="93">
        <f>G212</f>
        <v>22</v>
      </c>
      <c r="L212" s="63">
        <f>H212</f>
        <v>1674</v>
      </c>
      <c r="M212" s="63">
        <f>I212</f>
        <v>10698</v>
      </c>
      <c r="N212" s="587" cm="1">
        <f t="array" ref="N212">IF(H212=0,"",SUMPRODUCT(IFERROR(INT(H207:H211/F207:F211),0)))</f>
        <v>8</v>
      </c>
      <c r="O212" s="770">
        <f>IF(N212="","",MAX(0,G212-N212))</f>
        <v>14</v>
      </c>
      <c r="P212" s="583"/>
    </row>
    <row r="213" spans="1:16" ht="14.25" customHeight="1" x14ac:dyDescent="0.3">
      <c r="C213" s="65"/>
    </row>
    <row r="214" spans="1:16" ht="14.25" customHeight="1" x14ac:dyDescent="0.3">
      <c r="A214" s="75">
        <v>46203</v>
      </c>
      <c r="B214" s="113" t="s">
        <v>49</v>
      </c>
      <c r="C214" s="112" t="s">
        <v>176</v>
      </c>
      <c r="D214" s="111" t="s">
        <v>177</v>
      </c>
      <c r="E214" s="111" t="s">
        <v>178</v>
      </c>
      <c r="F214" s="860" t="s">
        <v>179</v>
      </c>
      <c r="G214" s="111" t="s">
        <v>180</v>
      </c>
      <c r="H214" s="111" t="s">
        <v>181</v>
      </c>
      <c r="I214" s="111" t="s">
        <v>182</v>
      </c>
    </row>
    <row r="215" spans="1:16" ht="21" customHeight="1" x14ac:dyDescent="0.3">
      <c r="A215" s="110"/>
      <c r="B215" s="127" t="s">
        <v>492</v>
      </c>
      <c r="C215" s="126">
        <v>600</v>
      </c>
      <c r="D215" s="104">
        <f>D208-H208</f>
        <v>2425</v>
      </c>
      <c r="E215" s="107" t="s">
        <v>184</v>
      </c>
      <c r="F215" s="871">
        <f>IF($B215="","",IF(SUMIFS(CONFIG_PALETES!$C:$C,CONFIG_PALETES!$A:$A,TRIM($B215),CONFIG_PALETES!$B:$B,$C215&amp;" ml")&gt;0,SUMIFS(CONFIG_PALETES!$C:$C,CONFIG_PALETES!$A:$A,TRIM($B215),CONFIG_PALETES!$B:$B,$C215&amp;" ml"),IF(SUMIFS(CONFIG_PALETES!$C:$C,CONFIG_PALETES!$A:$A,"GERAL",CONFIG_PALETES!$B:$B,$C215&amp;" ml")&gt;0,SUMIFS(CONFIG_PALETES!$C:$C,CONFIG_PALETES!$A:$A,"GERAL",CONFIG_PALETES!$B:$B,$C215&amp;" ml"),"")))</f>
        <v>190</v>
      </c>
      <c r="G215" s="106">
        <f>IFERROR(ROUNDUP(D215/F215,0),"")</f>
        <v>13</v>
      </c>
      <c r="H215" s="105">
        <v>1324</v>
      </c>
      <c r="I215" s="104">
        <f>IF(H215="","",H215*IF(SUMIFS(CONFIG_PALETES!$D:$D,CONFIG_PALETES!$A:$A,IF(ISNUMBER(SEARCH("ESPUMA",$B215)),"ESPUMA",IF(OR(ISNUMBER(SEARCH("OLEO DE COCO",$B215)),ISNUMBER(SEARCH("ÓLEO DE COCO",$B215)),ISNUMBER(SEARCH("COPRA",$B215))),"ÓLEO DE COCO",IF(ISNUMBER(SEARCH("CORANTE",$B215)),"CORANTE",TRIM($B215)))),CONFIG_PALETES!$B:$B,$C215&amp;" ml")&gt;0,SUMIFS(CONFIG_PALETES!$D:$D,CONFIG_PALETES!$A:$A,IF(ISNUMBER(SEARCH("ESPUMA",$B215)),"ESPUMA",IF(OR(ISNUMBER(SEARCH("OLEO DE COCO",$B215)),ISNUMBER(SEARCH("ÓLEO DE COCO",$B215)),ISNUMBER(SEARCH("COPRA",$B215))),"ÓLEO DE COCO",IF(ISNUMBER(SEARCH("CORANTE",$B215)),"CORANTE",TRIM($B215)))),CONFIG_PALETES!$B:$B,$C215&amp;" ml"),IF(SUMIFS(CONFIG_PALETES!$D:$D,CONFIG_PALETES!$A:$A,"GERAL",CONFIG_PALETES!$B:$B,$C215&amp;" ml")&gt;0,SUMIFS(CONFIG_PALETES!$D:$D,CONFIG_PALETES!$A:$A,"GERAL",CONFIG_PALETES!$B:$B,$C215&amp;" ml"),12)))</f>
        <v>7944</v>
      </c>
    </row>
    <row r="216" spans="1:16" ht="21" customHeight="1" x14ac:dyDescent="0.3">
      <c r="A216" s="110"/>
      <c r="B216" s="109"/>
      <c r="C216" s="108"/>
      <c r="D216" s="104"/>
      <c r="E216" s="107" t="s">
        <v>184</v>
      </c>
      <c r="F216" s="871" t="str">
        <f>IF($B216="","",IF(SUMIFS(CONFIG_PALETES!$C:$C,CONFIG_PALETES!$A:$A,TRIM($B216),CONFIG_PALETES!$B:$B,$C216&amp;" ml")&gt;0,SUMIFS(CONFIG_PALETES!$C:$C,CONFIG_PALETES!$A:$A,TRIM($B216),CONFIG_PALETES!$B:$B,$C216&amp;" ml"),IF(SUMIFS(CONFIG_PALETES!$C:$C,CONFIG_PALETES!$A:$A,"GERAL",CONFIG_PALETES!$B:$B,$C216&amp;" ml")&gt;0,SUMIFS(CONFIG_PALETES!$C:$C,CONFIG_PALETES!$A:$A,"GERAL",CONFIG_PALETES!$B:$B,$C216&amp;" ml"),"")))</f>
        <v/>
      </c>
      <c r="G216" s="106" t="str">
        <f>IFERROR(ROUNDUP(D216/F216,0),"")</f>
        <v/>
      </c>
      <c r="H216" s="105"/>
      <c r="I216" s="104" t="str">
        <f>IF(H216="","",H216*IF(SUMIFS(CONFIG_PALETES!$D:$D,CONFIG_PALETES!$A:$A,IF(ISNUMBER(SEARCH("ESPUMA",$B216)),"ESPUMA",IF(OR(ISNUMBER(SEARCH("OLEO DE COCO",$B216)),ISNUMBER(SEARCH("ÓLEO DE COCO",$B216)),ISNUMBER(SEARCH("COPRA",$B216))),"ÓLEO DE COCO",IF(ISNUMBER(SEARCH("CORANTE",$B216)),"CORANTE",TRIM($B216)))),CONFIG_PALETES!$B:$B,$C216&amp;" ml")&gt;0,SUMIFS(CONFIG_PALETES!$D:$D,CONFIG_PALETES!$A:$A,IF(ISNUMBER(SEARCH("ESPUMA",$B216)),"ESPUMA",IF(OR(ISNUMBER(SEARCH("OLEO DE COCO",$B216)),ISNUMBER(SEARCH("ÓLEO DE COCO",$B216)),ISNUMBER(SEARCH("COPRA",$B216))),"ÓLEO DE COCO",IF(ISNUMBER(SEARCH("CORANTE",$B216)),"CORANTE",TRIM($B216)))),CONFIG_PALETES!$B:$B,$C216&amp;" ml"),IF(SUMIFS(CONFIG_PALETES!$D:$D,CONFIG_PALETES!$A:$A,"GERAL",CONFIG_PALETES!$B:$B,$C216&amp;" ml")&gt;0,SUMIFS(CONFIG_PALETES!$D:$D,CONFIG_PALETES!$A:$A,"GERAL",CONFIG_PALETES!$B:$B,$C216&amp;" ml"),12)))</f>
        <v/>
      </c>
    </row>
    <row r="217" spans="1:16" ht="21" customHeight="1" x14ac:dyDescent="0.3">
      <c r="A217" s="110"/>
      <c r="B217" s="109"/>
      <c r="C217" s="108"/>
      <c r="D217" s="104"/>
      <c r="E217" s="107" t="s">
        <v>184</v>
      </c>
      <c r="F217" s="871" t="str">
        <f>IF($B217="","",IF(SUMIFS(CONFIG_PALETES!$C:$C,CONFIG_PALETES!$A:$A,TRIM($B217),CONFIG_PALETES!$B:$B,$C217&amp;" ml")&gt;0,SUMIFS(CONFIG_PALETES!$C:$C,CONFIG_PALETES!$A:$A,TRIM($B217),CONFIG_PALETES!$B:$B,$C217&amp;" ml"),IF(SUMIFS(CONFIG_PALETES!$C:$C,CONFIG_PALETES!$A:$A,"GERAL",CONFIG_PALETES!$B:$B,$C217&amp;" ml")&gt;0,SUMIFS(CONFIG_PALETES!$C:$C,CONFIG_PALETES!$A:$A,"GERAL",CONFIG_PALETES!$B:$B,$C217&amp;" ml"),"")))</f>
        <v/>
      </c>
      <c r="G217" s="106" t="str">
        <f>IFERROR(ROUNDUP(D217/F217,0),"")</f>
        <v/>
      </c>
      <c r="H217" s="105"/>
      <c r="I217" s="104" t="str">
        <f>IF(H217="","",H217*IF(SUMIFS(CONFIG_PALETES!$D:$D,CONFIG_PALETES!$A:$A,IF(ISNUMBER(SEARCH("ESPUMA",$B217)),"ESPUMA",IF(OR(ISNUMBER(SEARCH("OLEO DE COCO",$B217)),ISNUMBER(SEARCH("ÓLEO DE COCO",$B217)),ISNUMBER(SEARCH("COPRA",$B217))),"ÓLEO DE COCO",IF(ISNUMBER(SEARCH("CORANTE",$B217)),"CORANTE",TRIM($B217)))),CONFIG_PALETES!$B:$B,$C217&amp;" ml")&gt;0,SUMIFS(CONFIG_PALETES!$D:$D,CONFIG_PALETES!$A:$A,IF(ISNUMBER(SEARCH("ESPUMA",$B217)),"ESPUMA",IF(OR(ISNUMBER(SEARCH("OLEO DE COCO",$B217)),ISNUMBER(SEARCH("ÓLEO DE COCO",$B217)),ISNUMBER(SEARCH("COPRA",$B217))),"ÓLEO DE COCO",IF(ISNUMBER(SEARCH("CORANTE",$B217)),"CORANTE",TRIM($B217)))),CONFIG_PALETES!$B:$B,$C217&amp;" ml"),IF(SUMIFS(CONFIG_PALETES!$D:$D,CONFIG_PALETES!$A:$A,"GERAL",CONFIG_PALETES!$B:$B,$C217&amp;" ml")&gt;0,SUMIFS(CONFIG_PALETES!$D:$D,CONFIG_PALETES!$A:$A,"GERAL",CONFIG_PALETES!$B:$B,$C217&amp;" ml"),12)))</f>
        <v/>
      </c>
    </row>
    <row r="218" spans="1:16" ht="21" customHeight="1" x14ac:dyDescent="0.3">
      <c r="A218" s="110"/>
      <c r="B218" s="109"/>
      <c r="C218" s="108"/>
      <c r="D218" s="104"/>
      <c r="E218" s="107" t="s">
        <v>184</v>
      </c>
      <c r="F218" s="871" t="str">
        <f>IF($B218="","",IF(SUMIFS(CONFIG_PALETES!$C:$C,CONFIG_PALETES!$A:$A,TRIM($B218),CONFIG_PALETES!$B:$B,$C218&amp;" ml")&gt;0,SUMIFS(CONFIG_PALETES!$C:$C,CONFIG_PALETES!$A:$A,TRIM($B218),CONFIG_PALETES!$B:$B,$C218&amp;" ml"),IF(SUMIFS(CONFIG_PALETES!$C:$C,CONFIG_PALETES!$A:$A,"GERAL",CONFIG_PALETES!$B:$B,$C218&amp;" ml")&gt;0,SUMIFS(CONFIG_PALETES!$C:$C,CONFIG_PALETES!$A:$A,"GERAL",CONFIG_PALETES!$B:$B,$C218&amp;" ml"),"")))</f>
        <v/>
      </c>
      <c r="G218" s="106" t="str">
        <f>IFERROR(ROUNDUP(D218/F218,0),"")</f>
        <v/>
      </c>
      <c r="H218" s="105"/>
      <c r="I218" s="104" t="str">
        <f>IF(H218="","",H218*IF(SUMIFS(CONFIG_PALETES!$D:$D,CONFIG_PALETES!$A:$A,IF(ISNUMBER(SEARCH("ESPUMA",$B218)),"ESPUMA",IF(OR(ISNUMBER(SEARCH("OLEO DE COCO",$B218)),ISNUMBER(SEARCH("ÓLEO DE COCO",$B218)),ISNUMBER(SEARCH("COPRA",$B218))),"ÓLEO DE COCO",IF(ISNUMBER(SEARCH("CORANTE",$B218)),"CORANTE",TRIM($B218)))),CONFIG_PALETES!$B:$B,$C218&amp;" ml")&gt;0,SUMIFS(CONFIG_PALETES!$D:$D,CONFIG_PALETES!$A:$A,IF(ISNUMBER(SEARCH("ESPUMA",$B218)),"ESPUMA",IF(OR(ISNUMBER(SEARCH("OLEO DE COCO",$B218)),ISNUMBER(SEARCH("ÓLEO DE COCO",$B218)),ISNUMBER(SEARCH("COPRA",$B218))),"ÓLEO DE COCO",IF(ISNUMBER(SEARCH("CORANTE",$B218)),"CORANTE",TRIM($B218)))),CONFIG_PALETES!$B:$B,$C218&amp;" ml"),IF(SUMIFS(CONFIG_PALETES!$D:$D,CONFIG_PALETES!$A:$A,"GERAL",CONFIG_PALETES!$B:$B,$C218&amp;" ml")&gt;0,SUMIFS(CONFIG_PALETES!$D:$D,CONFIG_PALETES!$A:$A,"GERAL",CONFIG_PALETES!$B:$B,$C218&amp;" ml"),12)))</f>
        <v/>
      </c>
    </row>
    <row r="219" spans="1:16" ht="21" customHeight="1" x14ac:dyDescent="0.3">
      <c r="A219" s="817"/>
      <c r="B219" s="818"/>
      <c r="C219" s="819"/>
      <c r="D219" s="820"/>
      <c r="E219" s="821" t="s">
        <v>184</v>
      </c>
      <c r="F219" s="872" t="str">
        <f>IF($B219="","",IF(SUMIFS(CONFIG_PALETES!$C:$C,CONFIG_PALETES!$A:$A,TRIM($B219),CONFIG_PALETES!$B:$B,$C219&amp;" ml")&gt;0,SUMIFS(CONFIG_PALETES!$C:$C,CONFIG_PALETES!$A:$A,TRIM($B219),CONFIG_PALETES!$B:$B,$C219&amp;" ml"),IF(SUMIFS(CONFIG_PALETES!$C:$C,CONFIG_PALETES!$A:$A,"GERAL",CONFIG_PALETES!$B:$B,$C219&amp;" ml")&gt;0,SUMIFS(CONFIG_PALETES!$C:$C,CONFIG_PALETES!$A:$A,"GERAL",CONFIG_PALETES!$B:$B,$C219&amp;" ml"),"")))</f>
        <v/>
      </c>
      <c r="G219" s="822" t="str">
        <f>IFERROR(ROUNDUP(D219/F219,0),"")</f>
        <v/>
      </c>
      <c r="H219" s="823"/>
      <c r="I219" s="820" t="str">
        <f>IF(H219="","",H219*IF(SUMIFS(CONFIG_PALETES!$D:$D,CONFIG_PALETES!$A:$A,IF(ISNUMBER(SEARCH("ESPUMA",$B219)),"ESPUMA",IF(OR(ISNUMBER(SEARCH("OLEO DE COCO",$B219)),ISNUMBER(SEARCH("ÓLEO DE COCO",$B219)),ISNUMBER(SEARCH("COPRA",$B219))),"ÓLEO DE COCO",IF(ISNUMBER(SEARCH("CORANTE",$B219)),"CORANTE",TRIM($B219)))),CONFIG_PALETES!$B:$B,$C219&amp;" ml")&gt;0,SUMIFS(CONFIG_PALETES!$D:$D,CONFIG_PALETES!$A:$A,IF(ISNUMBER(SEARCH("ESPUMA",$B219)),"ESPUMA",IF(OR(ISNUMBER(SEARCH("OLEO DE COCO",$B219)),ISNUMBER(SEARCH("ÓLEO DE COCO",$B219)),ISNUMBER(SEARCH("COPRA",$B219))),"ÓLEO DE COCO",IF(ISNUMBER(SEARCH("CORANTE",$B219)),"CORANTE",TRIM($B219)))),CONFIG_PALETES!$B:$B,$C219&amp;" ml"),IF(SUMIFS(CONFIG_PALETES!$D:$D,CONFIG_PALETES!$A:$A,"GERAL",CONFIG_PALETES!$B:$B,$C219&amp;" ml")&gt;0,SUMIFS(CONFIG_PALETES!$D:$D,CONFIG_PALETES!$A:$A,"GERAL",CONFIG_PALETES!$B:$B,$C219&amp;" ml"),12)))</f>
        <v/>
      </c>
    </row>
    <row r="220" spans="1:16" ht="14.25" customHeight="1" x14ac:dyDescent="0.3">
      <c r="A220" s="899"/>
      <c r="B220" s="846" t="s">
        <v>186</v>
      </c>
      <c r="C220" s="847"/>
      <c r="D220" s="848">
        <f>SUM(D213:D219)</f>
        <v>2425</v>
      </c>
      <c r="E220" s="849"/>
      <c r="F220" s="856" t="s">
        <v>1400</v>
      </c>
      <c r="G220" s="850">
        <f>SUM(G213:G219)</f>
        <v>13</v>
      </c>
      <c r="H220" s="848">
        <f>SUM(H213:H219)</f>
        <v>1324</v>
      </c>
      <c r="I220" s="848">
        <f>SUM(I213:I219)</f>
        <v>7944</v>
      </c>
      <c r="J220" s="63">
        <f>D220</f>
        <v>2425</v>
      </c>
      <c r="K220" s="93">
        <f>G220</f>
        <v>13</v>
      </c>
      <c r="L220" s="63">
        <f>H220</f>
        <v>1324</v>
      </c>
      <c r="M220" s="63">
        <f>I220</f>
        <v>7944</v>
      </c>
      <c r="N220" s="587" cm="1">
        <f t="array" ref="N220">IF(H220=0,"",SUMPRODUCT(IFERROR(INT(H215:H219/F215:F219),0)))</f>
        <v>6</v>
      </c>
      <c r="O220" s="770">
        <f>IF(N220="","",MAX(0,G220-N220))</f>
        <v>7</v>
      </c>
      <c r="P220" s="583"/>
    </row>
  </sheetData>
  <mergeCells count="5">
    <mergeCell ref="A1:I1"/>
    <mergeCell ref="A2:F2"/>
    <mergeCell ref="G2:I2"/>
    <mergeCell ref="B36:I40"/>
    <mergeCell ref="B44:I48"/>
  </mergeCells>
  <dataValidations count="132">
    <dataValidation type="list" allowBlank="1" errorTitle="Embalagem inválida" error="Escolha uma embalagem compatível com o produto." promptTitle="Selecione a embalagem" prompt="As opções mudam conforme o produto escolhido." sqref="C41:C43 C1:C3 C49:C51 C9:C11 C17:C19 C25:C27 C33:C35 C57:C59 C66:C68 C75:C77 C83:C85 C92:C94 C103:C105 C111:C113 C122:C124 C130:C132 C138:C140 C146:C148 C154:C156 C162:C164 C170:C172 C179:C181 C187:C189 C196:C198 C204:C206 C212:C214 C220:C1188" xr:uid="{00000000-0002-0000-13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E8C67CE9-937F-4F6D-B44B-B0E2849B2AD0}">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49514AD4-E9F8-4F50-A89C-60EDDF2998E0}">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752A440B-41A5-41BC-9F2B-E1BF58AB37FD}">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B075A1EF-A245-4C61-BA17-2BDBA1BA47B4}">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7E7522FF-36A6-475E-9DD9-157E2444CC2D}">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12" xr:uid="{DF14371B-383F-4316-B54C-5FEB878FBE53}">
      <formula1>INDIRECT(IF(OR(ISNUMBER(SEARCH("ICEBERG ICE",UPPER(TRIM($B12)))),ISNUMBER(SEARCH("ICE ICEBERG",UPPER(TRIM($B12)))),ISNUMBER(SEARCH("GELINHO ICEBERG",UPPER(TRIM($B12))))),"$AJ$2:$AJ$2",IF(ISNUMBER(SEARCH("ESPUMA",$B12)),"$AI$2:$AI$2",IF(ISNUMBER(SEARCH("CORANTE",$B12)),"$AN$2:$AN$2",IFERROR(INDEX($AB$2:$AB$139,MATCH(UPPER(TRIM($B12)),$AA$2:$AA$139,0)),"$AO$2:$AO$9")))))</formula1>
    </dataValidation>
    <dataValidation type="list" allowBlank="1" errorTitle="Embalagem inválida" error="Escolha uma embalagem compatível com o produto." promptTitle="Selecione a embalagem" prompt="As opções mudam conforme o produto digitado." sqref="C13" xr:uid="{2C365A59-B503-476A-B717-D57A231209A3}">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134D73FC-6E1D-41A9-B920-C0E4FB7423B5}">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77AE965C-8B6F-4644-8AF2-24B30576E178}">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A3334361-557A-4EE3-B6E7-B4C1DF112710}">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20" xr:uid="{7222D1F3-C8BD-4DB5-9820-578BC3FADC85}">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66374999-8310-4309-8ACD-0E457D1B59CE}">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EA62464B-67A2-4959-9BEB-B1AF34AB479F}">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A571077A-08FD-4208-8CAE-3EED7C27EB59}">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BB09604C-1650-4E5C-A21D-8429F472D807}">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8" xr:uid="{98984E88-858B-4BCA-B723-88EDD3ED5650}">
      <formula1>INDIRECT(IF(OR(ISNUMBER(SEARCH("ICEBERG ICE",UPPER(TRIM($B28)))),ISNUMBER(SEARCH("ICE ICEBERG",UPPER(TRIM($B28)))),ISNUMBER(SEARCH("GELINHO ICEBERG",UPPER(TRIM($B28))))),"$AJ$2:$AJ$2",IF(ISNUMBER(SEARCH("ESPUMA",$B28)),"$AI$2:$AI$2",IF(ISNUMBER(SEARCH("CORANTE",$B28)),"$AN$2:$AN$2",IFERROR(INDEX($AB$2:$AB$139,MATCH(UPPER(TRIM($B28)),$AA$2:$AA$139,0)),"$AO$2:$AO$9")))))</formula1>
    </dataValidation>
    <dataValidation type="list" allowBlank="1" errorTitle="Embalagem inválida" error="Escolha uma embalagem compatível com o produto." promptTitle="Selecione a embalagem" prompt="As opções mudam conforme o produto digitado." sqref="C29" xr:uid="{D247356F-6A63-4193-81DA-184ACEF93DFC}">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647399A8-96D2-4125-B52E-3CDAA06860AE}">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044EDFC3-9B5D-4DFA-A138-8211C0D28761}">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B6E666DA-3643-4E54-9831-C2B0211DE832}">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52" xr:uid="{96300BF7-4059-4CE4-8102-E0EE9C8E4EE0}">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EE23FF02-DA0B-478D-9A4C-ED03CF7EF745}">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326A43B0-1768-402F-BC1F-CF1A17353C17}">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E96C4538-2F56-422D-8528-EC8651B1B3D1}">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4904DDC5-09B0-4349-9A39-AE4E6B401073}">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60" xr:uid="{DC942CF3-248D-4A7C-82AD-CDF6AC67AD81}">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3D5C856C-E969-4485-B3E9-AFD2A1D62108}">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160C4366-DA00-402B-B171-A69573517C12}">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A4401AAB-8D01-4E32-9946-D8BF679AEE10}">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65BF76BD-6B14-4681-BFFA-BF57A9CBE816}">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5" xr:uid="{BB46A4A9-1F62-451E-9802-A0607515D2CF}">
      <formula1>INDIRECT(IF(OR(ISNUMBER(SEARCH("ICEBERG ICE",UPPER(TRIM($B65)))),ISNUMBER(SEARCH("ICE ICEBERG",UPPER(TRIM($B65)))),ISNUMBER(SEARCH("GELINHO ICEBERG",UPPER(TRIM($B65))))),"$AJ$2:$AJ$2",IF(ISNUMBER(SEARCH("ESPUMA",$B65)),"$AI$2:$AI$2",IF(ISNUMBER(SEARCH("CORANTE",$B65)),"$AN$2:$AN$2",IFERROR(INDEX($AB$2:$AB$139,MATCH(UPPER(TRIM($B65)),$AA$2:$AA$139,0)),"$AO$2:$AO$9")))))</formula1>
    </dataValidation>
    <dataValidation type="list" allowBlank="1" errorTitle="Embalagem inválida" error="Escolha uma embalagem compatível com o produto." promptTitle="Selecione a embalagem" prompt="As opções mudam conforme o produto digitado." sqref="C69" xr:uid="{5C794CE0-2C31-4686-B6D4-8617E5C8EB38}">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F4B1AB66-7594-4C7A-B99F-34DB9F1A1450}">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4F4F41FB-A4E5-44D5-8852-59F47FA54CFD}">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137952BB-405C-4151-8AFE-26EAB0F25697}">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3" xr:uid="{4098470C-1B19-4F67-91FE-4A2F8B702E4D}">
      <formula1>INDIRECT(IF(OR(ISNUMBER(SEARCH("ICEBERG ICE",UPPER(TRIM($B73)))),ISNUMBER(SEARCH("ICE ICEBERG",UPPER(TRIM($B73)))),ISNUMBER(SEARCH("GELINHO ICEBERG",UPPER(TRIM($B73))))),"$AJ$2:$AJ$2",IF(ISNUMBER(SEARCH("ESPUMA",$B73)),"$AI$2:$AI$2",IF(ISNUMBER(SEARCH("CORANTE",$B73)),"$AN$2:$AN$2",IFERROR(INDEX($AB$2:$AB$139,MATCH(UPPER(TRIM($B73)),$AA$2:$AA$139,0)),"$AO$2:$AO$9")))))</formula1>
    </dataValidation>
    <dataValidation type="list" allowBlank="1" errorTitle="Embalagem inválida" error="Escolha uma embalagem compatível com o produto." promptTitle="Selecione a embalagem" prompt="As opções mudam conforme o produto digitado." sqref="C74" xr:uid="{B366B499-8950-4FFB-A80A-D4795BFBFC87}">
      <formula1>INDIRECT(IF(OR(ISNUMBER(SEARCH("ICEBERG ICE",UPPER(TRIM($B74)))),ISNUMBER(SEARCH("ICE ICEBERG",UPPER(TRIM($B74)))),ISNUMBER(SEARCH("GELINHO ICEBERG",UPPER(TRIM($B74))))),"$AJ$2:$AJ$2",IF(ISNUMBER(SEARCH("ESPUMA",$B74)),"$AI$2:$AI$2",IF(ISNUMBER(SEARCH("CORANTE",$B74)),"$AN$2:$AN$2",IFERROR(INDEX($AB$2:$AB$139,MATCH(UPPER(TRIM($B74)),$AA$2:$AA$139,0)),"$AO$2:$AO$9")))))</formula1>
    </dataValidation>
    <dataValidation type="list" allowBlank="1" errorTitle="Embalagem inválida" error="Escolha uma embalagem compatível com o produto." promptTitle="Selecione a embalagem" prompt="As opções mudam conforme o produto digitado." sqref="C78" xr:uid="{6EBA639B-581D-41A4-BF95-632EA95A754E}">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1ACF3B5E-3FC5-436E-B853-8796BF540768}">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B73C2CB5-13B5-460B-A9B5-2CB32ADF1275}">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1" xr:uid="{6E00E6CC-D31E-4C88-A638-150603A128A7}">
      <formula1>INDIRECT(IF(OR(ISNUMBER(SEARCH("ICEBERG ICE",UPPER(TRIM($B81)))),ISNUMBER(SEARCH("ICE ICEBERG",UPPER(TRIM($B81)))),ISNUMBER(SEARCH("GELINHO ICEBERG",UPPER(TRIM($B81))))),"$AJ$2:$AJ$2",IF(ISNUMBER(SEARCH("ESPUMA",$B81)),"$AI$2:$AI$2",IF(ISNUMBER(SEARCH("CORANTE",$B81)),"$AN$2:$AN$2",IFERROR(INDEX($AB$2:$AB$139,MATCH(UPPER(TRIM($B81)),$AA$2:$AA$139,0)),"$AO$2:$AO$9")))))</formula1>
    </dataValidation>
    <dataValidation type="list" allowBlank="1" errorTitle="Embalagem inválida" error="Escolha uma embalagem compatível com o produto." promptTitle="Selecione a embalagem" prompt="As opções mudam conforme o produto digitado." sqref="C82" xr:uid="{DF000347-545B-482E-98F4-EC7F0BC75EFD}">
      <formula1>INDIRECT(IF(OR(ISNUMBER(SEARCH("ICEBERG ICE",UPPER(TRIM($B82)))),ISNUMBER(SEARCH("ICE ICEBERG",UPPER(TRIM($B82)))),ISNUMBER(SEARCH("GELINHO ICEBERG",UPPER(TRIM($B82))))),"$AJ$2:$AJ$2",IF(ISNUMBER(SEARCH("ESPUMA",$B82)),"$AI$2:$AI$2",IF(ISNUMBER(SEARCH("CORANTE",$B82)),"$AN$2:$AN$2",IFERROR(INDEX($AB$2:$AB$139,MATCH(UPPER(TRIM($B82)),$AA$2:$AA$139,0)),"$AO$2:$AO$9")))))</formula1>
    </dataValidation>
    <dataValidation type="list" allowBlank="1" errorTitle="Embalagem inválida" error="Escolha uma embalagem compatível com o produto." promptTitle="Selecione a embalagem" prompt="As opções mudam conforme o produto digitado." sqref="C86" xr:uid="{DA1ABB6E-F524-4097-B06D-6A8A499B2ECB}">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2778F022-2F13-40E5-B1C7-B4AEE2716C53}">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AFA72920-19F8-4E96-9114-0A7A3182E2C9}">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89" xr:uid="{D7649ADB-456B-40B6-9809-063F0CDEE27B}">
      <formula1>INDIRECT(IF(OR(ISNUMBER(SEARCH("ICEBERG ICE",UPPER(TRIM($B89)))),ISNUMBER(SEARCH("ICE ICEBERG",UPPER(TRIM($B89)))),ISNUMBER(SEARCH("GELINHO ICEBERG",UPPER(TRIM($B89))))),"$AJ$2:$AJ$2",IF(ISNUMBER(SEARCH("ESPUMA",$B89)),"$AI$2:$AI$2",IF(ISNUMBER(SEARCH("CORANTE",$B89)),"$AN$2:$AN$2",IFERROR(INDEX($AB$2:$AB$139,MATCH(UPPER(TRIM($B89)),$AA$2:$AA$139,0)),"$AO$2:$AO$9")))))</formula1>
    </dataValidation>
    <dataValidation type="list" allowBlank="1" errorTitle="Embalagem inválida" error="Escolha uma embalagem compatível com o produto." promptTitle="Selecione a embalagem" prompt="As opções mudam conforme o produto digitado." sqref="C90" xr:uid="{017A5FEE-F79E-434C-A101-BA4CB3270CFD}">
      <formula1>INDIRECT(IF(OR(ISNUMBER(SEARCH("ICEBERG ICE",UPPER(TRIM($B90)))),ISNUMBER(SEARCH("ICE ICEBERG",UPPER(TRIM($B90)))),ISNUMBER(SEARCH("GELINHO ICEBERG",UPPER(TRIM($B90))))),"$AJ$2:$AJ$2",IF(ISNUMBER(SEARCH("ESPUMA",$B90)),"$AI$2:$AI$2",IF(ISNUMBER(SEARCH("CORANTE",$B90)),"$AN$2:$AN$2",IFERROR(INDEX($AB$2:$AB$139,MATCH(UPPER(TRIM($B90)),$AA$2:$AA$139,0)),"$AO$2:$AO$9")))))</formula1>
    </dataValidation>
    <dataValidation type="list" allowBlank="1" errorTitle="Embalagem inválida" error="Escolha uma embalagem compatível com o produto." promptTitle="Selecione a embalagem" prompt="As opções mudam conforme o produto digitado." sqref="C91" xr:uid="{D765B38B-5862-4B4D-AC59-D1D2ABD95DE1}">
      <formula1>INDIRECT(IF(OR(ISNUMBER(SEARCH("ICEBERG ICE",UPPER(TRIM($B91)))),ISNUMBER(SEARCH("ICE ICEBERG",UPPER(TRIM($B91)))),ISNUMBER(SEARCH("GELINHO ICEBERG",UPPER(TRIM($B91))))),"$AJ$2:$AJ$2",IF(ISNUMBER(SEARCH("ESPUMA",$B91)),"$AI$2:$AI$2",IF(ISNUMBER(SEARCH("CORANTE",$B91)),"$AN$2:$AN$2",IFERROR(INDEX($AB$2:$AB$139,MATCH(UPPER(TRIM($B91)),$AA$2:$AA$139,0)),"$AO$2:$AO$9")))))</formula1>
    </dataValidation>
    <dataValidation type="list" allowBlank="1" errorTitle="Embalagem inválida" error="Escolha uma embalagem compatível com o produto." promptTitle="Selecione a embalagem" prompt="As opções mudam conforme o produto digitado." sqref="C95" xr:uid="{832C8C7D-2E35-4A47-B5AF-ED518183A767}">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63788329-33EA-4CCD-8DE7-AFCCC14CCE63}">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97" xr:uid="{B8FE0C86-B048-4C28-ADFD-11AC7D19A677}">
      <formula1>INDIRECT(IF(OR(ISNUMBER(SEARCH("ICEBERG ICE",UPPER(TRIM($B97)))),ISNUMBER(SEARCH("ICE ICEBERG",UPPER(TRIM($B97)))),ISNUMBER(SEARCH("GELINHO ICEBERG",UPPER(TRIM($B97))))),"$AJ$2:$AJ$2",IF(ISNUMBER(SEARCH("ESPUMA",$B97)),"$AI$2:$AI$2",IF(ISNUMBER(SEARCH("CORANTE",$B97)),"$AN$2:$AN$2",IFERROR(INDEX($AB$2:$AB$139,MATCH(UPPER(TRIM($B97)),$AA$2:$AA$139,0)),"$AO$2:$AO$9")))))</formula1>
    </dataValidation>
    <dataValidation type="list" allowBlank="1" errorTitle="Embalagem inválida" error="Escolha uma embalagem compatível com o produto." promptTitle="Selecione a embalagem" prompt="As opções mudam conforme o produto digitado." sqref="C98" xr:uid="{31FD5C9C-686F-4F93-A145-B859F3ED982D}">
      <formula1>INDIRECT(IF(OR(ISNUMBER(SEARCH("ICEBERG ICE",UPPER(TRIM($B98)))),ISNUMBER(SEARCH("ICE ICEBERG",UPPER(TRIM($B98)))),ISNUMBER(SEARCH("GELINHO ICEBERG",UPPER(TRIM($B98))))),"$AJ$2:$AJ$2",IF(ISNUMBER(SEARCH("ESPUMA",$B98)),"$AI$2:$AI$2",IF(ISNUMBER(SEARCH("CORANTE",$B98)),"$AN$2:$AN$2",IFERROR(INDEX($AB$2:$AB$139,MATCH(UPPER(TRIM($B98)),$AA$2:$AA$139,0)),"$AO$2:$AO$9")))))</formula1>
    </dataValidation>
    <dataValidation type="list" allowBlank="1" errorTitle="Embalagem inválida" error="Escolha uma embalagem compatível com o produto." promptTitle="Selecione a embalagem" prompt="As opções mudam conforme o produto digitado." sqref="C99" xr:uid="{A5950CA8-593D-4F0E-9272-B94FC4973DE9}">
      <formula1>INDIRECT(IF(OR(ISNUMBER(SEARCH("ICEBERG ICE",UPPER(TRIM($B99)))),ISNUMBER(SEARCH("ICE ICEBERG",UPPER(TRIM($B99)))),ISNUMBER(SEARCH("GELINHO ICEBERG",UPPER(TRIM($B99))))),"$AJ$2:$AJ$2",IF(ISNUMBER(SEARCH("ESPUMA",$B99)),"$AI$2:$AI$2",IF(ISNUMBER(SEARCH("CORANTE",$B99)),"$AN$2:$AN$2",IFERROR(INDEX($AB$2:$AB$139,MATCH(UPPER(TRIM($B99)),$AA$2:$AA$139,0)),"$AO$2:$AO$9")))))</formula1>
    </dataValidation>
    <dataValidation type="list" allowBlank="1" errorTitle="Embalagem inválida" error="Escolha uma embalagem compatível com o produto." promptTitle="Selecione a embalagem" prompt="As opções mudam conforme o produto digitado." sqref="C100" xr:uid="{79A1CE41-1F10-497C-ABC6-C4C7A172151B}">
      <formula1>INDIRECT(IF(OR(ISNUMBER(SEARCH("ICEBERG ICE",UPPER(TRIM($B100)))),ISNUMBER(SEARCH("ICE ICEBERG",UPPER(TRIM($B100)))),ISNUMBER(SEARCH("GELINHO ICEBERG",UPPER(TRIM($B100))))),"$AJ$2:$AJ$2",IF(ISNUMBER(SEARCH("ESPUMA",$B100)),"$AI$2:$AI$2",IF(ISNUMBER(SEARCH("CORANTE",$B100)),"$AN$2:$AN$2",IFERROR(INDEX($AB$2:$AB$139,MATCH(UPPER(TRIM($B100)),$AA$2:$AA$139,0)),"$AO$2:$AO$9")))))</formula1>
    </dataValidation>
    <dataValidation type="list" allowBlank="1" errorTitle="Embalagem inválida" error="Escolha uma embalagem compatível com o produto." promptTitle="Selecione a embalagem" prompt="As opções mudam conforme o produto digitado." sqref="C101" xr:uid="{E2DB0761-6C56-475D-BB8C-62E00584914A}">
      <formula1>INDIRECT(IF(OR(ISNUMBER(SEARCH("ICEBERG ICE",UPPER(TRIM($B101)))),ISNUMBER(SEARCH("ICE ICEBERG",UPPER(TRIM($B101)))),ISNUMBER(SEARCH("GELINHO ICEBERG",UPPER(TRIM($B101))))),"$AJ$2:$AJ$2",IF(ISNUMBER(SEARCH("ESPUMA",$B101)),"$AI$2:$AI$2",IF(ISNUMBER(SEARCH("CORANTE",$B101)),"$AN$2:$AN$2",IFERROR(INDEX($AB$2:$AB$139,MATCH(UPPER(TRIM($B101)),$AA$2:$AA$139,0)),"$AO$2:$AO$9")))))</formula1>
    </dataValidation>
    <dataValidation type="list" allowBlank="1" errorTitle="Embalagem inválida" error="Escolha uma embalagem compatível com o produto." promptTitle="Selecione a embalagem" prompt="As opções mudam conforme o produto digitado." sqref="C102" xr:uid="{3919561E-188C-4781-B947-371B09E6D408}">
      <formula1>INDIRECT(IF(OR(ISNUMBER(SEARCH("ICEBERG ICE",UPPER(TRIM($B102)))),ISNUMBER(SEARCH("ICE ICEBERG",UPPER(TRIM($B102)))),ISNUMBER(SEARCH("GELINHO ICEBERG",UPPER(TRIM($B102))))),"$AJ$2:$AJ$2",IF(ISNUMBER(SEARCH("ESPUMA",$B102)),"$AI$2:$AI$2",IF(ISNUMBER(SEARCH("CORANTE",$B102)),"$AN$2:$AN$2",IFERROR(INDEX($AB$2:$AB$139,MATCH(UPPER(TRIM($B102)),$AA$2:$AA$139,0)),"$AO$2:$AO$9")))))</formula1>
    </dataValidation>
    <dataValidation type="list" allowBlank="1" errorTitle="Embalagem inválida" error="Escolha uma embalagem compatível com o produto." promptTitle="Selecione a embalagem" prompt="As opções mudam conforme o produto digitado." sqref="C106" xr:uid="{507BD709-31C7-4B76-80D0-74D305B96122}">
      <formula1>INDIRECT(IF(OR(ISNUMBER(SEARCH("ICEBERG ICE",UPPER(TRIM($B106)))),ISNUMBER(SEARCH("ICE ICEBERG",UPPER(TRIM($B106)))),ISNUMBER(SEARCH("GELINHO ICEBERG",UPPER(TRIM($B106))))),"$AJ$2:$AJ$2",IF(ISNUMBER(SEARCH("ESPUMA",$B106)),"$AI$2:$AI$2",IF(ISNUMBER(SEARCH("CORANTE",$B106)),"$AN$2:$AN$2",IFERROR(INDEX($AB$2:$AB$139,MATCH(UPPER(TRIM($B106)),$AA$2:$AA$139,0)),"$AO$2:$AO$9")))))</formula1>
    </dataValidation>
    <dataValidation type="list" allowBlank="1" errorTitle="Embalagem inválida" error="Escolha uma embalagem compatível com o produto." promptTitle="Selecione a embalagem" prompt="As opções mudam conforme o produto digitado." sqref="C107" xr:uid="{70D05F60-460B-434E-8B4F-3B9ABF98CDFD}">
      <formula1>INDIRECT(IF(OR(ISNUMBER(SEARCH("ICEBERG ICE",UPPER(TRIM($B107)))),ISNUMBER(SEARCH("ICE ICEBERG",UPPER(TRIM($B107)))),ISNUMBER(SEARCH("GELINHO ICEBERG",UPPER(TRIM($B107))))),"$AJ$2:$AJ$2",IF(ISNUMBER(SEARCH("ESPUMA",$B107)),"$AI$2:$AI$2",IF(ISNUMBER(SEARCH("CORANTE",$B107)),"$AN$2:$AN$2",IFERROR(INDEX($AB$2:$AB$139,MATCH(UPPER(TRIM($B107)),$AA$2:$AA$139,0)),"$AO$2:$AO$9")))))</formula1>
    </dataValidation>
    <dataValidation type="list" allowBlank="1" errorTitle="Embalagem inválida" error="Escolha uma embalagem compatível com o produto." promptTitle="Selecione a embalagem" prompt="As opções mudam conforme o produto digitado." sqref="C108" xr:uid="{A1CBCDBF-4CF4-4605-BA21-AC30CA43C99E}">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09" xr:uid="{BDD59453-91E7-491B-918F-54A685D7DE56}">
      <formula1>INDIRECT(IF(OR(ISNUMBER(SEARCH("ICEBERG ICE",UPPER(TRIM($B109)))),ISNUMBER(SEARCH("ICE ICEBERG",UPPER(TRIM($B109)))),ISNUMBER(SEARCH("GELINHO ICEBERG",UPPER(TRIM($B109))))),"$AJ$2:$AJ$2",IF(ISNUMBER(SEARCH("ESPUMA",$B109)),"$AI$2:$AI$2",IF(ISNUMBER(SEARCH("CORANTE",$B109)),"$AN$2:$AN$2",IFERROR(INDEX($AB$2:$AB$139,MATCH(UPPER(TRIM($B109)),$AA$2:$AA$139,0)),"$AO$2:$AO$9")))))</formula1>
    </dataValidation>
    <dataValidation type="list" allowBlank="1" errorTitle="Embalagem inválida" error="Escolha uma embalagem compatível com o produto." promptTitle="Selecione a embalagem" prompt="As opções mudam conforme o produto digitado." sqref="C110" xr:uid="{99861DEC-A3E1-44A4-973D-036994B8BD03}">
      <formula1>INDIRECT(IF(OR(ISNUMBER(SEARCH("ICEBERG ICE",UPPER(TRIM($B110)))),ISNUMBER(SEARCH("ICE ICEBERG",UPPER(TRIM($B110)))),ISNUMBER(SEARCH("GELINHO ICEBERG",UPPER(TRIM($B110))))),"$AJ$2:$AJ$2",IF(ISNUMBER(SEARCH("ESPUMA",$B110)),"$AI$2:$AI$2",IF(ISNUMBER(SEARCH("CORANTE",$B110)),"$AN$2:$AN$2",IFERROR(INDEX($AB$2:$AB$139,MATCH(UPPER(TRIM($B110)),$AA$2:$AA$139,0)),"$AO$2:$AO$9")))))</formula1>
    </dataValidation>
    <dataValidation type="list" allowBlank="1" errorTitle="Embalagem inválida" error="Escolha uma embalagem compatível com o produto." promptTitle="Selecione a embalagem" prompt="As opções mudam conforme o produto digitado." sqref="C114" xr:uid="{0FC8FF68-CC27-4409-8FA7-792C134D510D}">
      <formula1>INDIRECT(IF(OR(ISNUMBER(SEARCH("ICEBERG ICE",UPPER(TRIM($B114)))),ISNUMBER(SEARCH("ICE ICEBERG",UPPER(TRIM($B114)))),ISNUMBER(SEARCH("GELINHO ICEBERG",UPPER(TRIM($B114))))),"$AJ$2:$AJ$2",IF(ISNUMBER(SEARCH("ESPUMA",$B114)),"$AI$2:$AI$2",IF(ISNUMBER(SEARCH("CORANTE",$B114)),"$AN$2:$AN$2",IFERROR(INDEX($AB$2:$AB$139,MATCH(UPPER(TRIM($B114)),$AA$2:$AA$139,0)),"$AO$2:$AO$9")))))</formula1>
    </dataValidation>
    <dataValidation type="list" allowBlank="1" errorTitle="Embalagem inválida" error="Escolha uma embalagem compatível com o produto." promptTitle="Selecione a embalagem" prompt="As opções mudam conforme o produto digitado." sqref="C115" xr:uid="{BADF7CD4-AE0D-4A7F-B215-1B443B274FE9}">
      <formula1>INDIRECT(IF(OR(ISNUMBER(SEARCH("ICEBERG ICE",UPPER(TRIM($B115)))),ISNUMBER(SEARCH("ICE ICEBERG",UPPER(TRIM($B115)))),ISNUMBER(SEARCH("GELINHO ICEBERG",UPPER(TRIM($B115))))),"$AJ$2:$AJ$2",IF(ISNUMBER(SEARCH("ESPUMA",$B115)),"$AI$2:$AI$2",IF(ISNUMBER(SEARCH("CORANTE",$B115)),"$AN$2:$AN$2",IFERROR(INDEX($AB$2:$AB$139,MATCH(UPPER(TRIM($B115)),$AA$2:$AA$139,0)),"$AO$2:$AO$9")))))</formula1>
    </dataValidation>
    <dataValidation type="list" allowBlank="1" errorTitle="Embalagem inválida" error="Escolha uma embalagem compatível com o produto." promptTitle="Selecione a embalagem" prompt="As opções mudam conforme o produto digitado." sqref="C116" xr:uid="{083B4025-5186-4150-826B-2AA461AC2CFE}">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17" xr:uid="{79C60263-BD6F-4455-9936-9A146887271C}">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18" xr:uid="{178A47EC-A306-4499-A07C-6B6C3392E786}">
      <formula1>INDIRECT(IF(OR(ISNUMBER(SEARCH("ICEBERG ICE",UPPER(TRIM($B118)))),ISNUMBER(SEARCH("ICE ICEBERG",UPPER(TRIM($B118)))),ISNUMBER(SEARCH("GELINHO ICEBERG",UPPER(TRIM($B118))))),"$AJ$2:$AJ$2",IF(ISNUMBER(SEARCH("ESPUMA",$B118)),"$AI$2:$AI$2",IF(ISNUMBER(SEARCH("CORANTE",$B118)),"$AN$2:$AN$2",IFERROR(INDEX($AB$2:$AB$139,MATCH(UPPER(TRIM($B118)),$AA$2:$AA$139,0)),"$AO$2:$AO$9")))))</formula1>
    </dataValidation>
    <dataValidation type="list" allowBlank="1" errorTitle="Embalagem inválida" error="Escolha uma embalagem compatível com o produto." promptTitle="Selecione a embalagem" prompt="As opções mudam conforme o produto digitado." sqref="C119" xr:uid="{689C2768-DA62-423B-AC35-C1040D64DB93}">
      <formula1>INDIRECT(IF(OR(ISNUMBER(SEARCH("ICEBERG ICE",UPPER(TRIM($B119)))),ISNUMBER(SEARCH("ICE ICEBERG",UPPER(TRIM($B119)))),ISNUMBER(SEARCH("GELINHO ICEBERG",UPPER(TRIM($B119))))),"$AJ$2:$AJ$2",IF(ISNUMBER(SEARCH("ESPUMA",$B119)),"$AI$2:$AI$2",IF(ISNUMBER(SEARCH("CORANTE",$B119)),"$AN$2:$AN$2",IFERROR(INDEX($AB$2:$AB$139,MATCH(UPPER(TRIM($B119)),$AA$2:$AA$139,0)),"$AO$2:$AO$9")))))</formula1>
    </dataValidation>
    <dataValidation type="list" allowBlank="1" errorTitle="Embalagem inválida" error="Escolha uma embalagem compatível com o produto." promptTitle="Selecione a embalagem" prompt="As opções mudam conforme o produto digitado." sqref="C120" xr:uid="{A7035C05-37C8-4F61-ABB6-72A8DA8B5333}">
      <formula1>INDIRECT(IF(OR(ISNUMBER(SEARCH("ICEBERG ICE",UPPER(TRIM($B120)))),ISNUMBER(SEARCH("ICE ICEBERG",UPPER(TRIM($B120)))),ISNUMBER(SEARCH("GELINHO ICEBERG",UPPER(TRIM($B120))))),"$AJ$2:$AJ$2",IF(ISNUMBER(SEARCH("ESPUMA",$B120)),"$AI$2:$AI$2",IF(ISNUMBER(SEARCH("CORANTE",$B120)),"$AN$2:$AN$2",IFERROR(INDEX($AB$2:$AB$139,MATCH(UPPER(TRIM($B120)),$AA$2:$AA$139,0)),"$AO$2:$AO$9")))))</formula1>
    </dataValidation>
    <dataValidation type="list" allowBlank="1" errorTitle="Embalagem inválida" error="Escolha uma embalagem compatível com o produto." promptTitle="Selecione a embalagem" prompt="As opções mudam conforme o produto digitado." sqref="C121" xr:uid="{13E920D1-FBBC-46A9-B104-6D360E61CD5E}">
      <formula1>INDIRECT(IF(OR(ISNUMBER(SEARCH("ICEBERG ICE",UPPER(TRIM($B121)))),ISNUMBER(SEARCH("ICE ICEBERG",UPPER(TRIM($B121)))),ISNUMBER(SEARCH("GELINHO ICEBERG",UPPER(TRIM($B121))))),"$AJ$2:$AJ$2",IF(ISNUMBER(SEARCH("ESPUMA",$B121)),"$AI$2:$AI$2",IF(ISNUMBER(SEARCH("CORANTE",$B121)),"$AN$2:$AN$2",IFERROR(INDEX($AB$2:$AB$139,MATCH(UPPER(TRIM($B121)),$AA$2:$AA$139,0)),"$AO$2:$AO$9")))))</formula1>
    </dataValidation>
    <dataValidation type="list" allowBlank="1" errorTitle="Embalagem inválida" error="Escolha uma embalagem compatível com o produto." promptTitle="Selecione a embalagem" prompt="As opções mudam conforme o produto digitado." sqref="C125" xr:uid="{B678B0A8-8C08-4187-B701-A17B7A1E3356}">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F862637D-45B9-42C0-A5BC-1249DB4DC0F6}">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27" xr:uid="{EC290C79-3F1B-496F-B223-BDC3093ACBC6}">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1AAB9877-9287-4E91-B8C2-C2E7B3D535EB}">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29" xr:uid="{0A568FCD-08E8-4108-BA18-57F4A6B2EE15}">
      <formula1>INDIRECT(IF(OR(ISNUMBER(SEARCH("ICEBERG ICE",UPPER(TRIM($B129)))),ISNUMBER(SEARCH("ICE ICEBERG",UPPER(TRIM($B129)))),ISNUMBER(SEARCH("GELINHO ICEBERG",UPPER(TRIM($B129))))),"$AJ$2:$AJ$2",IF(ISNUMBER(SEARCH("ESPUMA",$B129)),"$AI$2:$AI$2",IF(ISNUMBER(SEARCH("CORANTE",$B129)),"$AN$2:$AN$2",IFERROR(INDEX($AB$2:$AB$139,MATCH(UPPER(TRIM($B129)),$AA$2:$AA$139,0)),"$AO$2:$AO$9")))))</formula1>
    </dataValidation>
    <dataValidation type="list" allowBlank="1" errorTitle="Embalagem inválida" error="Escolha uma embalagem compatível com o produto." promptTitle="Selecione a embalagem" prompt="As opções mudam conforme o produto digitado." sqref="C133" xr:uid="{BF9AB776-F5BF-44C9-B9BF-8E402E73620C}">
      <formula1>INDIRECT(IF(OR(ISNUMBER(SEARCH("ICEBERG ICE",UPPER(TRIM($B133)))),ISNUMBER(SEARCH("ICE ICEBERG",UPPER(TRIM($B133)))),ISNUMBER(SEARCH("GELINHO ICEBERG",UPPER(TRIM($B133))))),"$AJ$2:$AJ$2",IF(ISNUMBER(SEARCH("ESPUMA",$B133)),"$AI$2:$AI$2",IF(ISNUMBER(SEARCH("CORANTE",$B133)),"$AN$2:$AN$2",IFERROR(INDEX($AB$2:$AB$139,MATCH(UPPER(TRIM($B133)),$AA$2:$AA$139,0)),"$AO$2:$AO$9")))))</formula1>
    </dataValidation>
    <dataValidation type="list" allowBlank="1" errorTitle="Embalagem inválida" error="Escolha uma embalagem compatível com o produto." promptTitle="Selecione a embalagem" prompt="As opções mudam conforme o produto digitado." sqref="C134" xr:uid="{B014C811-DF96-48DD-B34C-0D645A7BCE2F}">
      <formula1>INDIRECT(IF(OR(ISNUMBER(SEARCH("ICEBERG ICE",UPPER(TRIM($B134)))),ISNUMBER(SEARCH("ICE ICEBERG",UPPER(TRIM($B134)))),ISNUMBER(SEARCH("GELINHO ICEBERG",UPPER(TRIM($B134))))),"$AJ$2:$AJ$2",IF(ISNUMBER(SEARCH("ESPUMA",$B134)),"$AI$2:$AI$2",IF(ISNUMBER(SEARCH("CORANTE",$B134)),"$AN$2:$AN$2",IFERROR(INDEX($AB$2:$AB$139,MATCH(UPPER(TRIM($B134)),$AA$2:$AA$139,0)),"$AO$2:$AO$9")))))</formula1>
    </dataValidation>
    <dataValidation type="list" allowBlank="1" errorTitle="Embalagem inválida" error="Escolha uma embalagem compatível com o produto." promptTitle="Selecione a embalagem" prompt="As opções mudam conforme o produto digitado." sqref="C135" xr:uid="{E6C90EC1-F733-42FD-968B-48A4933ADC03}">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6" xr:uid="{3E389B87-B7F6-4576-BF59-D957F17A87C3}">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37" xr:uid="{83523B9B-6529-4163-86AE-EC96EC502DCA}">
      <formula1>INDIRECT(IF(OR(ISNUMBER(SEARCH("ICEBERG ICE",UPPER(TRIM($B137)))),ISNUMBER(SEARCH("ICE ICEBERG",UPPER(TRIM($B137)))),ISNUMBER(SEARCH("GELINHO ICEBERG",UPPER(TRIM($B137))))),"$AJ$2:$AJ$2",IF(ISNUMBER(SEARCH("ESPUMA",$B137)),"$AI$2:$AI$2",IF(ISNUMBER(SEARCH("CORANTE",$B137)),"$AN$2:$AN$2",IFERROR(INDEX($AB$2:$AB$139,MATCH(UPPER(TRIM($B137)),$AA$2:$AA$139,0)),"$AO$2:$AO$9")))))</formula1>
    </dataValidation>
    <dataValidation type="list" allowBlank="1" errorTitle="Embalagem inválida" error="Escolha uma embalagem compatível com o produto." promptTitle="Selecione a embalagem" prompt="As opções mudam conforme o produto digitado." sqref="C141" xr:uid="{8494BE37-56B5-428B-A2BE-D0A7EFA94048}">
      <formula1>INDIRECT(IF(OR(ISNUMBER(SEARCH("ICEBERG ICE",UPPER(TRIM($B141)))),ISNUMBER(SEARCH("ICE ICEBERG",UPPER(TRIM($B141)))),ISNUMBER(SEARCH("GELINHO ICEBERG",UPPER(TRIM($B141))))),"$AJ$2:$AJ$2",IF(ISNUMBER(SEARCH("ESPUMA",$B141)),"$AI$2:$AI$2",IF(ISNUMBER(SEARCH("CORANTE",$B141)),"$AN$2:$AN$2",IFERROR(INDEX($AB$2:$AB$139,MATCH(UPPER(TRIM($B141)),$AA$2:$AA$139,0)),"$AO$2:$AO$9")))))</formula1>
    </dataValidation>
    <dataValidation type="list" allowBlank="1" errorTitle="Embalagem inválida" error="Escolha uma embalagem compatível com o produto." promptTitle="Selecione a embalagem" prompt="As opções mudam conforme o produto digitado." sqref="C142" xr:uid="{ADC0C2CB-65E1-4EB9-A2FF-44AB986E8AFA}">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CAAEA24A-959C-41BC-A822-6E8956B5A105}">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958B14C6-B798-4004-AE15-CC3DED7B8FD4}">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5" xr:uid="{117FC211-F4FC-4C6B-9F87-F820214E9DF1}">
      <formula1>INDIRECT(IF(OR(ISNUMBER(SEARCH("ICEBERG ICE",UPPER(TRIM($B145)))),ISNUMBER(SEARCH("ICE ICEBERG",UPPER(TRIM($B145)))),ISNUMBER(SEARCH("GELINHO ICEBERG",UPPER(TRIM($B145))))),"$AJ$2:$AJ$2",IF(ISNUMBER(SEARCH("ESPUMA",$B145)),"$AI$2:$AI$2",IF(ISNUMBER(SEARCH("CORANTE",$B145)),"$AN$2:$AN$2",IFERROR(INDEX($AB$2:$AB$139,MATCH(UPPER(TRIM($B145)),$AA$2:$AA$139,0)),"$AO$2:$AO$9")))))</formula1>
    </dataValidation>
    <dataValidation type="list" allowBlank="1" errorTitle="Embalagem inválida" error="Escolha uma embalagem compatível com o produto." promptTitle="Selecione a embalagem" prompt="As opções mudam conforme o produto digitado." sqref="C149" xr:uid="{053E1BEE-4540-4386-AF6C-BE44D06798F0}">
      <formula1>INDIRECT(IF(OR(ISNUMBER(SEARCH("ICEBERG ICE",UPPER(TRIM($B149)))),ISNUMBER(SEARCH("ICE ICEBERG",UPPER(TRIM($B149)))),ISNUMBER(SEARCH("GELINHO ICEBERG",UPPER(TRIM($B149))))),"$AJ$2:$AJ$2",IF(ISNUMBER(SEARCH("ESPUMA",$B149)),"$AI$2:$AI$2",IF(ISNUMBER(SEARCH("CORANTE",$B149)),"$AN$2:$AN$2",IFERROR(INDEX($AB$2:$AB$139,MATCH(UPPER(TRIM($B149)),$AA$2:$AA$139,0)),"$AO$2:$AO$9")))))</formula1>
    </dataValidation>
    <dataValidation type="list" allowBlank="1" errorTitle="Embalagem inválida" error="Escolha uma embalagem compatível com o produto." promptTitle="Selecione a embalagem" prompt="As opções mudam conforme o produto digitado." sqref="C150" xr:uid="{9BF64C15-4895-4CD8-973B-02825CCE0A95}">
      <formula1>INDIRECT(IF(OR(ISNUMBER(SEARCH("ICEBERG ICE",UPPER(TRIM($B150)))),ISNUMBER(SEARCH("ICE ICEBERG",UPPER(TRIM($B150)))),ISNUMBER(SEARCH("GELINHO ICEBERG",UPPER(TRIM($B150))))),"$AJ$2:$AJ$2",IF(ISNUMBER(SEARCH("ESPUMA",$B150)),"$AI$2:$AI$2",IF(ISNUMBER(SEARCH("CORANTE",$B150)),"$AN$2:$AN$2",IFERROR(INDEX($AB$2:$AB$139,MATCH(UPPER(TRIM($B150)),$AA$2:$AA$139,0)),"$AO$2:$AO$9")))))</formula1>
    </dataValidation>
    <dataValidation type="list" allowBlank="1" errorTitle="Embalagem inválida" error="Escolha uma embalagem compatível com o produto." promptTitle="Selecione a embalagem" prompt="As opções mudam conforme o produto digitado." sqref="C151" xr:uid="{89864AD9-F9C1-4D64-AB52-C0FC4DCC5BFA}">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0A2DBC3F-9D0D-49D7-808A-32D950648DC2}">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3" xr:uid="{1911E88A-37E1-45F9-A1C8-053733CD44F5}">
      <formula1>INDIRECT(IF(OR(ISNUMBER(SEARCH("ICEBERG ICE",UPPER(TRIM($B153)))),ISNUMBER(SEARCH("ICE ICEBERG",UPPER(TRIM($B153)))),ISNUMBER(SEARCH("GELINHO ICEBERG",UPPER(TRIM($B153))))),"$AJ$2:$AJ$2",IF(ISNUMBER(SEARCH("ESPUMA",$B153)),"$AI$2:$AI$2",IF(ISNUMBER(SEARCH("CORANTE",$B153)),"$AN$2:$AN$2",IFERROR(INDEX($AB$2:$AB$139,MATCH(UPPER(TRIM($B153)),$AA$2:$AA$139,0)),"$AO$2:$AO$9")))))</formula1>
    </dataValidation>
    <dataValidation type="list" allowBlank="1" errorTitle="Embalagem inválida" error="Escolha uma embalagem compatível com o produto." promptTitle="Selecione a embalagem" prompt="As opções mudam conforme o produto digitado." sqref="C157" xr:uid="{ABC2F816-B958-418A-B348-FEA486AC14EB}">
      <formula1>INDIRECT(IF(OR(ISNUMBER(SEARCH("ICEBERG ICE",UPPER(TRIM($B157)))),ISNUMBER(SEARCH("ICE ICEBERG",UPPER(TRIM($B157)))),ISNUMBER(SEARCH("GELINHO ICEBERG",UPPER(TRIM($B157))))),"$AJ$2:$AJ$2",IF(ISNUMBER(SEARCH("ESPUMA",$B157)),"$AI$2:$AI$2",IF(ISNUMBER(SEARCH("CORANTE",$B157)),"$AN$2:$AN$2",IFERROR(INDEX($AB$2:$AB$139,MATCH(UPPER(TRIM($B157)),$AA$2:$AA$139,0)),"$AO$2:$AO$9")))))</formula1>
    </dataValidation>
    <dataValidation type="list" allowBlank="1" errorTitle="Embalagem inválida" error="Escolha uma embalagem compatível com o produto." promptTitle="Selecione a embalagem" prompt="As opções mudam conforme o produto digitado." sqref="C158" xr:uid="{C3BB7762-9A5C-469E-86F3-43357F1668EE}">
      <formula1>INDIRECT(IF(OR(ISNUMBER(SEARCH("ICEBERG ICE",UPPER(TRIM($B158)))),ISNUMBER(SEARCH("ICE ICEBERG",UPPER(TRIM($B158)))),ISNUMBER(SEARCH("GELINHO ICEBERG",UPPER(TRIM($B158))))),"$AJ$2:$AJ$2",IF(ISNUMBER(SEARCH("ESPUMA",$B158)),"$AI$2:$AI$2",IF(ISNUMBER(SEARCH("CORANTE",$B158)),"$AN$2:$AN$2",IFERROR(INDEX($AB$2:$AB$139,MATCH(UPPER(TRIM($B158)),$AA$2:$AA$139,0)),"$AO$2:$AO$9")))))</formula1>
    </dataValidation>
    <dataValidation type="list" allowBlank="1" errorTitle="Embalagem inválida" error="Escolha uma embalagem compatível com o produto." promptTitle="Selecione a embalagem" prompt="As opções mudam conforme o produto digitado." sqref="C159" xr:uid="{C3B53602-4B38-4061-A475-5380986C6346}">
      <formula1>INDIRECT(IF(OR(ISNUMBER(SEARCH("ICEBERG ICE",UPPER(TRIM($B159)))),ISNUMBER(SEARCH("ICE ICEBERG",UPPER(TRIM($B159)))),ISNUMBER(SEARCH("GELINHO ICEBERG",UPPER(TRIM($B159))))),"$AJ$2:$AJ$2",IF(ISNUMBER(SEARCH("ESPUMA",$B159)),"$AI$2:$AI$2",IF(ISNUMBER(SEARCH("CORANTE",$B159)),"$AN$2:$AN$2",IFERROR(INDEX($AB$2:$AB$139,MATCH(UPPER(TRIM($B159)),$AA$2:$AA$139,0)),"$AO$2:$AO$9")))))</formula1>
    </dataValidation>
    <dataValidation type="list" allowBlank="1" errorTitle="Embalagem inválida" error="Escolha uma embalagem compatível com o produto." promptTitle="Selecione a embalagem" prompt="As opções mudam conforme o produto digitado." sqref="C160" xr:uid="{02B689DC-F016-4003-AD13-D2DAA37C620E}">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1" xr:uid="{659E6C7B-6298-4E5C-97FD-4A43FB56CEF7}">
      <formula1>INDIRECT(IF(OR(ISNUMBER(SEARCH("ICEBERG ICE",UPPER(TRIM($B161)))),ISNUMBER(SEARCH("ICE ICEBERG",UPPER(TRIM($B161)))),ISNUMBER(SEARCH("GELINHO ICEBERG",UPPER(TRIM($B161))))),"$AJ$2:$AJ$2",IF(ISNUMBER(SEARCH("ESPUMA",$B161)),"$AI$2:$AI$2",IF(ISNUMBER(SEARCH("CORANTE",$B161)),"$AN$2:$AN$2",IFERROR(INDEX($AB$2:$AB$139,MATCH(UPPER(TRIM($B161)),$AA$2:$AA$139,0)),"$AO$2:$AO$9")))))</formula1>
    </dataValidation>
    <dataValidation type="list" allowBlank="1" errorTitle="Embalagem inválida" error="Escolha uma embalagem compatível com o produto." promptTitle="Selecione a embalagem" prompt="As opções mudam conforme o produto digitado." sqref="C165" xr:uid="{64275678-0613-43E6-960D-4072A2A9216B}">
      <formula1>INDIRECT(IF(OR(ISNUMBER(SEARCH("ICEBERG ICE",UPPER(TRIM($B165)))),ISNUMBER(SEARCH("ICE ICEBERG",UPPER(TRIM($B165)))),ISNUMBER(SEARCH("GELINHO ICEBERG",UPPER(TRIM($B165))))),"$AJ$2:$AJ$2",IF(ISNUMBER(SEARCH("ESPUMA",$B165)),"$AI$2:$AI$2",IF(ISNUMBER(SEARCH("CORANTE",$B165)),"$AN$2:$AN$2",IFERROR(INDEX($AB$2:$AB$139,MATCH(UPPER(TRIM($B165)),$AA$2:$AA$139,0)),"$AO$2:$AO$9")))))</formula1>
    </dataValidation>
    <dataValidation type="list" allowBlank="1" errorTitle="Embalagem inválida" error="Escolha uma embalagem compatível com o produto." promptTitle="Selecione a embalagem" prompt="As opções mudam conforme o produto digitado." sqref="C166" xr:uid="{B398635D-4212-4796-97A6-416C2CA37917}">
      <formula1>INDIRECT(IF(OR(ISNUMBER(SEARCH("ICEBERG ICE",UPPER(TRIM($B166)))),ISNUMBER(SEARCH("ICE ICEBERG",UPPER(TRIM($B166)))),ISNUMBER(SEARCH("GELINHO ICEBERG",UPPER(TRIM($B166))))),"$AJ$2:$AJ$2",IF(ISNUMBER(SEARCH("ESPUMA",$B166)),"$AI$2:$AI$2",IF(ISNUMBER(SEARCH("CORANTE",$B166)),"$AN$2:$AN$2",IFERROR(INDEX($AB$2:$AB$139,MATCH(UPPER(TRIM($B166)),$AA$2:$AA$139,0)),"$AO$2:$AO$9")))))</formula1>
    </dataValidation>
    <dataValidation type="list" allowBlank="1" errorTitle="Embalagem inválida" error="Escolha uma embalagem compatível com o produto." promptTitle="Selecione a embalagem" prompt="As opções mudam conforme o produto digitado." sqref="C167" xr:uid="{66A392E5-9200-4DBE-8F52-20B6601FDF7C}">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A6F797EE-EA91-4F49-BB1D-4CE0EF5D120D}">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69" xr:uid="{E1738688-F79F-4A45-93EE-3DA7EAD3F8A9}">
      <formula1>INDIRECT(IF(OR(ISNUMBER(SEARCH("ICEBERG ICE",UPPER(TRIM($B169)))),ISNUMBER(SEARCH("ICE ICEBERG",UPPER(TRIM($B169)))),ISNUMBER(SEARCH("GELINHO ICEBERG",UPPER(TRIM($B169))))),"$AJ$2:$AJ$2",IF(ISNUMBER(SEARCH("ESPUMA",$B169)),"$AI$2:$AI$2",IF(ISNUMBER(SEARCH("CORANTE",$B169)),"$AN$2:$AN$2",IFERROR(INDEX($AB$2:$AB$139,MATCH(UPPER(TRIM($B169)),$AA$2:$AA$139,0)),"$AO$2:$AO$9")))))</formula1>
    </dataValidation>
    <dataValidation type="list" allowBlank="1" errorTitle="Embalagem inválida" error="Escolha uma embalagem compatível com o produto." promptTitle="Selecione a embalagem" prompt="As opções mudam conforme o produto digitado." sqref="C173" xr:uid="{0A827238-1409-4EA1-930C-8FDD1A8550D1}">
      <formula1>INDIRECT(IF(OR(ISNUMBER(SEARCH("ICEBERG ICE",UPPER(TRIM($B173)))),ISNUMBER(SEARCH("ICE ICEBERG",UPPER(TRIM($B173)))),ISNUMBER(SEARCH("GELINHO ICEBERG",UPPER(TRIM($B173))))),"$AJ$2:$AJ$2",IF(ISNUMBER(SEARCH("ESPUMA",$B173)),"$AI$2:$AI$2",IF(ISNUMBER(SEARCH("CORANTE",$B173)),"$AN$2:$AN$2",IFERROR(INDEX($AB$2:$AB$139,MATCH(UPPER(TRIM($B173)),$AA$2:$AA$139,0)),"$AO$2:$AO$9")))))</formula1>
    </dataValidation>
    <dataValidation type="list" allowBlank="1" errorTitle="Embalagem inválida" error="Escolha uma embalagem compatível com o produto." promptTitle="Selecione a embalagem" prompt="As opções mudam conforme o produto digitado." sqref="C174" xr:uid="{13A0B645-A029-4655-AB25-C8A53D7056EB}">
      <formula1>INDIRECT(IF(OR(ISNUMBER(SEARCH("ICEBERG ICE",UPPER(TRIM($B174)))),ISNUMBER(SEARCH("ICE ICEBERG",UPPER(TRIM($B174)))),ISNUMBER(SEARCH("GELINHO ICEBERG",UPPER(TRIM($B174))))),"$AJ$2:$AJ$2",IF(ISNUMBER(SEARCH("ESPUMA",$B174)),"$AI$2:$AI$2",IF(ISNUMBER(SEARCH("CORANTE",$B174)),"$AN$2:$AN$2",IFERROR(INDEX($AB$2:$AB$139,MATCH(UPPER(TRIM($B174)),$AA$2:$AA$139,0)),"$AO$2:$AO$9")))))</formula1>
    </dataValidation>
    <dataValidation type="list" allowBlank="1" errorTitle="Embalagem inválida" error="Escolha uma embalagem compatível com o produto." promptTitle="Selecione a embalagem" prompt="As opções mudam conforme o produto digitado." sqref="C175" xr:uid="{0D996B5B-F0FE-4380-BCCB-DCA2B60B56EE}">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6C668471-EAB1-490C-A0B8-F795EEE5634E}">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77" xr:uid="{3E53116A-C064-44CA-BC5C-2171C4B8D0D8}">
      <formula1>INDIRECT(IF(OR(ISNUMBER(SEARCH("ICEBERG ICE",UPPER(TRIM($B177)))),ISNUMBER(SEARCH("ICE ICEBERG",UPPER(TRIM($B177)))),ISNUMBER(SEARCH("GELINHO ICEBERG",UPPER(TRIM($B177))))),"$AJ$2:$AJ$2",IF(ISNUMBER(SEARCH("ESPUMA",$B177)),"$AI$2:$AI$2",IF(ISNUMBER(SEARCH("CORANTE",$B177)),"$AN$2:$AN$2",IFERROR(INDEX($AB$2:$AB$139,MATCH(UPPER(TRIM($B177)),$AA$2:$AA$139,0)),"$AO$2:$AO$9")))))</formula1>
    </dataValidation>
    <dataValidation type="list" allowBlank="1" errorTitle="Embalagem inválida" error="Escolha uma embalagem compatível com o produto." promptTitle="Selecione a embalagem" prompt="As opções mudam conforme o produto digitado." sqref="C178" xr:uid="{E0B7B0D4-38F2-466D-8B44-B503C6D25EBE}">
      <formula1>INDIRECT(IF(OR(ISNUMBER(SEARCH("ICEBERG ICE",UPPER(TRIM($B178)))),ISNUMBER(SEARCH("ICE ICEBERG",UPPER(TRIM($B178)))),ISNUMBER(SEARCH("GELINHO ICEBERG",UPPER(TRIM($B178))))),"$AJ$2:$AJ$2",IF(ISNUMBER(SEARCH("ESPUMA",$B178)),"$AI$2:$AI$2",IF(ISNUMBER(SEARCH("CORANTE",$B178)),"$AN$2:$AN$2",IFERROR(INDEX($AB$2:$AB$139,MATCH(UPPER(TRIM($B178)),$AA$2:$AA$139,0)),"$AO$2:$AO$9")))))</formula1>
    </dataValidation>
    <dataValidation type="list" allowBlank="1" errorTitle="Embalagem inválida" error="Escolha uma embalagem compatível com o produto." promptTitle="Selecione a embalagem" prompt="As opções mudam conforme o produto digitado." sqref="C182" xr:uid="{AD403BF1-7CB3-4B26-A006-D7893AF0F529}">
      <formula1>INDIRECT(IF(OR(ISNUMBER(SEARCH("ICEBERG ICE",UPPER(TRIM($B182)))),ISNUMBER(SEARCH("ICE ICEBERG",UPPER(TRIM($B182)))),ISNUMBER(SEARCH("GELINHO ICEBERG",UPPER(TRIM($B182))))),"$AJ$2:$AJ$2",IF(ISNUMBER(SEARCH("ESPUMA",$B182)),"$AI$2:$AI$2",IF(ISNUMBER(SEARCH("CORANTE",$B182)),"$AN$2:$AN$2",IFERROR(INDEX($AB$2:$AB$139,MATCH(UPPER(TRIM($B182)),$AA$2:$AA$139,0)),"$AO$2:$AO$9")))))</formula1>
    </dataValidation>
    <dataValidation type="list" allowBlank="1" errorTitle="Embalagem inválida" error="Escolha uma embalagem compatível com o produto." promptTitle="Selecione a embalagem" prompt="As opções mudam conforme o produto digitado." sqref="C183" xr:uid="{E628B4ED-848E-4A93-B939-DDC03F8FE895}">
      <formula1>INDIRECT(IF(OR(ISNUMBER(SEARCH("ICEBERG ICE",UPPER(TRIM($B183)))),ISNUMBER(SEARCH("ICE ICEBERG",UPPER(TRIM($B183)))),ISNUMBER(SEARCH("GELINHO ICEBERG",UPPER(TRIM($B183))))),"$AJ$2:$AJ$2",IF(ISNUMBER(SEARCH("ESPUMA",$B183)),"$AI$2:$AI$2",IF(ISNUMBER(SEARCH("CORANTE",$B183)),"$AN$2:$AN$2",IFERROR(INDEX($AB$2:$AB$139,MATCH(UPPER(TRIM($B183)),$AA$2:$AA$139,0)),"$AO$2:$AO$9")))))</formula1>
    </dataValidation>
    <dataValidation type="list" allowBlank="1" errorTitle="Embalagem inválida" error="Escolha uma embalagem compatível com o produto." promptTitle="Selecione a embalagem" prompt="As opções mudam conforme o produto digitado." sqref="C184" xr:uid="{3CA0F24C-C9AB-4F6F-8618-8E5AACBB1D86}">
      <formula1>INDIRECT(IF(OR(ISNUMBER(SEARCH("ICEBERG ICE",UPPER(TRIM($B184)))),ISNUMBER(SEARCH("ICE ICEBERG",UPPER(TRIM($B184)))),ISNUMBER(SEARCH("GELINHO ICEBERG",UPPER(TRIM($B184))))),"$AJ$2:$AJ$2",IF(ISNUMBER(SEARCH("ESPUMA",$B184)),"$AI$2:$AI$2",IF(ISNUMBER(SEARCH("CORANTE",$B184)),"$AN$2:$AN$2",IFERROR(INDEX($AB$2:$AB$139,MATCH(UPPER(TRIM($B184)),$AA$2:$AA$139,0)),"$AO$2:$AO$9")))))</formula1>
    </dataValidation>
    <dataValidation type="list" allowBlank="1" errorTitle="Embalagem inválida" error="Escolha uma embalagem compatível com o produto." promptTitle="Selecione a embalagem" prompt="As opções mudam conforme o produto digitado." sqref="C185" xr:uid="{FAAE004B-7EEC-447F-9573-0A3F40B49EBE}">
      <formula1>INDIRECT(IF(OR(ISNUMBER(SEARCH("ICEBERG ICE",UPPER(TRIM($B185)))),ISNUMBER(SEARCH("ICE ICEBERG",UPPER(TRIM($B185)))),ISNUMBER(SEARCH("GELINHO ICEBERG",UPPER(TRIM($B185))))),"$AJ$2:$AJ$2",IF(ISNUMBER(SEARCH("ESPUMA",$B185)),"$AI$2:$AI$2",IF(ISNUMBER(SEARCH("CORANTE",$B185)),"$AN$2:$AN$2",IFERROR(INDEX($AB$2:$AB$139,MATCH(UPPER(TRIM($B185)),$AA$2:$AA$139,0)),"$AO$2:$AO$9")))))</formula1>
    </dataValidation>
    <dataValidation type="list" allowBlank="1" errorTitle="Embalagem inválida" error="Escolha uma embalagem compatível com o produto." promptTitle="Selecione a embalagem" prompt="As opções mudam conforme o produto digitado." sqref="C186" xr:uid="{D4721D99-E729-45C5-97DF-23752B182F2C}">
      <formula1>INDIRECT(IF(OR(ISNUMBER(SEARCH("ICEBERG ICE",UPPER(TRIM($B186)))),ISNUMBER(SEARCH("ICE ICEBERG",UPPER(TRIM($B186)))),ISNUMBER(SEARCH("GELINHO ICEBERG",UPPER(TRIM($B186))))),"$AJ$2:$AJ$2",IF(ISNUMBER(SEARCH("ESPUMA",$B186)),"$AI$2:$AI$2",IF(ISNUMBER(SEARCH("CORANTE",$B186)),"$AN$2:$AN$2",IFERROR(INDEX($AB$2:$AB$139,MATCH(UPPER(TRIM($B186)),$AA$2:$AA$139,0)),"$AO$2:$AO$9")))))</formula1>
    </dataValidation>
    <dataValidation type="list" allowBlank="1" errorTitle="Embalagem inválida" error="Escolha uma embalagem compatível com o produto." promptTitle="Selecione a embalagem" prompt="As opções mudam conforme o produto digitado." sqref="C190" xr:uid="{64737C2F-8D0E-47AE-918B-2046B4B53708}">
      <formula1>INDIRECT(IF(OR(ISNUMBER(SEARCH("ICEBERG ICE",UPPER(TRIM($B190)))),ISNUMBER(SEARCH("ICE ICEBERG",UPPER(TRIM($B190)))),ISNUMBER(SEARCH("GELINHO ICEBERG",UPPER(TRIM($B190))))),"$AJ$2:$AJ$2",IF(ISNUMBER(SEARCH("ESPUMA",$B190)),"$AI$2:$AI$2",IF(ISNUMBER(SEARCH("CORANTE",$B190)),"$AN$2:$AN$2",IFERROR(INDEX($AB$2:$AB$139,MATCH(UPPER(TRIM($B190)),$AA$2:$AA$139,0)),"$AO$2:$AO$9")))))</formula1>
    </dataValidation>
    <dataValidation type="list" allowBlank="1" errorTitle="Embalagem inválida" error="Escolha uma embalagem compatível com o produto." promptTitle="Selecione a embalagem" prompt="As opções mudam conforme o produto digitado." sqref="C191" xr:uid="{A50E299D-1595-47B5-B950-0A4A44602357}">
      <formula1>INDIRECT(IF(OR(ISNUMBER(SEARCH("ICEBERG ICE",UPPER(TRIM($B191)))),ISNUMBER(SEARCH("ICE ICEBERG",UPPER(TRIM($B191)))),ISNUMBER(SEARCH("GELINHO ICEBERG",UPPER(TRIM($B191))))),"$AJ$2:$AJ$2",IF(ISNUMBER(SEARCH("ESPUMA",$B191)),"$AI$2:$AI$2",IF(ISNUMBER(SEARCH("CORANTE",$B191)),"$AN$2:$AN$2",IFERROR(INDEX($AB$2:$AB$139,MATCH(UPPER(TRIM($B191)),$AA$2:$AA$139,0)),"$AO$2:$AO$9")))))</formula1>
    </dataValidation>
    <dataValidation type="list" allowBlank="1" errorTitle="Embalagem inválida" error="Escolha uma embalagem compatível com o produto." promptTitle="Selecione a embalagem" prompt="As opções mudam conforme o produto digitado." sqref="C192" xr:uid="{313DAD68-AC57-4FAC-B1CB-936DFB01470A}">
      <formula1>INDIRECT(IF(OR(ISNUMBER(SEARCH("ICEBERG ICE",UPPER(TRIM($B192)))),ISNUMBER(SEARCH("ICE ICEBERG",UPPER(TRIM($B192)))),ISNUMBER(SEARCH("GELINHO ICEBERG",UPPER(TRIM($B192))))),"$AJ$2:$AJ$2",IF(ISNUMBER(SEARCH("ESPUMA",$B192)),"$AI$2:$AI$2",IF(ISNUMBER(SEARCH("CORANTE",$B192)),"$AN$2:$AN$2",IFERROR(INDEX($AB$2:$AB$139,MATCH(UPPER(TRIM($B192)),$AA$2:$AA$139,0)),"$AO$2:$AO$9")))))</formula1>
    </dataValidation>
    <dataValidation type="list" allowBlank="1" errorTitle="Embalagem inválida" error="Escolha uma embalagem compatível com o produto." promptTitle="Selecione a embalagem" prompt="As opções mudam conforme o produto digitado." sqref="C193" xr:uid="{C13725AD-5537-488E-987A-1B79DF5FBB7E}">
      <formula1>INDIRECT(IF(OR(ISNUMBER(SEARCH("ICEBERG ICE",UPPER(TRIM($B193)))),ISNUMBER(SEARCH("ICE ICEBERG",UPPER(TRIM($B193)))),ISNUMBER(SEARCH("GELINHO ICEBERG",UPPER(TRIM($B193))))),"$AJ$2:$AJ$2",IF(ISNUMBER(SEARCH("ESPUMA",$B193)),"$AI$2:$AI$2",IF(ISNUMBER(SEARCH("CORANTE",$B193)),"$AN$2:$AN$2",IFERROR(INDEX($AB$2:$AB$139,MATCH(UPPER(TRIM($B193)),$AA$2:$AA$139,0)),"$AO$2:$AO$9")))))</formula1>
    </dataValidation>
    <dataValidation type="list" allowBlank="1" errorTitle="Embalagem inválida" error="Escolha uma embalagem compatível com o produto." promptTitle="Selecione a embalagem" prompt="As opções mudam conforme o produto digitado." sqref="C194" xr:uid="{B872635E-9F79-45C0-B399-62B578620AA6}">
      <formula1>INDIRECT(IF(OR(ISNUMBER(SEARCH("ICEBERG ICE",UPPER(TRIM($B194)))),ISNUMBER(SEARCH("ICE ICEBERG",UPPER(TRIM($B194)))),ISNUMBER(SEARCH("GELINHO ICEBERG",UPPER(TRIM($B194))))),"$AJ$2:$AJ$2",IF(ISNUMBER(SEARCH("ESPUMA",$B194)),"$AI$2:$AI$2",IF(ISNUMBER(SEARCH("CORANTE",$B194)),"$AN$2:$AN$2",IFERROR(INDEX($AB$2:$AB$139,MATCH(UPPER(TRIM($B194)),$AA$2:$AA$139,0)),"$AO$2:$AO$9")))))</formula1>
    </dataValidation>
    <dataValidation type="list" allowBlank="1" errorTitle="Embalagem inválida" error="Escolha uma embalagem compatível com o produto." promptTitle="Selecione a embalagem" prompt="As opções mudam conforme o produto digitado." sqref="C195" xr:uid="{4AD00941-2B6D-46F7-8612-05155385EA92}">
      <formula1>INDIRECT(IF(OR(ISNUMBER(SEARCH("ICEBERG ICE",UPPER(TRIM($B195)))),ISNUMBER(SEARCH("ICE ICEBERG",UPPER(TRIM($B195)))),ISNUMBER(SEARCH("GELINHO ICEBERG",UPPER(TRIM($B195))))),"$AJ$2:$AJ$2",IF(ISNUMBER(SEARCH("ESPUMA",$B195)),"$AI$2:$AI$2",IF(ISNUMBER(SEARCH("CORANTE",$B195)),"$AN$2:$AN$2",IFERROR(INDEX($AB$2:$AB$139,MATCH(UPPER(TRIM($B195)),$AA$2:$AA$139,0)),"$AO$2:$AO$9")))))</formula1>
    </dataValidation>
    <dataValidation type="list" allowBlank="1" errorTitle="Embalagem inválida" error="Escolha uma embalagem compatível com o produto." promptTitle="Selecione a embalagem" prompt="As opções mudam conforme o produto digitado." sqref="C199" xr:uid="{D6C4A550-ECD3-4996-8FDB-EEBB9BF8D1A4}">
      <formula1>INDIRECT(IF(OR(ISNUMBER(SEARCH("ICEBERG ICE",UPPER(TRIM($B199)))),ISNUMBER(SEARCH("ICE ICEBERG",UPPER(TRIM($B199)))),ISNUMBER(SEARCH("GELINHO ICEBERG",UPPER(TRIM($B199))))),"$AJ$2:$AJ$2",IF(ISNUMBER(SEARCH("ESPUMA",$B199)),"$AI$2:$AI$2",IF(ISNUMBER(SEARCH("CORANTE",$B199)),"$AN$2:$AN$2",IFERROR(INDEX($AB$2:$AB$139,MATCH(UPPER(TRIM($B199)),$AA$2:$AA$139,0)),"$AO$2:$AO$9")))))</formula1>
    </dataValidation>
    <dataValidation type="list" allowBlank="1" errorTitle="Embalagem inválida" error="Escolha uma embalagem compatível com o produto." promptTitle="Selecione a embalagem" prompt="As opções mudam conforme o produto digitado." sqref="C200" xr:uid="{B266225A-E58E-44EA-873A-1EBEB202770B}">
      <formula1>INDIRECT(IF(OR(ISNUMBER(SEARCH("ICEBERG ICE",UPPER(TRIM($B200)))),ISNUMBER(SEARCH("ICE ICEBERG",UPPER(TRIM($B200)))),ISNUMBER(SEARCH("GELINHO ICEBERG",UPPER(TRIM($B200))))),"$AJ$2:$AJ$2",IF(ISNUMBER(SEARCH("ESPUMA",$B200)),"$AI$2:$AI$2",IF(ISNUMBER(SEARCH("CORANTE",$B200)),"$AN$2:$AN$2",IFERROR(INDEX($AB$2:$AB$139,MATCH(UPPER(TRIM($B200)),$AA$2:$AA$139,0)),"$AO$2:$AO$9")))))</formula1>
    </dataValidation>
    <dataValidation type="list" allowBlank="1" errorTitle="Embalagem inválida" error="Escolha uma embalagem compatível com o produto." promptTitle="Selecione a embalagem" prompt="As opções mudam conforme o produto digitado." sqref="C201" xr:uid="{0813F05E-E129-4B00-9764-5D288CE50008}">
      <formula1>INDIRECT(IF(OR(ISNUMBER(SEARCH("ICEBERG ICE",UPPER(TRIM($B201)))),ISNUMBER(SEARCH("ICE ICEBERG",UPPER(TRIM($B201)))),ISNUMBER(SEARCH("GELINHO ICEBERG",UPPER(TRIM($B201))))),"$AJ$2:$AJ$2",IF(ISNUMBER(SEARCH("ESPUMA",$B201)),"$AI$2:$AI$2",IF(ISNUMBER(SEARCH("CORANTE",$B201)),"$AN$2:$AN$2",IFERROR(INDEX($AB$2:$AB$139,MATCH(UPPER(TRIM($B201)),$AA$2:$AA$139,0)),"$AO$2:$AO$9")))))</formula1>
    </dataValidation>
    <dataValidation type="list" allowBlank="1" errorTitle="Embalagem inválida" error="Escolha uma embalagem compatível com o produto." promptTitle="Selecione a embalagem" prompt="As opções mudam conforme o produto digitado." sqref="C202" xr:uid="{BCC1A7F2-9ED0-448B-9E04-C96EE6D613D8}">
      <formula1>INDIRECT(IF(OR(ISNUMBER(SEARCH("ICEBERG ICE",UPPER(TRIM($B202)))),ISNUMBER(SEARCH("ICE ICEBERG",UPPER(TRIM($B202)))),ISNUMBER(SEARCH("GELINHO ICEBERG",UPPER(TRIM($B202))))),"$AJ$2:$AJ$2",IF(ISNUMBER(SEARCH("ESPUMA",$B202)),"$AI$2:$AI$2",IF(ISNUMBER(SEARCH("CORANTE",$B202)),"$AN$2:$AN$2",IFERROR(INDEX($AB$2:$AB$139,MATCH(UPPER(TRIM($B202)),$AA$2:$AA$139,0)),"$AO$2:$AO$9")))))</formula1>
    </dataValidation>
    <dataValidation type="list" allowBlank="1" errorTitle="Embalagem inválida" error="Escolha uma embalagem compatível com o produto." promptTitle="Selecione a embalagem" prompt="As opções mudam conforme o produto digitado." sqref="C203" xr:uid="{3EBCBCD7-C272-4510-9E62-3B8AE775EAD3}">
      <formula1>INDIRECT(IF(OR(ISNUMBER(SEARCH("ICEBERG ICE",UPPER(TRIM($B203)))),ISNUMBER(SEARCH("ICE ICEBERG",UPPER(TRIM($B203)))),ISNUMBER(SEARCH("GELINHO ICEBERG",UPPER(TRIM($B203))))),"$AJ$2:$AJ$2",IF(ISNUMBER(SEARCH("ESPUMA",$B203)),"$AI$2:$AI$2",IF(ISNUMBER(SEARCH("CORANTE",$B203)),"$AN$2:$AN$2",IFERROR(INDEX($AB$2:$AB$139,MATCH(UPPER(TRIM($B203)),$AA$2:$AA$139,0)),"$AO$2:$AO$9")))))</formula1>
    </dataValidation>
    <dataValidation type="list" allowBlank="1" errorTitle="Embalagem inválida" error="Escolha uma embalagem compatível com o produto." promptTitle="Selecione a embalagem" prompt="As opções mudam conforme o produto digitado." sqref="C207" xr:uid="{C36356B9-F4A1-48DA-BD18-023A4A679FAB}">
      <formula1>INDIRECT(IF(OR(ISNUMBER(SEARCH("ICEBERG ICE",UPPER(TRIM($B207)))),ISNUMBER(SEARCH("ICE ICEBERG",UPPER(TRIM($B207)))),ISNUMBER(SEARCH("GELINHO ICEBERG",UPPER(TRIM($B207))))),"$AJ$2:$AJ$2",IF(ISNUMBER(SEARCH("ESPUMA",$B207)),"$AI$2:$AI$2",IF(ISNUMBER(SEARCH("CORANTE",$B207)),"$AN$2:$AN$2",IFERROR(INDEX($AB$2:$AB$139,MATCH(UPPER(TRIM($B207)),$AA$2:$AA$139,0)),"$AO$2:$AO$9")))))</formula1>
    </dataValidation>
    <dataValidation type="list" allowBlank="1" errorTitle="Embalagem inválida" error="Escolha uma embalagem compatível com o produto." promptTitle="Selecione a embalagem" prompt="As opções mudam conforme o produto digitado." sqref="C208" xr:uid="{3B9B2F9A-6FD1-42F7-A4F6-496B7420C365}">
      <formula1>INDIRECT(IF(OR(ISNUMBER(SEARCH("ICEBERG ICE",UPPER(TRIM($B208)))),ISNUMBER(SEARCH("ICE ICEBERG",UPPER(TRIM($B208)))),ISNUMBER(SEARCH("GELINHO ICEBERG",UPPER(TRIM($B208))))),"$AJ$2:$AJ$2",IF(ISNUMBER(SEARCH("ESPUMA",$B208)),"$AI$2:$AI$2",IF(ISNUMBER(SEARCH("CORANTE",$B208)),"$AN$2:$AN$2",IFERROR(INDEX($AB$2:$AB$139,MATCH(UPPER(TRIM($B208)),$AA$2:$AA$139,0)),"$AO$2:$AO$9")))))</formula1>
    </dataValidation>
    <dataValidation type="list" allowBlank="1" errorTitle="Embalagem inválida" error="Escolha uma embalagem compatível com o produto." promptTitle="Selecione a embalagem" prompt="As opções mudam conforme o produto digitado." sqref="C209" xr:uid="{5A2FE91F-A782-4D18-B79C-D5FB40EC6253}">
      <formula1>INDIRECT(IF(OR(ISNUMBER(SEARCH("ICEBERG ICE",UPPER(TRIM($B209)))),ISNUMBER(SEARCH("ICE ICEBERG",UPPER(TRIM($B209)))),ISNUMBER(SEARCH("GELINHO ICEBERG",UPPER(TRIM($B209))))),"$AJ$2:$AJ$2",IF(ISNUMBER(SEARCH("ESPUMA",$B209)),"$AI$2:$AI$2",IF(ISNUMBER(SEARCH("CORANTE",$B209)),"$AN$2:$AN$2",IFERROR(INDEX($AB$2:$AB$139,MATCH(UPPER(TRIM($B209)),$AA$2:$AA$139,0)),"$AO$2:$AO$9")))))</formula1>
    </dataValidation>
    <dataValidation type="list" allowBlank="1" errorTitle="Embalagem inválida" error="Escolha uma embalagem compatível com o produto." promptTitle="Selecione a embalagem" prompt="As opções mudam conforme o produto digitado." sqref="C210" xr:uid="{D1C9B9F4-92BD-4CAB-8F27-96404A3309E6}">
      <formula1>INDIRECT(IF(OR(ISNUMBER(SEARCH("ICEBERG ICE",UPPER(TRIM($B210)))),ISNUMBER(SEARCH("ICE ICEBERG",UPPER(TRIM($B210)))),ISNUMBER(SEARCH("GELINHO ICEBERG",UPPER(TRIM($B210))))),"$AJ$2:$AJ$2",IF(ISNUMBER(SEARCH("ESPUMA",$B210)),"$AI$2:$AI$2",IF(ISNUMBER(SEARCH("CORANTE",$B210)),"$AN$2:$AN$2",IFERROR(INDEX($AB$2:$AB$139,MATCH(UPPER(TRIM($B210)),$AA$2:$AA$139,0)),"$AO$2:$AO$9")))))</formula1>
    </dataValidation>
    <dataValidation type="list" allowBlank="1" errorTitle="Embalagem inválida" error="Escolha uma embalagem compatível com o produto." promptTitle="Selecione a embalagem" prompt="As opções mudam conforme o produto digitado." sqref="C211" xr:uid="{BD9DB663-F53A-478F-A01B-D952A7A187F0}">
      <formula1>INDIRECT(IF(OR(ISNUMBER(SEARCH("ICEBERG ICE",UPPER(TRIM($B211)))),ISNUMBER(SEARCH("ICE ICEBERG",UPPER(TRIM($B211)))),ISNUMBER(SEARCH("GELINHO ICEBERG",UPPER(TRIM($B211))))),"$AJ$2:$AJ$2",IF(ISNUMBER(SEARCH("ESPUMA",$B211)),"$AI$2:$AI$2",IF(ISNUMBER(SEARCH("CORANTE",$B211)),"$AN$2:$AN$2",IFERROR(INDEX($AB$2:$AB$139,MATCH(UPPER(TRIM($B211)),$AA$2:$AA$139,0)),"$AO$2:$AO$9")))))</formula1>
    </dataValidation>
    <dataValidation type="list" allowBlank="1" errorTitle="Embalagem inválida" error="Escolha uma embalagem compatível com o produto." promptTitle="Selecione a embalagem" prompt="As opções mudam conforme o produto digitado." sqref="C215" xr:uid="{59638E49-1E4E-4EED-953D-4A25210F8EF2}">
      <formula1>INDIRECT(IF(OR(ISNUMBER(SEARCH("ICEBERG ICE",UPPER(TRIM($B215)))),ISNUMBER(SEARCH("ICE ICEBERG",UPPER(TRIM($B215)))),ISNUMBER(SEARCH("GELINHO ICEBERG",UPPER(TRIM($B215))))),"$AJ$2:$AJ$2",IF(ISNUMBER(SEARCH("ESPUMA",$B215)),"$AI$2:$AI$2",IF(ISNUMBER(SEARCH("CORANTE",$B215)),"$AN$2:$AN$2",IFERROR(INDEX($AB$2:$AB$139,MATCH(UPPER(TRIM($B215)),$AA$2:$AA$139,0)),"$AO$2:$AO$9")))))</formula1>
    </dataValidation>
    <dataValidation type="list" allowBlank="1" errorTitle="Embalagem inválida" error="Escolha uma embalagem compatível com o produto." promptTitle="Selecione a embalagem" prompt="As opções mudam conforme o produto digitado." sqref="C216" xr:uid="{3EDEF4EA-643E-4488-8107-2B85B5AC15E4}">
      <formula1>INDIRECT(IF(OR(ISNUMBER(SEARCH("ICEBERG ICE",UPPER(TRIM($B216)))),ISNUMBER(SEARCH("ICE ICEBERG",UPPER(TRIM($B216)))),ISNUMBER(SEARCH("GELINHO ICEBERG",UPPER(TRIM($B216))))),"$AJ$2:$AJ$2",IF(ISNUMBER(SEARCH("ESPUMA",$B216)),"$AI$2:$AI$2",IF(ISNUMBER(SEARCH("CORANTE",$B216)),"$AN$2:$AN$2",IFERROR(INDEX($AB$2:$AB$139,MATCH(UPPER(TRIM($B216)),$AA$2:$AA$139,0)),"$AO$2:$AO$9")))))</formula1>
    </dataValidation>
    <dataValidation type="list" allowBlank="1" errorTitle="Embalagem inválida" error="Escolha uma embalagem compatível com o produto." promptTitle="Selecione a embalagem" prompt="As opções mudam conforme o produto digitado." sqref="C217" xr:uid="{0443FDC4-259A-4BE6-8F48-C003811DC8D0}">
      <formula1>INDIRECT(IF(OR(ISNUMBER(SEARCH("ICEBERG ICE",UPPER(TRIM($B217)))),ISNUMBER(SEARCH("ICE ICEBERG",UPPER(TRIM($B217)))),ISNUMBER(SEARCH("GELINHO ICEBERG",UPPER(TRIM($B217))))),"$AJ$2:$AJ$2",IF(ISNUMBER(SEARCH("ESPUMA",$B217)),"$AI$2:$AI$2",IF(ISNUMBER(SEARCH("CORANTE",$B217)),"$AN$2:$AN$2",IFERROR(INDEX($AB$2:$AB$139,MATCH(UPPER(TRIM($B217)),$AA$2:$AA$139,0)),"$AO$2:$AO$9")))))</formula1>
    </dataValidation>
    <dataValidation type="list" allowBlank="1" errorTitle="Embalagem inválida" error="Escolha uma embalagem compatível com o produto." promptTitle="Selecione a embalagem" prompt="As opções mudam conforme o produto digitado." sqref="C218" xr:uid="{23600B9A-826B-42D1-9C2B-FF3529F840FA}">
      <formula1>INDIRECT(IF(OR(ISNUMBER(SEARCH("ICEBERG ICE",UPPER(TRIM($B218)))),ISNUMBER(SEARCH("ICE ICEBERG",UPPER(TRIM($B218)))),ISNUMBER(SEARCH("GELINHO ICEBERG",UPPER(TRIM($B218))))),"$AJ$2:$AJ$2",IF(ISNUMBER(SEARCH("ESPUMA",$B218)),"$AI$2:$AI$2",IF(ISNUMBER(SEARCH("CORANTE",$B218)),"$AN$2:$AN$2",IFERROR(INDEX($AB$2:$AB$139,MATCH(UPPER(TRIM($B218)),$AA$2:$AA$139,0)),"$AO$2:$AO$9")))))</formula1>
    </dataValidation>
    <dataValidation type="list" allowBlank="1" errorTitle="Embalagem inválida" error="Escolha uma embalagem compatível com o produto." promptTitle="Selecione a embalagem" prompt="As opções mudam conforme o produto digitado." sqref="C219" xr:uid="{502EA82A-CCFB-47E3-B0B4-847C9C314165}">
      <formula1>INDIRECT(IF(OR(ISNUMBER(SEARCH("ICEBERG ICE",UPPER(TRIM($B219)))),ISNUMBER(SEARCH("ICE ICEBERG",UPPER(TRIM($B219)))),ISNUMBER(SEARCH("GELINHO ICEBERG",UPPER(TRIM($B219))))),"$AJ$2:$AJ$2",IF(ISNUMBER(SEARCH("ESPUMA",$B219)),"$AI$2:$AI$2",IF(ISNUMBER(SEARCH("CORANTE",$B219)),"$AN$2:$AN$2",IFERROR(INDEX($AB$2:$AB$139,MATCH(UPPER(TRIM($B219)),$AA$2:$AA$139,0)),"$AO$2:$AO$9")))))</formula1>
    </dataValidation>
  </dataValidation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09DD-10DD-433B-B3C0-503D2672751A}">
  <sheetPr>
    <tabColor rgb="FF0F766E"/>
  </sheetPr>
  <dimension ref="A1:Y59"/>
  <sheetViews>
    <sheetView showGridLines="0" topLeftCell="A11" zoomScale="90" zoomScaleNormal="90" workbookViewId="0">
      <selection activeCell="J27" sqref="J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608</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SUM(C9:C34)</f>
        <v>262054</v>
      </c>
      <c r="C4" s="424"/>
      <c r="D4" s="435">
        <f>SUM(D9:D34)</f>
        <v>264000</v>
      </c>
      <c r="E4" s="424"/>
      <c r="F4" s="435">
        <f>IFERROR(SUM(C9:C34)/COUNTIF(C9:C34,"&gt;0"),0)</f>
        <v>10918.916666666666</v>
      </c>
      <c r="G4" s="424"/>
      <c r="H4" s="435">
        <f>IFERROR(MAX(C9:C34),0)</f>
        <v>16164</v>
      </c>
      <c r="I4" s="424"/>
      <c r="J4" s="436">
        <f>IFERROR(B4/D4,0)</f>
        <v>0.99262878787878783</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65" t="s">
        <v>213</v>
      </c>
      <c r="B8" s="460" t="s">
        <v>214</v>
      </c>
      <c r="C8" s="466" t="s">
        <v>215</v>
      </c>
      <c r="D8" s="466" t="s">
        <v>216</v>
      </c>
      <c r="E8" s="466" t="s">
        <v>217</v>
      </c>
      <c r="F8" s="466" t="s">
        <v>218</v>
      </c>
      <c r="G8" s="424"/>
      <c r="H8" s="424"/>
      <c r="I8" s="424"/>
      <c r="J8" s="424"/>
      <c r="K8" s="424"/>
      <c r="L8" s="424"/>
      <c r="M8" s="424"/>
      <c r="N8" s="424"/>
      <c r="O8" s="424"/>
      <c r="P8" s="1" t="s">
        <v>1273</v>
      </c>
      <c r="Q8" s="1" t="s">
        <v>210</v>
      </c>
      <c r="R8" s="1" t="s">
        <v>212</v>
      </c>
      <c r="S8" s="1" t="s">
        <v>208</v>
      </c>
      <c r="X8" s="1" t="s">
        <v>219</v>
      </c>
      <c r="Y8" s="1" t="s">
        <v>220</v>
      </c>
    </row>
    <row r="9" spans="1:25" ht="27.6" x14ac:dyDescent="0.3">
      <c r="A9" s="461">
        <v>46174</v>
      </c>
      <c r="B9" s="462">
        <f>IF(D9&gt;0,COUNTIF($D$9:D9,"&gt;0"),"")</f>
        <v>1</v>
      </c>
      <c r="C9" s="893">
        <f>'SEMANA JUNHO'!$M$9</f>
        <v>8778</v>
      </c>
      <c r="D9" s="893">
        <f>IF(C9&gt;0,CONFIG!$B$3,0)</f>
        <v>11000</v>
      </c>
      <c r="E9" s="894">
        <f t="shared" ref="E9:E34" si="0">IF(C9&gt;0,C9-D9,0)</f>
        <v>-2222</v>
      </c>
      <c r="F9" s="463" t="s">
        <v>1027</v>
      </c>
      <c r="G9" s="424"/>
      <c r="H9" s="424"/>
      <c r="I9" s="424"/>
      <c r="J9" s="424"/>
      <c r="K9" s="424"/>
      <c r="L9" s="424"/>
      <c r="M9" s="424"/>
      <c r="N9" s="424"/>
      <c r="O9" s="424"/>
      <c r="P9" s="93">
        <f t="shared" ref="P9:P34" si="1">B9</f>
        <v>1</v>
      </c>
      <c r="Q9" s="1">
        <f t="shared" ref="Q9:Q34" si="2">IF(AND($C9&gt;0,$C9&lt;$D9),$C9,NA())</f>
        <v>8778</v>
      </c>
      <c r="R9" s="1" t="e">
        <f t="shared" ref="R9:R34" si="3">IF(AND($C9&gt;0,$C9=$D9),$C9,NA())</f>
        <v>#N/A</v>
      </c>
      <c r="S9" s="1" t="e">
        <f t="shared" ref="S9:S34" si="4">IF(AND($C9&gt;0,$C9&gt;$D9),$C9,NA())</f>
        <v>#N/A</v>
      </c>
      <c r="X9" s="63">
        <f t="shared" ref="X9:X30" si="5">IF(COUNTIF($F9,"*Feriado*")&gt;0,NA(),$C9)</f>
        <v>8778</v>
      </c>
      <c r="Y9" s="63">
        <f t="shared" ref="Y9:Y30" si="6">IF(COUNTIF($F9,"*Feriado*")&gt;0,NA(),$D9)</f>
        <v>11000</v>
      </c>
    </row>
    <row r="10" spans="1:25" x14ac:dyDescent="0.3">
      <c r="A10" s="461">
        <v>46175</v>
      </c>
      <c r="B10" s="462">
        <f>IF(D10&gt;0,COUNTIF($D$9:D10,"&gt;0"),"")</f>
        <v>2</v>
      </c>
      <c r="C10" s="893">
        <f>'SEMANA JUNHO'!$M$17</f>
        <v>8496</v>
      </c>
      <c r="D10" s="893">
        <f>IF(C10&gt;0,CONFIG!$B$3,0)</f>
        <v>11000</v>
      </c>
      <c r="E10" s="894">
        <f t="shared" si="0"/>
        <v>-2504</v>
      </c>
      <c r="F10" s="463" t="s">
        <v>1031</v>
      </c>
      <c r="G10" s="424"/>
      <c r="H10" s="424"/>
      <c r="I10" s="424"/>
      <c r="J10" s="424"/>
      <c r="K10" s="424"/>
      <c r="L10" s="424"/>
      <c r="M10" s="424"/>
      <c r="N10" s="424"/>
      <c r="O10" s="424"/>
      <c r="P10" s="93">
        <f t="shared" si="1"/>
        <v>2</v>
      </c>
      <c r="Q10" s="1">
        <f t="shared" si="2"/>
        <v>8496</v>
      </c>
      <c r="R10" s="1" t="e">
        <f t="shared" si="3"/>
        <v>#N/A</v>
      </c>
      <c r="S10" s="1" t="e">
        <f t="shared" si="4"/>
        <v>#N/A</v>
      </c>
      <c r="X10" s="63">
        <f t="shared" si="5"/>
        <v>8496</v>
      </c>
      <c r="Y10" s="63">
        <f t="shared" si="6"/>
        <v>11000</v>
      </c>
    </row>
    <row r="11" spans="1:25" x14ac:dyDescent="0.3">
      <c r="A11" s="461">
        <v>46176</v>
      </c>
      <c r="B11" s="462">
        <f>IF(D11&gt;0,COUNTIF($D$9:D11,"&gt;0"),"")</f>
        <v>3</v>
      </c>
      <c r="C11" s="893">
        <f>'SEMANA JUNHO'!$M$25</f>
        <v>10626</v>
      </c>
      <c r="D11" s="893">
        <f>IF(C11&gt;0,CONFIG!$B$3,0)</f>
        <v>11000</v>
      </c>
      <c r="E11" s="894">
        <f t="shared" si="0"/>
        <v>-374</v>
      </c>
      <c r="F11" s="463" t="s">
        <v>1051</v>
      </c>
      <c r="G11" s="424"/>
      <c r="H11" s="424"/>
      <c r="I11" s="424"/>
      <c r="J11" s="424"/>
      <c r="K11" s="424"/>
      <c r="L11" s="424"/>
      <c r="M11" s="424"/>
      <c r="N11" s="424"/>
      <c r="O11" s="424"/>
      <c r="P11" s="93">
        <f t="shared" si="1"/>
        <v>3</v>
      </c>
      <c r="Q11" s="1">
        <f t="shared" si="2"/>
        <v>10626</v>
      </c>
      <c r="R11" s="1" t="e">
        <f t="shared" si="3"/>
        <v>#N/A</v>
      </c>
      <c r="S11" s="1" t="e">
        <f t="shared" si="4"/>
        <v>#N/A</v>
      </c>
      <c r="X11" s="63">
        <f t="shared" si="5"/>
        <v>10626</v>
      </c>
      <c r="Y11" s="63">
        <f t="shared" si="6"/>
        <v>11000</v>
      </c>
    </row>
    <row r="12" spans="1:25" x14ac:dyDescent="0.3">
      <c r="A12" s="461">
        <v>46177</v>
      </c>
      <c r="B12" s="462">
        <f>IF(D12&gt;0,COUNTIF($D$9:D12,"&gt;0"),"")</f>
        <v>4</v>
      </c>
      <c r="C12" s="893">
        <f>'SEMANA JUNHO'!$M$33</f>
        <v>11148</v>
      </c>
      <c r="D12" s="893">
        <f>IF(C12&gt;0,CONFIG!$B$3,0)</f>
        <v>11000</v>
      </c>
      <c r="E12" s="895">
        <f t="shared" si="0"/>
        <v>148</v>
      </c>
      <c r="F12" s="463" t="s">
        <v>1017</v>
      </c>
      <c r="G12" s="424"/>
      <c r="H12" s="424"/>
      <c r="I12" s="424"/>
      <c r="J12" s="424"/>
      <c r="K12" s="424"/>
      <c r="L12" s="424"/>
      <c r="M12" s="424"/>
      <c r="N12" s="424"/>
      <c r="O12" s="424"/>
      <c r="P12" s="93">
        <f t="shared" si="1"/>
        <v>4</v>
      </c>
      <c r="Q12" s="1" t="e">
        <f t="shared" si="2"/>
        <v>#N/A</v>
      </c>
      <c r="R12" s="1" t="e">
        <f t="shared" si="3"/>
        <v>#N/A</v>
      </c>
      <c r="S12" s="1">
        <f t="shared" si="4"/>
        <v>11148</v>
      </c>
      <c r="X12" s="63">
        <f t="shared" si="5"/>
        <v>11148</v>
      </c>
      <c r="Y12" s="63">
        <f t="shared" si="6"/>
        <v>11000</v>
      </c>
    </row>
    <row r="13" spans="1:25" x14ac:dyDescent="0.3">
      <c r="A13" s="461">
        <v>46178</v>
      </c>
      <c r="B13" s="462" t="str">
        <f>IF(D13&gt;0,COUNTIF($D$9:D13,"&gt;0"),"")</f>
        <v/>
      </c>
      <c r="C13" s="893">
        <f>'SEMANA JUNHO'!$M$41</f>
        <v>0</v>
      </c>
      <c r="D13" s="893">
        <f>IF(C13&gt;0,CONFIG!$B$3,0)</f>
        <v>0</v>
      </c>
      <c r="E13" s="896">
        <f t="shared" si="0"/>
        <v>0</v>
      </c>
      <c r="F13" s="468" t="s">
        <v>1018</v>
      </c>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61">
        <v>46179</v>
      </c>
      <c r="B14" s="462" t="str">
        <f>IF(D14&gt;0,COUNTIF($D$9:D14,"&gt;0"),"")</f>
        <v/>
      </c>
      <c r="C14" s="893">
        <f>'SEMANA JUNHO'!$M$49</f>
        <v>0</v>
      </c>
      <c r="D14" s="893">
        <f>IF(C14&gt;0,CONFIG!$B$3,0)</f>
        <v>0</v>
      </c>
      <c r="E14" s="896">
        <f t="shared" si="0"/>
        <v>0</v>
      </c>
      <c r="F14" s="468" t="s">
        <v>1023</v>
      </c>
      <c r="G14" s="424"/>
      <c r="H14" s="424"/>
      <c r="I14" s="424"/>
      <c r="J14" s="424"/>
      <c r="K14" s="424"/>
      <c r="L14" s="424"/>
      <c r="M14" s="424"/>
      <c r="N14" s="424"/>
      <c r="O14" s="424"/>
      <c r="P14" s="93" t="str">
        <f t="shared" si="1"/>
        <v/>
      </c>
      <c r="Q14" s="1" t="e">
        <f t="shared" si="2"/>
        <v>#N/A</v>
      </c>
      <c r="R14" s="1" t="e">
        <f t="shared" si="3"/>
        <v>#N/A</v>
      </c>
      <c r="S14" s="1" t="e">
        <f t="shared" si="4"/>
        <v>#N/A</v>
      </c>
      <c r="X14" s="63">
        <f t="shared" si="5"/>
        <v>0</v>
      </c>
      <c r="Y14" s="63">
        <f t="shared" si="6"/>
        <v>0</v>
      </c>
    </row>
    <row r="15" spans="1:25" ht="41.4" x14ac:dyDescent="0.3">
      <c r="A15" s="461">
        <v>46181</v>
      </c>
      <c r="B15" s="462">
        <f>IF(D15&gt;0,COUNTIF($D$9:D15,"&gt;0"),"")</f>
        <v>5</v>
      </c>
      <c r="C15" s="893">
        <f>'SEMANA JUNHO'!$M$57</f>
        <v>7428</v>
      </c>
      <c r="D15" s="893">
        <f>IF(C15&gt;0,CONFIG!$B$3,0)</f>
        <v>11000</v>
      </c>
      <c r="E15" s="894">
        <f t="shared" si="0"/>
        <v>-3572</v>
      </c>
      <c r="F15" s="463" t="s">
        <v>1069</v>
      </c>
      <c r="G15" s="424"/>
      <c r="H15" s="424"/>
      <c r="I15" s="424"/>
      <c r="J15" s="424"/>
      <c r="K15" s="424"/>
      <c r="L15" s="424"/>
      <c r="M15" s="424"/>
      <c r="N15" s="424"/>
      <c r="O15" s="424"/>
      <c r="P15" s="93">
        <f t="shared" si="1"/>
        <v>5</v>
      </c>
      <c r="Q15" s="1">
        <f t="shared" si="2"/>
        <v>7428</v>
      </c>
      <c r="R15" s="1" t="e">
        <f t="shared" si="3"/>
        <v>#N/A</v>
      </c>
      <c r="S15" s="1" t="e">
        <f t="shared" si="4"/>
        <v>#N/A</v>
      </c>
      <c r="X15" s="63">
        <f t="shared" si="5"/>
        <v>7428</v>
      </c>
      <c r="Y15" s="63">
        <f t="shared" si="6"/>
        <v>11000</v>
      </c>
    </row>
    <row r="16" spans="1:25" x14ac:dyDescent="0.3">
      <c r="A16" s="461">
        <v>46182</v>
      </c>
      <c r="B16" s="462">
        <f>IF(D16&gt;0,COUNTIF($D$9:D16,"&gt;0"),"")</f>
        <v>6</v>
      </c>
      <c r="C16" s="893">
        <f>'SEMANA JUNHO'!$M$66</f>
        <v>8580</v>
      </c>
      <c r="D16" s="893">
        <f>IF(C16&gt;0,CONFIG!$B$3,0)</f>
        <v>11000</v>
      </c>
      <c r="E16" s="894">
        <f t="shared" si="0"/>
        <v>-2420</v>
      </c>
      <c r="F16" s="463" t="s">
        <v>1070</v>
      </c>
      <c r="G16" s="424"/>
      <c r="H16" s="424"/>
      <c r="I16" s="424"/>
      <c r="J16" s="424"/>
      <c r="K16" s="424"/>
      <c r="L16" s="424"/>
      <c r="M16" s="424"/>
      <c r="N16" s="424"/>
      <c r="O16" s="424"/>
      <c r="P16" s="93">
        <f t="shared" si="1"/>
        <v>6</v>
      </c>
      <c r="Q16" s="1">
        <f t="shared" si="2"/>
        <v>8580</v>
      </c>
      <c r="R16" s="1" t="e">
        <f t="shared" si="3"/>
        <v>#N/A</v>
      </c>
      <c r="S16" s="1" t="e">
        <f t="shared" si="4"/>
        <v>#N/A</v>
      </c>
      <c r="X16" s="63">
        <f t="shared" si="5"/>
        <v>8580</v>
      </c>
      <c r="Y16" s="63">
        <f t="shared" si="6"/>
        <v>11000</v>
      </c>
    </row>
    <row r="17" spans="1:25" x14ac:dyDescent="0.3">
      <c r="A17" s="461">
        <v>46183</v>
      </c>
      <c r="B17" s="462">
        <f>IF(D17&gt;0,COUNTIF($D$9:D17,"&gt;0"),"")</f>
        <v>7</v>
      </c>
      <c r="C17" s="893">
        <f>'SEMANA JUNHO'!$M$75</f>
        <v>11280</v>
      </c>
      <c r="D17" s="893">
        <f>IF(C17&gt;0,CONFIG!$B$3,0)</f>
        <v>11000</v>
      </c>
      <c r="E17" s="895">
        <f t="shared" si="0"/>
        <v>280</v>
      </c>
      <c r="F17" s="463"/>
      <c r="G17" s="424"/>
      <c r="H17" s="424"/>
      <c r="I17" s="424"/>
      <c r="J17" s="424"/>
      <c r="K17" s="424"/>
      <c r="L17" s="424"/>
      <c r="M17" s="424"/>
      <c r="N17" s="424"/>
      <c r="O17" s="424"/>
      <c r="P17" s="93">
        <f t="shared" si="1"/>
        <v>7</v>
      </c>
      <c r="Q17" s="1" t="e">
        <f t="shared" si="2"/>
        <v>#N/A</v>
      </c>
      <c r="R17" s="1" t="e">
        <f t="shared" si="3"/>
        <v>#N/A</v>
      </c>
      <c r="S17" s="1">
        <f t="shared" si="4"/>
        <v>11280</v>
      </c>
      <c r="X17" s="63">
        <f t="shared" si="5"/>
        <v>11280</v>
      </c>
      <c r="Y17" s="63">
        <f t="shared" si="6"/>
        <v>11000</v>
      </c>
    </row>
    <row r="18" spans="1:25" x14ac:dyDescent="0.3">
      <c r="A18" s="461">
        <v>46184</v>
      </c>
      <c r="B18" s="462">
        <f>IF(D18&gt;0,COUNTIF($D$9:D18,"&gt;0"),"")</f>
        <v>8</v>
      </c>
      <c r="C18" s="893">
        <f>'SEMANA JUNHO'!$M$83</f>
        <v>11148</v>
      </c>
      <c r="D18" s="893">
        <f>IF(C18&gt;0,CONFIG!$B$3,0)</f>
        <v>11000</v>
      </c>
      <c r="E18" s="895">
        <f t="shared" si="0"/>
        <v>148</v>
      </c>
      <c r="F18" s="463"/>
      <c r="G18" s="424"/>
      <c r="H18" s="424"/>
      <c r="I18" s="424"/>
      <c r="J18" s="424"/>
      <c r="K18" s="424"/>
      <c r="L18" s="424"/>
      <c r="M18" s="424"/>
      <c r="N18" s="424"/>
      <c r="O18" s="424"/>
      <c r="P18" s="93">
        <f t="shared" si="1"/>
        <v>8</v>
      </c>
      <c r="Q18" s="1" t="e">
        <f t="shared" si="2"/>
        <v>#N/A</v>
      </c>
      <c r="R18" s="1" t="e">
        <f t="shared" si="3"/>
        <v>#N/A</v>
      </c>
      <c r="S18" s="1">
        <f t="shared" si="4"/>
        <v>11148</v>
      </c>
      <c r="X18" s="63">
        <f t="shared" si="5"/>
        <v>11148</v>
      </c>
      <c r="Y18" s="63">
        <f t="shared" si="6"/>
        <v>11000</v>
      </c>
    </row>
    <row r="19" spans="1:25" x14ac:dyDescent="0.3">
      <c r="A19" s="461">
        <v>46185</v>
      </c>
      <c r="B19" s="462">
        <f>IF(D19&gt;0,COUNTIF($D$9:D19,"&gt;0"),"")</f>
        <v>9</v>
      </c>
      <c r="C19" s="893">
        <f>'SEMANA JUNHO'!$M$92</f>
        <v>9624</v>
      </c>
      <c r="D19" s="893">
        <f>IF(C19&gt;0,CONFIG!$B$3,0)</f>
        <v>11000</v>
      </c>
      <c r="E19" s="894">
        <f t="shared" si="0"/>
        <v>-1376</v>
      </c>
      <c r="F19" s="463"/>
      <c r="G19" s="424"/>
      <c r="H19" s="424"/>
      <c r="I19" s="424"/>
      <c r="J19" s="424"/>
      <c r="K19" s="424"/>
      <c r="L19" s="424"/>
      <c r="M19" s="424"/>
      <c r="N19" s="424"/>
      <c r="O19" s="424"/>
      <c r="P19" s="93">
        <f t="shared" si="1"/>
        <v>9</v>
      </c>
      <c r="Q19" s="1">
        <f t="shared" si="2"/>
        <v>9624</v>
      </c>
      <c r="R19" s="1" t="e">
        <f t="shared" si="3"/>
        <v>#N/A</v>
      </c>
      <c r="S19" s="1" t="e">
        <f t="shared" si="4"/>
        <v>#N/A</v>
      </c>
      <c r="X19" s="63">
        <f t="shared" si="5"/>
        <v>9624</v>
      </c>
      <c r="Y19" s="63">
        <f t="shared" si="6"/>
        <v>11000</v>
      </c>
    </row>
    <row r="20" spans="1:25" x14ac:dyDescent="0.3">
      <c r="A20" s="461">
        <v>46186</v>
      </c>
      <c r="B20" s="462">
        <f>IF(D20&gt;0,COUNTIF($D$9:D20,"&gt;0"),"")</f>
        <v>10</v>
      </c>
      <c r="C20" s="893">
        <f>'SEMANA JUNHO'!$M$103</f>
        <v>7176</v>
      </c>
      <c r="D20" s="893">
        <f>IF(C20&gt;0,CONFIG!$B$3,0)</f>
        <v>11000</v>
      </c>
      <c r="E20" s="894">
        <f t="shared" si="0"/>
        <v>-3824</v>
      </c>
      <c r="F20" s="468" t="s">
        <v>1024</v>
      </c>
      <c r="G20" s="424"/>
      <c r="H20" s="424"/>
      <c r="I20" s="424"/>
      <c r="J20" s="424"/>
      <c r="K20" s="424"/>
      <c r="L20" s="424"/>
      <c r="M20" s="424"/>
      <c r="N20" s="424"/>
      <c r="O20" s="424"/>
      <c r="P20" s="93">
        <f t="shared" si="1"/>
        <v>10</v>
      </c>
      <c r="Q20" s="1">
        <f t="shared" si="2"/>
        <v>7176</v>
      </c>
      <c r="R20" s="1" t="e">
        <f t="shared" si="3"/>
        <v>#N/A</v>
      </c>
      <c r="S20" s="1" t="e">
        <f t="shared" si="4"/>
        <v>#N/A</v>
      </c>
      <c r="X20" s="63">
        <f t="shared" si="5"/>
        <v>7176</v>
      </c>
      <c r="Y20" s="63">
        <f t="shared" si="6"/>
        <v>11000</v>
      </c>
    </row>
    <row r="21" spans="1:25" x14ac:dyDescent="0.3">
      <c r="A21" s="461">
        <v>46188</v>
      </c>
      <c r="B21" s="462">
        <f>IF(D21&gt;0,COUNTIF($D$9:D21,"&gt;0"),"")</f>
        <v>11</v>
      </c>
      <c r="C21" s="893">
        <f>'SEMANA JUNHO'!$M$111</f>
        <v>14308</v>
      </c>
      <c r="D21" s="893">
        <f>IF(C21&gt;0,CONFIG!$B$3,0)</f>
        <v>11000</v>
      </c>
      <c r="E21" s="894">
        <f t="shared" si="0"/>
        <v>3308</v>
      </c>
      <c r="F21" s="463" t="s">
        <v>1100</v>
      </c>
      <c r="G21" s="424"/>
      <c r="H21" s="424"/>
      <c r="I21" s="424"/>
      <c r="J21" s="424"/>
      <c r="K21" s="424"/>
      <c r="L21" s="424"/>
      <c r="M21" s="424"/>
      <c r="N21" s="424"/>
      <c r="O21" s="424"/>
      <c r="P21" s="93">
        <f t="shared" si="1"/>
        <v>11</v>
      </c>
      <c r="Q21" s="1" t="e">
        <f t="shared" si="2"/>
        <v>#N/A</v>
      </c>
      <c r="R21" s="1" t="e">
        <f t="shared" si="3"/>
        <v>#N/A</v>
      </c>
      <c r="S21" s="1">
        <f t="shared" si="4"/>
        <v>14308</v>
      </c>
      <c r="X21" s="63">
        <f t="shared" si="5"/>
        <v>14308</v>
      </c>
      <c r="Y21" s="63">
        <f t="shared" si="6"/>
        <v>11000</v>
      </c>
    </row>
    <row r="22" spans="1:25" x14ac:dyDescent="0.3">
      <c r="A22" s="461">
        <v>46189</v>
      </c>
      <c r="B22" s="462">
        <f>IF(D22&gt;0,COUNTIF($D$9:D22,"&gt;0"),"")</f>
        <v>12</v>
      </c>
      <c r="C22" s="893">
        <f>'SEMANA JUNHO'!$M$122</f>
        <v>16104</v>
      </c>
      <c r="D22" s="893">
        <f>IF(C22&gt;0,CONFIG!$B$3,0)</f>
        <v>11000</v>
      </c>
      <c r="E22" s="894">
        <f t="shared" si="0"/>
        <v>5104</v>
      </c>
      <c r="F22" s="463"/>
      <c r="G22" s="424"/>
      <c r="H22" s="424"/>
      <c r="I22" s="424"/>
      <c r="J22" s="424"/>
      <c r="K22" s="424"/>
      <c r="L22" s="424"/>
      <c r="M22" s="424"/>
      <c r="N22" s="424"/>
      <c r="O22" s="424"/>
      <c r="P22" s="93">
        <f t="shared" si="1"/>
        <v>12</v>
      </c>
      <c r="Q22" s="1" t="e">
        <f t="shared" si="2"/>
        <v>#N/A</v>
      </c>
      <c r="R22" s="1" t="e">
        <f t="shared" si="3"/>
        <v>#N/A</v>
      </c>
      <c r="S22" s="1">
        <f t="shared" si="4"/>
        <v>16104</v>
      </c>
      <c r="X22" s="63">
        <f t="shared" si="5"/>
        <v>16104</v>
      </c>
      <c r="Y22" s="63">
        <f t="shared" si="6"/>
        <v>11000</v>
      </c>
    </row>
    <row r="23" spans="1:25" x14ac:dyDescent="0.3">
      <c r="A23" s="461">
        <v>46190</v>
      </c>
      <c r="B23" s="462">
        <f>IF(D23&gt;0,COUNTIF($D$9:D23,"&gt;0"),"")</f>
        <v>13</v>
      </c>
      <c r="C23" s="893">
        <f>'SEMANA JUNHO'!$M$130</f>
        <v>13752</v>
      </c>
      <c r="D23" s="893">
        <f>IF(C23&gt;0,CONFIG!$B$3,0)</f>
        <v>11000</v>
      </c>
      <c r="E23" s="894">
        <f t="shared" si="0"/>
        <v>2752</v>
      </c>
      <c r="F23" s="463" t="s">
        <v>1115</v>
      </c>
      <c r="G23" s="424"/>
      <c r="H23" s="424"/>
      <c r="I23" s="424"/>
      <c r="J23" s="424"/>
      <c r="K23" s="424"/>
      <c r="L23" s="424"/>
      <c r="M23" s="424"/>
      <c r="N23" s="424"/>
      <c r="O23" s="424"/>
      <c r="P23" s="93">
        <f t="shared" si="1"/>
        <v>13</v>
      </c>
      <c r="Q23" s="1" t="e">
        <f t="shared" si="2"/>
        <v>#N/A</v>
      </c>
      <c r="R23" s="1" t="e">
        <f t="shared" si="3"/>
        <v>#N/A</v>
      </c>
      <c r="S23" s="1">
        <f t="shared" si="4"/>
        <v>13752</v>
      </c>
      <c r="X23" s="63">
        <f t="shared" si="5"/>
        <v>13752</v>
      </c>
      <c r="Y23" s="63">
        <f t="shared" si="6"/>
        <v>11000</v>
      </c>
    </row>
    <row r="24" spans="1:25" x14ac:dyDescent="0.3">
      <c r="A24" s="461">
        <v>46191</v>
      </c>
      <c r="B24" s="462">
        <f>IF(D24&gt;0,COUNTIF($D$9:D24,"&gt;0"),"")</f>
        <v>14</v>
      </c>
      <c r="C24" s="893">
        <f>'SEMANA JUNHO'!$M$138</f>
        <v>13524</v>
      </c>
      <c r="D24" s="893">
        <f>IF(C24&gt;0,CONFIG!$B$3,0)</f>
        <v>11000</v>
      </c>
      <c r="E24" s="894">
        <f t="shared" si="0"/>
        <v>2524</v>
      </c>
      <c r="F24" s="463"/>
      <c r="G24" s="424"/>
      <c r="H24" s="424"/>
      <c r="I24" s="424"/>
      <c r="J24" s="424"/>
      <c r="K24" s="424"/>
      <c r="L24" s="424"/>
      <c r="M24" s="424"/>
      <c r="N24" s="424"/>
      <c r="O24" s="424"/>
      <c r="P24" s="93">
        <f t="shared" si="1"/>
        <v>14</v>
      </c>
      <c r="Q24" s="1" t="e">
        <f t="shared" si="2"/>
        <v>#N/A</v>
      </c>
      <c r="R24" s="1" t="e">
        <f t="shared" si="3"/>
        <v>#N/A</v>
      </c>
      <c r="S24" s="1">
        <f t="shared" si="4"/>
        <v>13524</v>
      </c>
      <c r="X24" s="63">
        <f t="shared" si="5"/>
        <v>13524</v>
      </c>
      <c r="Y24" s="63">
        <f t="shared" si="6"/>
        <v>11000</v>
      </c>
    </row>
    <row r="25" spans="1:25" x14ac:dyDescent="0.3">
      <c r="A25" s="461">
        <v>46192</v>
      </c>
      <c r="B25" s="462">
        <f>IF(D25&gt;0,COUNTIF($D$9:D25,"&gt;0"),"")</f>
        <v>15</v>
      </c>
      <c r="C25" s="893">
        <f>'SEMANA JUNHO'!$M$146</f>
        <v>9960</v>
      </c>
      <c r="D25" s="893">
        <f>IF(C25&gt;0,CONFIG!$B$3,0)</f>
        <v>11000</v>
      </c>
      <c r="E25" s="894">
        <f t="shared" si="0"/>
        <v>-1040</v>
      </c>
      <c r="F25" s="463"/>
      <c r="G25" s="424"/>
      <c r="H25" s="424"/>
      <c r="I25" s="424"/>
      <c r="J25" s="424"/>
      <c r="K25" s="424"/>
      <c r="L25" s="424"/>
      <c r="M25" s="424"/>
      <c r="N25" s="424"/>
      <c r="O25" s="424"/>
      <c r="P25" s="93">
        <f t="shared" si="1"/>
        <v>15</v>
      </c>
      <c r="Q25" s="1">
        <f t="shared" si="2"/>
        <v>9960</v>
      </c>
      <c r="R25" s="1" t="e">
        <f t="shared" si="3"/>
        <v>#N/A</v>
      </c>
      <c r="S25" s="1" t="e">
        <f t="shared" si="4"/>
        <v>#N/A</v>
      </c>
      <c r="X25" s="63">
        <f t="shared" si="5"/>
        <v>9960</v>
      </c>
      <c r="Y25" s="63">
        <f t="shared" si="6"/>
        <v>11000</v>
      </c>
    </row>
    <row r="26" spans="1:25" x14ac:dyDescent="0.3">
      <c r="A26" s="461">
        <v>46193</v>
      </c>
      <c r="B26" s="462">
        <f>IF(D26&gt;0,COUNTIF($D$9:D26,"&gt;0"),"")</f>
        <v>16</v>
      </c>
      <c r="C26" s="893">
        <f>'SEMANA JUNHO'!$M$154</f>
        <v>7404</v>
      </c>
      <c r="D26" s="893">
        <f>IF(C26&gt;0,CONFIG!$B$3,0)</f>
        <v>11000</v>
      </c>
      <c r="E26" s="894">
        <f t="shared" si="0"/>
        <v>-3596</v>
      </c>
      <c r="F26" s="468" t="s">
        <v>1024</v>
      </c>
      <c r="G26" s="424"/>
      <c r="H26" s="424"/>
      <c r="I26" s="424"/>
      <c r="J26" s="424"/>
      <c r="K26" s="424"/>
      <c r="L26" s="424"/>
      <c r="M26" s="424"/>
      <c r="N26" s="424"/>
      <c r="O26" s="424"/>
      <c r="P26" s="93">
        <f t="shared" si="1"/>
        <v>16</v>
      </c>
      <c r="Q26" s="1">
        <f t="shared" si="2"/>
        <v>7404</v>
      </c>
      <c r="R26" s="1" t="e">
        <f t="shared" si="3"/>
        <v>#N/A</v>
      </c>
      <c r="S26" s="1" t="e">
        <f t="shared" si="4"/>
        <v>#N/A</v>
      </c>
      <c r="X26" s="63">
        <f t="shared" si="5"/>
        <v>7404</v>
      </c>
      <c r="Y26" s="63">
        <f t="shared" si="6"/>
        <v>11000</v>
      </c>
    </row>
    <row r="27" spans="1:25" x14ac:dyDescent="0.3">
      <c r="A27" s="461">
        <v>46195</v>
      </c>
      <c r="B27" s="462">
        <f>IF(D27&gt;0,COUNTIF($D$9:D27,"&gt;0"),"")</f>
        <v>17</v>
      </c>
      <c r="C27" s="893">
        <f>'SEMANA JUNHO'!$M$162</f>
        <v>11100</v>
      </c>
      <c r="D27" s="893">
        <f>IF(C27&gt;0,CONFIG!$B$3,0)</f>
        <v>11000</v>
      </c>
      <c r="E27" s="894">
        <f t="shared" si="0"/>
        <v>100</v>
      </c>
      <c r="F27" s="467"/>
      <c r="G27" s="424"/>
      <c r="H27" s="424"/>
      <c r="I27" s="424"/>
      <c r="J27" s="424"/>
      <c r="K27" s="424"/>
      <c r="L27" s="424"/>
      <c r="M27" s="424"/>
      <c r="N27" s="424"/>
      <c r="O27" s="424"/>
      <c r="P27" s="93">
        <f t="shared" si="1"/>
        <v>17</v>
      </c>
      <c r="Q27" s="1" t="e">
        <f t="shared" si="2"/>
        <v>#N/A</v>
      </c>
      <c r="R27" s="1" t="e">
        <f t="shared" si="3"/>
        <v>#N/A</v>
      </c>
      <c r="S27" s="1">
        <f t="shared" si="4"/>
        <v>11100</v>
      </c>
      <c r="X27" s="63">
        <f t="shared" si="5"/>
        <v>11100</v>
      </c>
      <c r="Y27" s="63">
        <f t="shared" si="6"/>
        <v>11000</v>
      </c>
    </row>
    <row r="28" spans="1:25" x14ac:dyDescent="0.3">
      <c r="A28" s="461">
        <v>46196</v>
      </c>
      <c r="B28" s="462">
        <f>IF(D28&gt;0,COUNTIF($D$9:D28,"&gt;0"),"")</f>
        <v>18</v>
      </c>
      <c r="C28" s="893">
        <f>'SEMANA JUNHO'!$M$170</f>
        <v>6156</v>
      </c>
      <c r="D28" s="893">
        <f>IF(C28&gt;0,CONFIG!$B$3,0)</f>
        <v>11000</v>
      </c>
      <c r="E28" s="897">
        <f t="shared" si="0"/>
        <v>-4844</v>
      </c>
      <c r="F28" s="444" t="s">
        <v>1132</v>
      </c>
      <c r="G28" s="424"/>
      <c r="H28" s="424"/>
      <c r="I28" s="424"/>
      <c r="J28" s="424"/>
      <c r="K28" s="424"/>
      <c r="L28" s="424"/>
      <c r="M28" s="424"/>
      <c r="N28" s="424"/>
      <c r="O28" s="424"/>
      <c r="P28" s="93">
        <f t="shared" si="1"/>
        <v>18</v>
      </c>
      <c r="Q28" s="1">
        <f t="shared" si="2"/>
        <v>6156</v>
      </c>
      <c r="R28" s="1" t="e">
        <f t="shared" si="3"/>
        <v>#N/A</v>
      </c>
      <c r="S28" s="1" t="e">
        <f t="shared" si="4"/>
        <v>#N/A</v>
      </c>
      <c r="X28" s="63">
        <f t="shared" si="5"/>
        <v>6156</v>
      </c>
      <c r="Y28" s="63">
        <f t="shared" si="6"/>
        <v>11000</v>
      </c>
    </row>
    <row r="29" spans="1:25" x14ac:dyDescent="0.3">
      <c r="A29" s="461">
        <v>46197</v>
      </c>
      <c r="B29" s="462">
        <f>IF(D29&gt;0,COUNTIF($D$9:D29,"&gt;0"),"")</f>
        <v>19</v>
      </c>
      <c r="C29" s="893">
        <f>'SEMANA JUNHO'!$M$179</f>
        <v>12408</v>
      </c>
      <c r="D29" s="893">
        <f>IF(C29&gt;0,CONFIG!$B$3,0)</f>
        <v>11000</v>
      </c>
      <c r="E29" s="894">
        <f t="shared" si="0"/>
        <v>1408</v>
      </c>
      <c r="F29" s="464" t="s">
        <v>1138</v>
      </c>
      <c r="G29" s="424"/>
      <c r="H29" s="424"/>
      <c r="I29" s="424"/>
      <c r="J29" s="424"/>
      <c r="K29" s="424"/>
      <c r="L29" s="424"/>
      <c r="M29" s="424"/>
      <c r="N29" s="424"/>
      <c r="O29" s="424"/>
      <c r="P29" s="93">
        <f t="shared" si="1"/>
        <v>19</v>
      </c>
      <c r="Q29" s="1" t="e">
        <f t="shared" si="2"/>
        <v>#N/A</v>
      </c>
      <c r="R29" s="1" t="e">
        <f t="shared" si="3"/>
        <v>#N/A</v>
      </c>
      <c r="S29" s="1">
        <f t="shared" si="4"/>
        <v>12408</v>
      </c>
      <c r="X29" s="63">
        <f t="shared" si="5"/>
        <v>12408</v>
      </c>
      <c r="Y29" s="63">
        <f t="shared" si="6"/>
        <v>11000</v>
      </c>
    </row>
    <row r="30" spans="1:25" x14ac:dyDescent="0.3">
      <c r="A30" s="461">
        <v>46198</v>
      </c>
      <c r="B30" s="462">
        <f>IF(D30&gt;0,COUNTIF($D$9:D30,"&gt;0"),"")</f>
        <v>20</v>
      </c>
      <c r="C30" s="893">
        <f>'SEMANA JUNHO'!$M$187</f>
        <v>16164</v>
      </c>
      <c r="D30" s="893">
        <f>IF(C30&gt;0,CONFIG!$B$3,0)</f>
        <v>11000</v>
      </c>
      <c r="E30" s="894">
        <f t="shared" si="0"/>
        <v>5164</v>
      </c>
      <c r="F30" s="463"/>
      <c r="G30" s="424"/>
      <c r="H30" s="424"/>
      <c r="I30" s="424"/>
      <c r="J30" s="424"/>
      <c r="K30" s="424"/>
      <c r="L30" s="424"/>
      <c r="M30" s="424"/>
      <c r="N30" s="424"/>
      <c r="O30" s="424"/>
      <c r="P30" s="93">
        <f t="shared" si="1"/>
        <v>20</v>
      </c>
      <c r="Q30" s="1" t="e">
        <f t="shared" si="2"/>
        <v>#N/A</v>
      </c>
      <c r="R30" s="1" t="e">
        <f t="shared" si="3"/>
        <v>#N/A</v>
      </c>
      <c r="S30" s="1">
        <f t="shared" si="4"/>
        <v>16164</v>
      </c>
      <c r="X30" s="63">
        <f t="shared" si="5"/>
        <v>16164</v>
      </c>
      <c r="Y30" s="63">
        <f t="shared" si="6"/>
        <v>11000</v>
      </c>
    </row>
    <row r="31" spans="1:25" x14ac:dyDescent="0.3">
      <c r="A31" s="461">
        <v>46199</v>
      </c>
      <c r="B31" s="462">
        <f>IF(D31&gt;0,COUNTIF($D$9:D31,"&gt;0"),"")</f>
        <v>21</v>
      </c>
      <c r="C31" s="893">
        <f>'SEMANA JUNHO'!$M$196</f>
        <v>14208</v>
      </c>
      <c r="D31" s="893">
        <f>IF(C31&gt;0,CONFIG!$B$3,0)</f>
        <v>11000</v>
      </c>
      <c r="E31" s="894">
        <f t="shared" si="0"/>
        <v>3208</v>
      </c>
      <c r="F31" s="463"/>
      <c r="G31" s="424"/>
      <c r="H31" s="424"/>
      <c r="I31" s="424"/>
      <c r="J31" s="424"/>
      <c r="K31" s="424"/>
      <c r="L31" s="424"/>
      <c r="M31" s="424"/>
      <c r="N31" s="424"/>
      <c r="O31" s="424"/>
      <c r="P31" s="93">
        <f t="shared" si="1"/>
        <v>21</v>
      </c>
      <c r="Q31" s="1" t="e">
        <f t="shared" si="2"/>
        <v>#N/A</v>
      </c>
      <c r="R31" s="1" t="e">
        <f t="shared" si="3"/>
        <v>#N/A</v>
      </c>
      <c r="S31" s="1">
        <f t="shared" si="4"/>
        <v>14208</v>
      </c>
    </row>
    <row r="32" spans="1:25" x14ac:dyDescent="0.3">
      <c r="A32" s="461">
        <v>46200</v>
      </c>
      <c r="B32" s="462">
        <f>IF(D32&gt;0,COUNTIF($D$9:D32,"&gt;0"),"")</f>
        <v>22</v>
      </c>
      <c r="C32" s="893">
        <f>'SEMANA JUNHO'!$M$204</f>
        <v>14040</v>
      </c>
      <c r="D32" s="893">
        <f>IF(C32&gt;0,CONFIG!$B$3,0)</f>
        <v>11000</v>
      </c>
      <c r="E32" s="894">
        <f t="shared" si="0"/>
        <v>3040</v>
      </c>
      <c r="F32" s="463"/>
      <c r="G32" s="424"/>
      <c r="H32" s="424"/>
      <c r="I32" s="424"/>
      <c r="J32" s="424"/>
      <c r="K32" s="424"/>
      <c r="L32" s="424"/>
      <c r="M32" s="424"/>
      <c r="N32" s="424"/>
      <c r="O32" s="424"/>
      <c r="P32" s="93">
        <f t="shared" si="1"/>
        <v>22</v>
      </c>
      <c r="Q32" s="1" t="e">
        <f t="shared" si="2"/>
        <v>#N/A</v>
      </c>
      <c r="R32" s="1" t="e">
        <f t="shared" si="3"/>
        <v>#N/A</v>
      </c>
      <c r="S32" s="1">
        <f t="shared" si="4"/>
        <v>14040</v>
      </c>
    </row>
    <row r="33" spans="1:19" x14ac:dyDescent="0.3">
      <c r="A33" s="461">
        <v>46202</v>
      </c>
      <c r="B33" s="462">
        <f>IF(D33&gt;0,COUNTIF($D$9:D33,"&gt;0"),"")</f>
        <v>23</v>
      </c>
      <c r="C33" s="893">
        <f>'SEMANA JUNHO'!$M$212</f>
        <v>10698</v>
      </c>
      <c r="D33" s="893">
        <f>IF(C33&gt;0,CONFIG!$B$3,0)</f>
        <v>11000</v>
      </c>
      <c r="E33" s="894">
        <f t="shared" si="0"/>
        <v>-302</v>
      </c>
      <c r="F33" s="467"/>
      <c r="G33" s="424"/>
      <c r="H33" s="424"/>
      <c r="I33" s="424"/>
      <c r="J33" s="424"/>
      <c r="K33" s="424"/>
      <c r="L33" s="424"/>
      <c r="M33" s="424"/>
      <c r="N33" s="424"/>
      <c r="O33" s="424"/>
      <c r="P33" s="93">
        <f t="shared" si="1"/>
        <v>23</v>
      </c>
      <c r="Q33" s="1">
        <f t="shared" si="2"/>
        <v>10698</v>
      </c>
      <c r="R33" s="1" t="e">
        <f t="shared" si="3"/>
        <v>#N/A</v>
      </c>
      <c r="S33" s="1" t="e">
        <f t="shared" si="4"/>
        <v>#N/A</v>
      </c>
    </row>
    <row r="34" spans="1:19" x14ac:dyDescent="0.3">
      <c r="A34" s="461">
        <v>46203</v>
      </c>
      <c r="B34" s="462">
        <f>IF(D34&gt;0,COUNTIF($D$9:D34,"&gt;0"),"")</f>
        <v>24</v>
      </c>
      <c r="C34" s="893">
        <f>'SEMANA JUNHO'!$M$220</f>
        <v>7944</v>
      </c>
      <c r="D34" s="893">
        <f>IF(C34&gt;0,CONFIG!$B$3,0)</f>
        <v>11000</v>
      </c>
      <c r="E34" s="897">
        <f t="shared" si="0"/>
        <v>-3056</v>
      </c>
      <c r="F34" s="444" t="s">
        <v>1158</v>
      </c>
      <c r="G34" s="424"/>
      <c r="H34" s="424"/>
      <c r="I34" s="424"/>
      <c r="J34" s="424"/>
      <c r="K34" s="424"/>
      <c r="L34" s="424"/>
      <c r="M34" s="424"/>
      <c r="N34" s="424"/>
      <c r="O34" s="424"/>
      <c r="P34" s="93">
        <f t="shared" si="1"/>
        <v>24</v>
      </c>
      <c r="Q34" s="1">
        <f t="shared" si="2"/>
        <v>7944</v>
      </c>
      <c r="R34" s="1" t="e">
        <f t="shared" si="3"/>
        <v>#N/A</v>
      </c>
      <c r="S34" s="1" t="e">
        <f t="shared" si="4"/>
        <v>#N/A</v>
      </c>
    </row>
    <row r="35" spans="1:19" ht="14.25" customHeight="1" x14ac:dyDescent="0.3"/>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4">
    <cfRule type="cellIs" dxfId="112" priority="1" operator="greaterThan">
      <formula>0</formula>
    </cfRule>
    <cfRule type="cellIs" dxfId="111" priority="2" operator="lessThan">
      <formula>0</formula>
    </cfRule>
    <cfRule type="cellIs" dxfId="110"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201F-936B-4214-B37C-56915DE2A303}">
  <sheetPr>
    <tabColor rgb="FFC96B0A"/>
  </sheetPr>
  <dimension ref="B1:O302"/>
  <sheetViews>
    <sheetView showGridLines="0" topLeftCell="A134" zoomScale="90" zoomScaleNormal="90" workbookViewId="0">
      <selection activeCell="O137" sqref="O13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138" customWidth="1"/>
    <col min="15" max="16384" width="8.5546875" style="1"/>
  </cols>
  <sheetData>
    <row r="1" spans="2:14" ht="21.75" customHeight="1" x14ac:dyDescent="0.3">
      <c r="B1" s="691" t="s">
        <v>609</v>
      </c>
      <c r="C1" s="691"/>
      <c r="D1" s="691"/>
      <c r="E1" s="691"/>
      <c r="F1" s="691"/>
      <c r="G1" s="691"/>
      <c r="H1" s="691"/>
      <c r="I1" s="691"/>
      <c r="J1" s="691"/>
      <c r="K1" s="691"/>
      <c r="L1" s="691"/>
      <c r="M1" s="691"/>
      <c r="N1" s="691"/>
    </row>
    <row r="2" spans="2:14" ht="15" customHeight="1" x14ac:dyDescent="0.3">
      <c r="B2" s="692"/>
      <c r="C2" s="692"/>
      <c r="D2" s="692"/>
      <c r="E2" s="692"/>
      <c r="F2" s="692"/>
      <c r="G2" s="692"/>
      <c r="H2" s="692"/>
      <c r="I2" s="692"/>
      <c r="J2" s="692"/>
      <c r="K2" s="692"/>
      <c r="L2" s="692"/>
      <c r="M2" s="692"/>
      <c r="N2" s="692"/>
    </row>
    <row r="3" spans="2:14" ht="17.25" customHeight="1" x14ac:dyDescent="0.3">
      <c r="B3" s="514" t="s">
        <v>46</v>
      </c>
      <c r="C3" s="693" t="s">
        <v>47</v>
      </c>
      <c r="D3" s="693"/>
      <c r="E3" s="693" t="s">
        <v>48</v>
      </c>
      <c r="F3" s="693"/>
      <c r="G3" s="693" t="s">
        <v>49</v>
      </c>
      <c r="H3" s="693"/>
      <c r="I3" s="693"/>
      <c r="J3" s="693"/>
      <c r="K3" s="693" t="s">
        <v>50</v>
      </c>
      <c r="L3" s="693"/>
      <c r="M3" s="531" t="s">
        <v>51</v>
      </c>
      <c r="N3" s="526" t="s">
        <v>52</v>
      </c>
    </row>
    <row r="4" spans="2:14" ht="17.25" customHeight="1" x14ac:dyDescent="0.3">
      <c r="B4" s="694" t="s">
        <v>1157</v>
      </c>
      <c r="C4" s="694">
        <v>26010860</v>
      </c>
      <c r="D4" s="694"/>
      <c r="E4" s="694"/>
      <c r="F4" s="694"/>
      <c r="G4" s="694" t="s">
        <v>75</v>
      </c>
      <c r="H4" s="694"/>
      <c r="I4" s="694"/>
      <c r="J4" s="694"/>
      <c r="K4" s="694" t="s">
        <v>76</v>
      </c>
      <c r="L4" s="694"/>
      <c r="M4" s="515" t="s">
        <v>77</v>
      </c>
      <c r="N4" s="532">
        <v>46205</v>
      </c>
    </row>
    <row r="5" spans="2:14" ht="17.25" customHeight="1" x14ac:dyDescent="0.3">
      <c r="B5" s="694"/>
      <c r="C5" s="695">
        <v>26010861</v>
      </c>
      <c r="D5" s="695"/>
      <c r="E5" s="695"/>
      <c r="F5" s="695"/>
      <c r="G5" s="695" t="s">
        <v>75</v>
      </c>
      <c r="H5" s="695"/>
      <c r="I5" s="695"/>
      <c r="J5" s="695"/>
      <c r="K5" s="694"/>
      <c r="L5" s="694"/>
      <c r="M5" s="517" t="s">
        <v>77</v>
      </c>
      <c r="N5" s="516">
        <v>46206</v>
      </c>
    </row>
    <row r="6" spans="2:14" ht="17.25" customHeight="1" x14ac:dyDescent="0.3">
      <c r="B6" s="694"/>
      <c r="C6" s="694">
        <v>26010862</v>
      </c>
      <c r="D6" s="694"/>
      <c r="E6" s="696"/>
      <c r="F6" s="696"/>
      <c r="G6" s="694" t="s">
        <v>75</v>
      </c>
      <c r="H6" s="694"/>
      <c r="I6" s="694"/>
      <c r="J6" s="694"/>
      <c r="K6" s="694"/>
      <c r="L6" s="694"/>
      <c r="M6" s="515" t="s">
        <v>77</v>
      </c>
      <c r="N6" s="516">
        <v>46206</v>
      </c>
    </row>
    <row r="7" spans="2:14" ht="17.25" customHeight="1" x14ac:dyDescent="0.3">
      <c r="B7" s="694"/>
      <c r="C7" s="695">
        <v>26010863</v>
      </c>
      <c r="D7" s="695"/>
      <c r="E7" s="695"/>
      <c r="F7" s="695"/>
      <c r="G7" s="695" t="s">
        <v>75</v>
      </c>
      <c r="H7" s="695"/>
      <c r="I7" s="695"/>
      <c r="J7" s="695"/>
      <c r="K7" s="694"/>
      <c r="L7" s="694"/>
      <c r="M7" s="517" t="s">
        <v>77</v>
      </c>
      <c r="N7" s="518">
        <v>46206</v>
      </c>
    </row>
    <row r="8" spans="2:14" ht="17.25" customHeight="1" x14ac:dyDescent="0.3">
      <c r="B8" s="694"/>
      <c r="C8" s="694">
        <v>26010864</v>
      </c>
      <c r="D8" s="694"/>
      <c r="E8" s="694"/>
      <c r="F8" s="694"/>
      <c r="G8" s="694" t="s">
        <v>75</v>
      </c>
      <c r="H8" s="694"/>
      <c r="I8" s="694"/>
      <c r="J8" s="694"/>
      <c r="K8" s="694"/>
      <c r="L8" s="694"/>
      <c r="M8" s="515" t="s">
        <v>77</v>
      </c>
      <c r="N8" s="518">
        <v>46206</v>
      </c>
    </row>
    <row r="9" spans="2:14" ht="17.25" customHeight="1" x14ac:dyDescent="0.3">
      <c r="B9" s="694"/>
      <c r="C9" s="695">
        <v>26010865</v>
      </c>
      <c r="D9" s="695"/>
      <c r="E9" s="698"/>
      <c r="F9" s="698"/>
      <c r="G9" s="695" t="s">
        <v>75</v>
      </c>
      <c r="H9" s="695"/>
      <c r="I9" s="695"/>
      <c r="J9" s="695"/>
      <c r="K9" s="694"/>
      <c r="L9" s="694"/>
      <c r="M9" s="517" t="s">
        <v>77</v>
      </c>
      <c r="N9" s="518">
        <v>46206</v>
      </c>
    </row>
    <row r="10" spans="2:14" ht="17.25" customHeight="1" x14ac:dyDescent="0.3">
      <c r="B10" s="694"/>
      <c r="C10" s="694">
        <v>26010866</v>
      </c>
      <c r="D10" s="694"/>
      <c r="E10" s="694"/>
      <c r="F10" s="694"/>
      <c r="G10" s="694" t="s">
        <v>75</v>
      </c>
      <c r="H10" s="694"/>
      <c r="I10" s="694"/>
      <c r="J10" s="694"/>
      <c r="K10" s="694"/>
      <c r="L10" s="694"/>
      <c r="M10" s="515" t="s">
        <v>77</v>
      </c>
      <c r="N10" s="516">
        <v>46207</v>
      </c>
    </row>
    <row r="11" spans="2:14" ht="17.25" customHeight="1" x14ac:dyDescent="0.3">
      <c r="B11" s="694"/>
      <c r="C11" s="695">
        <v>26010867</v>
      </c>
      <c r="D11" s="695"/>
      <c r="E11" s="695"/>
      <c r="F11" s="695"/>
      <c r="G11" s="695" t="s">
        <v>75</v>
      </c>
      <c r="H11" s="695"/>
      <c r="I11" s="695"/>
      <c r="J11" s="695"/>
      <c r="K11" s="694"/>
      <c r="L11" s="694"/>
      <c r="M11" s="517" t="s">
        <v>77</v>
      </c>
      <c r="N11" s="516">
        <v>46207</v>
      </c>
    </row>
    <row r="12" spans="2:14" ht="17.25" customHeight="1" x14ac:dyDescent="0.3">
      <c r="B12" s="694"/>
      <c r="C12" s="694">
        <v>26010868</v>
      </c>
      <c r="D12" s="694"/>
      <c r="E12" s="694"/>
      <c r="F12" s="694"/>
      <c r="G12" s="694" t="s">
        <v>75</v>
      </c>
      <c r="H12" s="694"/>
      <c r="I12" s="694"/>
      <c r="J12" s="694"/>
      <c r="K12" s="694"/>
      <c r="L12" s="694"/>
      <c r="M12" s="515" t="s">
        <v>77</v>
      </c>
      <c r="N12" s="518">
        <v>46207</v>
      </c>
    </row>
    <row r="13" spans="2:14" ht="17.25" customHeight="1" x14ac:dyDescent="0.3">
      <c r="B13" s="694"/>
      <c r="C13" s="695">
        <v>26010869</v>
      </c>
      <c r="D13" s="695"/>
      <c r="E13" s="695"/>
      <c r="F13" s="695"/>
      <c r="G13" s="695" t="s">
        <v>75</v>
      </c>
      <c r="H13" s="695"/>
      <c r="I13" s="695"/>
      <c r="J13" s="695"/>
      <c r="K13" s="694"/>
      <c r="L13" s="694"/>
      <c r="M13" s="517" t="s">
        <v>77</v>
      </c>
      <c r="N13" s="518">
        <v>46207</v>
      </c>
    </row>
    <row r="14" spans="2:14" ht="17.25" customHeight="1" x14ac:dyDescent="0.3">
      <c r="B14" s="694"/>
      <c r="C14" s="694">
        <v>26010870</v>
      </c>
      <c r="D14" s="694"/>
      <c r="E14" s="694"/>
      <c r="F14" s="694"/>
      <c r="G14" s="694" t="s">
        <v>75</v>
      </c>
      <c r="H14" s="694"/>
      <c r="I14" s="694"/>
      <c r="J14" s="694"/>
      <c r="K14" s="694"/>
      <c r="L14" s="694"/>
      <c r="M14" s="515" t="s">
        <v>77</v>
      </c>
      <c r="N14" s="518">
        <v>46207</v>
      </c>
    </row>
    <row r="15" spans="2:14" ht="17.25" customHeight="1" x14ac:dyDescent="0.3">
      <c r="B15" s="694"/>
      <c r="C15" s="695">
        <v>26010871</v>
      </c>
      <c r="D15" s="695"/>
      <c r="E15" s="695"/>
      <c r="F15" s="695"/>
      <c r="G15" s="695" t="s">
        <v>75</v>
      </c>
      <c r="H15" s="695"/>
      <c r="I15" s="695"/>
      <c r="J15" s="695"/>
      <c r="K15" s="694"/>
      <c r="L15" s="694"/>
      <c r="M15" s="517" t="s">
        <v>77</v>
      </c>
      <c r="N15" s="516">
        <v>46209</v>
      </c>
    </row>
    <row r="16" spans="2:14" ht="17.25" customHeight="1" x14ac:dyDescent="0.3">
      <c r="B16" s="694"/>
      <c r="C16" s="694">
        <v>26010872</v>
      </c>
      <c r="D16" s="694"/>
      <c r="E16" s="694"/>
      <c r="F16" s="694"/>
      <c r="G16" s="694" t="s">
        <v>75</v>
      </c>
      <c r="H16" s="694"/>
      <c r="I16" s="694"/>
      <c r="J16" s="694"/>
      <c r="K16" s="694"/>
      <c r="L16" s="694"/>
      <c r="M16" s="515" t="s">
        <v>77</v>
      </c>
      <c r="N16" s="516">
        <v>46209</v>
      </c>
    </row>
    <row r="17" spans="2:15" ht="17.25" customHeight="1" x14ac:dyDescent="0.3">
      <c r="B17" s="694"/>
      <c r="C17" s="695">
        <v>26010873</v>
      </c>
      <c r="D17" s="695"/>
      <c r="E17" s="698"/>
      <c r="F17" s="698"/>
      <c r="G17" s="695" t="s">
        <v>75</v>
      </c>
      <c r="H17" s="695"/>
      <c r="I17" s="695"/>
      <c r="J17" s="695"/>
      <c r="K17" s="694"/>
      <c r="L17" s="694"/>
      <c r="M17" s="517" t="s">
        <v>77</v>
      </c>
      <c r="N17" s="516">
        <v>46209</v>
      </c>
    </row>
    <row r="18" spans="2:15" ht="17.25" customHeight="1" x14ac:dyDescent="0.3">
      <c r="B18" s="694"/>
      <c r="C18" s="694">
        <v>26010874</v>
      </c>
      <c r="D18" s="694"/>
      <c r="E18" s="694"/>
      <c r="F18" s="694"/>
      <c r="G18" s="694" t="s">
        <v>75</v>
      </c>
      <c r="H18" s="694"/>
      <c r="I18" s="694"/>
      <c r="J18" s="694"/>
      <c r="K18" s="694"/>
      <c r="L18" s="694"/>
      <c r="M18" s="515" t="s">
        <v>77</v>
      </c>
      <c r="N18" s="516">
        <v>46209</v>
      </c>
    </row>
    <row r="19" spans="2:15" ht="17.25" customHeight="1" x14ac:dyDescent="0.3">
      <c r="B19" s="694"/>
      <c r="C19" s="695">
        <v>26010875</v>
      </c>
      <c r="D19" s="695"/>
      <c r="E19" s="695"/>
      <c r="F19" s="695"/>
      <c r="G19" s="695" t="s">
        <v>75</v>
      </c>
      <c r="H19" s="695"/>
      <c r="I19" s="695"/>
      <c r="J19" s="695"/>
      <c r="K19" s="694"/>
      <c r="L19" s="694"/>
      <c r="M19" s="517" t="s">
        <v>77</v>
      </c>
      <c r="N19" s="516">
        <v>46209</v>
      </c>
    </row>
    <row r="20" spans="2:15" ht="17.25" customHeight="1" x14ac:dyDescent="0.3">
      <c r="B20" s="694"/>
      <c r="C20" s="694">
        <v>26010876</v>
      </c>
      <c r="D20" s="694"/>
      <c r="E20" s="694"/>
      <c r="F20" s="694"/>
      <c r="G20" s="694" t="s">
        <v>75</v>
      </c>
      <c r="H20" s="694"/>
      <c r="I20" s="694"/>
      <c r="J20" s="694"/>
      <c r="K20" s="694"/>
      <c r="L20" s="694"/>
      <c r="M20" s="515" t="s">
        <v>77</v>
      </c>
      <c r="N20" s="516">
        <v>46209</v>
      </c>
    </row>
    <row r="21" spans="2:15" ht="17.25" customHeight="1" x14ac:dyDescent="0.3">
      <c r="B21" s="694"/>
      <c r="C21" s="695">
        <v>26010877</v>
      </c>
      <c r="D21" s="695"/>
      <c r="E21" s="695"/>
      <c r="F21" s="695"/>
      <c r="G21" s="695" t="s">
        <v>75</v>
      </c>
      <c r="H21" s="695"/>
      <c r="I21" s="695"/>
      <c r="J21" s="695"/>
      <c r="K21" s="694"/>
      <c r="L21" s="694"/>
      <c r="M21" s="517" t="s">
        <v>77</v>
      </c>
      <c r="N21" s="516">
        <v>46209</v>
      </c>
    </row>
    <row r="22" spans="2:15" ht="17.25" customHeight="1" x14ac:dyDescent="0.3">
      <c r="B22" s="694"/>
      <c r="C22" s="694">
        <v>26010878</v>
      </c>
      <c r="D22" s="694"/>
      <c r="E22" s="694"/>
      <c r="F22" s="694"/>
      <c r="G22" s="694" t="s">
        <v>75</v>
      </c>
      <c r="H22" s="694"/>
      <c r="I22" s="694"/>
      <c r="J22" s="694"/>
      <c r="K22" s="694"/>
      <c r="L22" s="694"/>
      <c r="M22" s="515" t="s">
        <v>77</v>
      </c>
      <c r="N22" s="516">
        <v>46210</v>
      </c>
    </row>
    <row r="23" spans="2:15" ht="17.25" customHeight="1" x14ac:dyDescent="0.3">
      <c r="B23" s="694"/>
      <c r="C23" s="695">
        <v>26010879</v>
      </c>
      <c r="D23" s="695"/>
      <c r="E23" s="695"/>
      <c r="F23" s="695"/>
      <c r="G23" s="695" t="s">
        <v>75</v>
      </c>
      <c r="H23" s="695"/>
      <c r="I23" s="695"/>
      <c r="J23" s="695"/>
      <c r="K23" s="694"/>
      <c r="L23" s="694"/>
      <c r="M23" s="517" t="s">
        <v>77</v>
      </c>
      <c r="N23" s="516">
        <v>46210</v>
      </c>
    </row>
    <row r="24" spans="2:15" ht="17.25" customHeight="1" x14ac:dyDescent="0.3">
      <c r="B24" s="694"/>
      <c r="C24" s="694">
        <v>26010880</v>
      </c>
      <c r="D24" s="694"/>
      <c r="E24" s="694"/>
      <c r="F24" s="694"/>
      <c r="G24" s="694" t="s">
        <v>75</v>
      </c>
      <c r="H24" s="694"/>
      <c r="I24" s="694"/>
      <c r="J24" s="694"/>
      <c r="K24" s="694"/>
      <c r="L24" s="694"/>
      <c r="M24" s="515" t="s">
        <v>77</v>
      </c>
      <c r="N24" s="516">
        <v>46210</v>
      </c>
    </row>
    <row r="25" spans="2:15" ht="17.25" customHeight="1" x14ac:dyDescent="0.3">
      <c r="B25" s="694"/>
      <c r="C25" s="695">
        <v>26010881</v>
      </c>
      <c r="D25" s="695"/>
      <c r="E25" s="698"/>
      <c r="F25" s="698"/>
      <c r="G25" s="695" t="s">
        <v>167</v>
      </c>
      <c r="H25" s="695"/>
      <c r="I25" s="695"/>
      <c r="J25" s="695"/>
      <c r="K25" s="694"/>
      <c r="L25" s="694"/>
      <c r="M25" s="517" t="s">
        <v>77</v>
      </c>
      <c r="N25" s="516">
        <v>46213</v>
      </c>
    </row>
    <row r="26" spans="2:15" ht="17.25" customHeight="1" x14ac:dyDescent="0.3">
      <c r="B26" s="694"/>
      <c r="C26" s="694">
        <v>26010882</v>
      </c>
      <c r="D26" s="694"/>
      <c r="E26" s="694"/>
      <c r="F26" s="694"/>
      <c r="G26" s="694" t="s">
        <v>167</v>
      </c>
      <c r="H26" s="694"/>
      <c r="I26" s="694"/>
      <c r="J26" s="694"/>
      <c r="K26" s="694"/>
      <c r="L26" s="694"/>
      <c r="M26" s="515" t="s">
        <v>77</v>
      </c>
      <c r="N26" s="516">
        <v>46213</v>
      </c>
    </row>
    <row r="27" spans="2:15" ht="17.25" customHeight="1" x14ac:dyDescent="0.3">
      <c r="B27" s="694"/>
      <c r="C27" s="695">
        <v>26010883</v>
      </c>
      <c r="D27" s="695"/>
      <c r="E27" s="695"/>
      <c r="F27" s="695"/>
      <c r="G27" s="695" t="s">
        <v>167</v>
      </c>
      <c r="H27" s="695"/>
      <c r="I27" s="695"/>
      <c r="J27" s="695"/>
      <c r="K27" s="694"/>
      <c r="L27" s="694"/>
      <c r="M27" s="517" t="s">
        <v>77</v>
      </c>
      <c r="N27" s="516">
        <v>46213</v>
      </c>
    </row>
    <row r="28" spans="2:15" ht="17.25" customHeight="1" x14ac:dyDescent="0.3">
      <c r="B28" s="515" t="s">
        <v>1169</v>
      </c>
      <c r="C28" s="694">
        <v>26010884</v>
      </c>
      <c r="D28" s="694"/>
      <c r="E28" s="694"/>
      <c r="F28" s="694"/>
      <c r="G28" s="694" t="s">
        <v>1170</v>
      </c>
      <c r="H28" s="694"/>
      <c r="I28" s="694"/>
      <c r="J28" s="694"/>
      <c r="K28" s="694" t="s">
        <v>58</v>
      </c>
      <c r="L28" s="694"/>
      <c r="M28" s="515" t="s">
        <v>158</v>
      </c>
      <c r="N28" s="516">
        <v>46206</v>
      </c>
    </row>
    <row r="29" spans="2:15" ht="17.25" customHeight="1" x14ac:dyDescent="0.35">
      <c r="B29" s="690" t="s">
        <v>1171</v>
      </c>
      <c r="C29" s="690">
        <v>26010885</v>
      </c>
      <c r="D29" s="690"/>
      <c r="E29" s="690"/>
      <c r="F29" s="690"/>
      <c r="G29" s="690" t="s">
        <v>145</v>
      </c>
      <c r="H29" s="690"/>
      <c r="I29" s="690"/>
      <c r="J29" s="690"/>
      <c r="K29" s="690" t="s">
        <v>62</v>
      </c>
      <c r="L29" s="690"/>
      <c r="M29" s="519" t="s">
        <v>328</v>
      </c>
      <c r="N29" s="516">
        <v>46206</v>
      </c>
      <c r="O29" s="140" t="s">
        <v>329</v>
      </c>
    </row>
    <row r="30" spans="2:15" ht="17.25" customHeight="1" x14ac:dyDescent="0.3">
      <c r="B30" s="690"/>
      <c r="C30" s="694">
        <v>26010886</v>
      </c>
      <c r="D30" s="694"/>
      <c r="E30" s="694"/>
      <c r="F30" s="694"/>
      <c r="G30" s="694" t="s">
        <v>61</v>
      </c>
      <c r="H30" s="694"/>
      <c r="I30" s="694"/>
      <c r="J30" s="694"/>
      <c r="K30" s="690"/>
      <c r="L30" s="690"/>
      <c r="M30" s="515" t="s">
        <v>63</v>
      </c>
      <c r="N30" s="516">
        <v>46218</v>
      </c>
    </row>
    <row r="31" spans="2:15" ht="17.25" customHeight="1" x14ac:dyDescent="0.3">
      <c r="B31" s="690"/>
      <c r="C31" s="690">
        <v>26010887</v>
      </c>
      <c r="D31" s="690"/>
      <c r="E31" s="690"/>
      <c r="F31" s="690"/>
      <c r="G31" s="690" t="s">
        <v>351</v>
      </c>
      <c r="H31" s="690"/>
      <c r="I31" s="690"/>
      <c r="J31" s="690"/>
      <c r="K31" s="690"/>
      <c r="L31" s="690"/>
      <c r="M31" s="519"/>
      <c r="N31" s="520"/>
    </row>
    <row r="32" spans="2:15" ht="17.25" customHeight="1" x14ac:dyDescent="0.3">
      <c r="B32" s="690"/>
      <c r="C32" s="697">
        <v>26010888</v>
      </c>
      <c r="D32" s="697"/>
      <c r="E32" s="697"/>
      <c r="F32" s="697"/>
      <c r="G32" s="697" t="s">
        <v>64</v>
      </c>
      <c r="H32" s="697"/>
      <c r="I32" s="697"/>
      <c r="J32" s="697"/>
      <c r="K32" s="690"/>
      <c r="L32" s="690"/>
      <c r="M32" s="521" t="s">
        <v>1056</v>
      </c>
      <c r="N32" s="520">
        <v>46223</v>
      </c>
    </row>
    <row r="33" spans="2:14" ht="17.25" customHeight="1" x14ac:dyDescent="0.3">
      <c r="B33" s="690"/>
      <c r="C33" s="695">
        <v>26010889</v>
      </c>
      <c r="D33" s="695"/>
      <c r="E33" s="695"/>
      <c r="F33" s="695"/>
      <c r="G33" s="695" t="s">
        <v>143</v>
      </c>
      <c r="H33" s="695"/>
      <c r="I33" s="695"/>
      <c r="J33" s="695"/>
      <c r="K33" s="690"/>
      <c r="L33" s="690"/>
      <c r="M33" s="517" t="s">
        <v>463</v>
      </c>
      <c r="N33" s="516">
        <v>46217</v>
      </c>
    </row>
    <row r="34" spans="2:14" ht="17.25" customHeight="1" x14ac:dyDescent="0.3">
      <c r="B34" s="690"/>
      <c r="C34" s="694"/>
      <c r="D34" s="694"/>
      <c r="E34" s="694">
        <v>26060890</v>
      </c>
      <c r="F34" s="694"/>
      <c r="G34" s="694" t="s">
        <v>1179</v>
      </c>
      <c r="H34" s="694"/>
      <c r="I34" s="694"/>
      <c r="J34" s="694"/>
      <c r="K34" s="690"/>
      <c r="L34" s="690"/>
      <c r="M34" s="515" t="s">
        <v>1180</v>
      </c>
      <c r="N34" s="516">
        <v>46210</v>
      </c>
    </row>
    <row r="35" spans="2:14" ht="17.25" customHeight="1" x14ac:dyDescent="0.3">
      <c r="B35" s="690"/>
      <c r="C35" s="695"/>
      <c r="D35" s="695"/>
      <c r="E35" s="695">
        <v>26030891</v>
      </c>
      <c r="F35" s="695"/>
      <c r="G35" s="695" t="s">
        <v>95</v>
      </c>
      <c r="H35" s="695"/>
      <c r="I35" s="695"/>
      <c r="J35" s="695"/>
      <c r="K35" s="690"/>
      <c r="L35" s="690"/>
      <c r="M35" s="517" t="s">
        <v>106</v>
      </c>
      <c r="N35" s="516">
        <v>46212</v>
      </c>
    </row>
    <row r="36" spans="2:14" ht="17.25" customHeight="1" x14ac:dyDescent="0.3">
      <c r="B36" s="515" t="s">
        <v>1178</v>
      </c>
      <c r="C36" s="694">
        <v>26060890</v>
      </c>
      <c r="D36" s="694"/>
      <c r="E36" s="694"/>
      <c r="F36" s="694"/>
      <c r="G36" s="694" t="s">
        <v>422</v>
      </c>
      <c r="H36" s="694"/>
      <c r="I36" s="694"/>
      <c r="J36" s="694"/>
      <c r="K36" s="694" t="s">
        <v>76</v>
      </c>
      <c r="L36" s="694"/>
      <c r="M36" s="522" t="s">
        <v>423</v>
      </c>
      <c r="N36" s="516">
        <v>46209</v>
      </c>
    </row>
    <row r="37" spans="2:14" ht="17.25" customHeight="1" x14ac:dyDescent="0.3">
      <c r="B37" s="517" t="s">
        <v>1181</v>
      </c>
      <c r="C37" s="695">
        <v>26030891</v>
      </c>
      <c r="D37" s="695"/>
      <c r="E37" s="695"/>
      <c r="F37" s="695"/>
      <c r="G37" s="695" t="s">
        <v>95</v>
      </c>
      <c r="H37" s="695"/>
      <c r="I37" s="695"/>
      <c r="J37" s="695"/>
      <c r="K37" s="695" t="s">
        <v>76</v>
      </c>
      <c r="L37" s="695"/>
      <c r="M37" s="517" t="s">
        <v>1206</v>
      </c>
      <c r="N37" s="516">
        <v>46209</v>
      </c>
    </row>
    <row r="38" spans="2:14" ht="17.25" customHeight="1" x14ac:dyDescent="0.3">
      <c r="B38" s="697" t="s">
        <v>1182</v>
      </c>
      <c r="C38" s="694">
        <v>26010892</v>
      </c>
      <c r="D38" s="694"/>
      <c r="E38" s="694"/>
      <c r="F38" s="694"/>
      <c r="G38" s="694" t="s">
        <v>167</v>
      </c>
      <c r="H38" s="694"/>
      <c r="I38" s="694"/>
      <c r="J38" s="694"/>
      <c r="K38" s="697" t="s">
        <v>76</v>
      </c>
      <c r="L38" s="697"/>
      <c r="M38" s="515" t="s">
        <v>77</v>
      </c>
      <c r="N38" s="516">
        <v>46214</v>
      </c>
    </row>
    <row r="39" spans="2:14" ht="17.25" customHeight="1" x14ac:dyDescent="0.3">
      <c r="B39" s="697"/>
      <c r="C39" s="695">
        <v>26010893</v>
      </c>
      <c r="D39" s="695"/>
      <c r="E39" s="695"/>
      <c r="F39" s="695"/>
      <c r="G39" s="695" t="s">
        <v>167</v>
      </c>
      <c r="H39" s="695"/>
      <c r="I39" s="695"/>
      <c r="J39" s="695"/>
      <c r="K39" s="697"/>
      <c r="L39" s="697"/>
      <c r="M39" s="517" t="s">
        <v>77</v>
      </c>
      <c r="N39" s="516">
        <v>46214</v>
      </c>
    </row>
    <row r="40" spans="2:14" ht="17.25" customHeight="1" x14ac:dyDescent="0.3">
      <c r="B40" s="697"/>
      <c r="C40" s="694">
        <v>26010894</v>
      </c>
      <c r="D40" s="694"/>
      <c r="E40" s="694"/>
      <c r="F40" s="694"/>
      <c r="G40" s="694" t="s">
        <v>167</v>
      </c>
      <c r="H40" s="694"/>
      <c r="I40" s="694"/>
      <c r="J40" s="694"/>
      <c r="K40" s="697"/>
      <c r="L40" s="697"/>
      <c r="M40" s="515" t="s">
        <v>77</v>
      </c>
      <c r="N40" s="516">
        <v>46214</v>
      </c>
    </row>
    <row r="41" spans="2:14" ht="17.25" customHeight="1" x14ac:dyDescent="0.3">
      <c r="B41" s="697"/>
      <c r="C41" s="695">
        <v>26010895</v>
      </c>
      <c r="D41" s="695"/>
      <c r="E41" s="698"/>
      <c r="F41" s="698"/>
      <c r="G41" s="695" t="s">
        <v>75</v>
      </c>
      <c r="H41" s="695"/>
      <c r="I41" s="695"/>
      <c r="J41" s="695"/>
      <c r="K41" s="697"/>
      <c r="L41" s="697"/>
      <c r="M41" s="517" t="s">
        <v>77</v>
      </c>
      <c r="N41" s="516">
        <v>46214</v>
      </c>
    </row>
    <row r="42" spans="2:14" ht="17.25" customHeight="1" x14ac:dyDescent="0.3">
      <c r="B42" s="697"/>
      <c r="C42" s="694">
        <v>26010896</v>
      </c>
      <c r="D42" s="694"/>
      <c r="E42" s="694"/>
      <c r="F42" s="694"/>
      <c r="G42" s="694" t="s">
        <v>75</v>
      </c>
      <c r="H42" s="694"/>
      <c r="I42" s="694"/>
      <c r="J42" s="694"/>
      <c r="K42" s="697"/>
      <c r="L42" s="697"/>
      <c r="M42" s="515" t="s">
        <v>77</v>
      </c>
      <c r="N42" s="516">
        <v>46214</v>
      </c>
    </row>
    <row r="43" spans="2:14" ht="17.25" customHeight="1" x14ac:dyDescent="0.3">
      <c r="B43" s="697"/>
      <c r="C43" s="695">
        <v>26010897</v>
      </c>
      <c r="D43" s="695"/>
      <c r="E43" s="695"/>
      <c r="F43" s="695"/>
      <c r="G43" s="695" t="s">
        <v>75</v>
      </c>
      <c r="H43" s="695"/>
      <c r="I43" s="695"/>
      <c r="J43" s="695"/>
      <c r="K43" s="697"/>
      <c r="L43" s="697"/>
      <c r="M43" s="517" t="s">
        <v>77</v>
      </c>
      <c r="N43" s="516">
        <v>46218</v>
      </c>
    </row>
    <row r="44" spans="2:14" ht="17.25" customHeight="1" x14ac:dyDescent="0.3">
      <c r="B44" s="697"/>
      <c r="C44" s="694">
        <v>26010898</v>
      </c>
      <c r="D44" s="694"/>
      <c r="E44" s="694"/>
      <c r="F44" s="694"/>
      <c r="G44" s="694" t="s">
        <v>75</v>
      </c>
      <c r="H44" s="694"/>
      <c r="I44" s="694"/>
      <c r="J44" s="694"/>
      <c r="K44" s="697"/>
      <c r="L44" s="697"/>
      <c r="M44" s="515" t="s">
        <v>77</v>
      </c>
      <c r="N44" s="516">
        <v>46218</v>
      </c>
    </row>
    <row r="45" spans="2:14" ht="17.25" customHeight="1" x14ac:dyDescent="0.3">
      <c r="B45" s="697"/>
      <c r="C45" s="695">
        <v>26010899</v>
      </c>
      <c r="D45" s="695"/>
      <c r="E45" s="695"/>
      <c r="F45" s="695"/>
      <c r="G45" s="695" t="s">
        <v>75</v>
      </c>
      <c r="H45" s="695"/>
      <c r="I45" s="695"/>
      <c r="J45" s="695"/>
      <c r="K45" s="697"/>
      <c r="L45" s="697"/>
      <c r="M45" s="517" t="s">
        <v>77</v>
      </c>
      <c r="N45" s="516">
        <v>46218</v>
      </c>
    </row>
    <row r="46" spans="2:14" ht="17.25" customHeight="1" x14ac:dyDescent="0.3">
      <c r="B46" s="697"/>
      <c r="C46" s="694">
        <v>26010900</v>
      </c>
      <c r="D46" s="694"/>
      <c r="E46" s="694"/>
      <c r="F46" s="694"/>
      <c r="G46" s="694" t="s">
        <v>75</v>
      </c>
      <c r="H46" s="694"/>
      <c r="I46" s="694"/>
      <c r="J46" s="694"/>
      <c r="K46" s="697"/>
      <c r="L46" s="697"/>
      <c r="M46" s="515" t="s">
        <v>77</v>
      </c>
      <c r="N46" s="516">
        <v>46218</v>
      </c>
    </row>
    <row r="47" spans="2:14" ht="17.25" customHeight="1" x14ac:dyDescent="0.3">
      <c r="B47" s="697"/>
      <c r="C47" s="695">
        <v>26010901</v>
      </c>
      <c r="D47" s="695"/>
      <c r="E47" s="695"/>
      <c r="F47" s="695"/>
      <c r="G47" s="695" t="s">
        <v>75</v>
      </c>
      <c r="H47" s="695"/>
      <c r="I47" s="695"/>
      <c r="J47" s="695"/>
      <c r="K47" s="697"/>
      <c r="L47" s="697"/>
      <c r="M47" s="517" t="s">
        <v>77</v>
      </c>
      <c r="N47" s="516">
        <v>46218</v>
      </c>
    </row>
    <row r="48" spans="2:14" ht="17.25" customHeight="1" x14ac:dyDescent="0.3">
      <c r="B48" s="697"/>
      <c r="C48" s="694">
        <v>26010902</v>
      </c>
      <c r="D48" s="694"/>
      <c r="E48" s="696"/>
      <c r="F48" s="696"/>
      <c r="G48" s="694" t="s">
        <v>75</v>
      </c>
      <c r="H48" s="694"/>
      <c r="I48" s="694"/>
      <c r="J48" s="694"/>
      <c r="K48" s="697"/>
      <c r="L48" s="697"/>
      <c r="M48" s="515" t="s">
        <v>77</v>
      </c>
      <c r="N48" s="516">
        <v>46218</v>
      </c>
    </row>
    <row r="49" spans="2:14" ht="17.25" customHeight="1" x14ac:dyDescent="0.3">
      <c r="B49" s="697"/>
      <c r="C49" s="695">
        <v>26010903</v>
      </c>
      <c r="D49" s="695"/>
      <c r="E49" s="695"/>
      <c r="F49" s="695"/>
      <c r="G49" s="695" t="s">
        <v>75</v>
      </c>
      <c r="H49" s="695"/>
      <c r="I49" s="695"/>
      <c r="J49" s="695"/>
      <c r="K49" s="697"/>
      <c r="L49" s="697"/>
      <c r="M49" s="517" t="s">
        <v>77</v>
      </c>
      <c r="N49" s="516">
        <v>46218</v>
      </c>
    </row>
    <row r="50" spans="2:14" ht="17.25" customHeight="1" x14ac:dyDescent="0.3">
      <c r="B50" s="697"/>
      <c r="C50" s="694">
        <v>26010904</v>
      </c>
      <c r="D50" s="694"/>
      <c r="E50" s="694"/>
      <c r="F50" s="694"/>
      <c r="G50" s="694" t="s">
        <v>75</v>
      </c>
      <c r="H50" s="694"/>
      <c r="I50" s="694"/>
      <c r="J50" s="694"/>
      <c r="K50" s="697"/>
      <c r="L50" s="697"/>
      <c r="M50" s="515" t="s">
        <v>77</v>
      </c>
      <c r="N50" s="516">
        <v>46219</v>
      </c>
    </row>
    <row r="51" spans="2:14" ht="17.25" customHeight="1" x14ac:dyDescent="0.3">
      <c r="B51" s="697"/>
      <c r="C51" s="695">
        <v>26010905</v>
      </c>
      <c r="D51" s="695"/>
      <c r="E51" s="695"/>
      <c r="F51" s="695"/>
      <c r="G51" s="695" t="s">
        <v>75</v>
      </c>
      <c r="H51" s="695"/>
      <c r="I51" s="695"/>
      <c r="J51" s="695"/>
      <c r="K51" s="697"/>
      <c r="L51" s="697"/>
      <c r="M51" s="517" t="s">
        <v>77</v>
      </c>
      <c r="N51" s="516">
        <v>46219</v>
      </c>
    </row>
    <row r="52" spans="2:14" ht="17.25" customHeight="1" x14ac:dyDescent="0.3">
      <c r="B52" s="697"/>
      <c r="C52" s="694">
        <v>26010906</v>
      </c>
      <c r="D52" s="694"/>
      <c r="E52" s="694"/>
      <c r="F52" s="694"/>
      <c r="G52" s="694" t="s">
        <v>75</v>
      </c>
      <c r="H52" s="694"/>
      <c r="I52" s="694"/>
      <c r="J52" s="694"/>
      <c r="K52" s="697"/>
      <c r="L52" s="697"/>
      <c r="M52" s="515" t="s">
        <v>77</v>
      </c>
      <c r="N52" s="516">
        <v>46219</v>
      </c>
    </row>
    <row r="53" spans="2:14" ht="17.25" customHeight="1" x14ac:dyDescent="0.3">
      <c r="B53" s="697"/>
      <c r="C53" s="695">
        <v>26010907</v>
      </c>
      <c r="D53" s="695"/>
      <c r="E53" s="695"/>
      <c r="F53" s="695"/>
      <c r="G53" s="695" t="s">
        <v>75</v>
      </c>
      <c r="H53" s="695"/>
      <c r="I53" s="695"/>
      <c r="J53" s="695"/>
      <c r="K53" s="697"/>
      <c r="L53" s="697"/>
      <c r="M53" s="517" t="s">
        <v>77</v>
      </c>
      <c r="N53" s="516">
        <v>46219</v>
      </c>
    </row>
    <row r="54" spans="2:14" ht="17.25" customHeight="1" x14ac:dyDescent="0.3">
      <c r="B54" s="697"/>
      <c r="C54" s="694">
        <v>26010908</v>
      </c>
      <c r="D54" s="694"/>
      <c r="E54" s="694"/>
      <c r="F54" s="694"/>
      <c r="G54" s="694" t="s">
        <v>75</v>
      </c>
      <c r="H54" s="694"/>
      <c r="I54" s="694"/>
      <c r="J54" s="694"/>
      <c r="K54" s="697"/>
      <c r="L54" s="697"/>
      <c r="M54" s="515" t="s">
        <v>77</v>
      </c>
      <c r="N54" s="516">
        <v>46219</v>
      </c>
    </row>
    <row r="55" spans="2:14" ht="17.25" customHeight="1" x14ac:dyDescent="0.3">
      <c r="B55" s="697"/>
      <c r="C55" s="695">
        <v>26010909</v>
      </c>
      <c r="D55" s="695"/>
      <c r="E55" s="695"/>
      <c r="F55" s="695"/>
      <c r="G55" s="695" t="s">
        <v>75</v>
      </c>
      <c r="H55" s="695"/>
      <c r="I55" s="695"/>
      <c r="J55" s="695"/>
      <c r="K55" s="697"/>
      <c r="L55" s="697"/>
      <c r="M55" s="517" t="s">
        <v>77</v>
      </c>
      <c r="N55" s="516">
        <v>46219</v>
      </c>
    </row>
    <row r="56" spans="2:14" ht="17.25" customHeight="1" x14ac:dyDescent="0.3">
      <c r="B56" s="697"/>
      <c r="C56" s="694">
        <v>26010910</v>
      </c>
      <c r="D56" s="694"/>
      <c r="E56" s="696"/>
      <c r="F56" s="696"/>
      <c r="G56" s="694" t="s">
        <v>75</v>
      </c>
      <c r="H56" s="694"/>
      <c r="I56" s="694"/>
      <c r="J56" s="694"/>
      <c r="K56" s="697"/>
      <c r="L56" s="697"/>
      <c r="M56" s="515" t="s">
        <v>77</v>
      </c>
      <c r="N56" s="516">
        <v>46219</v>
      </c>
    </row>
    <row r="57" spans="2:14" ht="17.25" customHeight="1" x14ac:dyDescent="0.3">
      <c r="B57" s="697"/>
      <c r="C57" s="695">
        <v>26010911</v>
      </c>
      <c r="D57" s="695"/>
      <c r="E57" s="695"/>
      <c r="F57" s="695"/>
      <c r="G57" s="695" t="s">
        <v>75</v>
      </c>
      <c r="H57" s="695"/>
      <c r="I57" s="695"/>
      <c r="J57" s="695"/>
      <c r="K57" s="697"/>
      <c r="L57" s="697"/>
      <c r="M57" s="517" t="s">
        <v>77</v>
      </c>
      <c r="N57" s="516">
        <v>46219</v>
      </c>
    </row>
    <row r="58" spans="2:14" ht="17.25" customHeight="1" x14ac:dyDescent="0.3">
      <c r="B58" s="697"/>
      <c r="C58" s="694">
        <v>26010912</v>
      </c>
      <c r="D58" s="694"/>
      <c r="E58" s="694"/>
      <c r="F58" s="694"/>
      <c r="G58" s="694" t="s">
        <v>75</v>
      </c>
      <c r="H58" s="694"/>
      <c r="I58" s="694"/>
      <c r="J58" s="694"/>
      <c r="K58" s="697"/>
      <c r="L58" s="697"/>
      <c r="M58" s="515" t="s">
        <v>77</v>
      </c>
      <c r="N58" s="516">
        <v>46219</v>
      </c>
    </row>
    <row r="59" spans="2:14" ht="17.25" customHeight="1" x14ac:dyDescent="0.3">
      <c r="B59" s="697"/>
      <c r="C59" s="695">
        <v>26010913</v>
      </c>
      <c r="D59" s="695"/>
      <c r="E59" s="695"/>
      <c r="F59" s="695"/>
      <c r="G59" s="695" t="s">
        <v>75</v>
      </c>
      <c r="H59" s="695"/>
      <c r="I59" s="695"/>
      <c r="J59" s="695"/>
      <c r="K59" s="697"/>
      <c r="L59" s="697"/>
      <c r="M59" s="517" t="s">
        <v>77</v>
      </c>
      <c r="N59" s="516">
        <v>46220</v>
      </c>
    </row>
    <row r="60" spans="2:14" ht="17.25" customHeight="1" x14ac:dyDescent="0.3">
      <c r="B60" s="697"/>
      <c r="C60" s="694">
        <v>26010914</v>
      </c>
      <c r="D60" s="694"/>
      <c r="E60" s="694"/>
      <c r="F60" s="694"/>
      <c r="G60" s="694" t="s">
        <v>75</v>
      </c>
      <c r="H60" s="694"/>
      <c r="I60" s="694"/>
      <c r="J60" s="694"/>
      <c r="K60" s="697"/>
      <c r="L60" s="697"/>
      <c r="M60" s="515" t="s">
        <v>77</v>
      </c>
      <c r="N60" s="516">
        <v>46220</v>
      </c>
    </row>
    <row r="61" spans="2:14" ht="17.25" customHeight="1" x14ac:dyDescent="0.3">
      <c r="B61" s="697"/>
      <c r="C61" s="695">
        <v>26010915</v>
      </c>
      <c r="D61" s="695"/>
      <c r="E61" s="695"/>
      <c r="F61" s="695"/>
      <c r="G61" s="695" t="s">
        <v>75</v>
      </c>
      <c r="H61" s="695"/>
      <c r="I61" s="695"/>
      <c r="J61" s="695"/>
      <c r="K61" s="697"/>
      <c r="L61" s="697"/>
      <c r="M61" s="517" t="s">
        <v>77</v>
      </c>
      <c r="N61" s="516">
        <v>46220</v>
      </c>
    </row>
    <row r="62" spans="2:14" ht="17.25" customHeight="1" x14ac:dyDescent="0.3">
      <c r="B62" s="697"/>
      <c r="C62" s="694">
        <v>26010916</v>
      </c>
      <c r="D62" s="694"/>
      <c r="E62" s="694"/>
      <c r="F62" s="694"/>
      <c r="G62" s="694" t="s">
        <v>75</v>
      </c>
      <c r="H62" s="694"/>
      <c r="I62" s="694"/>
      <c r="J62" s="694"/>
      <c r="K62" s="697"/>
      <c r="L62" s="697"/>
      <c r="M62" s="515" t="s">
        <v>77</v>
      </c>
      <c r="N62" s="516">
        <v>46220</v>
      </c>
    </row>
    <row r="63" spans="2:14" ht="17.25" customHeight="1" x14ac:dyDescent="0.3">
      <c r="B63" s="697"/>
      <c r="C63" s="695">
        <v>26010917</v>
      </c>
      <c r="D63" s="695"/>
      <c r="E63" s="695"/>
      <c r="F63" s="695"/>
      <c r="G63" s="695" t="s">
        <v>75</v>
      </c>
      <c r="H63" s="695"/>
      <c r="I63" s="695"/>
      <c r="J63" s="695"/>
      <c r="K63" s="697"/>
      <c r="L63" s="697"/>
      <c r="M63" s="517" t="s">
        <v>77</v>
      </c>
      <c r="N63" s="516">
        <v>46220</v>
      </c>
    </row>
    <row r="64" spans="2:14" ht="17.25" customHeight="1" x14ac:dyDescent="0.3">
      <c r="B64" s="697"/>
      <c r="C64" s="694">
        <v>26010918</v>
      </c>
      <c r="D64" s="694"/>
      <c r="E64" s="696"/>
      <c r="F64" s="696"/>
      <c r="G64" s="694" t="s">
        <v>75</v>
      </c>
      <c r="H64" s="694"/>
      <c r="I64" s="694"/>
      <c r="J64" s="694"/>
      <c r="K64" s="697"/>
      <c r="L64" s="697"/>
      <c r="M64" s="515" t="s">
        <v>77</v>
      </c>
      <c r="N64" s="516">
        <v>46220</v>
      </c>
    </row>
    <row r="65" spans="2:14" ht="17.25" customHeight="1" x14ac:dyDescent="0.3">
      <c r="B65" s="697"/>
      <c r="C65" s="695">
        <v>26010919</v>
      </c>
      <c r="D65" s="695"/>
      <c r="E65" s="695"/>
      <c r="F65" s="695"/>
      <c r="G65" s="695" t="s">
        <v>75</v>
      </c>
      <c r="H65" s="695"/>
      <c r="I65" s="695"/>
      <c r="J65" s="695"/>
      <c r="K65" s="697"/>
      <c r="L65" s="697"/>
      <c r="M65" s="517" t="s">
        <v>77</v>
      </c>
      <c r="N65" s="516">
        <v>46220</v>
      </c>
    </row>
    <row r="66" spans="2:14" ht="17.25" customHeight="1" x14ac:dyDescent="0.3">
      <c r="B66" s="697"/>
      <c r="C66" s="697">
        <v>26010920</v>
      </c>
      <c r="D66" s="697"/>
      <c r="E66" s="697"/>
      <c r="F66" s="697"/>
      <c r="G66" s="697" t="s">
        <v>75</v>
      </c>
      <c r="H66" s="697"/>
      <c r="I66" s="697"/>
      <c r="J66" s="697"/>
      <c r="K66" s="697"/>
      <c r="L66" s="697"/>
      <c r="M66" s="521" t="s">
        <v>77</v>
      </c>
      <c r="N66" s="520">
        <v>46220</v>
      </c>
    </row>
    <row r="67" spans="2:14" ht="17.25" customHeight="1" x14ac:dyDescent="0.3">
      <c r="B67" s="690" t="s">
        <v>1183</v>
      </c>
      <c r="C67" s="695">
        <v>26020921</v>
      </c>
      <c r="D67" s="695"/>
      <c r="E67" s="695"/>
      <c r="F67" s="695"/>
      <c r="G67" s="695" t="s">
        <v>273</v>
      </c>
      <c r="H67" s="695"/>
      <c r="I67" s="695"/>
      <c r="J67" s="695"/>
      <c r="K67" s="690" t="s">
        <v>76</v>
      </c>
      <c r="L67" s="690"/>
      <c r="M67" s="517" t="s">
        <v>274</v>
      </c>
      <c r="N67" s="516">
        <v>46210</v>
      </c>
    </row>
    <row r="68" spans="2:14" ht="17.25" customHeight="1" x14ac:dyDescent="0.3">
      <c r="B68" s="690"/>
      <c r="C68" s="694">
        <v>26020922</v>
      </c>
      <c r="D68" s="694"/>
      <c r="E68" s="694"/>
      <c r="F68" s="694"/>
      <c r="G68" s="694" t="s">
        <v>385</v>
      </c>
      <c r="H68" s="694"/>
      <c r="I68" s="694"/>
      <c r="J68" s="694"/>
      <c r="K68" s="690"/>
      <c r="L68" s="690"/>
      <c r="M68" s="515" t="s">
        <v>384</v>
      </c>
      <c r="N68" s="516">
        <v>46211</v>
      </c>
    </row>
    <row r="69" spans="2:14" ht="17.25" customHeight="1" x14ac:dyDescent="0.3">
      <c r="B69" s="690"/>
      <c r="C69" s="695">
        <v>26020923</v>
      </c>
      <c r="D69" s="695"/>
      <c r="E69" s="695"/>
      <c r="F69" s="695"/>
      <c r="G69" s="695" t="s">
        <v>386</v>
      </c>
      <c r="H69" s="695"/>
      <c r="I69" s="695"/>
      <c r="J69" s="695"/>
      <c r="K69" s="690"/>
      <c r="L69" s="690"/>
      <c r="M69" s="517" t="s">
        <v>274</v>
      </c>
      <c r="N69" s="516">
        <v>46211</v>
      </c>
    </row>
    <row r="70" spans="2:14" ht="17.25" customHeight="1" x14ac:dyDescent="0.3">
      <c r="B70" s="690"/>
      <c r="C70" s="694">
        <v>26020924</v>
      </c>
      <c r="D70" s="694"/>
      <c r="E70" s="694"/>
      <c r="F70" s="694"/>
      <c r="G70" s="694" t="s">
        <v>1184</v>
      </c>
      <c r="H70" s="694"/>
      <c r="I70" s="694"/>
      <c r="J70" s="694"/>
      <c r="K70" s="690"/>
      <c r="L70" s="690"/>
      <c r="M70" s="522" t="s">
        <v>384</v>
      </c>
      <c r="N70" s="516">
        <v>46211</v>
      </c>
    </row>
    <row r="71" spans="2:14" ht="17.25" customHeight="1" x14ac:dyDescent="0.3">
      <c r="B71" s="690"/>
      <c r="C71" s="695">
        <v>26020925</v>
      </c>
      <c r="D71" s="695"/>
      <c r="E71" s="695"/>
      <c r="F71" s="695"/>
      <c r="G71" s="695" t="s">
        <v>389</v>
      </c>
      <c r="H71" s="695"/>
      <c r="I71" s="695"/>
      <c r="J71" s="695"/>
      <c r="K71" s="690"/>
      <c r="L71" s="690"/>
      <c r="M71" s="517" t="s">
        <v>384</v>
      </c>
      <c r="N71" s="516">
        <v>46211</v>
      </c>
    </row>
    <row r="72" spans="2:14" ht="17.25" customHeight="1" x14ac:dyDescent="0.3">
      <c r="B72" s="690"/>
      <c r="C72" s="697">
        <v>26020926</v>
      </c>
      <c r="D72" s="697"/>
      <c r="E72" s="697"/>
      <c r="F72" s="697"/>
      <c r="G72" s="697" t="s">
        <v>390</v>
      </c>
      <c r="H72" s="697"/>
      <c r="I72" s="697"/>
      <c r="J72" s="697"/>
      <c r="K72" s="690"/>
      <c r="L72" s="690"/>
      <c r="M72" s="521" t="s">
        <v>384</v>
      </c>
      <c r="N72" s="520"/>
    </row>
    <row r="73" spans="2:14" ht="17.25" customHeight="1" x14ac:dyDescent="0.3">
      <c r="B73" s="695" t="s">
        <v>1187</v>
      </c>
      <c r="C73" s="695"/>
      <c r="D73" s="695"/>
      <c r="E73" s="695">
        <v>26020921</v>
      </c>
      <c r="F73" s="695"/>
      <c r="G73" s="695" t="s">
        <v>273</v>
      </c>
      <c r="H73" s="695"/>
      <c r="I73" s="695"/>
      <c r="J73" s="695"/>
      <c r="K73" s="695" t="s">
        <v>62</v>
      </c>
      <c r="L73" s="695"/>
      <c r="M73" s="517" t="s">
        <v>417</v>
      </c>
      <c r="N73" s="516">
        <v>46211</v>
      </c>
    </row>
    <row r="74" spans="2:14" ht="17.25" customHeight="1" x14ac:dyDescent="0.3">
      <c r="B74" s="695"/>
      <c r="C74" s="694"/>
      <c r="D74" s="694"/>
      <c r="E74" s="694">
        <v>26020923</v>
      </c>
      <c r="F74" s="694"/>
      <c r="G74" s="694" t="s">
        <v>386</v>
      </c>
      <c r="H74" s="694"/>
      <c r="I74" s="694"/>
      <c r="J74" s="694"/>
      <c r="K74" s="695"/>
      <c r="L74" s="695"/>
      <c r="M74" s="515" t="s">
        <v>127</v>
      </c>
      <c r="N74" s="516">
        <v>46211</v>
      </c>
    </row>
    <row r="75" spans="2:14" ht="17.25" customHeight="1" x14ac:dyDescent="0.3">
      <c r="B75" s="695"/>
      <c r="C75" s="695"/>
      <c r="D75" s="695"/>
      <c r="E75" s="695">
        <v>26020924</v>
      </c>
      <c r="F75" s="695"/>
      <c r="G75" s="695" t="s">
        <v>1184</v>
      </c>
      <c r="H75" s="695"/>
      <c r="I75" s="695"/>
      <c r="J75" s="695"/>
      <c r="K75" s="695"/>
      <c r="L75" s="695"/>
      <c r="M75" s="517" t="s">
        <v>417</v>
      </c>
      <c r="N75" s="516">
        <v>46211</v>
      </c>
    </row>
    <row r="76" spans="2:14" ht="17.25" customHeight="1" x14ac:dyDescent="0.3">
      <c r="B76" s="697" t="s">
        <v>1188</v>
      </c>
      <c r="C76" s="694"/>
      <c r="D76" s="694"/>
      <c r="E76" s="694">
        <v>26020921</v>
      </c>
      <c r="F76" s="694"/>
      <c r="G76" s="694" t="s">
        <v>273</v>
      </c>
      <c r="H76" s="694"/>
      <c r="I76" s="694"/>
      <c r="J76" s="694"/>
      <c r="K76" s="697" t="s">
        <v>126</v>
      </c>
      <c r="L76" s="697"/>
      <c r="M76" s="515" t="s">
        <v>417</v>
      </c>
      <c r="N76" s="516">
        <v>46210</v>
      </c>
    </row>
    <row r="77" spans="2:14" ht="17.25" customHeight="1" x14ac:dyDescent="0.3">
      <c r="B77" s="697"/>
      <c r="C77" s="695"/>
      <c r="D77" s="695"/>
      <c r="E77" s="695">
        <v>26020922</v>
      </c>
      <c r="F77" s="695"/>
      <c r="G77" s="695" t="s">
        <v>385</v>
      </c>
      <c r="H77" s="695"/>
      <c r="I77" s="695"/>
      <c r="J77" s="695"/>
      <c r="K77" s="697"/>
      <c r="L77" s="697"/>
      <c r="M77" s="517" t="s">
        <v>417</v>
      </c>
      <c r="N77" s="516">
        <v>46211</v>
      </c>
    </row>
    <row r="78" spans="2:14" ht="17.25" customHeight="1" x14ac:dyDescent="0.3">
      <c r="B78" s="697"/>
      <c r="C78" s="694"/>
      <c r="D78" s="694"/>
      <c r="E78" s="694">
        <v>26020925</v>
      </c>
      <c r="F78" s="694"/>
      <c r="G78" s="694" t="s">
        <v>389</v>
      </c>
      <c r="H78" s="694"/>
      <c r="I78" s="694"/>
      <c r="J78" s="694"/>
      <c r="K78" s="697"/>
      <c r="L78" s="697"/>
      <c r="M78" s="515" t="s">
        <v>417</v>
      </c>
      <c r="N78" s="516">
        <v>46211</v>
      </c>
    </row>
    <row r="79" spans="2:14" ht="17.25" customHeight="1" x14ac:dyDescent="0.3">
      <c r="B79" s="697"/>
      <c r="C79" s="690"/>
      <c r="D79" s="690"/>
      <c r="E79" s="690">
        <v>26020926</v>
      </c>
      <c r="F79" s="690"/>
      <c r="G79" s="690" t="s">
        <v>390</v>
      </c>
      <c r="H79" s="690"/>
      <c r="I79" s="690"/>
      <c r="J79" s="690"/>
      <c r="K79" s="697"/>
      <c r="L79" s="697"/>
      <c r="M79" s="519" t="s">
        <v>417</v>
      </c>
      <c r="N79" s="520"/>
    </row>
    <row r="80" spans="2:14" ht="17.25" customHeight="1" x14ac:dyDescent="0.3">
      <c r="B80" s="515" t="s">
        <v>1194</v>
      </c>
      <c r="C80" s="694">
        <v>26030927</v>
      </c>
      <c r="D80" s="694"/>
      <c r="E80" s="694"/>
      <c r="F80" s="694"/>
      <c r="G80" s="694" t="s">
        <v>1195</v>
      </c>
      <c r="H80" s="694"/>
      <c r="I80" s="694"/>
      <c r="J80" s="694"/>
      <c r="K80" s="694" t="s">
        <v>76</v>
      </c>
      <c r="L80" s="694"/>
      <c r="M80" s="515" t="s">
        <v>94</v>
      </c>
      <c r="N80" s="516">
        <v>46211</v>
      </c>
    </row>
    <row r="81" spans="2:14" ht="17.25" customHeight="1" x14ac:dyDescent="0.3">
      <c r="B81" s="690" t="s">
        <v>1196</v>
      </c>
      <c r="C81" s="695"/>
      <c r="D81" s="695"/>
      <c r="E81" s="695">
        <v>26030891</v>
      </c>
      <c r="F81" s="695"/>
      <c r="G81" s="695" t="s">
        <v>1230</v>
      </c>
      <c r="H81" s="695"/>
      <c r="I81" s="695"/>
      <c r="J81" s="695"/>
      <c r="K81" s="690" t="s">
        <v>103</v>
      </c>
      <c r="L81" s="690"/>
      <c r="M81" s="517" t="s">
        <v>106</v>
      </c>
      <c r="N81" s="516">
        <v>46212</v>
      </c>
    </row>
    <row r="82" spans="2:14" ht="17.25" customHeight="1" x14ac:dyDescent="0.3">
      <c r="B82" s="690"/>
      <c r="C82" s="694"/>
      <c r="D82" s="694"/>
      <c r="E82" s="694">
        <v>26030927</v>
      </c>
      <c r="F82" s="694"/>
      <c r="G82" s="694" t="s">
        <v>1195</v>
      </c>
      <c r="H82" s="694"/>
      <c r="I82" s="694"/>
      <c r="J82" s="694"/>
      <c r="K82" s="690"/>
      <c r="L82" s="690"/>
      <c r="M82" s="515" t="s">
        <v>1197</v>
      </c>
      <c r="N82" s="516">
        <v>46212</v>
      </c>
    </row>
    <row r="83" spans="2:14" ht="17.25" customHeight="1" x14ac:dyDescent="0.3">
      <c r="B83" s="690"/>
      <c r="C83" s="690">
        <v>26010928</v>
      </c>
      <c r="D83" s="690"/>
      <c r="E83" s="690"/>
      <c r="F83" s="690"/>
      <c r="G83" s="690" t="s">
        <v>232</v>
      </c>
      <c r="H83" s="690"/>
      <c r="I83" s="690"/>
      <c r="J83" s="690"/>
      <c r="K83" s="690"/>
      <c r="L83" s="690"/>
      <c r="M83" s="519" t="s">
        <v>136</v>
      </c>
      <c r="N83" s="520">
        <v>46224</v>
      </c>
    </row>
    <row r="84" spans="2:14" ht="17.25" customHeight="1" x14ac:dyDescent="0.3">
      <c r="B84" s="515" t="s">
        <v>1198</v>
      </c>
      <c r="C84" s="694">
        <v>26050929</v>
      </c>
      <c r="D84" s="694"/>
      <c r="E84" s="694"/>
      <c r="F84" s="694"/>
      <c r="G84" s="694" t="s">
        <v>543</v>
      </c>
      <c r="H84" s="694"/>
      <c r="I84" s="694"/>
      <c r="J84" s="694"/>
      <c r="K84" s="694" t="s">
        <v>76</v>
      </c>
      <c r="L84" s="694"/>
      <c r="M84" s="515" t="s">
        <v>1199</v>
      </c>
      <c r="N84" s="516">
        <v>46212</v>
      </c>
    </row>
    <row r="85" spans="2:14" ht="17.25" customHeight="1" x14ac:dyDescent="0.3">
      <c r="B85" s="517" t="s">
        <v>1200</v>
      </c>
      <c r="C85" s="695"/>
      <c r="D85" s="695"/>
      <c r="E85" s="695">
        <v>26070929</v>
      </c>
      <c r="F85" s="695"/>
      <c r="G85" s="695" t="s">
        <v>546</v>
      </c>
      <c r="H85" s="695"/>
      <c r="I85" s="695"/>
      <c r="J85" s="695"/>
      <c r="K85" s="695" t="s">
        <v>62</v>
      </c>
      <c r="L85" s="695"/>
      <c r="M85" s="517" t="s">
        <v>1201</v>
      </c>
      <c r="N85" s="516">
        <v>46212</v>
      </c>
    </row>
    <row r="86" spans="2:14" ht="17.25" customHeight="1" x14ac:dyDescent="0.3">
      <c r="B86" s="694" t="s">
        <v>1203</v>
      </c>
      <c r="C86" s="694">
        <v>26040930</v>
      </c>
      <c r="D86" s="694"/>
      <c r="E86" s="694"/>
      <c r="F86" s="694"/>
      <c r="G86" s="694" t="s">
        <v>1204</v>
      </c>
      <c r="H86" s="694"/>
      <c r="I86" s="694"/>
      <c r="J86" s="694"/>
      <c r="K86" s="694" t="s">
        <v>265</v>
      </c>
      <c r="L86" s="694"/>
      <c r="M86" s="515" t="s">
        <v>461</v>
      </c>
      <c r="N86" s="516">
        <v>46212</v>
      </c>
    </row>
    <row r="87" spans="2:14" ht="17.25" customHeight="1" x14ac:dyDescent="0.3">
      <c r="B87" s="694"/>
      <c r="C87" s="695">
        <v>26040931</v>
      </c>
      <c r="D87" s="695"/>
      <c r="E87" s="695"/>
      <c r="F87" s="695"/>
      <c r="G87" s="695" t="s">
        <v>263</v>
      </c>
      <c r="H87" s="695"/>
      <c r="I87" s="695"/>
      <c r="J87" s="695"/>
      <c r="K87" s="694"/>
      <c r="L87" s="694"/>
      <c r="M87" s="523" t="s">
        <v>229</v>
      </c>
      <c r="N87" s="516">
        <v>46213</v>
      </c>
    </row>
    <row r="88" spans="2:14" ht="17.25" customHeight="1" x14ac:dyDescent="0.3">
      <c r="B88" s="515" t="s">
        <v>1210</v>
      </c>
      <c r="C88" s="694">
        <v>26010932</v>
      </c>
      <c r="D88" s="694"/>
      <c r="E88" s="694" t="s">
        <v>1211</v>
      </c>
      <c r="F88" s="694"/>
      <c r="G88" s="694" t="s">
        <v>1212</v>
      </c>
      <c r="H88" s="694"/>
      <c r="I88" s="694"/>
      <c r="J88" s="694"/>
      <c r="K88" s="694" t="s">
        <v>62</v>
      </c>
      <c r="L88" s="694"/>
      <c r="M88" s="515" t="s">
        <v>1213</v>
      </c>
      <c r="N88" s="516">
        <v>46213</v>
      </c>
    </row>
    <row r="89" spans="2:14" ht="17.25" customHeight="1" x14ac:dyDescent="0.3">
      <c r="B89" s="517" t="s">
        <v>1214</v>
      </c>
      <c r="C89" s="695">
        <v>26010933</v>
      </c>
      <c r="D89" s="695"/>
      <c r="E89" s="695" t="s">
        <v>1215</v>
      </c>
      <c r="F89" s="695"/>
      <c r="G89" s="695" t="s">
        <v>1216</v>
      </c>
      <c r="H89" s="695"/>
      <c r="I89" s="695"/>
      <c r="J89" s="695"/>
      <c r="K89" s="695" t="s">
        <v>226</v>
      </c>
      <c r="L89" s="695"/>
      <c r="M89" s="517" t="s">
        <v>349</v>
      </c>
      <c r="N89" s="516">
        <v>46214</v>
      </c>
    </row>
    <row r="90" spans="2:14" ht="17.25" customHeight="1" x14ac:dyDescent="0.3">
      <c r="B90" s="694" t="s">
        <v>1217</v>
      </c>
      <c r="C90" s="694">
        <v>26040934</v>
      </c>
      <c r="D90" s="694"/>
      <c r="E90" s="694"/>
      <c r="F90" s="694"/>
      <c r="G90" s="694" t="s">
        <v>1218</v>
      </c>
      <c r="H90" s="694"/>
      <c r="I90" s="694"/>
      <c r="J90" s="694"/>
      <c r="K90" s="694" t="s">
        <v>76</v>
      </c>
      <c r="L90" s="694"/>
      <c r="M90" s="515" t="s">
        <v>1221</v>
      </c>
      <c r="N90" s="516">
        <v>46216</v>
      </c>
    </row>
    <row r="91" spans="2:14" ht="17.25" customHeight="1" x14ac:dyDescent="0.3">
      <c r="B91" s="694"/>
      <c r="C91" s="695">
        <v>26040935</v>
      </c>
      <c r="D91" s="695"/>
      <c r="E91" s="695"/>
      <c r="F91" s="695"/>
      <c r="G91" s="695" t="s">
        <v>1219</v>
      </c>
      <c r="H91" s="695"/>
      <c r="I91" s="695"/>
      <c r="J91" s="695"/>
      <c r="K91" s="694"/>
      <c r="L91" s="694"/>
      <c r="M91" s="517" t="s">
        <v>1221</v>
      </c>
      <c r="N91" s="516">
        <v>46216</v>
      </c>
    </row>
    <row r="92" spans="2:14" ht="17.25" customHeight="1" x14ac:dyDescent="0.3">
      <c r="B92" s="694"/>
      <c r="C92" s="694">
        <v>26040936</v>
      </c>
      <c r="D92" s="694"/>
      <c r="E92" s="694"/>
      <c r="F92" s="694"/>
      <c r="G92" s="694" t="s">
        <v>1220</v>
      </c>
      <c r="H92" s="694"/>
      <c r="I92" s="694"/>
      <c r="J92" s="694"/>
      <c r="K92" s="694"/>
      <c r="L92" s="694"/>
      <c r="M92" s="515" t="s">
        <v>1221</v>
      </c>
      <c r="N92" s="516">
        <v>46216</v>
      </c>
    </row>
    <row r="93" spans="2:14" ht="17.25" customHeight="1" x14ac:dyDescent="0.3">
      <c r="B93" s="695" t="s">
        <v>1222</v>
      </c>
      <c r="C93" s="695"/>
      <c r="D93" s="695"/>
      <c r="E93" s="695">
        <v>26020934</v>
      </c>
      <c r="F93" s="695"/>
      <c r="G93" s="695" t="s">
        <v>1218</v>
      </c>
      <c r="H93" s="695"/>
      <c r="I93" s="695"/>
      <c r="J93" s="695"/>
      <c r="K93" s="695" t="s">
        <v>1223</v>
      </c>
      <c r="L93" s="695"/>
      <c r="M93" s="517" t="s">
        <v>104</v>
      </c>
      <c r="N93" s="516">
        <v>46216</v>
      </c>
    </row>
    <row r="94" spans="2:14" ht="17.25" customHeight="1" x14ac:dyDescent="0.3">
      <c r="B94" s="695"/>
      <c r="C94" s="694"/>
      <c r="D94" s="694"/>
      <c r="E94" s="695">
        <v>26020935</v>
      </c>
      <c r="F94" s="695"/>
      <c r="G94" s="694" t="s">
        <v>1219</v>
      </c>
      <c r="H94" s="694"/>
      <c r="I94" s="694"/>
      <c r="J94" s="694"/>
      <c r="K94" s="695"/>
      <c r="L94" s="695"/>
      <c r="M94" s="515" t="s">
        <v>104</v>
      </c>
      <c r="N94" s="516">
        <v>46216</v>
      </c>
    </row>
    <row r="95" spans="2:14" ht="17.25" customHeight="1" x14ac:dyDescent="0.3">
      <c r="B95" s="695"/>
      <c r="C95" s="695"/>
      <c r="D95" s="695"/>
      <c r="E95" s="695">
        <v>26020936</v>
      </c>
      <c r="F95" s="695"/>
      <c r="G95" s="695" t="s">
        <v>1220</v>
      </c>
      <c r="H95" s="695"/>
      <c r="I95" s="695"/>
      <c r="J95" s="695"/>
      <c r="K95" s="695"/>
      <c r="L95" s="695"/>
      <c r="M95" s="517" t="s">
        <v>104</v>
      </c>
      <c r="N95" s="516">
        <v>46216</v>
      </c>
    </row>
    <row r="96" spans="2:14" ht="17.25" customHeight="1" x14ac:dyDescent="0.3">
      <c r="B96" s="697" t="s">
        <v>1237</v>
      </c>
      <c r="C96" s="694" t="s">
        <v>1238</v>
      </c>
      <c r="D96" s="694"/>
      <c r="E96" s="694"/>
      <c r="F96" s="694"/>
      <c r="G96" s="694" t="s">
        <v>54</v>
      </c>
      <c r="H96" s="694"/>
      <c r="I96" s="694"/>
      <c r="J96" s="694"/>
      <c r="K96" s="697" t="s">
        <v>31</v>
      </c>
      <c r="L96" s="697"/>
      <c r="M96" s="515" t="s">
        <v>55</v>
      </c>
      <c r="N96" s="516">
        <v>46217</v>
      </c>
    </row>
    <row r="97" spans="2:14" ht="18" customHeight="1" x14ac:dyDescent="0.3">
      <c r="B97" s="697"/>
      <c r="C97" s="690" t="s">
        <v>1262</v>
      </c>
      <c r="D97" s="690"/>
      <c r="E97" s="690"/>
      <c r="F97" s="690"/>
      <c r="G97" s="690" t="s">
        <v>54</v>
      </c>
      <c r="H97" s="690"/>
      <c r="I97" s="690"/>
      <c r="J97" s="690"/>
      <c r="K97" s="697"/>
      <c r="L97" s="697"/>
      <c r="M97" s="519" t="s">
        <v>55</v>
      </c>
      <c r="N97" s="524">
        <v>46221</v>
      </c>
    </row>
    <row r="98" spans="2:14" ht="18" customHeight="1" x14ac:dyDescent="0.3">
      <c r="B98" s="515" t="s">
        <v>1241</v>
      </c>
      <c r="C98" s="694">
        <v>26060939</v>
      </c>
      <c r="D98" s="694"/>
      <c r="E98" s="694"/>
      <c r="F98" s="694"/>
      <c r="G98" s="694" t="s">
        <v>422</v>
      </c>
      <c r="H98" s="694"/>
      <c r="I98" s="694"/>
      <c r="J98" s="694"/>
      <c r="K98" s="694" t="s">
        <v>76</v>
      </c>
      <c r="L98" s="694"/>
      <c r="M98" s="515" t="s">
        <v>1249</v>
      </c>
      <c r="N98" s="518">
        <v>46218</v>
      </c>
    </row>
    <row r="99" spans="2:14" ht="18" customHeight="1" x14ac:dyDescent="0.3">
      <c r="B99" s="517" t="s">
        <v>1242</v>
      </c>
      <c r="C99" s="695">
        <v>26060940</v>
      </c>
      <c r="D99" s="695"/>
      <c r="E99" s="695" t="s">
        <v>1254</v>
      </c>
      <c r="F99" s="695"/>
      <c r="G99" s="695" t="s">
        <v>82</v>
      </c>
      <c r="H99" s="695"/>
      <c r="I99" s="695"/>
      <c r="J99" s="695"/>
      <c r="K99" s="695" t="s">
        <v>226</v>
      </c>
      <c r="L99" s="695"/>
      <c r="M99" s="517" t="s">
        <v>1248</v>
      </c>
      <c r="N99" s="518">
        <v>46218</v>
      </c>
    </row>
    <row r="100" spans="2:14" ht="18" customHeight="1" x14ac:dyDescent="0.3">
      <c r="B100" s="521" t="s">
        <v>1243</v>
      </c>
      <c r="C100" s="697">
        <v>26010941</v>
      </c>
      <c r="D100" s="697"/>
      <c r="E100" s="697"/>
      <c r="F100" s="697"/>
      <c r="G100" s="697" t="s">
        <v>162</v>
      </c>
      <c r="H100" s="697"/>
      <c r="I100" s="697"/>
      <c r="J100" s="697"/>
      <c r="K100" s="697" t="s">
        <v>163</v>
      </c>
      <c r="L100" s="697"/>
      <c r="M100" s="521" t="s">
        <v>1245</v>
      </c>
      <c r="N100" s="524">
        <v>46220</v>
      </c>
    </row>
    <row r="101" spans="2:14" ht="18" customHeight="1" x14ac:dyDescent="0.3">
      <c r="B101" s="517" t="s">
        <v>1244</v>
      </c>
      <c r="C101" s="695">
        <v>26010942</v>
      </c>
      <c r="D101" s="695"/>
      <c r="E101" s="695"/>
      <c r="F101" s="695"/>
      <c r="G101" s="695" t="s">
        <v>130</v>
      </c>
      <c r="H101" s="695"/>
      <c r="I101" s="695"/>
      <c r="J101" s="695"/>
      <c r="K101" s="695" t="s">
        <v>131</v>
      </c>
      <c r="L101" s="695"/>
      <c r="M101" s="517" t="s">
        <v>442</v>
      </c>
      <c r="N101" s="518">
        <v>46220</v>
      </c>
    </row>
    <row r="102" spans="2:14" ht="18" customHeight="1" x14ac:dyDescent="0.3">
      <c r="B102" s="515" t="s">
        <v>1250</v>
      </c>
      <c r="C102" s="694">
        <v>26060943</v>
      </c>
      <c r="D102" s="694"/>
      <c r="E102" s="694"/>
      <c r="F102" s="694"/>
      <c r="G102" s="694" t="s">
        <v>345</v>
      </c>
      <c r="H102" s="694"/>
      <c r="I102" s="694"/>
      <c r="J102" s="694"/>
      <c r="K102" s="694" t="s">
        <v>76</v>
      </c>
      <c r="L102" s="694"/>
      <c r="M102" s="522" t="s">
        <v>1256</v>
      </c>
      <c r="N102" s="518">
        <v>46218</v>
      </c>
    </row>
    <row r="103" spans="2:14" ht="18" customHeight="1" x14ac:dyDescent="0.3">
      <c r="B103" s="517" t="s">
        <v>1251</v>
      </c>
      <c r="C103" s="695">
        <v>26060944</v>
      </c>
      <c r="D103" s="695"/>
      <c r="E103" s="695" t="s">
        <v>1253</v>
      </c>
      <c r="F103" s="695"/>
      <c r="G103" s="695" t="s">
        <v>1252</v>
      </c>
      <c r="H103" s="695"/>
      <c r="I103" s="695"/>
      <c r="J103" s="695"/>
      <c r="K103" s="695" t="s">
        <v>83</v>
      </c>
      <c r="L103" s="695"/>
      <c r="M103" s="517" t="s">
        <v>1255</v>
      </c>
      <c r="N103" s="518">
        <v>46218</v>
      </c>
    </row>
    <row r="104" spans="2:14" ht="18" customHeight="1" x14ac:dyDescent="0.3">
      <c r="B104" s="697" t="s">
        <v>1261</v>
      </c>
      <c r="C104" s="697">
        <v>26010945</v>
      </c>
      <c r="D104" s="697"/>
      <c r="E104" s="697"/>
      <c r="F104" s="697"/>
      <c r="G104" s="697" t="s">
        <v>75</v>
      </c>
      <c r="H104" s="697"/>
      <c r="I104" s="697"/>
      <c r="J104" s="697"/>
      <c r="K104" s="697" t="s">
        <v>76</v>
      </c>
      <c r="L104" s="697"/>
      <c r="M104" s="521" t="s">
        <v>77</v>
      </c>
      <c r="N104" s="524">
        <v>46221</v>
      </c>
    </row>
    <row r="105" spans="2:14" ht="18" customHeight="1" x14ac:dyDescent="0.3">
      <c r="B105" s="697"/>
      <c r="C105" s="690">
        <v>26010946</v>
      </c>
      <c r="D105" s="690"/>
      <c r="E105" s="690"/>
      <c r="F105" s="690"/>
      <c r="G105" s="690" t="s">
        <v>75</v>
      </c>
      <c r="H105" s="690"/>
      <c r="I105" s="690"/>
      <c r="J105" s="690"/>
      <c r="K105" s="697"/>
      <c r="L105" s="697"/>
      <c r="M105" s="519" t="s">
        <v>77</v>
      </c>
      <c r="N105" s="524">
        <v>46221</v>
      </c>
    </row>
    <row r="106" spans="2:14" ht="18" customHeight="1" x14ac:dyDescent="0.3">
      <c r="B106" s="697"/>
      <c r="C106" s="697">
        <v>26010947</v>
      </c>
      <c r="D106" s="697"/>
      <c r="E106" s="697"/>
      <c r="F106" s="697"/>
      <c r="G106" s="697" t="s">
        <v>75</v>
      </c>
      <c r="H106" s="697"/>
      <c r="I106" s="697"/>
      <c r="J106" s="697"/>
      <c r="K106" s="697"/>
      <c r="L106" s="697"/>
      <c r="M106" s="521" t="s">
        <v>77</v>
      </c>
      <c r="N106" s="524">
        <v>46221</v>
      </c>
    </row>
    <row r="107" spans="2:14" ht="18" customHeight="1" x14ac:dyDescent="0.3">
      <c r="B107" s="697"/>
      <c r="C107" s="690">
        <v>26010948</v>
      </c>
      <c r="D107" s="690"/>
      <c r="E107" s="690"/>
      <c r="F107" s="690"/>
      <c r="G107" s="690" t="s">
        <v>75</v>
      </c>
      <c r="H107" s="690"/>
      <c r="I107" s="690"/>
      <c r="J107" s="690"/>
      <c r="K107" s="697"/>
      <c r="L107" s="697"/>
      <c r="M107" s="519" t="s">
        <v>77</v>
      </c>
      <c r="N107" s="524">
        <v>46221</v>
      </c>
    </row>
    <row r="108" spans="2:14" ht="18" customHeight="1" x14ac:dyDescent="0.3">
      <c r="B108" s="697"/>
      <c r="C108" s="697">
        <v>26010949</v>
      </c>
      <c r="D108" s="697"/>
      <c r="E108" s="697"/>
      <c r="F108" s="697"/>
      <c r="G108" s="697" t="s">
        <v>75</v>
      </c>
      <c r="H108" s="697"/>
      <c r="I108" s="697"/>
      <c r="J108" s="697"/>
      <c r="K108" s="697"/>
      <c r="L108" s="697"/>
      <c r="M108" s="521" t="s">
        <v>77</v>
      </c>
      <c r="N108" s="524">
        <v>46223</v>
      </c>
    </row>
    <row r="109" spans="2:14" ht="18" customHeight="1" x14ac:dyDescent="0.3">
      <c r="B109" s="697"/>
      <c r="C109" s="690">
        <v>26010950</v>
      </c>
      <c r="D109" s="690"/>
      <c r="E109" s="690"/>
      <c r="F109" s="690"/>
      <c r="G109" s="690" t="s">
        <v>75</v>
      </c>
      <c r="H109" s="690"/>
      <c r="I109" s="690"/>
      <c r="J109" s="690"/>
      <c r="K109" s="697"/>
      <c r="L109" s="697"/>
      <c r="M109" s="519" t="s">
        <v>77</v>
      </c>
      <c r="N109" s="524">
        <v>46223</v>
      </c>
    </row>
    <row r="110" spans="2:14" ht="18" customHeight="1" x14ac:dyDescent="0.3">
      <c r="B110" s="697"/>
      <c r="C110" s="697">
        <v>26010951</v>
      </c>
      <c r="D110" s="697"/>
      <c r="E110" s="697"/>
      <c r="F110" s="697"/>
      <c r="G110" s="697" t="s">
        <v>75</v>
      </c>
      <c r="H110" s="697"/>
      <c r="I110" s="697"/>
      <c r="J110" s="697"/>
      <c r="K110" s="697"/>
      <c r="L110" s="697"/>
      <c r="M110" s="521" t="s">
        <v>77</v>
      </c>
      <c r="N110" s="524">
        <v>46223</v>
      </c>
    </row>
    <row r="111" spans="2:14" ht="18" customHeight="1" x14ac:dyDescent="0.3">
      <c r="B111" s="697"/>
      <c r="C111" s="690">
        <v>26010952</v>
      </c>
      <c r="D111" s="690"/>
      <c r="E111" s="699"/>
      <c r="F111" s="699"/>
      <c r="G111" s="690" t="s">
        <v>75</v>
      </c>
      <c r="H111" s="690"/>
      <c r="I111" s="690"/>
      <c r="J111" s="690"/>
      <c r="K111" s="697"/>
      <c r="L111" s="697"/>
      <c r="M111" s="519" t="s">
        <v>77</v>
      </c>
      <c r="N111" s="524">
        <v>46223</v>
      </c>
    </row>
    <row r="112" spans="2:14" ht="18" customHeight="1" x14ac:dyDescent="0.3">
      <c r="B112" s="697"/>
      <c r="C112" s="697">
        <v>26010953</v>
      </c>
      <c r="D112" s="697"/>
      <c r="E112" s="697"/>
      <c r="F112" s="697"/>
      <c r="G112" s="697" t="s">
        <v>118</v>
      </c>
      <c r="H112" s="697"/>
      <c r="I112" s="697"/>
      <c r="J112" s="697"/>
      <c r="K112" s="697"/>
      <c r="L112" s="697"/>
      <c r="M112" s="521" t="s">
        <v>77</v>
      </c>
      <c r="N112" s="524">
        <v>46221</v>
      </c>
    </row>
    <row r="113" spans="2:14" ht="18" customHeight="1" x14ac:dyDescent="0.3">
      <c r="B113" s="697"/>
      <c r="C113" s="690">
        <v>26010954</v>
      </c>
      <c r="D113" s="690"/>
      <c r="E113" s="690"/>
      <c r="F113" s="690"/>
      <c r="G113" s="690" t="s">
        <v>118</v>
      </c>
      <c r="H113" s="690"/>
      <c r="I113" s="690"/>
      <c r="J113" s="690"/>
      <c r="K113" s="697"/>
      <c r="L113" s="697"/>
      <c r="M113" s="519" t="s">
        <v>77</v>
      </c>
      <c r="N113" s="524">
        <v>46221</v>
      </c>
    </row>
    <row r="114" spans="2:14" ht="18" customHeight="1" x14ac:dyDescent="0.3">
      <c r="B114" s="697"/>
      <c r="C114" s="697">
        <v>26010955</v>
      </c>
      <c r="D114" s="697"/>
      <c r="E114" s="697"/>
      <c r="F114" s="697"/>
      <c r="G114" s="697" t="s">
        <v>118</v>
      </c>
      <c r="H114" s="697"/>
      <c r="I114" s="697"/>
      <c r="J114" s="697"/>
      <c r="K114" s="697"/>
      <c r="L114" s="697"/>
      <c r="M114" s="521" t="s">
        <v>77</v>
      </c>
      <c r="N114" s="524">
        <v>46223</v>
      </c>
    </row>
    <row r="115" spans="2:14" ht="18" customHeight="1" x14ac:dyDescent="0.3">
      <c r="B115" s="697"/>
      <c r="C115" s="690">
        <v>26010956</v>
      </c>
      <c r="D115" s="690"/>
      <c r="E115" s="690"/>
      <c r="F115" s="690"/>
      <c r="G115" s="690" t="s">
        <v>118</v>
      </c>
      <c r="H115" s="690"/>
      <c r="I115" s="690"/>
      <c r="J115" s="690"/>
      <c r="K115" s="697"/>
      <c r="L115" s="697"/>
      <c r="M115" s="519" t="s">
        <v>77</v>
      </c>
      <c r="N115" s="524">
        <v>46223</v>
      </c>
    </row>
    <row r="116" spans="2:14" ht="18" customHeight="1" x14ac:dyDescent="0.3">
      <c r="B116" s="697"/>
      <c r="C116" s="697">
        <v>26010957</v>
      </c>
      <c r="D116" s="697"/>
      <c r="E116" s="697"/>
      <c r="F116" s="697"/>
      <c r="G116" s="697" t="s">
        <v>118</v>
      </c>
      <c r="H116" s="697"/>
      <c r="I116" s="697"/>
      <c r="J116" s="697"/>
      <c r="K116" s="697"/>
      <c r="L116" s="697"/>
      <c r="M116" s="521" t="s">
        <v>77</v>
      </c>
      <c r="N116" s="524">
        <v>46223</v>
      </c>
    </row>
    <row r="117" spans="2:14" ht="18" customHeight="1" x14ac:dyDescent="0.3">
      <c r="B117" s="697"/>
      <c r="C117" s="690">
        <v>26010958</v>
      </c>
      <c r="D117" s="690"/>
      <c r="E117" s="699"/>
      <c r="F117" s="699"/>
      <c r="G117" s="690" t="s">
        <v>118</v>
      </c>
      <c r="H117" s="690"/>
      <c r="I117" s="690"/>
      <c r="J117" s="690"/>
      <c r="K117" s="697"/>
      <c r="L117" s="697"/>
      <c r="M117" s="519" t="s">
        <v>77</v>
      </c>
      <c r="N117" s="524">
        <v>46223</v>
      </c>
    </row>
    <row r="118" spans="2:14" ht="18" customHeight="1" x14ac:dyDescent="0.3">
      <c r="B118" s="697"/>
      <c r="C118" s="697">
        <v>26010959</v>
      </c>
      <c r="D118" s="697"/>
      <c r="E118" s="697"/>
      <c r="F118" s="697"/>
      <c r="G118" s="697" t="s">
        <v>75</v>
      </c>
      <c r="H118" s="697"/>
      <c r="I118" s="697"/>
      <c r="J118" s="697"/>
      <c r="K118" s="697"/>
      <c r="L118" s="697"/>
      <c r="M118" s="521" t="s">
        <v>77</v>
      </c>
      <c r="N118" s="524">
        <v>46224</v>
      </c>
    </row>
    <row r="119" spans="2:14" ht="18" customHeight="1" x14ac:dyDescent="0.3">
      <c r="B119" s="697"/>
      <c r="C119" s="690">
        <v>26010960</v>
      </c>
      <c r="D119" s="690"/>
      <c r="E119" s="690"/>
      <c r="F119" s="690"/>
      <c r="G119" s="690" t="s">
        <v>75</v>
      </c>
      <c r="H119" s="690"/>
      <c r="I119" s="690"/>
      <c r="J119" s="690"/>
      <c r="K119" s="697"/>
      <c r="L119" s="697"/>
      <c r="M119" s="519" t="s">
        <v>77</v>
      </c>
      <c r="N119" s="524">
        <v>46224</v>
      </c>
    </row>
    <row r="120" spans="2:14" ht="18" customHeight="1" x14ac:dyDescent="0.3">
      <c r="B120" s="697"/>
      <c r="C120" s="697">
        <v>26010961</v>
      </c>
      <c r="D120" s="697"/>
      <c r="E120" s="697"/>
      <c r="F120" s="697"/>
      <c r="G120" s="697" t="s">
        <v>75</v>
      </c>
      <c r="H120" s="697"/>
      <c r="I120" s="697"/>
      <c r="J120" s="697"/>
      <c r="K120" s="697"/>
      <c r="L120" s="697"/>
      <c r="M120" s="521" t="s">
        <v>77</v>
      </c>
      <c r="N120" s="524">
        <v>46224</v>
      </c>
    </row>
    <row r="121" spans="2:14" ht="18" customHeight="1" x14ac:dyDescent="0.3">
      <c r="B121" s="697"/>
      <c r="C121" s="690">
        <v>26010962</v>
      </c>
      <c r="D121" s="690"/>
      <c r="E121" s="690"/>
      <c r="F121" s="690"/>
      <c r="G121" s="690" t="s">
        <v>75</v>
      </c>
      <c r="H121" s="690"/>
      <c r="I121" s="690"/>
      <c r="J121" s="690"/>
      <c r="K121" s="697"/>
      <c r="L121" s="697"/>
      <c r="M121" s="519" t="s">
        <v>77</v>
      </c>
      <c r="N121" s="524">
        <v>46224</v>
      </c>
    </row>
    <row r="122" spans="2:14" ht="18" customHeight="1" x14ac:dyDescent="0.3">
      <c r="B122" s="697"/>
      <c r="C122" s="697">
        <v>26010963</v>
      </c>
      <c r="D122" s="697"/>
      <c r="E122" s="697"/>
      <c r="F122" s="697"/>
      <c r="G122" s="697" t="s">
        <v>75</v>
      </c>
      <c r="H122" s="697"/>
      <c r="I122" s="697"/>
      <c r="J122" s="697"/>
      <c r="K122" s="697"/>
      <c r="L122" s="697"/>
      <c r="M122" s="521" t="s">
        <v>77</v>
      </c>
      <c r="N122" s="524">
        <v>46224</v>
      </c>
    </row>
    <row r="123" spans="2:14" ht="18" customHeight="1" x14ac:dyDescent="0.3">
      <c r="B123" s="697"/>
      <c r="C123" s="690">
        <v>26010964</v>
      </c>
      <c r="D123" s="690"/>
      <c r="E123" s="690"/>
      <c r="F123" s="690"/>
      <c r="G123" s="690" t="s">
        <v>75</v>
      </c>
      <c r="H123" s="690"/>
      <c r="I123" s="690"/>
      <c r="J123" s="690"/>
      <c r="K123" s="697"/>
      <c r="L123" s="697"/>
      <c r="M123" s="519" t="s">
        <v>77</v>
      </c>
      <c r="N123" s="524">
        <v>46224</v>
      </c>
    </row>
    <row r="124" spans="2:14" ht="18" customHeight="1" x14ac:dyDescent="0.3">
      <c r="B124" s="697"/>
      <c r="C124" s="697">
        <v>26010965</v>
      </c>
      <c r="D124" s="697"/>
      <c r="E124" s="697"/>
      <c r="F124" s="697"/>
      <c r="G124" s="697" t="s">
        <v>75</v>
      </c>
      <c r="H124" s="697"/>
      <c r="I124" s="697"/>
      <c r="J124" s="697"/>
      <c r="K124" s="697"/>
      <c r="L124" s="697"/>
      <c r="M124" s="521" t="s">
        <v>77</v>
      </c>
      <c r="N124" s="524">
        <v>46224</v>
      </c>
    </row>
    <row r="125" spans="2:14" ht="18" customHeight="1" x14ac:dyDescent="0.3">
      <c r="B125" s="697"/>
      <c r="C125" s="690">
        <v>26010966</v>
      </c>
      <c r="D125" s="690"/>
      <c r="E125" s="699"/>
      <c r="F125" s="699"/>
      <c r="G125" s="690" t="s">
        <v>75</v>
      </c>
      <c r="H125" s="690"/>
      <c r="I125" s="690"/>
      <c r="J125" s="690"/>
      <c r="K125" s="697"/>
      <c r="L125" s="697"/>
      <c r="M125" s="519" t="s">
        <v>77</v>
      </c>
      <c r="N125" s="524">
        <v>46225</v>
      </c>
    </row>
    <row r="126" spans="2:14" ht="18" customHeight="1" x14ac:dyDescent="0.3">
      <c r="B126" s="697"/>
      <c r="C126" s="697">
        <v>26010967</v>
      </c>
      <c r="D126" s="697"/>
      <c r="E126" s="697"/>
      <c r="F126" s="697"/>
      <c r="G126" s="697" t="s">
        <v>75</v>
      </c>
      <c r="H126" s="697"/>
      <c r="I126" s="697"/>
      <c r="J126" s="697"/>
      <c r="K126" s="697"/>
      <c r="L126" s="697"/>
      <c r="M126" s="521" t="s">
        <v>77</v>
      </c>
      <c r="N126" s="524">
        <v>46225</v>
      </c>
    </row>
    <row r="127" spans="2:14" ht="18" customHeight="1" x14ac:dyDescent="0.3">
      <c r="B127" s="697"/>
      <c r="C127" s="690">
        <v>26010968</v>
      </c>
      <c r="D127" s="690"/>
      <c r="E127" s="690"/>
      <c r="F127" s="690"/>
      <c r="G127" s="690" t="s">
        <v>75</v>
      </c>
      <c r="H127" s="690"/>
      <c r="I127" s="690"/>
      <c r="J127" s="690"/>
      <c r="K127" s="697"/>
      <c r="L127" s="697"/>
      <c r="M127" s="519" t="s">
        <v>77</v>
      </c>
      <c r="N127" s="524">
        <v>46225</v>
      </c>
    </row>
    <row r="128" spans="2:14" ht="18" customHeight="1" x14ac:dyDescent="0.3">
      <c r="B128" s="697"/>
      <c r="C128" s="697">
        <v>26010969</v>
      </c>
      <c r="D128" s="697"/>
      <c r="E128" s="697"/>
      <c r="F128" s="697"/>
      <c r="G128" s="697" t="s">
        <v>75</v>
      </c>
      <c r="H128" s="697"/>
      <c r="I128" s="697"/>
      <c r="J128" s="697"/>
      <c r="K128" s="697"/>
      <c r="L128" s="697"/>
      <c r="M128" s="521" t="s">
        <v>77</v>
      </c>
      <c r="N128" s="524">
        <v>46225</v>
      </c>
    </row>
    <row r="129" spans="2:14" ht="18" customHeight="1" x14ac:dyDescent="0.3">
      <c r="B129" s="519" t="s">
        <v>1272</v>
      </c>
      <c r="C129" s="690">
        <v>26010970</v>
      </c>
      <c r="D129" s="690"/>
      <c r="E129" s="690"/>
      <c r="F129" s="690"/>
      <c r="G129" s="690" t="s">
        <v>305</v>
      </c>
      <c r="H129" s="690"/>
      <c r="I129" s="690"/>
      <c r="J129" s="690"/>
      <c r="K129" s="690" t="s">
        <v>72</v>
      </c>
      <c r="L129" s="690"/>
      <c r="M129" s="519" t="s">
        <v>132</v>
      </c>
      <c r="N129" s="524">
        <v>46223</v>
      </c>
    </row>
    <row r="130" spans="2:14" ht="18" customHeight="1" x14ac:dyDescent="0.3">
      <c r="B130" s="515" t="s">
        <v>1276</v>
      </c>
      <c r="C130" s="697">
        <v>26010971</v>
      </c>
      <c r="D130" s="697"/>
      <c r="E130" s="697"/>
      <c r="F130" s="697"/>
      <c r="G130" s="697" t="s">
        <v>134</v>
      </c>
      <c r="H130" s="697"/>
      <c r="I130" s="697"/>
      <c r="J130" s="697"/>
      <c r="K130" s="694" t="s">
        <v>135</v>
      </c>
      <c r="L130" s="694"/>
      <c r="M130" s="521" t="s">
        <v>362</v>
      </c>
      <c r="N130" s="524">
        <v>46224</v>
      </c>
    </row>
    <row r="131" spans="2:14" ht="18" customHeight="1" x14ac:dyDescent="0.3">
      <c r="B131" s="519" t="s">
        <v>1277</v>
      </c>
      <c r="C131" s="690">
        <v>26010972</v>
      </c>
      <c r="D131" s="690"/>
      <c r="E131" s="690"/>
      <c r="F131" s="690"/>
      <c r="G131" s="690" t="s">
        <v>138</v>
      </c>
      <c r="H131" s="690"/>
      <c r="I131" s="690"/>
      <c r="J131" s="690"/>
      <c r="K131" s="690" t="s">
        <v>189</v>
      </c>
      <c r="L131" s="690"/>
      <c r="M131" s="519" t="s">
        <v>140</v>
      </c>
      <c r="N131" s="524"/>
    </row>
    <row r="132" spans="2:14" ht="18" customHeight="1" x14ac:dyDescent="0.3">
      <c r="B132" s="521" t="s">
        <v>1278</v>
      </c>
      <c r="C132" s="697">
        <v>26010973</v>
      </c>
      <c r="D132" s="697"/>
      <c r="E132" s="697"/>
      <c r="F132" s="697"/>
      <c r="G132" s="697" t="s">
        <v>325</v>
      </c>
      <c r="H132" s="697"/>
      <c r="I132" s="697"/>
      <c r="J132" s="697"/>
      <c r="K132" s="697" t="s">
        <v>326</v>
      </c>
      <c r="L132" s="697"/>
      <c r="M132" s="521" t="s">
        <v>136</v>
      </c>
      <c r="N132" s="524"/>
    </row>
    <row r="133" spans="2:14" ht="18" customHeight="1" x14ac:dyDescent="0.3">
      <c r="B133" s="519" t="s">
        <v>1279</v>
      </c>
      <c r="C133" s="690">
        <v>26010974</v>
      </c>
      <c r="D133" s="690"/>
      <c r="E133" s="690"/>
      <c r="F133" s="690"/>
      <c r="G133" s="690" t="s">
        <v>570</v>
      </c>
      <c r="H133" s="690"/>
      <c r="I133" s="690"/>
      <c r="J133" s="690"/>
      <c r="K133" s="690" t="s">
        <v>571</v>
      </c>
      <c r="L133" s="690"/>
      <c r="M133" s="519" t="s">
        <v>1280</v>
      </c>
      <c r="N133" s="524"/>
    </row>
    <row r="134" spans="2:14" ht="18" customHeight="1" x14ac:dyDescent="0.3">
      <c r="B134" s="521" t="s">
        <v>1281</v>
      </c>
      <c r="C134" s="697"/>
      <c r="D134" s="697"/>
      <c r="E134" s="697">
        <v>2635401</v>
      </c>
      <c r="F134" s="697"/>
      <c r="G134" s="697" t="s">
        <v>1282</v>
      </c>
      <c r="H134" s="697"/>
      <c r="I134" s="697"/>
      <c r="J134" s="697"/>
      <c r="K134" s="697" t="s">
        <v>149</v>
      </c>
      <c r="L134" s="697"/>
      <c r="M134" s="521" t="s">
        <v>1283</v>
      </c>
      <c r="N134" s="524"/>
    </row>
    <row r="135" spans="2:14" ht="18" customHeight="1" x14ac:dyDescent="0.3">
      <c r="B135" s="690" t="s">
        <v>1354</v>
      </c>
      <c r="C135" s="690">
        <v>26010975</v>
      </c>
      <c r="D135" s="690"/>
      <c r="E135" s="690"/>
      <c r="F135" s="690"/>
      <c r="G135" s="690" t="s">
        <v>75</v>
      </c>
      <c r="H135" s="690"/>
      <c r="I135" s="690"/>
      <c r="J135" s="690"/>
      <c r="K135" s="690" t="s">
        <v>76</v>
      </c>
      <c r="L135" s="690"/>
      <c r="M135" s="519" t="s">
        <v>77</v>
      </c>
      <c r="N135" s="524">
        <v>46225</v>
      </c>
    </row>
    <row r="136" spans="2:14" ht="18" customHeight="1" x14ac:dyDescent="0.3">
      <c r="B136" s="690"/>
      <c r="C136" s="697">
        <v>26010976</v>
      </c>
      <c r="D136" s="697"/>
      <c r="E136" s="697"/>
      <c r="F136" s="697"/>
      <c r="G136" s="697" t="s">
        <v>75</v>
      </c>
      <c r="H136" s="697"/>
      <c r="I136" s="697"/>
      <c r="J136" s="697"/>
      <c r="K136" s="690"/>
      <c r="L136" s="690"/>
      <c r="M136" s="521" t="s">
        <v>77</v>
      </c>
      <c r="N136" s="524">
        <v>46225</v>
      </c>
    </row>
    <row r="137" spans="2:14" ht="18" customHeight="1" x14ac:dyDescent="0.3">
      <c r="B137" s="690"/>
      <c r="C137" s="690">
        <v>26010977</v>
      </c>
      <c r="D137" s="690"/>
      <c r="E137" s="690"/>
      <c r="F137" s="690"/>
      <c r="G137" s="690" t="s">
        <v>75</v>
      </c>
      <c r="H137" s="690"/>
      <c r="I137" s="690"/>
      <c r="J137" s="690"/>
      <c r="K137" s="690"/>
      <c r="L137" s="690"/>
      <c r="M137" s="519" t="s">
        <v>77</v>
      </c>
      <c r="N137" s="524">
        <v>46225</v>
      </c>
    </row>
    <row r="138" spans="2:14" ht="18" customHeight="1" x14ac:dyDescent="0.3">
      <c r="B138" s="690"/>
      <c r="C138" s="697">
        <v>26010978</v>
      </c>
      <c r="D138" s="697"/>
      <c r="E138" s="697"/>
      <c r="F138" s="697"/>
      <c r="G138" s="697" t="s">
        <v>75</v>
      </c>
      <c r="H138" s="697"/>
      <c r="I138" s="697"/>
      <c r="J138" s="697"/>
      <c r="K138" s="690"/>
      <c r="L138" s="690"/>
      <c r="M138" s="521" t="s">
        <v>77</v>
      </c>
      <c r="N138" s="524"/>
    </row>
    <row r="139" spans="2:14" ht="18" customHeight="1" x14ac:dyDescent="0.3">
      <c r="B139" s="690"/>
      <c r="C139" s="690">
        <v>26010979</v>
      </c>
      <c r="D139" s="690"/>
      <c r="E139" s="699"/>
      <c r="F139" s="699"/>
      <c r="G139" s="690" t="s">
        <v>75</v>
      </c>
      <c r="H139" s="690"/>
      <c r="I139" s="690"/>
      <c r="J139" s="690"/>
      <c r="K139" s="690"/>
      <c r="L139" s="690"/>
      <c r="M139" s="519" t="s">
        <v>77</v>
      </c>
      <c r="N139" s="524"/>
    </row>
    <row r="140" spans="2:14" ht="18" customHeight="1" x14ac:dyDescent="0.3">
      <c r="B140" s="690"/>
      <c r="C140" s="697">
        <v>26010980</v>
      </c>
      <c r="D140" s="697"/>
      <c r="E140" s="697"/>
      <c r="F140" s="697"/>
      <c r="G140" s="697" t="s">
        <v>75</v>
      </c>
      <c r="H140" s="697"/>
      <c r="I140" s="697"/>
      <c r="J140" s="697"/>
      <c r="K140" s="690"/>
      <c r="L140" s="690"/>
      <c r="M140" s="521" t="s">
        <v>77</v>
      </c>
      <c r="N140" s="524"/>
    </row>
    <row r="141" spans="2:14" ht="18" customHeight="1" x14ac:dyDescent="0.3">
      <c r="B141" s="690"/>
      <c r="C141" s="690">
        <v>26010981</v>
      </c>
      <c r="D141" s="690"/>
      <c r="E141" s="690"/>
      <c r="F141" s="690"/>
      <c r="G141" s="690" t="s">
        <v>75</v>
      </c>
      <c r="H141" s="690"/>
      <c r="I141" s="690"/>
      <c r="J141" s="690"/>
      <c r="K141" s="690"/>
      <c r="L141" s="690"/>
      <c r="M141" s="519" t="s">
        <v>77</v>
      </c>
      <c r="N141" s="524"/>
    </row>
    <row r="142" spans="2:14" ht="18" customHeight="1" x14ac:dyDescent="0.3">
      <c r="B142" s="690"/>
      <c r="C142" s="697">
        <v>26010982</v>
      </c>
      <c r="D142" s="697"/>
      <c r="E142" s="697"/>
      <c r="F142" s="697"/>
      <c r="G142" s="697" t="s">
        <v>75</v>
      </c>
      <c r="H142" s="697"/>
      <c r="I142" s="697"/>
      <c r="J142" s="697"/>
      <c r="K142" s="690"/>
      <c r="L142" s="690"/>
      <c r="M142" s="521" t="s">
        <v>77</v>
      </c>
      <c r="N142" s="524"/>
    </row>
    <row r="143" spans="2:14" ht="18" customHeight="1" x14ac:dyDescent="0.3">
      <c r="B143" s="690"/>
      <c r="C143" s="690">
        <v>26010983</v>
      </c>
      <c r="D143" s="690"/>
      <c r="E143" s="690"/>
      <c r="F143" s="690"/>
      <c r="G143" s="690" t="s">
        <v>75</v>
      </c>
      <c r="H143" s="690"/>
      <c r="I143" s="690"/>
      <c r="J143" s="690"/>
      <c r="K143" s="690"/>
      <c r="L143" s="690"/>
      <c r="M143" s="519" t="s">
        <v>77</v>
      </c>
      <c r="N143" s="524"/>
    </row>
    <row r="144" spans="2:14" ht="18" customHeight="1" x14ac:dyDescent="0.3">
      <c r="B144" s="690"/>
      <c r="C144" s="697">
        <v>26010984</v>
      </c>
      <c r="D144" s="697"/>
      <c r="E144" s="697"/>
      <c r="F144" s="697"/>
      <c r="G144" s="697" t="s">
        <v>75</v>
      </c>
      <c r="H144" s="697"/>
      <c r="I144" s="697"/>
      <c r="J144" s="697"/>
      <c r="K144" s="690"/>
      <c r="L144" s="690"/>
      <c r="M144" s="521" t="s">
        <v>77</v>
      </c>
      <c r="N144" s="524"/>
    </row>
    <row r="145" spans="2:14" ht="18" customHeight="1" x14ac:dyDescent="0.3">
      <c r="B145" s="690"/>
      <c r="C145" s="690">
        <v>26010985</v>
      </c>
      <c r="D145" s="690"/>
      <c r="E145" s="690"/>
      <c r="F145" s="690"/>
      <c r="G145" s="690" t="s">
        <v>75</v>
      </c>
      <c r="H145" s="690"/>
      <c r="I145" s="690"/>
      <c r="J145" s="690"/>
      <c r="K145" s="690"/>
      <c r="L145" s="690"/>
      <c r="M145" s="519" t="s">
        <v>77</v>
      </c>
      <c r="N145" s="524"/>
    </row>
    <row r="146" spans="2:14" ht="18" customHeight="1" x14ac:dyDescent="0.3">
      <c r="B146" s="690"/>
      <c r="C146" s="697">
        <v>26010986</v>
      </c>
      <c r="D146" s="697"/>
      <c r="E146" s="697"/>
      <c r="F146" s="697"/>
      <c r="G146" s="697" t="s">
        <v>75</v>
      </c>
      <c r="H146" s="697"/>
      <c r="I146" s="697"/>
      <c r="J146" s="697"/>
      <c r="K146" s="690"/>
      <c r="L146" s="690"/>
      <c r="M146" s="521" t="s">
        <v>77</v>
      </c>
      <c r="N146" s="524"/>
    </row>
    <row r="147" spans="2:14" ht="18" customHeight="1" x14ac:dyDescent="0.3">
      <c r="B147" s="690"/>
      <c r="C147" s="690">
        <v>26010987</v>
      </c>
      <c r="D147" s="690"/>
      <c r="E147" s="690"/>
      <c r="F147" s="690"/>
      <c r="G147" s="690" t="s">
        <v>75</v>
      </c>
      <c r="H147" s="690"/>
      <c r="I147" s="690"/>
      <c r="J147" s="690"/>
      <c r="K147" s="690"/>
      <c r="L147" s="690"/>
      <c r="M147" s="519" t="s">
        <v>77</v>
      </c>
      <c r="N147" s="524"/>
    </row>
    <row r="148" spans="2:14" ht="18" customHeight="1" x14ac:dyDescent="0.3">
      <c r="B148" s="690"/>
      <c r="C148" s="697">
        <v>26010988</v>
      </c>
      <c r="D148" s="697"/>
      <c r="E148" s="697"/>
      <c r="F148" s="697"/>
      <c r="G148" s="697" t="s">
        <v>75</v>
      </c>
      <c r="H148" s="697"/>
      <c r="I148" s="697"/>
      <c r="J148" s="697"/>
      <c r="K148" s="690"/>
      <c r="L148" s="690"/>
      <c r="M148" s="521" t="s">
        <v>77</v>
      </c>
      <c r="N148" s="524"/>
    </row>
    <row r="149" spans="2:14" ht="18" customHeight="1" x14ac:dyDescent="0.3">
      <c r="B149" s="690"/>
      <c r="C149" s="690">
        <v>26010989</v>
      </c>
      <c r="D149" s="690"/>
      <c r="E149" s="690"/>
      <c r="F149" s="690"/>
      <c r="G149" s="690" t="s">
        <v>75</v>
      </c>
      <c r="H149" s="690"/>
      <c r="I149" s="690"/>
      <c r="J149" s="690"/>
      <c r="K149" s="690"/>
      <c r="L149" s="690"/>
      <c r="M149" s="519" t="s">
        <v>77</v>
      </c>
      <c r="N149" s="524"/>
    </row>
    <row r="150" spans="2:14" ht="18" customHeight="1" x14ac:dyDescent="0.3">
      <c r="B150" s="690"/>
      <c r="C150" s="697">
        <v>26010990</v>
      </c>
      <c r="D150" s="697"/>
      <c r="E150" s="697"/>
      <c r="F150" s="697"/>
      <c r="G150" s="697" t="s">
        <v>75</v>
      </c>
      <c r="H150" s="697"/>
      <c r="I150" s="697"/>
      <c r="J150" s="697"/>
      <c r="K150" s="690"/>
      <c r="L150" s="690"/>
      <c r="M150" s="521" t="s">
        <v>77</v>
      </c>
      <c r="N150" s="524"/>
    </row>
    <row r="151" spans="2:14" ht="18" customHeight="1" x14ac:dyDescent="0.3">
      <c r="B151" s="690"/>
      <c r="C151" s="690">
        <v>26010991</v>
      </c>
      <c r="D151" s="690"/>
      <c r="E151" s="699" t="s">
        <v>364</v>
      </c>
      <c r="F151" s="699"/>
      <c r="G151" s="690" t="s">
        <v>75</v>
      </c>
      <c r="H151" s="690"/>
      <c r="I151" s="690"/>
      <c r="J151" s="690"/>
      <c r="K151" s="690"/>
      <c r="L151" s="690"/>
      <c r="M151" s="519" t="s">
        <v>77</v>
      </c>
      <c r="N151" s="524"/>
    </row>
    <row r="152" spans="2:14" ht="18" customHeight="1" x14ac:dyDescent="0.3">
      <c r="B152" s="690"/>
      <c r="C152" s="697">
        <v>26010992</v>
      </c>
      <c r="D152" s="697"/>
      <c r="E152" s="697"/>
      <c r="F152" s="697"/>
      <c r="G152" s="697" t="s">
        <v>75</v>
      </c>
      <c r="H152" s="697"/>
      <c r="I152" s="697"/>
      <c r="J152" s="697"/>
      <c r="K152" s="690"/>
      <c r="L152" s="690"/>
      <c r="M152" s="521" t="s">
        <v>77</v>
      </c>
      <c r="N152" s="524"/>
    </row>
    <row r="153" spans="2:14" ht="18" customHeight="1" x14ac:dyDescent="0.3">
      <c r="B153" s="690"/>
      <c r="C153" s="690">
        <v>26010993</v>
      </c>
      <c r="D153" s="690"/>
      <c r="E153" s="690"/>
      <c r="F153" s="690"/>
      <c r="G153" s="690" t="s">
        <v>75</v>
      </c>
      <c r="H153" s="690"/>
      <c r="I153" s="690"/>
      <c r="J153" s="690"/>
      <c r="K153" s="690"/>
      <c r="L153" s="690"/>
      <c r="M153" s="519" t="s">
        <v>77</v>
      </c>
      <c r="N153" s="524"/>
    </row>
    <row r="154" spans="2:14" ht="18" customHeight="1" x14ac:dyDescent="0.3">
      <c r="B154" s="690"/>
      <c r="C154" s="697">
        <v>26010994</v>
      </c>
      <c r="D154" s="697"/>
      <c r="E154" s="697"/>
      <c r="F154" s="697"/>
      <c r="G154" s="697" t="s">
        <v>75</v>
      </c>
      <c r="H154" s="697"/>
      <c r="I154" s="697"/>
      <c r="J154" s="697"/>
      <c r="K154" s="690"/>
      <c r="L154" s="690"/>
      <c r="M154" s="521" t="s">
        <v>77</v>
      </c>
      <c r="N154" s="524"/>
    </row>
    <row r="155" spans="2:14" ht="18" customHeight="1" x14ac:dyDescent="0.3">
      <c r="B155" s="690"/>
      <c r="C155" s="690">
        <v>26010995</v>
      </c>
      <c r="D155" s="690"/>
      <c r="E155" s="690"/>
      <c r="F155" s="690"/>
      <c r="G155" s="690" t="s">
        <v>75</v>
      </c>
      <c r="H155" s="690"/>
      <c r="I155" s="690"/>
      <c r="J155" s="690"/>
      <c r="K155" s="690"/>
      <c r="L155" s="690"/>
      <c r="M155" s="519" t="s">
        <v>77</v>
      </c>
      <c r="N155" s="524"/>
    </row>
    <row r="156" spans="2:14" ht="18" customHeight="1" x14ac:dyDescent="0.3">
      <c r="B156" s="690"/>
      <c r="C156" s="697">
        <v>26010996</v>
      </c>
      <c r="D156" s="697"/>
      <c r="E156" s="697"/>
      <c r="F156" s="697"/>
      <c r="G156" s="697" t="s">
        <v>75</v>
      </c>
      <c r="H156" s="697"/>
      <c r="I156" s="697"/>
      <c r="J156" s="697"/>
      <c r="K156" s="690"/>
      <c r="L156" s="690"/>
      <c r="M156" s="521" t="s">
        <v>77</v>
      </c>
      <c r="N156" s="524"/>
    </row>
    <row r="157" spans="2:14" ht="18" customHeight="1" x14ac:dyDescent="0.3">
      <c r="B157" s="690"/>
      <c r="C157" s="690">
        <v>26010997</v>
      </c>
      <c r="D157" s="690"/>
      <c r="E157" s="690"/>
      <c r="F157" s="690"/>
      <c r="G157" s="690" t="s">
        <v>75</v>
      </c>
      <c r="H157" s="690"/>
      <c r="I157" s="690"/>
      <c r="J157" s="690"/>
      <c r="K157" s="690"/>
      <c r="L157" s="690"/>
      <c r="M157" s="519" t="s">
        <v>77</v>
      </c>
      <c r="N157" s="524"/>
    </row>
    <row r="158" spans="2:14" ht="18" customHeight="1" x14ac:dyDescent="0.3">
      <c r="B158" s="690"/>
      <c r="C158" s="697">
        <v>26010998</v>
      </c>
      <c r="D158" s="697"/>
      <c r="E158" s="697"/>
      <c r="F158" s="697"/>
      <c r="G158" s="697" t="s">
        <v>75</v>
      </c>
      <c r="H158" s="697"/>
      <c r="I158" s="697"/>
      <c r="J158" s="697"/>
      <c r="K158" s="690"/>
      <c r="L158" s="690"/>
      <c r="M158" s="521" t="s">
        <v>77</v>
      </c>
      <c r="N158" s="524"/>
    </row>
    <row r="159" spans="2:14" ht="18" customHeight="1" x14ac:dyDescent="0.3">
      <c r="B159" s="690"/>
      <c r="C159" s="690">
        <v>26010999</v>
      </c>
      <c r="D159" s="690"/>
      <c r="E159" s="690"/>
      <c r="F159" s="690"/>
      <c r="G159" s="690" t="s">
        <v>75</v>
      </c>
      <c r="H159" s="690"/>
      <c r="I159" s="690"/>
      <c r="J159" s="690"/>
      <c r="K159" s="690"/>
      <c r="L159" s="690"/>
      <c r="M159" s="519" t="s">
        <v>77</v>
      </c>
      <c r="N159" s="524"/>
    </row>
    <row r="160" spans="2:14" ht="18" customHeight="1" x14ac:dyDescent="0.3">
      <c r="B160" s="521"/>
      <c r="C160" s="697"/>
      <c r="D160" s="697"/>
      <c r="E160" s="697"/>
      <c r="F160" s="697"/>
      <c r="G160" s="697"/>
      <c r="H160" s="697"/>
      <c r="I160" s="697"/>
      <c r="J160" s="697"/>
      <c r="K160" s="697"/>
      <c r="L160" s="697"/>
      <c r="M160" s="521"/>
      <c r="N160" s="524"/>
    </row>
    <row r="161" spans="2:14" ht="18" customHeight="1" x14ac:dyDescent="0.3">
      <c r="B161" s="519"/>
      <c r="C161" s="690"/>
      <c r="D161" s="690"/>
      <c r="E161" s="690"/>
      <c r="F161" s="690"/>
      <c r="G161" s="690"/>
      <c r="H161" s="690"/>
      <c r="I161" s="690"/>
      <c r="J161" s="690"/>
      <c r="K161" s="690"/>
      <c r="L161" s="690"/>
      <c r="M161" s="519"/>
      <c r="N161" s="524"/>
    </row>
    <row r="162" spans="2:14" ht="18" customHeight="1" x14ac:dyDescent="0.3">
      <c r="B162" s="521"/>
      <c r="C162" s="697"/>
      <c r="D162" s="697"/>
      <c r="E162" s="697"/>
      <c r="F162" s="697"/>
      <c r="G162" s="697"/>
      <c r="H162" s="697"/>
      <c r="I162" s="697"/>
      <c r="J162" s="697"/>
      <c r="K162" s="697"/>
      <c r="L162" s="697"/>
      <c r="M162" s="521"/>
      <c r="N162" s="524"/>
    </row>
    <row r="163" spans="2:14" ht="18" customHeight="1" x14ac:dyDescent="0.3">
      <c r="B163" s="519"/>
      <c r="C163" s="690"/>
      <c r="D163" s="690"/>
      <c r="E163" s="690"/>
      <c r="F163" s="690"/>
      <c r="G163" s="690"/>
      <c r="H163" s="690"/>
      <c r="I163" s="690"/>
      <c r="J163" s="690"/>
      <c r="K163" s="690"/>
      <c r="L163" s="690"/>
      <c r="M163" s="519"/>
      <c r="N163" s="524"/>
    </row>
    <row r="164" spans="2:14" ht="18" customHeight="1" x14ac:dyDescent="0.3">
      <c r="B164" s="521"/>
      <c r="C164" s="697"/>
      <c r="D164" s="697"/>
      <c r="E164" s="697"/>
      <c r="F164" s="697"/>
      <c r="G164" s="697"/>
      <c r="H164" s="697"/>
      <c r="I164" s="697"/>
      <c r="J164" s="697"/>
      <c r="K164" s="697"/>
      <c r="L164" s="697"/>
      <c r="M164" s="521"/>
      <c r="N164" s="524"/>
    </row>
    <row r="165" spans="2:14" ht="18" customHeight="1" x14ac:dyDescent="0.3">
      <c r="B165" s="519"/>
      <c r="C165" s="690"/>
      <c r="D165" s="690"/>
      <c r="E165" s="690"/>
      <c r="F165" s="690"/>
      <c r="G165" s="690"/>
      <c r="H165" s="690"/>
      <c r="I165" s="690"/>
      <c r="J165" s="690"/>
      <c r="K165" s="690"/>
      <c r="L165" s="690"/>
      <c r="M165" s="519"/>
      <c r="N165" s="524"/>
    </row>
    <row r="166" spans="2:14" ht="18" customHeight="1" x14ac:dyDescent="0.3">
      <c r="B166" s="521"/>
      <c r="C166" s="697"/>
      <c r="D166" s="697"/>
      <c r="E166" s="697"/>
      <c r="F166" s="697"/>
      <c r="G166" s="697"/>
      <c r="H166" s="697"/>
      <c r="I166" s="697"/>
      <c r="J166" s="697"/>
      <c r="K166" s="697"/>
      <c r="L166" s="697"/>
      <c r="M166" s="521"/>
      <c r="N166" s="524"/>
    </row>
    <row r="167" spans="2:14" ht="18" customHeight="1" x14ac:dyDescent="0.3">
      <c r="B167" s="519"/>
      <c r="C167" s="690"/>
      <c r="D167" s="690"/>
      <c r="E167" s="690"/>
      <c r="F167" s="690"/>
      <c r="G167" s="690"/>
      <c r="H167" s="690"/>
      <c r="I167" s="690"/>
      <c r="J167" s="690"/>
      <c r="K167" s="690"/>
      <c r="L167" s="690"/>
      <c r="M167" s="519"/>
      <c r="N167" s="524"/>
    </row>
    <row r="168" spans="2:14" ht="18" customHeight="1" x14ac:dyDescent="0.3">
      <c r="B168" s="521"/>
      <c r="C168" s="697"/>
      <c r="D168" s="697"/>
      <c r="E168" s="697"/>
      <c r="F168" s="697"/>
      <c r="G168" s="697"/>
      <c r="H168" s="697"/>
      <c r="I168" s="697"/>
      <c r="J168" s="697"/>
      <c r="K168" s="697"/>
      <c r="L168" s="697"/>
      <c r="M168" s="521"/>
      <c r="N168" s="524"/>
    </row>
    <row r="169" spans="2:14" ht="18" customHeight="1" x14ac:dyDescent="0.3">
      <c r="B169" s="519"/>
      <c r="C169" s="690"/>
      <c r="D169" s="690"/>
      <c r="E169" s="690"/>
      <c r="F169" s="690"/>
      <c r="G169" s="690"/>
      <c r="H169" s="690"/>
      <c r="I169" s="690"/>
      <c r="J169" s="690"/>
      <c r="K169" s="690"/>
      <c r="L169" s="690"/>
      <c r="M169" s="519"/>
      <c r="N169" s="524"/>
    </row>
    <row r="170" spans="2:14" ht="18" customHeight="1" x14ac:dyDescent="0.3">
      <c r="B170" s="521"/>
      <c r="C170" s="697"/>
      <c r="D170" s="697"/>
      <c r="E170" s="697"/>
      <c r="F170" s="697"/>
      <c r="G170" s="697"/>
      <c r="H170" s="697"/>
      <c r="I170" s="697"/>
      <c r="J170" s="697"/>
      <c r="K170" s="697"/>
      <c r="L170" s="697"/>
      <c r="M170" s="521"/>
      <c r="N170" s="524"/>
    </row>
    <row r="171" spans="2:14" ht="18" customHeight="1" x14ac:dyDescent="0.3">
      <c r="B171" s="519"/>
      <c r="C171" s="690"/>
      <c r="D171" s="690"/>
      <c r="E171" s="690"/>
      <c r="F171" s="690"/>
      <c r="G171" s="690"/>
      <c r="H171" s="690"/>
      <c r="I171" s="690"/>
      <c r="J171" s="690"/>
      <c r="K171" s="690"/>
      <c r="L171" s="690"/>
      <c r="M171" s="519"/>
      <c r="N171" s="524"/>
    </row>
    <row r="172" spans="2:14" ht="18" customHeight="1" x14ac:dyDescent="0.3">
      <c r="B172" s="521"/>
      <c r="C172" s="697"/>
      <c r="D172" s="697"/>
      <c r="E172" s="697"/>
      <c r="F172" s="697"/>
      <c r="G172" s="697"/>
      <c r="H172" s="697"/>
      <c r="I172" s="697"/>
      <c r="J172" s="697"/>
      <c r="K172" s="697"/>
      <c r="L172" s="697"/>
      <c r="M172" s="521"/>
      <c r="N172" s="524"/>
    </row>
    <row r="173" spans="2:14" ht="18" customHeight="1" x14ac:dyDescent="0.3">
      <c r="B173" s="519"/>
      <c r="C173" s="690"/>
      <c r="D173" s="690"/>
      <c r="E173" s="690"/>
      <c r="F173" s="690"/>
      <c r="G173" s="690"/>
      <c r="H173" s="690"/>
      <c r="I173" s="690"/>
      <c r="J173" s="690"/>
      <c r="K173" s="690"/>
      <c r="L173" s="690"/>
      <c r="M173" s="519"/>
      <c r="N173" s="524"/>
    </row>
    <row r="174" spans="2:14" ht="18" customHeight="1" x14ac:dyDescent="0.3">
      <c r="B174" s="521"/>
      <c r="C174" s="697"/>
      <c r="D174" s="697"/>
      <c r="E174" s="697"/>
      <c r="F174" s="697"/>
      <c r="G174" s="697"/>
      <c r="H174" s="697"/>
      <c r="I174" s="697"/>
      <c r="J174" s="697"/>
      <c r="K174" s="697"/>
      <c r="L174" s="697"/>
      <c r="M174" s="521"/>
      <c r="N174" s="524"/>
    </row>
    <row r="175" spans="2:14" ht="18" customHeight="1" x14ac:dyDescent="0.3">
      <c r="B175" s="519"/>
      <c r="C175" s="690"/>
      <c r="D175" s="690"/>
      <c r="E175" s="690"/>
      <c r="F175" s="690"/>
      <c r="G175" s="690"/>
      <c r="H175" s="690"/>
      <c r="I175" s="690"/>
      <c r="J175" s="690"/>
      <c r="K175" s="690"/>
      <c r="L175" s="690"/>
      <c r="M175" s="519"/>
      <c r="N175" s="524"/>
    </row>
    <row r="176" spans="2:14" ht="18" customHeight="1" x14ac:dyDescent="0.3">
      <c r="B176" s="521"/>
      <c r="C176" s="697"/>
      <c r="D176" s="697"/>
      <c r="E176" s="697"/>
      <c r="F176" s="697"/>
      <c r="G176" s="697"/>
      <c r="H176" s="697"/>
      <c r="I176" s="697"/>
      <c r="J176" s="697"/>
      <c r="K176" s="697"/>
      <c r="L176" s="697"/>
      <c r="M176" s="521"/>
      <c r="N176" s="524"/>
    </row>
    <row r="177" spans="14:14" ht="18" customHeight="1" x14ac:dyDescent="0.35">
      <c r="N177" s="139"/>
    </row>
    <row r="178" spans="14:14" ht="18" customHeight="1" x14ac:dyDescent="0.35">
      <c r="N178" s="139"/>
    </row>
    <row r="179" spans="14:14" ht="18" customHeight="1" x14ac:dyDescent="0.35">
      <c r="N179" s="139"/>
    </row>
    <row r="180" spans="14:14" ht="18" customHeight="1" x14ac:dyDescent="0.35">
      <c r="N180" s="139"/>
    </row>
    <row r="181" spans="14:14" ht="18" customHeight="1" x14ac:dyDescent="0.35">
      <c r="N181" s="139"/>
    </row>
    <row r="182" spans="14:14" ht="18" customHeight="1" x14ac:dyDescent="0.35">
      <c r="N182" s="139"/>
    </row>
    <row r="183" spans="14:14" ht="18" customHeight="1" x14ac:dyDescent="0.35">
      <c r="N183" s="139"/>
    </row>
    <row r="184" spans="14:14" ht="18" customHeight="1" x14ac:dyDescent="0.35">
      <c r="N184" s="139"/>
    </row>
    <row r="185" spans="14:14" ht="18" customHeight="1" x14ac:dyDescent="0.35">
      <c r="N185" s="139"/>
    </row>
    <row r="186" spans="14:14" ht="18" customHeight="1" x14ac:dyDescent="0.35">
      <c r="N186" s="139"/>
    </row>
    <row r="187" spans="14:14" ht="18" customHeight="1" x14ac:dyDescent="0.35">
      <c r="N187" s="139"/>
    </row>
    <row r="188" spans="14:14" ht="18" customHeight="1" x14ac:dyDescent="0.35">
      <c r="N188" s="139"/>
    </row>
    <row r="189" spans="14:14" ht="18" customHeight="1" x14ac:dyDescent="0.35">
      <c r="N189" s="139"/>
    </row>
    <row r="190" spans="14:14" ht="18" customHeight="1" x14ac:dyDescent="0.35">
      <c r="N190" s="139"/>
    </row>
    <row r="191" spans="14:14" ht="18" customHeight="1" x14ac:dyDescent="0.35">
      <c r="N191" s="139"/>
    </row>
    <row r="192" spans="14:14" ht="18" customHeight="1" x14ac:dyDescent="0.35">
      <c r="N192" s="139"/>
    </row>
    <row r="193" spans="14:14" ht="18" customHeight="1" x14ac:dyDescent="0.35">
      <c r="N193" s="139"/>
    </row>
    <row r="194" spans="14:14" ht="18" customHeight="1" x14ac:dyDescent="0.35">
      <c r="N194" s="139"/>
    </row>
    <row r="195" spans="14:14" ht="18" customHeight="1" x14ac:dyDescent="0.35">
      <c r="N195" s="139"/>
    </row>
    <row r="196" spans="14:14" ht="18" customHeight="1" x14ac:dyDescent="0.35">
      <c r="N196" s="139"/>
    </row>
    <row r="197" spans="14:14" ht="18" customHeight="1" x14ac:dyDescent="0.35">
      <c r="N197" s="139"/>
    </row>
    <row r="198" spans="14:14" ht="18" customHeight="1" x14ac:dyDescent="0.35">
      <c r="N198" s="139"/>
    </row>
    <row r="199" spans="14:14" ht="18" customHeight="1" x14ac:dyDescent="0.35">
      <c r="N199" s="139"/>
    </row>
    <row r="200" spans="14:14" ht="18" customHeight="1" x14ac:dyDescent="0.35">
      <c r="N200" s="139"/>
    </row>
    <row r="201" spans="14:14" ht="18" customHeight="1" x14ac:dyDescent="0.35">
      <c r="N201" s="139"/>
    </row>
    <row r="202" spans="14:14" ht="18" customHeight="1" x14ac:dyDescent="0.35">
      <c r="N202" s="139"/>
    </row>
    <row r="203" spans="14:14" ht="18" customHeight="1" x14ac:dyDescent="0.35">
      <c r="N203" s="139"/>
    </row>
    <row r="204" spans="14:14" ht="18" customHeight="1" x14ac:dyDescent="0.35">
      <c r="N204" s="139"/>
    </row>
    <row r="205" spans="14:14" ht="18" customHeight="1" x14ac:dyDescent="0.35">
      <c r="N205" s="139"/>
    </row>
    <row r="206" spans="14:14" ht="18" customHeight="1" x14ac:dyDescent="0.35">
      <c r="N206" s="139"/>
    </row>
    <row r="207" spans="14:14" ht="18" customHeight="1" x14ac:dyDescent="0.35">
      <c r="N207" s="139"/>
    </row>
    <row r="208" spans="14:14" ht="18" customHeight="1" x14ac:dyDescent="0.35">
      <c r="N208" s="139"/>
    </row>
    <row r="209" spans="14:14" ht="18" customHeight="1" x14ac:dyDescent="0.35">
      <c r="N209" s="139"/>
    </row>
    <row r="210" spans="14:14" ht="18" customHeight="1" x14ac:dyDescent="0.35">
      <c r="N210" s="139"/>
    </row>
    <row r="211" spans="14:14" ht="18" customHeight="1" x14ac:dyDescent="0.35">
      <c r="N211" s="139"/>
    </row>
    <row r="212" spans="14:14" ht="18" customHeight="1" x14ac:dyDescent="0.35">
      <c r="N212" s="139"/>
    </row>
    <row r="213" spans="14:14" ht="18" customHeight="1" x14ac:dyDescent="0.35">
      <c r="N213" s="139"/>
    </row>
    <row r="214" spans="14:14" ht="18" customHeight="1" x14ac:dyDescent="0.35">
      <c r="N214" s="139"/>
    </row>
    <row r="215" spans="14:14" ht="18" customHeight="1" x14ac:dyDescent="0.35">
      <c r="N215" s="139"/>
    </row>
    <row r="216" spans="14:14" ht="18" customHeight="1" x14ac:dyDescent="0.35">
      <c r="N216" s="139"/>
    </row>
    <row r="217" spans="14:14" ht="18" customHeight="1" x14ac:dyDescent="0.35">
      <c r="N217" s="139"/>
    </row>
    <row r="218" spans="14:14" ht="18" customHeight="1" x14ac:dyDescent="0.35">
      <c r="N218" s="139"/>
    </row>
    <row r="219" spans="14:14" ht="18" customHeight="1" x14ac:dyDescent="0.35">
      <c r="N219" s="139"/>
    </row>
    <row r="220" spans="14:14" ht="18" customHeight="1" x14ac:dyDescent="0.35">
      <c r="N220" s="139"/>
    </row>
    <row r="221" spans="14:14" ht="18" customHeight="1" x14ac:dyDescent="0.35">
      <c r="N221" s="139"/>
    </row>
    <row r="222" spans="14:14" ht="18" customHeight="1" x14ac:dyDescent="0.35">
      <c r="N222" s="139"/>
    </row>
    <row r="223" spans="14:14" ht="18" customHeight="1" x14ac:dyDescent="0.35">
      <c r="N223" s="139"/>
    </row>
    <row r="224" spans="14:14" ht="18" customHeight="1" x14ac:dyDescent="0.35">
      <c r="N224" s="139"/>
    </row>
    <row r="225" spans="14:14" ht="18" customHeight="1" x14ac:dyDescent="0.35">
      <c r="N225" s="139"/>
    </row>
    <row r="226" spans="14:14" ht="18" customHeight="1" x14ac:dyDescent="0.35">
      <c r="N226" s="139"/>
    </row>
    <row r="227" spans="14:14" ht="18" customHeight="1" x14ac:dyDescent="0.35">
      <c r="N227" s="139"/>
    </row>
    <row r="228" spans="14:14" ht="18" customHeight="1" x14ac:dyDescent="0.35">
      <c r="N228" s="139"/>
    </row>
    <row r="229" spans="14:14" ht="18" customHeight="1" x14ac:dyDescent="0.35">
      <c r="N229" s="139"/>
    </row>
    <row r="230" spans="14:14" ht="18" customHeight="1" x14ac:dyDescent="0.35">
      <c r="N230" s="139"/>
    </row>
    <row r="231" spans="14:14" ht="18" customHeight="1" x14ac:dyDescent="0.35">
      <c r="N231" s="139"/>
    </row>
    <row r="232" spans="14:14" ht="18" customHeight="1" x14ac:dyDescent="0.35">
      <c r="N232" s="139"/>
    </row>
    <row r="233" spans="14:14" ht="18" customHeight="1" x14ac:dyDescent="0.35">
      <c r="N233" s="139"/>
    </row>
    <row r="234" spans="14:14" ht="18" customHeight="1" x14ac:dyDescent="0.35">
      <c r="N234" s="139"/>
    </row>
    <row r="235" spans="14:14" ht="18" customHeight="1" x14ac:dyDescent="0.35">
      <c r="N235" s="139"/>
    </row>
    <row r="236" spans="14:14" ht="18" customHeight="1" x14ac:dyDescent="0.35">
      <c r="N236" s="139"/>
    </row>
    <row r="237" spans="14:14" ht="18" customHeight="1" x14ac:dyDescent="0.35">
      <c r="N237" s="139"/>
    </row>
    <row r="238" spans="14:14" ht="18" customHeight="1" x14ac:dyDescent="0.35">
      <c r="N238" s="139"/>
    </row>
    <row r="239" spans="14:14" ht="18" customHeight="1" x14ac:dyDescent="0.35">
      <c r="N239" s="139"/>
    </row>
    <row r="240" spans="14:14" ht="18" customHeight="1" x14ac:dyDescent="0.35">
      <c r="N240" s="139"/>
    </row>
    <row r="241" spans="14:14" ht="18" customHeight="1" x14ac:dyDescent="0.35">
      <c r="N241" s="139"/>
    </row>
    <row r="242" spans="14:14" ht="18" customHeight="1" x14ac:dyDescent="0.35">
      <c r="N242" s="139"/>
    </row>
    <row r="243" spans="14:14" ht="18" customHeight="1" x14ac:dyDescent="0.35">
      <c r="N243" s="139"/>
    </row>
    <row r="244" spans="14:14" ht="18" customHeight="1" x14ac:dyDescent="0.35">
      <c r="N244" s="139"/>
    </row>
    <row r="245" spans="14:14" ht="18" customHeight="1" x14ac:dyDescent="0.35">
      <c r="N245" s="139"/>
    </row>
    <row r="246" spans="14:14" ht="18" customHeight="1" x14ac:dyDescent="0.35">
      <c r="N246" s="139"/>
    </row>
    <row r="247" spans="14:14" ht="18" customHeight="1" x14ac:dyDescent="0.35">
      <c r="N247" s="139"/>
    </row>
    <row r="248" spans="14:14" ht="18" customHeight="1" x14ac:dyDescent="0.35">
      <c r="N248" s="139"/>
    </row>
    <row r="249" spans="14:14" ht="18" customHeight="1" x14ac:dyDescent="0.35">
      <c r="N249" s="139"/>
    </row>
    <row r="250" spans="14:14" ht="18" customHeight="1" x14ac:dyDescent="0.35">
      <c r="N250" s="139"/>
    </row>
    <row r="251" spans="14:14" ht="18" customHeight="1" x14ac:dyDescent="0.35">
      <c r="N251" s="139"/>
    </row>
    <row r="252" spans="14:14" ht="18" customHeight="1" x14ac:dyDescent="0.35">
      <c r="N252" s="139"/>
    </row>
    <row r="253" spans="14:14" ht="18" customHeight="1" x14ac:dyDescent="0.35">
      <c r="N253" s="139"/>
    </row>
    <row r="254" spans="14:14" ht="18" customHeight="1" x14ac:dyDescent="0.35">
      <c r="N254" s="139"/>
    </row>
    <row r="255" spans="14:14" ht="18" customHeight="1" x14ac:dyDescent="0.35">
      <c r="N255" s="139"/>
    </row>
    <row r="256" spans="14:14" ht="18" customHeight="1" x14ac:dyDescent="0.35">
      <c r="N256" s="139"/>
    </row>
    <row r="257" spans="14:14" ht="18" customHeight="1" x14ac:dyDescent="0.35">
      <c r="N257" s="139"/>
    </row>
    <row r="258" spans="14:14" ht="18" customHeight="1" x14ac:dyDescent="0.35">
      <c r="N258" s="139"/>
    </row>
    <row r="259" spans="14:14" ht="18" customHeight="1" x14ac:dyDescent="0.35">
      <c r="N259" s="139"/>
    </row>
    <row r="260" spans="14:14" ht="18" customHeight="1" x14ac:dyDescent="0.35">
      <c r="N260" s="139"/>
    </row>
    <row r="261" spans="14:14" ht="18" customHeight="1" x14ac:dyDescent="0.35">
      <c r="N261" s="139"/>
    </row>
    <row r="262" spans="14:14" ht="18" customHeight="1" x14ac:dyDescent="0.35">
      <c r="N262" s="139"/>
    </row>
    <row r="263" spans="14:14" ht="18" customHeight="1" x14ac:dyDescent="0.35">
      <c r="N263" s="139"/>
    </row>
    <row r="264" spans="14:14" ht="18" customHeight="1" x14ac:dyDescent="0.35">
      <c r="N264" s="139"/>
    </row>
    <row r="265" spans="14:14" ht="18" customHeight="1" x14ac:dyDescent="0.35">
      <c r="N265" s="139"/>
    </row>
    <row r="266" spans="14:14" ht="18" customHeight="1" x14ac:dyDescent="0.35">
      <c r="N266" s="139"/>
    </row>
    <row r="267" spans="14:14" ht="18" customHeight="1" x14ac:dyDescent="0.35">
      <c r="N267" s="139"/>
    </row>
    <row r="268" spans="14:14" ht="18" customHeight="1" x14ac:dyDescent="0.35">
      <c r="N268" s="139"/>
    </row>
    <row r="269" spans="14:14" ht="18" customHeight="1" x14ac:dyDescent="0.35">
      <c r="N269" s="139"/>
    </row>
    <row r="270" spans="14:14" ht="18" customHeight="1" x14ac:dyDescent="0.35">
      <c r="N270" s="139"/>
    </row>
    <row r="271" spans="14:14" ht="18" customHeight="1" x14ac:dyDescent="0.35">
      <c r="N271" s="139"/>
    </row>
    <row r="272" spans="14:14" ht="18" customHeight="1" x14ac:dyDescent="0.35">
      <c r="N272" s="139"/>
    </row>
    <row r="273" spans="14:14" ht="18" customHeight="1" x14ac:dyDescent="0.35">
      <c r="N273" s="139"/>
    </row>
    <row r="274" spans="14:14" ht="18" customHeight="1" x14ac:dyDescent="0.35">
      <c r="N274" s="139"/>
    </row>
    <row r="275" spans="14:14" ht="18" customHeight="1" x14ac:dyDescent="0.35">
      <c r="N275" s="139"/>
    </row>
    <row r="276" spans="14:14" ht="18" customHeight="1" x14ac:dyDescent="0.35">
      <c r="N276" s="139"/>
    </row>
    <row r="277" spans="14:14" ht="18" customHeight="1" x14ac:dyDescent="0.35">
      <c r="N277" s="139"/>
    </row>
    <row r="278" spans="14:14" ht="18" customHeight="1" x14ac:dyDescent="0.35">
      <c r="N278" s="139"/>
    </row>
    <row r="279" spans="14:14" ht="18" customHeight="1" x14ac:dyDescent="0.35">
      <c r="N279" s="139"/>
    </row>
    <row r="280" spans="14:14" ht="18" customHeight="1" x14ac:dyDescent="0.35">
      <c r="N280" s="139"/>
    </row>
    <row r="281" spans="14:14" ht="18" customHeight="1" x14ac:dyDescent="0.35">
      <c r="N281" s="139"/>
    </row>
    <row r="282" spans="14:14" ht="18" customHeight="1" x14ac:dyDescent="0.35">
      <c r="N282" s="139"/>
    </row>
    <row r="283" spans="14:14" ht="18" customHeight="1" x14ac:dyDescent="0.35">
      <c r="N283" s="139"/>
    </row>
    <row r="284" spans="14:14" ht="18" customHeight="1" x14ac:dyDescent="0.35">
      <c r="N284" s="139"/>
    </row>
    <row r="285" spans="14:14" ht="18" customHeight="1" x14ac:dyDescent="0.35">
      <c r="N285" s="139"/>
    </row>
    <row r="286" spans="14:14" ht="18" customHeight="1" x14ac:dyDescent="0.35">
      <c r="N286" s="139"/>
    </row>
    <row r="287" spans="14:14" ht="18" customHeight="1" x14ac:dyDescent="0.35">
      <c r="N287" s="139"/>
    </row>
    <row r="288" spans="14:14" ht="18" customHeight="1" x14ac:dyDescent="0.35">
      <c r="N288" s="139"/>
    </row>
    <row r="289" spans="14:14" ht="18" customHeight="1" x14ac:dyDescent="0.35">
      <c r="N289" s="139"/>
    </row>
    <row r="290" spans="14:14" ht="18" customHeight="1" x14ac:dyDescent="0.35">
      <c r="N290" s="139"/>
    </row>
    <row r="291" spans="14:14" ht="18" customHeight="1" x14ac:dyDescent="0.35">
      <c r="N291" s="139"/>
    </row>
    <row r="292" spans="14:14" ht="18" customHeight="1" x14ac:dyDescent="0.35">
      <c r="N292" s="139"/>
    </row>
    <row r="293" spans="14:14" ht="18" customHeight="1" x14ac:dyDescent="0.35">
      <c r="N293" s="139"/>
    </row>
    <row r="294" spans="14:14" ht="18" customHeight="1" x14ac:dyDescent="0.35">
      <c r="N294" s="139"/>
    </row>
    <row r="295" spans="14:14" ht="18" customHeight="1" x14ac:dyDescent="0.35">
      <c r="N295" s="139"/>
    </row>
    <row r="296" spans="14:14" ht="18" customHeight="1" x14ac:dyDescent="0.35">
      <c r="N296" s="139"/>
    </row>
    <row r="297" spans="14:14" ht="18" customHeight="1" x14ac:dyDescent="0.35">
      <c r="N297" s="139"/>
    </row>
    <row r="298" spans="14:14" ht="18" customHeight="1" x14ac:dyDescent="0.35">
      <c r="N298" s="139"/>
    </row>
    <row r="299" spans="14:14" ht="18" customHeight="1" x14ac:dyDescent="0.35">
      <c r="N299" s="139"/>
    </row>
    <row r="300" spans="14:14" ht="18" customHeight="1" x14ac:dyDescent="0.35">
      <c r="N300" s="139"/>
    </row>
    <row r="301" spans="14:14" ht="18" customHeight="1" x14ac:dyDescent="0.35">
      <c r="N301" s="139"/>
    </row>
    <row r="302" spans="14:14" ht="18" customHeight="1" x14ac:dyDescent="0.35">
      <c r="N302" s="139"/>
    </row>
  </sheetData>
  <mergeCells count="587">
    <mergeCell ref="C175:D175"/>
    <mergeCell ref="E175:F175"/>
    <mergeCell ref="G175:J175"/>
    <mergeCell ref="K175:L175"/>
    <mergeCell ref="C176:D176"/>
    <mergeCell ref="E176:F176"/>
    <mergeCell ref="G176:J176"/>
    <mergeCell ref="K176:L176"/>
    <mergeCell ref="C173:D173"/>
    <mergeCell ref="E173:F173"/>
    <mergeCell ref="G173:J173"/>
    <mergeCell ref="K173:L173"/>
    <mergeCell ref="C174:D174"/>
    <mergeCell ref="E174:F174"/>
    <mergeCell ref="G174:J174"/>
    <mergeCell ref="K174:L174"/>
    <mergeCell ref="C171:D171"/>
    <mergeCell ref="E171:F171"/>
    <mergeCell ref="G171:J171"/>
    <mergeCell ref="K171:L171"/>
    <mergeCell ref="C172:D172"/>
    <mergeCell ref="E172:F172"/>
    <mergeCell ref="G172:J172"/>
    <mergeCell ref="K172:L172"/>
    <mergeCell ref="C169:D169"/>
    <mergeCell ref="E169:F169"/>
    <mergeCell ref="G169:J169"/>
    <mergeCell ref="K169:L169"/>
    <mergeCell ref="C170:D170"/>
    <mergeCell ref="E170:F170"/>
    <mergeCell ref="G170:J170"/>
    <mergeCell ref="K170:L170"/>
    <mergeCell ref="C167:D167"/>
    <mergeCell ref="E167:F167"/>
    <mergeCell ref="G167:J167"/>
    <mergeCell ref="K167:L167"/>
    <mergeCell ref="C168:D168"/>
    <mergeCell ref="E168:F168"/>
    <mergeCell ref="G168:J168"/>
    <mergeCell ref="K168:L168"/>
    <mergeCell ref="C165:D165"/>
    <mergeCell ref="E165:F165"/>
    <mergeCell ref="G165:J165"/>
    <mergeCell ref="K165:L165"/>
    <mergeCell ref="C166:D166"/>
    <mergeCell ref="E166:F166"/>
    <mergeCell ref="G166:J166"/>
    <mergeCell ref="K166:L166"/>
    <mergeCell ref="C163:D163"/>
    <mergeCell ref="E163:F163"/>
    <mergeCell ref="G163:J163"/>
    <mergeCell ref="K163:L163"/>
    <mergeCell ref="C164:D164"/>
    <mergeCell ref="E164:F164"/>
    <mergeCell ref="G164:J164"/>
    <mergeCell ref="K164:L164"/>
    <mergeCell ref="C161:D161"/>
    <mergeCell ref="E161:F161"/>
    <mergeCell ref="G161:J161"/>
    <mergeCell ref="K161:L161"/>
    <mergeCell ref="C162:D162"/>
    <mergeCell ref="E162:F162"/>
    <mergeCell ref="G162:J162"/>
    <mergeCell ref="K162:L162"/>
    <mergeCell ref="C159:D159"/>
    <mergeCell ref="E159:F159"/>
    <mergeCell ref="G159:J159"/>
    <mergeCell ref="C160:D160"/>
    <mergeCell ref="E160:F160"/>
    <mergeCell ref="G160:J160"/>
    <mergeCell ref="K160:L160"/>
    <mergeCell ref="C157:D157"/>
    <mergeCell ref="E157:F157"/>
    <mergeCell ref="G157:J157"/>
    <mergeCell ref="C158:D158"/>
    <mergeCell ref="E158:F158"/>
    <mergeCell ref="G158:J158"/>
    <mergeCell ref="C155:D155"/>
    <mergeCell ref="E155:F155"/>
    <mergeCell ref="G155:J155"/>
    <mergeCell ref="C156:D156"/>
    <mergeCell ref="E156:F156"/>
    <mergeCell ref="G156:J156"/>
    <mergeCell ref="C153:D153"/>
    <mergeCell ref="E153:F153"/>
    <mergeCell ref="G153:J153"/>
    <mergeCell ref="C154:D154"/>
    <mergeCell ref="E154:F154"/>
    <mergeCell ref="G154:J154"/>
    <mergeCell ref="C151:D151"/>
    <mergeCell ref="E151:F151"/>
    <mergeCell ref="G151:J151"/>
    <mergeCell ref="C152:D152"/>
    <mergeCell ref="E152:F152"/>
    <mergeCell ref="G152:J152"/>
    <mergeCell ref="C149:D149"/>
    <mergeCell ref="E149:F149"/>
    <mergeCell ref="G149:J149"/>
    <mergeCell ref="C150:D150"/>
    <mergeCell ref="E150:F150"/>
    <mergeCell ref="G150:J150"/>
    <mergeCell ref="G141:J141"/>
    <mergeCell ref="C142:D142"/>
    <mergeCell ref="E142:F142"/>
    <mergeCell ref="G142:J142"/>
    <mergeCell ref="C147:D147"/>
    <mergeCell ref="E147:F147"/>
    <mergeCell ref="G147:J147"/>
    <mergeCell ref="C148:D148"/>
    <mergeCell ref="E148:F148"/>
    <mergeCell ref="G148:J148"/>
    <mergeCell ref="C145:D145"/>
    <mergeCell ref="E145:F145"/>
    <mergeCell ref="G145:J145"/>
    <mergeCell ref="C146:D146"/>
    <mergeCell ref="E146:F146"/>
    <mergeCell ref="G146:J146"/>
    <mergeCell ref="C136:D136"/>
    <mergeCell ref="E136:F136"/>
    <mergeCell ref="G136:J136"/>
    <mergeCell ref="K135:L159"/>
    <mergeCell ref="C139:D139"/>
    <mergeCell ref="E139:F139"/>
    <mergeCell ref="G139:J139"/>
    <mergeCell ref="C140:D140"/>
    <mergeCell ref="E140:F140"/>
    <mergeCell ref="G140:J140"/>
    <mergeCell ref="C137:D137"/>
    <mergeCell ref="E137:F137"/>
    <mergeCell ref="G137:J137"/>
    <mergeCell ref="C138:D138"/>
    <mergeCell ref="E138:F138"/>
    <mergeCell ref="G138:J138"/>
    <mergeCell ref="C143:D143"/>
    <mergeCell ref="E143:F143"/>
    <mergeCell ref="G143:J143"/>
    <mergeCell ref="C144:D144"/>
    <mergeCell ref="E144:F144"/>
    <mergeCell ref="G144:J144"/>
    <mergeCell ref="C141:D141"/>
    <mergeCell ref="E141:F141"/>
    <mergeCell ref="E133:F133"/>
    <mergeCell ref="G133:J133"/>
    <mergeCell ref="K133:L133"/>
    <mergeCell ref="C134:D134"/>
    <mergeCell ref="E134:F134"/>
    <mergeCell ref="C126:D126"/>
    <mergeCell ref="E126:F126"/>
    <mergeCell ref="G128:J128"/>
    <mergeCell ref="G126:J126"/>
    <mergeCell ref="C127:D127"/>
    <mergeCell ref="E127:F127"/>
    <mergeCell ref="G127:J127"/>
    <mergeCell ref="C128:D128"/>
    <mergeCell ref="E128:F128"/>
    <mergeCell ref="B104:B128"/>
    <mergeCell ref="K104:L128"/>
    <mergeCell ref="C135:D135"/>
    <mergeCell ref="E135:F135"/>
    <mergeCell ref="G135:J135"/>
    <mergeCell ref="G134:J134"/>
    <mergeCell ref="K134:L134"/>
    <mergeCell ref="G130:J130"/>
    <mergeCell ref="K130:L130"/>
    <mergeCell ref="C131:D131"/>
    <mergeCell ref="E131:F131"/>
    <mergeCell ref="G131:J131"/>
    <mergeCell ref="K131:L131"/>
    <mergeCell ref="C132:D132"/>
    <mergeCell ref="E132:F132"/>
    <mergeCell ref="G132:J132"/>
    <mergeCell ref="K132:L132"/>
    <mergeCell ref="C129:D129"/>
    <mergeCell ref="E129:F129"/>
    <mergeCell ref="G129:J129"/>
    <mergeCell ref="K129:L129"/>
    <mergeCell ref="C130:D130"/>
    <mergeCell ref="E130:F130"/>
    <mergeCell ref="C133:D133"/>
    <mergeCell ref="C125:D125"/>
    <mergeCell ref="E125:F125"/>
    <mergeCell ref="G125:J125"/>
    <mergeCell ref="B86:B87"/>
    <mergeCell ref="K86:L87"/>
    <mergeCell ref="B90:B92"/>
    <mergeCell ref="K90:L92"/>
    <mergeCell ref="B93:B95"/>
    <mergeCell ref="K93:L95"/>
    <mergeCell ref="C122:D122"/>
    <mergeCell ref="E122:F122"/>
    <mergeCell ref="G122:J122"/>
    <mergeCell ref="C123:D123"/>
    <mergeCell ref="E123:F123"/>
    <mergeCell ref="G123:J123"/>
    <mergeCell ref="C124:D124"/>
    <mergeCell ref="E124:F124"/>
    <mergeCell ref="G124:J124"/>
    <mergeCell ref="C120:D120"/>
    <mergeCell ref="E120:F120"/>
    <mergeCell ref="G120:J120"/>
    <mergeCell ref="C121:D121"/>
    <mergeCell ref="E121:F121"/>
    <mergeCell ref="G121:J121"/>
    <mergeCell ref="C118:D118"/>
    <mergeCell ref="E118:F118"/>
    <mergeCell ref="G118:J118"/>
    <mergeCell ref="C119:D119"/>
    <mergeCell ref="E119:F119"/>
    <mergeCell ref="G119:J119"/>
    <mergeCell ref="C116:D116"/>
    <mergeCell ref="E116:F116"/>
    <mergeCell ref="G116:J116"/>
    <mergeCell ref="C117:D117"/>
    <mergeCell ref="E117:F117"/>
    <mergeCell ref="G117:J117"/>
    <mergeCell ref="C114:D114"/>
    <mergeCell ref="E114:F114"/>
    <mergeCell ref="G114:J114"/>
    <mergeCell ref="C115:D115"/>
    <mergeCell ref="E115:F115"/>
    <mergeCell ref="G115:J115"/>
    <mergeCell ref="C112:D112"/>
    <mergeCell ref="E112:F112"/>
    <mergeCell ref="G112:J112"/>
    <mergeCell ref="C113:D113"/>
    <mergeCell ref="E113:F113"/>
    <mergeCell ref="G113:J113"/>
    <mergeCell ref="C110:D110"/>
    <mergeCell ref="E110:F110"/>
    <mergeCell ref="G110:J110"/>
    <mergeCell ref="C111:D111"/>
    <mergeCell ref="E111:F111"/>
    <mergeCell ref="G111:J111"/>
    <mergeCell ref="C108:D108"/>
    <mergeCell ref="E108:F108"/>
    <mergeCell ref="G108:J108"/>
    <mergeCell ref="C109:D109"/>
    <mergeCell ref="E109:F109"/>
    <mergeCell ref="G109:J109"/>
    <mergeCell ref="C106:D106"/>
    <mergeCell ref="E106:F106"/>
    <mergeCell ref="G106:J106"/>
    <mergeCell ref="C107:D107"/>
    <mergeCell ref="E107:F107"/>
    <mergeCell ref="G107:J107"/>
    <mergeCell ref="C104:D104"/>
    <mergeCell ref="E104:F104"/>
    <mergeCell ref="G104:J104"/>
    <mergeCell ref="C105:D105"/>
    <mergeCell ref="E105:F105"/>
    <mergeCell ref="G105:J105"/>
    <mergeCell ref="C102:D102"/>
    <mergeCell ref="E102:F102"/>
    <mergeCell ref="G102:J102"/>
    <mergeCell ref="K102:L102"/>
    <mergeCell ref="C103:D103"/>
    <mergeCell ref="E103:F103"/>
    <mergeCell ref="G103:J103"/>
    <mergeCell ref="K103:L103"/>
    <mergeCell ref="K99:L99"/>
    <mergeCell ref="C100:D100"/>
    <mergeCell ref="E100:F100"/>
    <mergeCell ref="G100:J100"/>
    <mergeCell ref="K100:L100"/>
    <mergeCell ref="C101:D101"/>
    <mergeCell ref="E101:F101"/>
    <mergeCell ref="G101:J101"/>
    <mergeCell ref="K101:L101"/>
    <mergeCell ref="E92:F92"/>
    <mergeCell ref="G92:J92"/>
    <mergeCell ref="C93:D93"/>
    <mergeCell ref="E93:F93"/>
    <mergeCell ref="G93:J93"/>
    <mergeCell ref="C99:D99"/>
    <mergeCell ref="E99:F99"/>
    <mergeCell ref="G99:J99"/>
    <mergeCell ref="C98:D98"/>
    <mergeCell ref="E98:F98"/>
    <mergeCell ref="G98:J98"/>
    <mergeCell ref="C94:D94"/>
    <mergeCell ref="E94:F94"/>
    <mergeCell ref="G94:J94"/>
    <mergeCell ref="C95:D95"/>
    <mergeCell ref="E95:F95"/>
    <mergeCell ref="G95:J95"/>
    <mergeCell ref="K98:L98"/>
    <mergeCell ref="C90:D90"/>
    <mergeCell ref="E90:F90"/>
    <mergeCell ref="G90:J90"/>
    <mergeCell ref="C96:D96"/>
    <mergeCell ref="E96:F96"/>
    <mergeCell ref="G96:J96"/>
    <mergeCell ref="C76:D76"/>
    <mergeCell ref="B81:B83"/>
    <mergeCell ref="K81:L83"/>
    <mergeCell ref="C97:D97"/>
    <mergeCell ref="E97:F97"/>
    <mergeCell ref="G97:J97"/>
    <mergeCell ref="C91:D91"/>
    <mergeCell ref="E91:F91"/>
    <mergeCell ref="G91:J91"/>
    <mergeCell ref="C92:D92"/>
    <mergeCell ref="G83:J83"/>
    <mergeCell ref="C84:D84"/>
    <mergeCell ref="E84:F84"/>
    <mergeCell ref="G84:J84"/>
    <mergeCell ref="K84:L84"/>
    <mergeCell ref="K85:L85"/>
    <mergeCell ref="K76:L79"/>
    <mergeCell ref="C88:D88"/>
    <mergeCell ref="E88:F88"/>
    <mergeCell ref="G88:J88"/>
    <mergeCell ref="K88:L88"/>
    <mergeCell ref="C82:D82"/>
    <mergeCell ref="E82:F82"/>
    <mergeCell ref="G82:J82"/>
    <mergeCell ref="C83:D83"/>
    <mergeCell ref="E83:F83"/>
    <mergeCell ref="C89:D89"/>
    <mergeCell ref="E89:F89"/>
    <mergeCell ref="G89:J89"/>
    <mergeCell ref="B38:B66"/>
    <mergeCell ref="K38:L66"/>
    <mergeCell ref="B67:B72"/>
    <mergeCell ref="K67:L72"/>
    <mergeCell ref="B73:B75"/>
    <mergeCell ref="K73:L75"/>
    <mergeCell ref="B76:B79"/>
    <mergeCell ref="G86:J86"/>
    <mergeCell ref="C87:D87"/>
    <mergeCell ref="E87:F87"/>
    <mergeCell ref="G87:J87"/>
    <mergeCell ref="C85:D85"/>
    <mergeCell ref="E85:F85"/>
    <mergeCell ref="G81:J81"/>
    <mergeCell ref="G85:J85"/>
    <mergeCell ref="C86:D86"/>
    <mergeCell ref="E86:F86"/>
    <mergeCell ref="K89:L89"/>
    <mergeCell ref="C79:D79"/>
    <mergeCell ref="E79:F79"/>
    <mergeCell ref="G79:J79"/>
    <mergeCell ref="C80:D80"/>
    <mergeCell ref="E80:F80"/>
    <mergeCell ref="G80:J80"/>
    <mergeCell ref="K80:L80"/>
    <mergeCell ref="C81:D81"/>
    <mergeCell ref="E81:F81"/>
    <mergeCell ref="C78:D78"/>
    <mergeCell ref="E78:F78"/>
    <mergeCell ref="G78:J78"/>
    <mergeCell ref="E76:F76"/>
    <mergeCell ref="G76:J76"/>
    <mergeCell ref="C77:D77"/>
    <mergeCell ref="E77:F77"/>
    <mergeCell ref="G77:J77"/>
    <mergeCell ref="E75:F75"/>
    <mergeCell ref="G75:J75"/>
    <mergeCell ref="C70:D70"/>
    <mergeCell ref="E70:F70"/>
    <mergeCell ref="G70:J70"/>
    <mergeCell ref="C71:D71"/>
    <mergeCell ref="E71:F71"/>
    <mergeCell ref="G71:J71"/>
    <mergeCell ref="C73:D73"/>
    <mergeCell ref="E73:F73"/>
    <mergeCell ref="G73:J73"/>
    <mergeCell ref="C74:D74"/>
    <mergeCell ref="E74:F74"/>
    <mergeCell ref="G74:J74"/>
    <mergeCell ref="C75:D75"/>
    <mergeCell ref="C72:D72"/>
    <mergeCell ref="E72:F72"/>
    <mergeCell ref="G72:J72"/>
    <mergeCell ref="C68:D68"/>
    <mergeCell ref="E68:F68"/>
    <mergeCell ref="G68:J68"/>
    <mergeCell ref="C69:D69"/>
    <mergeCell ref="E69:F69"/>
    <mergeCell ref="G69:J69"/>
    <mergeCell ref="C66:D66"/>
    <mergeCell ref="E66:F66"/>
    <mergeCell ref="G66:J66"/>
    <mergeCell ref="C67:D67"/>
    <mergeCell ref="E67:F67"/>
    <mergeCell ref="G67:J67"/>
    <mergeCell ref="C64:D64"/>
    <mergeCell ref="E64:F64"/>
    <mergeCell ref="G64:J64"/>
    <mergeCell ref="C65:D65"/>
    <mergeCell ref="E65:F65"/>
    <mergeCell ref="G65:J65"/>
    <mergeCell ref="C62:D62"/>
    <mergeCell ref="E62:F62"/>
    <mergeCell ref="G62:J62"/>
    <mergeCell ref="C63:D63"/>
    <mergeCell ref="E63:F63"/>
    <mergeCell ref="G63:J63"/>
    <mergeCell ref="C60:D60"/>
    <mergeCell ref="E60:F60"/>
    <mergeCell ref="G60:J60"/>
    <mergeCell ref="C61:D61"/>
    <mergeCell ref="E61:F61"/>
    <mergeCell ref="G61:J61"/>
    <mergeCell ref="C58:D58"/>
    <mergeCell ref="E58:F58"/>
    <mergeCell ref="G58:J58"/>
    <mergeCell ref="C59:D59"/>
    <mergeCell ref="E59:F59"/>
    <mergeCell ref="G59:J59"/>
    <mergeCell ref="C56:D56"/>
    <mergeCell ref="E56:F56"/>
    <mergeCell ref="G56:J56"/>
    <mergeCell ref="C57:D57"/>
    <mergeCell ref="E57:F57"/>
    <mergeCell ref="G57:J57"/>
    <mergeCell ref="C54:D54"/>
    <mergeCell ref="E54:F54"/>
    <mergeCell ref="G54:J54"/>
    <mergeCell ref="C55:D55"/>
    <mergeCell ref="E55:F55"/>
    <mergeCell ref="G55:J55"/>
    <mergeCell ref="C52:D52"/>
    <mergeCell ref="E52:F52"/>
    <mergeCell ref="G52:J52"/>
    <mergeCell ref="C53:D53"/>
    <mergeCell ref="E53:F53"/>
    <mergeCell ref="G53:J53"/>
    <mergeCell ref="C50:D50"/>
    <mergeCell ref="E50:F50"/>
    <mergeCell ref="G50:J50"/>
    <mergeCell ref="C51:D51"/>
    <mergeCell ref="E51:F51"/>
    <mergeCell ref="G51:J51"/>
    <mergeCell ref="C48:D48"/>
    <mergeCell ref="E48:F48"/>
    <mergeCell ref="G48:J48"/>
    <mergeCell ref="C49:D49"/>
    <mergeCell ref="E49:F49"/>
    <mergeCell ref="G49:J49"/>
    <mergeCell ref="C46:D46"/>
    <mergeCell ref="E46:F46"/>
    <mergeCell ref="G46:J46"/>
    <mergeCell ref="C47:D47"/>
    <mergeCell ref="E47:F47"/>
    <mergeCell ref="G47:J47"/>
    <mergeCell ref="C44:D44"/>
    <mergeCell ref="E44:F44"/>
    <mergeCell ref="G44:J44"/>
    <mergeCell ref="C45:D45"/>
    <mergeCell ref="E45:F45"/>
    <mergeCell ref="G45:J45"/>
    <mergeCell ref="C42:D42"/>
    <mergeCell ref="E42:F42"/>
    <mergeCell ref="G42:J42"/>
    <mergeCell ref="C43:D43"/>
    <mergeCell ref="E43:F43"/>
    <mergeCell ref="G43:J43"/>
    <mergeCell ref="C41:D41"/>
    <mergeCell ref="E41:F41"/>
    <mergeCell ref="G41:J41"/>
    <mergeCell ref="K37:L37"/>
    <mergeCell ref="C38:D38"/>
    <mergeCell ref="E38:F38"/>
    <mergeCell ref="G38:J38"/>
    <mergeCell ref="C39:D39"/>
    <mergeCell ref="E39:F39"/>
    <mergeCell ref="G39:J39"/>
    <mergeCell ref="C37:D37"/>
    <mergeCell ref="E37:F37"/>
    <mergeCell ref="G37:J37"/>
    <mergeCell ref="C40:D40"/>
    <mergeCell ref="E40:F40"/>
    <mergeCell ref="G40:J40"/>
    <mergeCell ref="C32:D32"/>
    <mergeCell ref="E32:F32"/>
    <mergeCell ref="G32:J32"/>
    <mergeCell ref="C33:D33"/>
    <mergeCell ref="E33:F33"/>
    <mergeCell ref="G33:J33"/>
    <mergeCell ref="K36:L36"/>
    <mergeCell ref="C29:D29"/>
    <mergeCell ref="E29:F29"/>
    <mergeCell ref="G29:J29"/>
    <mergeCell ref="C30:D30"/>
    <mergeCell ref="E30:F30"/>
    <mergeCell ref="G30:J30"/>
    <mergeCell ref="C31:D31"/>
    <mergeCell ref="E31:F31"/>
    <mergeCell ref="G31:J31"/>
    <mergeCell ref="C36:D36"/>
    <mergeCell ref="E36:F36"/>
    <mergeCell ref="G36:J36"/>
    <mergeCell ref="C35:D35"/>
    <mergeCell ref="E35:F35"/>
    <mergeCell ref="C34:D34"/>
    <mergeCell ref="E34:F34"/>
    <mergeCell ref="G34:J34"/>
    <mergeCell ref="C13:D13"/>
    <mergeCell ref="E13:F13"/>
    <mergeCell ref="G13:J13"/>
    <mergeCell ref="E18:F18"/>
    <mergeCell ref="G18:J18"/>
    <mergeCell ref="C19:D19"/>
    <mergeCell ref="E19:F19"/>
    <mergeCell ref="C28:D28"/>
    <mergeCell ref="E28:F28"/>
    <mergeCell ref="G28:J28"/>
    <mergeCell ref="C17:D17"/>
    <mergeCell ref="E17:F17"/>
    <mergeCell ref="G17:J17"/>
    <mergeCell ref="C18:D18"/>
    <mergeCell ref="C26:D26"/>
    <mergeCell ref="E26:F26"/>
    <mergeCell ref="G26:J26"/>
    <mergeCell ref="G25:J25"/>
    <mergeCell ref="C20:D20"/>
    <mergeCell ref="E20:F20"/>
    <mergeCell ref="G20:J20"/>
    <mergeCell ref="C21:D21"/>
    <mergeCell ref="E21:F21"/>
    <mergeCell ref="G21:J21"/>
    <mergeCell ref="G23:J23"/>
    <mergeCell ref="C24:D24"/>
    <mergeCell ref="E24:F24"/>
    <mergeCell ref="G24:J24"/>
    <mergeCell ref="C25:D25"/>
    <mergeCell ref="E25:F25"/>
    <mergeCell ref="G14:J14"/>
    <mergeCell ref="C15:D15"/>
    <mergeCell ref="E15:F15"/>
    <mergeCell ref="G15:J15"/>
    <mergeCell ref="C16:D16"/>
    <mergeCell ref="E16:F16"/>
    <mergeCell ref="G16:J16"/>
    <mergeCell ref="C22:D22"/>
    <mergeCell ref="E22:F22"/>
    <mergeCell ref="G22:J22"/>
    <mergeCell ref="G19:J19"/>
    <mergeCell ref="K29:L35"/>
    <mergeCell ref="C7:D7"/>
    <mergeCell ref="E7:F7"/>
    <mergeCell ref="G7:J7"/>
    <mergeCell ref="C8:D8"/>
    <mergeCell ref="E8:F8"/>
    <mergeCell ref="G8:J8"/>
    <mergeCell ref="C14:D14"/>
    <mergeCell ref="E14:F14"/>
    <mergeCell ref="C11:D11"/>
    <mergeCell ref="E11:F11"/>
    <mergeCell ref="G11:J11"/>
    <mergeCell ref="C12:D12"/>
    <mergeCell ref="E12:F12"/>
    <mergeCell ref="G12:J12"/>
    <mergeCell ref="C9:D9"/>
    <mergeCell ref="E9:F9"/>
    <mergeCell ref="G9:J9"/>
    <mergeCell ref="C10:D10"/>
    <mergeCell ref="E10:F10"/>
    <mergeCell ref="K28:L28"/>
    <mergeCell ref="K4:L27"/>
    <mergeCell ref="C23:D23"/>
    <mergeCell ref="E23:F23"/>
    <mergeCell ref="B135:B159"/>
    <mergeCell ref="B1:N2"/>
    <mergeCell ref="C3:D3"/>
    <mergeCell ref="E3:F3"/>
    <mergeCell ref="G3:J3"/>
    <mergeCell ref="K3:L3"/>
    <mergeCell ref="B4:B27"/>
    <mergeCell ref="C5:D5"/>
    <mergeCell ref="E5:F5"/>
    <mergeCell ref="G5:J5"/>
    <mergeCell ref="C6:D6"/>
    <mergeCell ref="E6:F6"/>
    <mergeCell ref="G6:J6"/>
    <mergeCell ref="C4:D4"/>
    <mergeCell ref="E4:F4"/>
    <mergeCell ref="G4:J4"/>
    <mergeCell ref="G10:J10"/>
    <mergeCell ref="C27:D27"/>
    <mergeCell ref="E27:F27"/>
    <mergeCell ref="G27:J27"/>
    <mergeCell ref="B96:B97"/>
    <mergeCell ref="K96:L97"/>
    <mergeCell ref="G35:J35"/>
    <mergeCell ref="B29:B35"/>
  </mergeCells>
  <conditionalFormatting sqref="B4:B27">
    <cfRule type="expression" dxfId="109" priority="4">
      <formula>AND(COUNTA($C$4:$C$27)+COUNTA($E$4:$E$27)&gt;0,COUNTBLANK($N$4:$N$27)=0)</formula>
    </cfRule>
  </conditionalFormatting>
  <conditionalFormatting sqref="B28">
    <cfRule type="expression" dxfId="108" priority="5">
      <formula>AND(COUNTA($C$28:$C$28)+COUNTA($E$28:$E$28)&gt;0,COUNTBLANK($N$28:$N$28)=0)</formula>
    </cfRule>
  </conditionalFormatting>
  <conditionalFormatting sqref="B29:B35">
    <cfRule type="expression" dxfId="107" priority="6">
      <formula>AND(COUNTA($C$29:$C$35)+COUNTA($E$29:$E$35)&gt;0,COUNTBLANK($N$29:$N$35)=0)</formula>
    </cfRule>
  </conditionalFormatting>
  <conditionalFormatting sqref="B36">
    <cfRule type="expression" dxfId="106" priority="7">
      <formula>AND(COUNTA($C$36:$C$36)+COUNTA($E$36:$E$36)&gt;0,COUNTBLANK($N$36:$N$36)=0)</formula>
    </cfRule>
  </conditionalFormatting>
  <conditionalFormatting sqref="B37">
    <cfRule type="expression" dxfId="105" priority="8">
      <formula>AND(COUNTA($C$37:$C$37)+COUNTA($E$37:$E$37)&gt;0,COUNTBLANK($N$37:$N$37)=0)</formula>
    </cfRule>
  </conditionalFormatting>
  <conditionalFormatting sqref="B38:B66">
    <cfRule type="expression" dxfId="104" priority="9">
      <formula>AND(COUNTA($C$38:$C$66)+COUNTA($E$38:$E$66)&gt;0,COUNTBLANK($N$38:$N$66)=0)</formula>
    </cfRule>
  </conditionalFormatting>
  <conditionalFormatting sqref="B67:B72">
    <cfRule type="expression" dxfId="103" priority="10">
      <formula>AND(COUNTA($C$67:$C$72)+COUNTA($E$67:$E$72)&gt;0,COUNTBLANK($N$67:$N$72)=0)</formula>
    </cfRule>
  </conditionalFormatting>
  <conditionalFormatting sqref="B73:B75">
    <cfRule type="expression" dxfId="102" priority="11">
      <formula>AND(COUNTA($C$73:$C$75)+COUNTA($E$73:$E$75)&gt;0,COUNTBLANK($N$73:$N$75)=0)</formula>
    </cfRule>
  </conditionalFormatting>
  <conditionalFormatting sqref="B76:B79">
    <cfRule type="expression" dxfId="101" priority="12">
      <formula>AND(COUNTA($C$76:$C$79)+COUNTA($E$76:$E$79)&gt;0,COUNTBLANK($N$76:$N$79)=0)</formula>
    </cfRule>
  </conditionalFormatting>
  <conditionalFormatting sqref="B80">
    <cfRule type="expression" dxfId="100" priority="13">
      <formula>AND(COUNTA($C$80:$C$80)+COUNTA($E$80:$E$80)&gt;0,COUNTBLANK($N$80:$N$80)=0)</formula>
    </cfRule>
  </conditionalFormatting>
  <conditionalFormatting sqref="B81:B83">
    <cfRule type="expression" dxfId="99" priority="14">
      <formula>AND(COUNTA($C$81:$C$83)+COUNTA($E$81:$E$83)&gt;0,COUNTBLANK($N$81:$N$83)=0)</formula>
    </cfRule>
  </conditionalFormatting>
  <conditionalFormatting sqref="B84">
    <cfRule type="expression" dxfId="98" priority="15">
      <formula>AND(COUNTA($C$84:$C$84)+COUNTA($E$84:$E$84)&gt;0,COUNTBLANK($N$84:$N$84)=0)</formula>
    </cfRule>
  </conditionalFormatting>
  <conditionalFormatting sqref="B85">
    <cfRule type="expression" dxfId="97" priority="16">
      <formula>AND(COUNTA($C$85:$C$85)+COUNTA($E$85:$E$85)&gt;0,COUNTBLANK($N$85:$N$85)=0)</formula>
    </cfRule>
  </conditionalFormatting>
  <conditionalFormatting sqref="B86:B87">
    <cfRule type="expression" dxfId="96" priority="17">
      <formula>AND(COUNTA($C$86:$C$87)+COUNTA($E$86:$E$87)&gt;0,COUNTBLANK($N$86:$N$87)=0)</formula>
    </cfRule>
  </conditionalFormatting>
  <conditionalFormatting sqref="B88">
    <cfRule type="expression" dxfId="95" priority="18">
      <formula>AND(COUNTA($C$88:$C$88)+COUNTA($E$88:$E$88)&gt;0,COUNTBLANK($N$88:$N$88)=0)</formula>
    </cfRule>
  </conditionalFormatting>
  <conditionalFormatting sqref="B89">
    <cfRule type="expression" dxfId="94" priority="19">
      <formula>AND(COUNTA($C$89:$C$89)+COUNTA($E$89:$E$89)&gt;0,COUNTBLANK($N$89:$N$89)=0)</formula>
    </cfRule>
  </conditionalFormatting>
  <conditionalFormatting sqref="B90:B92">
    <cfRule type="expression" dxfId="93" priority="20">
      <formula>AND(COUNTA($C$90:$C$92)+COUNTA($E$90:$E$92)&gt;0,COUNTBLANK($N$90:$N$92)=0)</formula>
    </cfRule>
  </conditionalFormatting>
  <conditionalFormatting sqref="B93:B95">
    <cfRule type="expression" dxfId="92" priority="21">
      <formula>AND(COUNTA($C$93:$C$95)+COUNTA($E$93:$E$95)&gt;0,COUNTBLANK($N$93:$N$95)=0)</formula>
    </cfRule>
  </conditionalFormatting>
  <conditionalFormatting sqref="B96:B97">
    <cfRule type="expression" dxfId="91" priority="22">
      <formula>AND(COUNTA($C$96:$C$97)+COUNTA($E$96:$E$97)&gt;0,COUNTBLANK($N$96:$N$97)=0)</formula>
    </cfRule>
  </conditionalFormatting>
  <conditionalFormatting sqref="B98">
    <cfRule type="expression" dxfId="90" priority="23">
      <formula>AND(COUNTA($C$98:$C$98)+COUNTA($E$98:$E$98)&gt;0,COUNTBLANK($N$98:$N$98)=0)</formula>
    </cfRule>
  </conditionalFormatting>
  <conditionalFormatting sqref="B99">
    <cfRule type="expression" dxfId="89" priority="24">
      <formula>AND(COUNTA($C$99:$C$99)+COUNTA($E$99:$E$99)&gt;0,COUNTBLANK($N$99:$N$99)=0)</formula>
    </cfRule>
  </conditionalFormatting>
  <conditionalFormatting sqref="B100">
    <cfRule type="expression" dxfId="88" priority="25">
      <formula>AND(COUNTA($C$100:$C$100)+COUNTA($E$100:$E$100)&gt;0,COUNTBLANK($N$100:$N$100)=0)</formula>
    </cfRule>
  </conditionalFormatting>
  <conditionalFormatting sqref="B101">
    <cfRule type="expression" dxfId="87" priority="26">
      <formula>AND(COUNTA($C$101:$C$101)+COUNTA($E$101:$E$101)&gt;0,COUNTBLANK($N$101:$N$101)=0)</formula>
    </cfRule>
  </conditionalFormatting>
  <conditionalFormatting sqref="B102">
    <cfRule type="expression" dxfId="86" priority="27">
      <formula>AND(COUNTA($C$102:$C$102)+COUNTA($E$102:$E$102)&gt;0,COUNTBLANK($N$102:$N$102)=0)</formula>
    </cfRule>
  </conditionalFormatting>
  <conditionalFormatting sqref="B103">
    <cfRule type="expression" dxfId="85" priority="28">
      <formula>AND(COUNTA($C$103:$C$103)+COUNTA($E$103:$E$103)&gt;0,COUNTBLANK($N$103:$N$103)=0)</formula>
    </cfRule>
  </conditionalFormatting>
  <conditionalFormatting sqref="B104:B128">
    <cfRule type="expression" dxfId="84" priority="29">
      <formula>AND(COUNTA($C$104:$C$128)+COUNTA($E$104:$E$128)&gt;0,COUNTBLANK($N$104:$N$128)=0)</formula>
    </cfRule>
  </conditionalFormatting>
  <conditionalFormatting sqref="B129">
    <cfRule type="expression" dxfId="83" priority="30">
      <formula>AND(COUNTA($C$129:$C$129)+COUNTA($E$129:$E$129)&gt;0,COUNTBLANK($N$129:$N$129)=0)</formula>
    </cfRule>
  </conditionalFormatting>
  <conditionalFormatting sqref="C4:J500">
    <cfRule type="expression" dxfId="82" priority="2">
      <formula>$N4&lt;&gt;""</formula>
    </cfRule>
  </conditionalFormatting>
  <conditionalFormatting sqref="K4:L27">
    <cfRule type="expression" dxfId="81" priority="31">
      <formula>AND(COUNTA($C$4:$C$27)+COUNTA($E$4:$E$27)&gt;0,COUNTBLANK($N$4:$N$27)=0)</formula>
    </cfRule>
  </conditionalFormatting>
  <conditionalFormatting sqref="K28:L28">
    <cfRule type="expression" dxfId="80" priority="32">
      <formula>AND(COUNTA($C$28:$C$28)+COUNTA($E$28:$E$28)&gt;0,COUNTBLANK($N$28:$N$28)=0)</formula>
    </cfRule>
  </conditionalFormatting>
  <conditionalFormatting sqref="K29:L35">
    <cfRule type="expression" dxfId="79" priority="33">
      <formula>AND(COUNTA($C$29:$C$35)+COUNTA($E$29:$E$35)&gt;0,COUNTBLANK($N$29:$N$35)=0)</formula>
    </cfRule>
  </conditionalFormatting>
  <conditionalFormatting sqref="K36:L36">
    <cfRule type="expression" dxfId="78" priority="34">
      <formula>AND(COUNTA($C$36:$C$36)+COUNTA($E$36:$E$36)&gt;0,COUNTBLANK($N$36:$N$36)=0)</formula>
    </cfRule>
  </conditionalFormatting>
  <conditionalFormatting sqref="K37:L37">
    <cfRule type="expression" dxfId="77" priority="35">
      <formula>AND(COUNTA($C$37:$C$37)+COUNTA($E$37:$E$37)&gt;0,COUNTBLANK($N$37:$N$37)=0)</formula>
    </cfRule>
  </conditionalFormatting>
  <conditionalFormatting sqref="K38:L66">
    <cfRule type="expression" dxfId="76" priority="36">
      <formula>AND(COUNTA($C$38:$C$66)+COUNTA($E$38:$E$66)&gt;0,COUNTBLANK($N$38:$N$66)=0)</formula>
    </cfRule>
  </conditionalFormatting>
  <conditionalFormatting sqref="K67:L72">
    <cfRule type="expression" dxfId="75" priority="37">
      <formula>AND(COUNTA($C$67:$C$72)+COUNTA($E$67:$E$72)&gt;0,COUNTBLANK($N$67:$N$72)=0)</formula>
    </cfRule>
  </conditionalFormatting>
  <conditionalFormatting sqref="K73:L75">
    <cfRule type="expression" dxfId="74" priority="38">
      <formula>AND(COUNTA($C$73:$C$75)+COUNTA($E$73:$E$75)&gt;0,COUNTBLANK($N$73:$N$75)=0)</formula>
    </cfRule>
  </conditionalFormatting>
  <conditionalFormatting sqref="K76:L79">
    <cfRule type="expression" dxfId="73" priority="39">
      <formula>AND(COUNTA($C$76:$C$79)+COUNTA($E$76:$E$79)&gt;0,COUNTBLANK($N$76:$N$79)=0)</formula>
    </cfRule>
  </conditionalFormatting>
  <conditionalFormatting sqref="K80:L80">
    <cfRule type="expression" dxfId="72" priority="40">
      <formula>AND(COUNTA($C$80:$C$80)+COUNTA($E$80:$E$80)&gt;0,COUNTBLANK($N$80:$N$80)=0)</formula>
    </cfRule>
  </conditionalFormatting>
  <conditionalFormatting sqref="K81:L83">
    <cfRule type="expression" dxfId="71" priority="41">
      <formula>AND(COUNTA($C$81:$C$83)+COUNTA($E$81:$E$83)&gt;0,COUNTBLANK($N$81:$N$83)=0)</formula>
    </cfRule>
  </conditionalFormatting>
  <conditionalFormatting sqref="K84:L84">
    <cfRule type="expression" dxfId="70" priority="42">
      <formula>AND(COUNTA($C$84:$C$84)+COUNTA($E$84:$E$84)&gt;0,COUNTBLANK($N$84:$N$84)=0)</formula>
    </cfRule>
  </conditionalFormatting>
  <conditionalFormatting sqref="K85:L85">
    <cfRule type="expression" dxfId="69" priority="43">
      <formula>AND(COUNTA($C$85:$C$85)+COUNTA($E$85:$E$85)&gt;0,COUNTBLANK($N$85:$N$85)=0)</formula>
    </cfRule>
  </conditionalFormatting>
  <conditionalFormatting sqref="K86:L87">
    <cfRule type="expression" dxfId="68" priority="44">
      <formula>AND(COUNTA($C$86:$C$87)+COUNTA($E$86:$E$87)&gt;0,COUNTBLANK($N$86:$N$87)=0)</formula>
    </cfRule>
  </conditionalFormatting>
  <conditionalFormatting sqref="K88:L88">
    <cfRule type="expression" dxfId="67" priority="45">
      <formula>AND(COUNTA($C$88:$C$88)+COUNTA($E$88:$E$88)&gt;0,COUNTBLANK($N$88:$N$88)=0)</formula>
    </cfRule>
  </conditionalFormatting>
  <conditionalFormatting sqref="K89:L89">
    <cfRule type="expression" dxfId="66" priority="46">
      <formula>AND(COUNTA($C$89:$C$89)+COUNTA($E$89:$E$89)&gt;0,COUNTBLANK($N$89:$N$89)=0)</formula>
    </cfRule>
  </conditionalFormatting>
  <conditionalFormatting sqref="K90:L92">
    <cfRule type="expression" dxfId="65" priority="47">
      <formula>AND(COUNTA($C$90:$C$92)+COUNTA($E$90:$E$92)&gt;0,COUNTBLANK($N$90:$N$92)=0)</formula>
    </cfRule>
  </conditionalFormatting>
  <conditionalFormatting sqref="K93:L95">
    <cfRule type="expression" dxfId="64" priority="48">
      <formula>AND(COUNTA($C$93:$C$95)+COUNTA($E$93:$E$95)&gt;0,COUNTBLANK($N$93:$N$95)=0)</formula>
    </cfRule>
  </conditionalFormatting>
  <conditionalFormatting sqref="K96:L97">
    <cfRule type="expression" dxfId="63" priority="49">
      <formula>AND(COUNTA($C$96:$C$97)+COUNTA($E$96:$E$97)&gt;0,COUNTBLANK($N$96:$N$97)=0)</formula>
    </cfRule>
  </conditionalFormatting>
  <conditionalFormatting sqref="K98:L98">
    <cfRule type="expression" dxfId="62" priority="50">
      <formula>AND(COUNTA($C$98:$C$98)+COUNTA($E$98:$E$98)&gt;0,COUNTBLANK($N$98:$N$98)=0)</formula>
    </cfRule>
  </conditionalFormatting>
  <conditionalFormatting sqref="K99:L99">
    <cfRule type="expression" dxfId="61" priority="51">
      <formula>AND(COUNTA($C$99:$C$99)+COUNTA($E$99:$E$99)&gt;0,COUNTBLANK($N$99:$N$99)=0)</formula>
    </cfRule>
  </conditionalFormatting>
  <conditionalFormatting sqref="K100:L100">
    <cfRule type="expression" dxfId="60" priority="52">
      <formula>AND(COUNTA($C$100:$C$100)+COUNTA($E$100:$E$100)&gt;0,COUNTBLANK($N$100:$N$100)=0)</formula>
    </cfRule>
  </conditionalFormatting>
  <conditionalFormatting sqref="K101:L101">
    <cfRule type="expression" dxfId="59" priority="53">
      <formula>AND(COUNTA($C$101:$C$101)+COUNTA($E$101:$E$101)&gt;0,COUNTBLANK($N$101:$N$101)=0)</formula>
    </cfRule>
  </conditionalFormatting>
  <conditionalFormatting sqref="K102:L102">
    <cfRule type="expression" dxfId="58" priority="54">
      <formula>AND(COUNTA($C$102:$C$102)+COUNTA($E$102:$E$102)&gt;0,COUNTBLANK($N$102:$N$102)=0)</formula>
    </cfRule>
  </conditionalFormatting>
  <conditionalFormatting sqref="K103:L103">
    <cfRule type="expression" dxfId="57" priority="55">
      <formula>AND(COUNTA($C$103:$C$103)+COUNTA($E$103:$E$103)&gt;0,COUNTBLANK($N$103:$N$103)=0)</formula>
    </cfRule>
  </conditionalFormatting>
  <conditionalFormatting sqref="K104:L128">
    <cfRule type="expression" dxfId="56" priority="56">
      <formula>AND(COUNTA($C$104:$C$128)+COUNTA($E$104:$E$128)&gt;0,COUNTBLANK($N$104:$N$128)=0)</formula>
    </cfRule>
  </conditionalFormatting>
  <conditionalFormatting sqref="K129:L129">
    <cfRule type="expression" dxfId="55" priority="57">
      <formula>AND(COUNTA($C$129:$C$129)+COUNTA($E$129:$E$129)&gt;0,COUNTBLANK($N$129:$N$129)=0)</formula>
    </cfRule>
  </conditionalFormatting>
  <conditionalFormatting sqref="M4:N500">
    <cfRule type="expression" dxfId="54" priority="3">
      <formula>$N4&lt;&gt;""</formula>
    </cfRule>
  </conditionalFormatting>
  <pageMargins left="0.7" right="0.7" top="0.75" bottom="0.75" header="0.511811023622047" footer="0.511811023622047"/>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74FC-1B09-4CC9-ACEF-A6A22A3668C6}">
  <sheetPr>
    <tabColor rgb="FF2F3A4A"/>
  </sheetPr>
  <dimension ref="A1:AP228"/>
  <sheetViews>
    <sheetView showGridLines="0" tabSelected="1" topLeftCell="A164" zoomScale="90" zoomScaleNormal="90" workbookViewId="0">
      <selection activeCell="Q165" sqref="Q165"/>
    </sheetView>
  </sheetViews>
  <sheetFormatPr defaultColWidth="8.5546875" defaultRowHeight="14.4" x14ac:dyDescent="0.3"/>
  <cols>
    <col min="1" max="1" width="32.5546875" style="1" customWidth="1"/>
    <col min="2" max="2" width="28" style="1" customWidth="1"/>
    <col min="3" max="3" width="14" style="1" customWidth="1"/>
    <col min="4" max="4" width="13" style="1" customWidth="1"/>
    <col min="5" max="5" width="10" style="1" customWidth="1"/>
    <col min="6" max="6" width="13" style="1" customWidth="1"/>
    <col min="7" max="7" width="14.6640625" style="1" bestFit="1" customWidth="1"/>
    <col min="8"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46204</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c r="AP3" s="65">
        <v>600</v>
      </c>
    </row>
    <row r="4" spans="1:42" ht="21" customHeight="1" x14ac:dyDescent="0.3">
      <c r="A4" s="110"/>
      <c r="B4" s="127" t="s">
        <v>492</v>
      </c>
      <c r="C4" s="126">
        <v>600</v>
      </c>
      <c r="D4" s="104">
        <f>'SEMANA JUNHO'!D215-'SEMANA JUNHO'!H215</f>
        <v>1101</v>
      </c>
      <c r="E4" s="107" t="s">
        <v>184</v>
      </c>
      <c r="F4" s="871">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190</v>
      </c>
      <c r="G4" s="106">
        <f>IFERROR(ROUNDUP(D4/F4,0),"")</f>
        <v>6</v>
      </c>
      <c r="H4" s="105">
        <v>1101</v>
      </c>
      <c r="I4" s="104">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6606</v>
      </c>
      <c r="AA4" t="s">
        <v>185</v>
      </c>
      <c r="AB4" t="s">
        <v>1423</v>
      </c>
      <c r="AH4" s="900">
        <v>600</v>
      </c>
      <c r="AO4" s="900">
        <v>125</v>
      </c>
    </row>
    <row r="5" spans="1:42" ht="21" customHeight="1" x14ac:dyDescent="0.3">
      <c r="A5" s="110"/>
      <c r="B5" s="109" t="s">
        <v>498</v>
      </c>
      <c r="C5" s="108">
        <v>600</v>
      </c>
      <c r="D5" s="104">
        <v>950</v>
      </c>
      <c r="E5" s="107" t="s">
        <v>184</v>
      </c>
      <c r="F5" s="871">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95</v>
      </c>
      <c r="G5" s="106">
        <f>IFERROR(ROUNDUP(D5/F5,0),"")</f>
        <v>10</v>
      </c>
      <c r="H5" s="105">
        <v>335</v>
      </c>
      <c r="I5" s="104">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4020</v>
      </c>
      <c r="AA5" t="s">
        <v>183</v>
      </c>
      <c r="AB5" t="s">
        <v>1423</v>
      </c>
      <c r="AO5" s="900">
        <v>180</v>
      </c>
    </row>
    <row r="6" spans="1:42"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2"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2"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2" ht="15" customHeight="1" x14ac:dyDescent="0.3">
      <c r="A9" s="899"/>
      <c r="B9" s="846" t="s">
        <v>186</v>
      </c>
      <c r="C9" s="847"/>
      <c r="D9" s="848">
        <f>SUM(D2:D8)</f>
        <v>2051</v>
      </c>
      <c r="E9" s="849"/>
      <c r="F9" s="856" t="s">
        <v>1400</v>
      </c>
      <c r="G9" s="850">
        <f>SUM(G2:G8)</f>
        <v>16</v>
      </c>
      <c r="H9" s="848">
        <f>SUM(H2:H8)</f>
        <v>1436</v>
      </c>
      <c r="I9" s="848">
        <f>SUM(I2:I8)</f>
        <v>10626</v>
      </c>
      <c r="J9" s="63">
        <f>D9</f>
        <v>2051</v>
      </c>
      <c r="K9" s="93">
        <f>G9</f>
        <v>16</v>
      </c>
      <c r="L9" s="63">
        <f>H9</f>
        <v>1436</v>
      </c>
      <c r="M9" s="63">
        <f>I9</f>
        <v>10626</v>
      </c>
      <c r="N9" s="587" cm="1">
        <f t="array" ref="N9">IF(H9=0,"",SUMPRODUCT(IFERROR(INT(H4:H8/F4:F8),0)))</f>
        <v>8</v>
      </c>
      <c r="O9" s="770">
        <f>IF(N9="","",MAX(0,G9-N9))</f>
        <v>8</v>
      </c>
      <c r="AA9" t="s">
        <v>58</v>
      </c>
      <c r="AB9" t="s">
        <v>1423</v>
      </c>
      <c r="AO9" s="900">
        <v>600</v>
      </c>
    </row>
    <row r="10" spans="1:42" ht="6" customHeight="1" x14ac:dyDescent="0.3">
      <c r="C10" s="65"/>
      <c r="AA10" t="s">
        <v>496</v>
      </c>
      <c r="AB10" t="s">
        <v>1423</v>
      </c>
    </row>
    <row r="11" spans="1:42" ht="15" customHeight="1" x14ac:dyDescent="0.3">
      <c r="A11" s="75">
        <v>46205</v>
      </c>
      <c r="B11" s="113" t="s">
        <v>49</v>
      </c>
      <c r="C11" s="112" t="s">
        <v>176</v>
      </c>
      <c r="D11" s="111" t="s">
        <v>177</v>
      </c>
      <c r="E11" s="111" t="s">
        <v>178</v>
      </c>
      <c r="F11" s="860" t="s">
        <v>179</v>
      </c>
      <c r="G11" s="111" t="s">
        <v>180</v>
      </c>
      <c r="H11" s="111" t="s">
        <v>181</v>
      </c>
      <c r="I11" s="111" t="s">
        <v>182</v>
      </c>
      <c r="AA11" t="s">
        <v>37</v>
      </c>
      <c r="AB11" t="s">
        <v>1423</v>
      </c>
    </row>
    <row r="12" spans="1:42" ht="21" customHeight="1" x14ac:dyDescent="0.3">
      <c r="A12" s="110"/>
      <c r="B12" s="109" t="s">
        <v>498</v>
      </c>
      <c r="C12" s="108">
        <v>600</v>
      </c>
      <c r="D12" s="104">
        <f>D5-H5</f>
        <v>615</v>
      </c>
      <c r="E12" s="107" t="s">
        <v>184</v>
      </c>
      <c r="F12" s="871">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95</v>
      </c>
      <c r="G12" s="106">
        <f>IFERROR(ROUNDUP(D12/F12,0),"")</f>
        <v>7</v>
      </c>
      <c r="H12" s="105">
        <v>615</v>
      </c>
      <c r="I12" s="104">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7380</v>
      </c>
      <c r="AA12" t="s">
        <v>1080</v>
      </c>
      <c r="AB12" t="s">
        <v>1423</v>
      </c>
    </row>
    <row r="13" spans="1:42" ht="21" customHeight="1" x14ac:dyDescent="0.3">
      <c r="A13" s="110"/>
      <c r="B13" s="109" t="s">
        <v>37</v>
      </c>
      <c r="C13" s="108">
        <v>600</v>
      </c>
      <c r="D13" s="104">
        <v>768</v>
      </c>
      <c r="E13" s="107" t="s">
        <v>184</v>
      </c>
      <c r="F13" s="871">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95</v>
      </c>
      <c r="G13" s="106">
        <f>IFERROR(ROUNDUP(D13/F13,0),"")</f>
        <v>9</v>
      </c>
      <c r="H13" s="105">
        <v>41</v>
      </c>
      <c r="I13" s="104">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492</v>
      </c>
      <c r="AA13" t="s">
        <v>489</v>
      </c>
      <c r="AB13" t="s">
        <v>1423</v>
      </c>
    </row>
    <row r="14" spans="1:42"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1383</v>
      </c>
      <c r="E17" s="849"/>
      <c r="F17" s="856" t="s">
        <v>1400</v>
      </c>
      <c r="G17" s="850">
        <f>SUM(G10:G16)</f>
        <v>16</v>
      </c>
      <c r="H17" s="848">
        <f>SUM(H10:H16)</f>
        <v>656</v>
      </c>
      <c r="I17" s="848">
        <f>SUM(I10:I16)</f>
        <v>7872</v>
      </c>
      <c r="J17" s="63">
        <f>D17</f>
        <v>1383</v>
      </c>
      <c r="K17" s="93">
        <f>G17</f>
        <v>16</v>
      </c>
      <c r="L17" s="63">
        <f>H17</f>
        <v>656</v>
      </c>
      <c r="M17" s="63">
        <f>I17</f>
        <v>7872</v>
      </c>
      <c r="N17" s="587" cm="1">
        <f t="array" ref="N17">IF(H17=0,"",SUMPRODUCT(IFERROR(INT(H12:H16/F12:F16),0)))</f>
        <v>6</v>
      </c>
      <c r="O17" s="770">
        <f>IF(N17="","",MAX(0,G17-N17))</f>
        <v>10</v>
      </c>
      <c r="AA17" t="s">
        <v>236</v>
      </c>
      <c r="AB17" t="s">
        <v>1425</v>
      </c>
    </row>
    <row r="18" spans="1:28" ht="6" customHeight="1" x14ac:dyDescent="0.3">
      <c r="C18" s="65"/>
      <c r="AA18" t="s">
        <v>593</v>
      </c>
      <c r="AB18" t="s">
        <v>1426</v>
      </c>
    </row>
    <row r="19" spans="1:28" ht="15" customHeight="1" x14ac:dyDescent="0.3">
      <c r="A19" s="75">
        <v>46206</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t="s">
        <v>37</v>
      </c>
      <c r="C20" s="108">
        <v>600</v>
      </c>
      <c r="D20" s="104">
        <f>D13-H13</f>
        <v>727</v>
      </c>
      <c r="E20" s="107" t="s">
        <v>184</v>
      </c>
      <c r="F20" s="871">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95</v>
      </c>
      <c r="G20" s="106">
        <f>IFERROR(ROUNDUP(D20/F20,0),"")</f>
        <v>8</v>
      </c>
      <c r="H20" s="105">
        <v>727</v>
      </c>
      <c r="I20" s="104">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8724</v>
      </c>
      <c r="AA20" t="s">
        <v>189</v>
      </c>
      <c r="AB20" t="s">
        <v>1425</v>
      </c>
    </row>
    <row r="21" spans="1:28" ht="21" customHeight="1" x14ac:dyDescent="0.3">
      <c r="A21" s="110"/>
      <c r="B21" s="109" t="s">
        <v>25</v>
      </c>
      <c r="C21" s="108">
        <v>400</v>
      </c>
      <c r="D21" s="104">
        <v>2625</v>
      </c>
      <c r="E21" s="107" t="s">
        <v>184</v>
      </c>
      <c r="F21" s="871">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125</v>
      </c>
      <c r="G21" s="106">
        <f>IFERROR(ROUNDUP(D21/F21,0),"")</f>
        <v>21</v>
      </c>
      <c r="H21" s="105">
        <v>63</v>
      </c>
      <c r="I21" s="104">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756</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3352</v>
      </c>
      <c r="E25" s="849"/>
      <c r="F25" s="856" t="s">
        <v>1400</v>
      </c>
      <c r="G25" s="850">
        <f>SUM(G18:G24)</f>
        <v>29</v>
      </c>
      <c r="H25" s="848">
        <f>SUM(H18:H24)</f>
        <v>790</v>
      </c>
      <c r="I25" s="848">
        <f>SUM(I18:I24)</f>
        <v>9480</v>
      </c>
      <c r="J25" s="63">
        <f>D25</f>
        <v>3352</v>
      </c>
      <c r="K25" s="93">
        <f>G25</f>
        <v>29</v>
      </c>
      <c r="L25" s="63">
        <f>H25</f>
        <v>790</v>
      </c>
      <c r="M25" s="63">
        <f>I25</f>
        <v>9480</v>
      </c>
      <c r="N25" s="587" cm="1">
        <f t="array" ref="N25">IF(H25=0,"",SUMPRODUCT(IFERROR(INT(H20:H24/F20:F24),0)))</f>
        <v>7</v>
      </c>
      <c r="O25" s="770">
        <f>IF(N25="","",MAX(0,G25-N25))</f>
        <v>22</v>
      </c>
      <c r="AA25" t="s">
        <v>1159</v>
      </c>
      <c r="AB25" t="s">
        <v>1423</v>
      </c>
    </row>
    <row r="26" spans="1:28" ht="6" customHeight="1" x14ac:dyDescent="0.3">
      <c r="C26" s="65"/>
      <c r="AA26" t="s">
        <v>287</v>
      </c>
      <c r="AB26" t="s">
        <v>1427</v>
      </c>
    </row>
    <row r="27" spans="1:28" ht="15" customHeight="1" x14ac:dyDescent="0.3">
      <c r="A27" s="135">
        <v>46207</v>
      </c>
      <c r="B27" s="113" t="s">
        <v>49</v>
      </c>
      <c r="C27" s="112" t="s">
        <v>176</v>
      </c>
      <c r="D27" s="111" t="s">
        <v>177</v>
      </c>
      <c r="E27" s="111" t="s">
        <v>178</v>
      </c>
      <c r="F27" s="862" t="s">
        <v>179</v>
      </c>
      <c r="G27" s="111" t="s">
        <v>180</v>
      </c>
      <c r="H27" s="111" t="s">
        <v>181</v>
      </c>
      <c r="I27" s="111" t="s">
        <v>182</v>
      </c>
      <c r="J27" s="128"/>
      <c r="K27" s="128"/>
      <c r="L27" s="128"/>
      <c r="M27" s="128"/>
      <c r="AA27" t="s">
        <v>996</v>
      </c>
      <c r="AB27" t="s">
        <v>1426</v>
      </c>
    </row>
    <row r="28" spans="1:28" ht="21" customHeight="1" x14ac:dyDescent="0.3">
      <c r="A28" s="110"/>
      <c r="B28" s="127" t="s">
        <v>25</v>
      </c>
      <c r="C28" s="126">
        <v>400</v>
      </c>
      <c r="D28" s="129">
        <f>D21-H21</f>
        <v>2562</v>
      </c>
      <c r="E28" s="131" t="s">
        <v>184</v>
      </c>
      <c r="F28" s="877">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125</v>
      </c>
      <c r="G28" s="130">
        <f>IFERROR(ROUNDUP(D28/F28,0),"")</f>
        <v>21</v>
      </c>
      <c r="H28" s="105">
        <v>892</v>
      </c>
      <c r="I28" s="129">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10704</v>
      </c>
      <c r="J28" s="128"/>
      <c r="K28" s="128"/>
      <c r="L28" s="128"/>
      <c r="M28" s="128"/>
      <c r="AA28" t="s">
        <v>288</v>
      </c>
      <c r="AB28" t="s">
        <v>1426</v>
      </c>
    </row>
    <row r="29" spans="1:28" ht="21" customHeight="1" x14ac:dyDescent="0.3">
      <c r="A29" s="110"/>
      <c r="B29" s="109"/>
      <c r="C29" s="108"/>
      <c r="D29" s="129"/>
      <c r="E29" s="131" t="s">
        <v>184</v>
      </c>
      <c r="F29" s="877"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30" t="str">
        <f>IFERROR(ROUNDUP(D29/F29,0),"")</f>
        <v/>
      </c>
      <c r="H29" s="105"/>
      <c r="I29" s="129"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J29" s="128"/>
      <c r="K29" s="128"/>
      <c r="L29" s="128"/>
      <c r="M29" s="128"/>
      <c r="AA29" t="s">
        <v>93</v>
      </c>
      <c r="AB29" t="s">
        <v>1428</v>
      </c>
    </row>
    <row r="30" spans="1:28" ht="21" customHeight="1" x14ac:dyDescent="0.3">
      <c r="A30" s="110"/>
      <c r="B30" s="127"/>
      <c r="C30" s="126"/>
      <c r="D30" s="129"/>
      <c r="E30" s="131" t="s">
        <v>184</v>
      </c>
      <c r="F30" s="877"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30" t="str">
        <f>IFERROR(ROUNDUP(D30/F30,0),"")</f>
        <v/>
      </c>
      <c r="H30" s="105"/>
      <c r="I30" s="129"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J30" s="128"/>
      <c r="K30" s="128"/>
      <c r="L30" s="128"/>
      <c r="M30" s="128"/>
      <c r="AA30" t="s">
        <v>406</v>
      </c>
      <c r="AB30" t="s">
        <v>1428</v>
      </c>
    </row>
    <row r="31" spans="1:28" ht="21" customHeight="1" x14ac:dyDescent="0.3">
      <c r="A31" s="110"/>
      <c r="B31" s="127"/>
      <c r="C31" s="126"/>
      <c r="D31" s="129"/>
      <c r="E31" s="131" t="s">
        <v>184</v>
      </c>
      <c r="F31" s="877"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30" t="str">
        <f>IFERROR(ROUNDUP(D31/F31,0),"")</f>
        <v/>
      </c>
      <c r="H31" s="105"/>
      <c r="I31" s="129"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J31" s="128"/>
      <c r="K31" s="128"/>
      <c r="L31" s="128"/>
      <c r="M31" s="128"/>
      <c r="AA31" t="s">
        <v>407</v>
      </c>
      <c r="AB31" t="s">
        <v>1428</v>
      </c>
    </row>
    <row r="32" spans="1:28" ht="21" customHeight="1" x14ac:dyDescent="0.3">
      <c r="A32" s="817"/>
      <c r="B32" s="829"/>
      <c r="C32" s="830"/>
      <c r="D32" s="831"/>
      <c r="E32" s="832" t="s">
        <v>184</v>
      </c>
      <c r="F32" s="878"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33" t="str">
        <f>IFERROR(ROUNDUP(D32/F32,0),"")</f>
        <v/>
      </c>
      <c r="H32" s="823"/>
      <c r="I32" s="831"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J32" s="128"/>
      <c r="K32" s="128"/>
      <c r="L32" s="128"/>
      <c r="M32" s="128"/>
      <c r="AA32" t="s">
        <v>95</v>
      </c>
      <c r="AB32" t="s">
        <v>1428</v>
      </c>
    </row>
    <row r="33" spans="1:28" ht="15" customHeight="1" x14ac:dyDescent="0.3">
      <c r="A33" s="899"/>
      <c r="B33" s="846" t="s">
        <v>186</v>
      </c>
      <c r="C33" s="851"/>
      <c r="D33" s="848">
        <f>SUM(D26:D32)</f>
        <v>2562</v>
      </c>
      <c r="E33" s="852"/>
      <c r="F33" s="857" t="s">
        <v>1400</v>
      </c>
      <c r="G33" s="850">
        <f>SUM(G26:G32)</f>
        <v>21</v>
      </c>
      <c r="H33" s="848">
        <f>SUM(H26:H32)</f>
        <v>892</v>
      </c>
      <c r="I33" s="848">
        <f>SUM(I26:I32)</f>
        <v>10704</v>
      </c>
      <c r="J33" s="133">
        <f>D33</f>
        <v>2562</v>
      </c>
      <c r="K33" s="134">
        <f>G33</f>
        <v>21</v>
      </c>
      <c r="L33" s="133">
        <f>H33</f>
        <v>892</v>
      </c>
      <c r="M33" s="133">
        <f>I33</f>
        <v>10704</v>
      </c>
      <c r="N33" s="587" cm="1">
        <f t="array" ref="N33">IF(H33=0,"",SUMPRODUCT(IFERROR(INT(H28:H32/F28:F32),0)))</f>
        <v>7</v>
      </c>
      <c r="O33" s="770">
        <f>IF(N33="","",MAX(0,G33-N33))</f>
        <v>14</v>
      </c>
      <c r="AA33" t="s">
        <v>471</v>
      </c>
      <c r="AB33" t="s">
        <v>1428</v>
      </c>
    </row>
    <row r="34" spans="1:28" ht="6" customHeight="1" x14ac:dyDescent="0.3">
      <c r="A34" s="128"/>
      <c r="B34" s="128"/>
      <c r="C34" s="132"/>
      <c r="D34" s="128"/>
      <c r="E34" s="128"/>
      <c r="F34" s="128"/>
      <c r="G34" s="128"/>
      <c r="H34" s="128"/>
      <c r="I34" s="128"/>
      <c r="J34" s="128"/>
      <c r="K34" s="128"/>
      <c r="L34" s="128"/>
      <c r="M34" s="128"/>
      <c r="AA34" t="s">
        <v>292</v>
      </c>
      <c r="AB34" t="s">
        <v>1428</v>
      </c>
    </row>
    <row r="35" spans="1:28" ht="15" customHeight="1" x14ac:dyDescent="0.3">
      <c r="A35" s="75">
        <v>46209</v>
      </c>
      <c r="B35" s="113" t="s">
        <v>49</v>
      </c>
      <c r="C35" s="112" t="s">
        <v>176</v>
      </c>
      <c r="D35" s="111" t="s">
        <v>177</v>
      </c>
      <c r="E35" s="111" t="s">
        <v>178</v>
      </c>
      <c r="F35" s="860" t="s">
        <v>179</v>
      </c>
      <c r="G35" s="111" t="s">
        <v>180</v>
      </c>
      <c r="H35" s="111" t="s">
        <v>181</v>
      </c>
      <c r="I35" s="111" t="s">
        <v>182</v>
      </c>
      <c r="AA35" t="s">
        <v>1193</v>
      </c>
      <c r="AB35" t="s">
        <v>1428</v>
      </c>
    </row>
    <row r="36" spans="1:28" ht="21" customHeight="1" x14ac:dyDescent="0.3">
      <c r="A36" s="110"/>
      <c r="B36" s="109" t="s">
        <v>25</v>
      </c>
      <c r="C36" s="108">
        <v>400</v>
      </c>
      <c r="D36" s="104">
        <f>D28-H28</f>
        <v>1670</v>
      </c>
      <c r="E36" s="107" t="s">
        <v>184</v>
      </c>
      <c r="F36" s="871">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125</v>
      </c>
      <c r="G36" s="106">
        <f>IFERROR(ROUNDUP(D36/F36,0),"")</f>
        <v>14</v>
      </c>
      <c r="H36" s="105">
        <v>1245</v>
      </c>
      <c r="I36" s="104">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14940</v>
      </c>
      <c r="AA36" t="s">
        <v>294</v>
      </c>
      <c r="AB36" t="s">
        <v>1428</v>
      </c>
    </row>
    <row r="37" spans="1:28" ht="21" customHeight="1" x14ac:dyDescent="0.3">
      <c r="A37" s="110"/>
      <c r="B37" s="109"/>
      <c r="C37" s="108"/>
      <c r="D37" s="104"/>
      <c r="E37" s="107" t="s">
        <v>184</v>
      </c>
      <c r="F37" s="871"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06" t="str">
        <f>IFERROR(ROUNDUP(D37/F37,0),"")</f>
        <v/>
      </c>
      <c r="H37" s="105"/>
      <c r="I37" s="104"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AA37" t="s">
        <v>591</v>
      </c>
      <c r="AB37" t="s">
        <v>1428</v>
      </c>
    </row>
    <row r="38" spans="1:28" ht="21" customHeight="1" x14ac:dyDescent="0.3">
      <c r="A38" s="110"/>
      <c r="B38" s="109"/>
      <c r="C38" s="108"/>
      <c r="D38" s="104"/>
      <c r="E38" s="107" t="s">
        <v>184</v>
      </c>
      <c r="F38" s="871"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06" t="str">
        <f>IFERROR(ROUNDUP(D38/F38,0),"")</f>
        <v/>
      </c>
      <c r="H38" s="105"/>
      <c r="I38" s="104"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AA38" t="s">
        <v>590</v>
      </c>
      <c r="AB38" t="s">
        <v>1428</v>
      </c>
    </row>
    <row r="39" spans="1:28" ht="21" customHeight="1" x14ac:dyDescent="0.3">
      <c r="A39" s="110"/>
      <c r="B39" s="109"/>
      <c r="C39" s="108"/>
      <c r="D39" s="104"/>
      <c r="E39" s="107" t="s">
        <v>184</v>
      </c>
      <c r="F39" s="871"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06" t="str">
        <f>IFERROR(ROUNDUP(D39/F39,0),"")</f>
        <v/>
      </c>
      <c r="H39" s="105"/>
      <c r="I39" s="104"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AA39" t="s">
        <v>592</v>
      </c>
      <c r="AB39" t="s">
        <v>1428</v>
      </c>
    </row>
    <row r="40" spans="1:28" ht="21" customHeight="1" x14ac:dyDescent="0.3">
      <c r="A40" s="817"/>
      <c r="B40" s="818"/>
      <c r="C40" s="819"/>
      <c r="D40" s="820"/>
      <c r="E40" s="821" t="s">
        <v>184</v>
      </c>
      <c r="F40" s="872"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22" t="str">
        <f>IFERROR(ROUNDUP(D40/F40,0),"")</f>
        <v/>
      </c>
      <c r="H40" s="823"/>
      <c r="I40" s="820"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AA40" t="s">
        <v>473</v>
      </c>
      <c r="AB40" t="s">
        <v>1428</v>
      </c>
    </row>
    <row r="41" spans="1:28" ht="15" customHeight="1" x14ac:dyDescent="0.3">
      <c r="A41" s="899"/>
      <c r="B41" s="846" t="s">
        <v>186</v>
      </c>
      <c r="C41" s="847"/>
      <c r="D41" s="848">
        <f>SUM(D34:D40)</f>
        <v>1670</v>
      </c>
      <c r="E41" s="849"/>
      <c r="F41" s="856" t="s">
        <v>1400</v>
      </c>
      <c r="G41" s="850">
        <f>SUM(G34:G40)</f>
        <v>14</v>
      </c>
      <c r="H41" s="848">
        <f>SUM(H34:H40)</f>
        <v>1245</v>
      </c>
      <c r="I41" s="848">
        <f>SUM(I34:I40)</f>
        <v>14940</v>
      </c>
      <c r="J41" s="63">
        <f>D41</f>
        <v>1670</v>
      </c>
      <c r="K41" s="93">
        <f>G41</f>
        <v>14</v>
      </c>
      <c r="L41" s="63">
        <f>H41</f>
        <v>1245</v>
      </c>
      <c r="M41" s="63">
        <f>I41</f>
        <v>14940</v>
      </c>
      <c r="N41" s="587" cm="1">
        <f t="array" ref="N41">IF(H41=0,"",SUMPRODUCT(IFERROR(INT(H36:H40/F36:F40),0)))</f>
        <v>9</v>
      </c>
      <c r="O41" s="770">
        <f>IF(N41="","",MAX(0,G41-N41))</f>
        <v>5</v>
      </c>
      <c r="AA41" t="s">
        <v>296</v>
      </c>
      <c r="AB41" t="s">
        <v>1428</v>
      </c>
    </row>
    <row r="42" spans="1:28" ht="6" customHeight="1" x14ac:dyDescent="0.3">
      <c r="C42" s="65"/>
      <c r="AA42" t="s">
        <v>472</v>
      </c>
      <c r="AB42" t="s">
        <v>1428</v>
      </c>
    </row>
    <row r="43" spans="1:28" ht="15" customHeight="1" x14ac:dyDescent="0.3">
      <c r="A43" s="75">
        <v>46210</v>
      </c>
      <c r="B43" s="113" t="s">
        <v>49</v>
      </c>
      <c r="C43" s="112" t="s">
        <v>176</v>
      </c>
      <c r="D43" s="111" t="s">
        <v>177</v>
      </c>
      <c r="E43" s="111" t="s">
        <v>178</v>
      </c>
      <c r="F43" s="860" t="s">
        <v>179</v>
      </c>
      <c r="G43" s="111" t="s">
        <v>180</v>
      </c>
      <c r="H43" s="111" t="s">
        <v>181</v>
      </c>
      <c r="I43" s="111" t="s">
        <v>182</v>
      </c>
      <c r="AA43" t="s">
        <v>293</v>
      </c>
      <c r="AB43" t="s">
        <v>1428</v>
      </c>
    </row>
    <row r="44" spans="1:28" ht="21" customHeight="1" x14ac:dyDescent="0.3">
      <c r="A44" s="110"/>
      <c r="B44" s="109" t="s">
        <v>25</v>
      </c>
      <c r="C44" s="108">
        <v>400</v>
      </c>
      <c r="D44" s="104">
        <f>D36-H36</f>
        <v>425</v>
      </c>
      <c r="E44" s="107" t="s">
        <v>184</v>
      </c>
      <c r="F44" s="871">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125</v>
      </c>
      <c r="G44" s="106">
        <f t="shared" ref="G44:G49" si="0">IFERROR(ROUNDUP(D44/F44,0),"")</f>
        <v>4</v>
      </c>
      <c r="H44" s="105">
        <v>425</v>
      </c>
      <c r="I44" s="104">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5100</v>
      </c>
      <c r="AA44" t="s">
        <v>101</v>
      </c>
      <c r="AB44" t="s">
        <v>1428</v>
      </c>
    </row>
    <row r="45" spans="1:28" ht="21" customHeight="1" x14ac:dyDescent="0.3">
      <c r="A45" s="110"/>
      <c r="B45" s="109" t="s">
        <v>1159</v>
      </c>
      <c r="C45" s="108">
        <v>600</v>
      </c>
      <c r="D45" s="104">
        <v>106</v>
      </c>
      <c r="E45" s="107" t="s">
        <v>184</v>
      </c>
      <c r="F45" s="871">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95</v>
      </c>
      <c r="G45" s="106">
        <f t="shared" si="0"/>
        <v>2</v>
      </c>
      <c r="H45" s="105">
        <v>106</v>
      </c>
      <c r="I45" s="104">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1272</v>
      </c>
      <c r="AA45" t="s">
        <v>474</v>
      </c>
      <c r="AB45" t="s">
        <v>1428</v>
      </c>
    </row>
    <row r="46" spans="1:28" ht="21" customHeight="1" x14ac:dyDescent="0.3">
      <c r="A46" s="110"/>
      <c r="B46" s="109" t="s">
        <v>1189</v>
      </c>
      <c r="C46" s="108">
        <v>200</v>
      </c>
      <c r="D46" s="104">
        <v>330</v>
      </c>
      <c r="E46" s="107" t="s">
        <v>184</v>
      </c>
      <c r="F46" s="871">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330</v>
      </c>
      <c r="G46" s="106">
        <f t="shared" si="0"/>
        <v>1</v>
      </c>
      <c r="H46" s="105">
        <v>330</v>
      </c>
      <c r="I46" s="104">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1980</v>
      </c>
      <c r="AA46" t="s">
        <v>295</v>
      </c>
      <c r="AB46" t="s">
        <v>1428</v>
      </c>
    </row>
    <row r="47" spans="1:28" ht="21" customHeight="1" x14ac:dyDescent="0.3">
      <c r="A47" s="110"/>
      <c r="B47" s="109"/>
      <c r="C47" s="108"/>
      <c r="D47" s="104"/>
      <c r="E47" s="107" t="s">
        <v>184</v>
      </c>
      <c r="F47" s="871"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06" t="str">
        <f t="shared" si="0"/>
        <v/>
      </c>
      <c r="H47" s="105"/>
      <c r="I47" s="104"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AA47" t="s">
        <v>97</v>
      </c>
      <c r="AB47" t="s">
        <v>1428</v>
      </c>
    </row>
    <row r="48" spans="1:28" ht="21" customHeight="1" x14ac:dyDescent="0.3">
      <c r="A48" s="110"/>
      <c r="B48" s="109"/>
      <c r="C48" s="108"/>
      <c r="D48" s="104"/>
      <c r="E48" s="107" t="s">
        <v>184</v>
      </c>
      <c r="F48" s="871"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106" t="str">
        <f t="shared" si="0"/>
        <v/>
      </c>
      <c r="H48" s="105"/>
      <c r="I48" s="104"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AA48" t="s">
        <v>475</v>
      </c>
      <c r="AB48" t="s">
        <v>1428</v>
      </c>
    </row>
    <row r="49" spans="1:28" ht="21" customHeight="1" x14ac:dyDescent="0.3">
      <c r="A49" s="817"/>
      <c r="B49" s="818"/>
      <c r="C49" s="819"/>
      <c r="D49" s="820"/>
      <c r="E49" s="821" t="s">
        <v>184</v>
      </c>
      <c r="F49" s="872" t="str">
        <f>IF($B49="","",IF(SUMIFS(CONFIG_PALETES!$C:$C,CONFIG_PALETES!$A:$A,TRIM($B49),CONFIG_PALETES!$B:$B,$C49&amp;" ml")&gt;0,SUMIFS(CONFIG_PALETES!$C:$C,CONFIG_PALETES!$A:$A,TRIM($B49),CONFIG_PALETES!$B:$B,$C49&amp;" ml"),IF(SUMIFS(CONFIG_PALETES!$C:$C,CONFIG_PALETES!$A:$A,"GERAL",CONFIG_PALETES!$B:$B,$C49&amp;" ml")&gt;0,SUMIFS(CONFIG_PALETES!$C:$C,CONFIG_PALETES!$A:$A,"GERAL",CONFIG_PALETES!$B:$B,$C49&amp;" ml"),"")))</f>
        <v/>
      </c>
      <c r="G49" s="822" t="str">
        <f t="shared" si="0"/>
        <v/>
      </c>
      <c r="H49" s="823"/>
      <c r="I49" s="820" t="str">
        <f>IF(H49="","",H49*IF(SUMIFS(CONFIG_PALETES!$D:$D,CONFIG_PALETES!$A:$A,IF(ISNUMBER(SEARCH("ESPUMA",$B49)),"ESPUMA",IF(OR(ISNUMBER(SEARCH("OLEO DE COCO",$B49)),ISNUMBER(SEARCH("ÓLEO DE COCO",$B49)),ISNUMBER(SEARCH("COPRA",$B49))),"ÓLEO DE COCO",IF(ISNUMBER(SEARCH("CORANTE",$B49)),"CORANTE",TRIM($B49)))),CONFIG_PALETES!$B:$B,$C49&amp;" ml")&gt;0,SUMIFS(CONFIG_PALETES!$D:$D,CONFIG_PALETES!$A:$A,IF(ISNUMBER(SEARCH("ESPUMA",$B49)),"ESPUMA",IF(OR(ISNUMBER(SEARCH("OLEO DE COCO",$B49)),ISNUMBER(SEARCH("ÓLEO DE COCO",$B49)),ISNUMBER(SEARCH("COPRA",$B49))),"ÓLEO DE COCO",IF(ISNUMBER(SEARCH("CORANTE",$B49)),"CORANTE",TRIM($B49)))),CONFIG_PALETES!$B:$B,$C49&amp;" ml"),IF(SUMIFS(CONFIG_PALETES!$D:$D,CONFIG_PALETES!$A:$A,"GERAL",CONFIG_PALETES!$B:$B,$C49&amp;" ml")&gt;0,SUMIFS(CONFIG_PALETES!$D:$D,CONFIG_PALETES!$A:$A,"GERAL",CONFIG_PALETES!$B:$B,$C49&amp;" ml"),12)))</f>
        <v/>
      </c>
      <c r="AA49" t="s">
        <v>491</v>
      </c>
      <c r="AB49" t="s">
        <v>1425</v>
      </c>
    </row>
    <row r="50" spans="1:28" ht="15" customHeight="1" x14ac:dyDescent="0.3">
      <c r="A50" s="899"/>
      <c r="B50" s="846" t="s">
        <v>186</v>
      </c>
      <c r="C50" s="847"/>
      <c r="D50" s="848">
        <f>SUM(D42:D49)</f>
        <v>861</v>
      </c>
      <c r="E50" s="849"/>
      <c r="F50" s="856" t="s">
        <v>1400</v>
      </c>
      <c r="G50" s="850">
        <f>SUM(G42:G49)</f>
        <v>7</v>
      </c>
      <c r="H50" s="848">
        <f>SUM(H42:H49)</f>
        <v>861</v>
      </c>
      <c r="I50" s="848">
        <f>SUM(I42:I49)</f>
        <v>8352</v>
      </c>
      <c r="J50" s="63">
        <f>D50</f>
        <v>861</v>
      </c>
      <c r="K50" s="93">
        <f>G50</f>
        <v>7</v>
      </c>
      <c r="L50" s="63">
        <f>H50</f>
        <v>861</v>
      </c>
      <c r="M50" s="63">
        <f>I50</f>
        <v>8352</v>
      </c>
      <c r="N50" s="587" cm="1">
        <f t="array" ref="N50">IF(H50=0,"",SUMPRODUCT(IFERROR(INT(H44:H49/F44:F49),0)))</f>
        <v>5</v>
      </c>
      <c r="O50" s="770">
        <f>IF(N50="","",MAX(0,G50-N50))</f>
        <v>2</v>
      </c>
      <c r="AA50" t="s">
        <v>1162</v>
      </c>
      <c r="AB50" t="s">
        <v>1424</v>
      </c>
    </row>
    <row r="51" spans="1:28" ht="6" customHeight="1" x14ac:dyDescent="0.3">
      <c r="C51" s="65"/>
      <c r="AA51" t="s">
        <v>39</v>
      </c>
      <c r="AB51" t="s">
        <v>1423</v>
      </c>
    </row>
    <row r="52" spans="1:28" ht="15" customHeight="1" x14ac:dyDescent="0.3">
      <c r="A52" s="75">
        <v>46211</v>
      </c>
      <c r="B52" s="113" t="s">
        <v>49</v>
      </c>
      <c r="C52" s="112" t="s">
        <v>176</v>
      </c>
      <c r="D52" s="111" t="s">
        <v>177</v>
      </c>
      <c r="E52" s="111" t="s">
        <v>178</v>
      </c>
      <c r="F52" s="860" t="s">
        <v>179</v>
      </c>
      <c r="G52" s="111" t="s">
        <v>180</v>
      </c>
      <c r="H52" s="111" t="s">
        <v>181</v>
      </c>
      <c r="I52" s="111" t="s">
        <v>182</v>
      </c>
      <c r="AA52" t="s">
        <v>240</v>
      </c>
      <c r="AB52" t="s">
        <v>1425</v>
      </c>
    </row>
    <row r="53" spans="1:28" ht="21" customHeight="1" x14ac:dyDescent="0.3">
      <c r="A53" s="110"/>
      <c r="B53" s="109" t="s">
        <v>1190</v>
      </c>
      <c r="C53" s="108">
        <v>200</v>
      </c>
      <c r="D53" s="104">
        <v>330</v>
      </c>
      <c r="E53" s="107" t="s">
        <v>184</v>
      </c>
      <c r="F53" s="871">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330</v>
      </c>
      <c r="G53" s="106">
        <f t="shared" ref="G53:G58" si="1">IFERROR(ROUNDUP(D53/F53,0),"")</f>
        <v>1</v>
      </c>
      <c r="H53" s="105">
        <v>335</v>
      </c>
      <c r="I53" s="104">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2010</v>
      </c>
      <c r="AA53" t="s">
        <v>596</v>
      </c>
      <c r="AB53" t="s">
        <v>1425</v>
      </c>
    </row>
    <row r="54" spans="1:28" ht="21" customHeight="1" x14ac:dyDescent="0.3">
      <c r="A54" s="110"/>
      <c r="B54" s="109" t="s">
        <v>1191</v>
      </c>
      <c r="C54" s="108">
        <v>200</v>
      </c>
      <c r="D54" s="104">
        <v>330</v>
      </c>
      <c r="E54" s="107" t="s">
        <v>184</v>
      </c>
      <c r="F54" s="871">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330</v>
      </c>
      <c r="G54" s="106">
        <f t="shared" si="1"/>
        <v>1</v>
      </c>
      <c r="H54" s="105">
        <v>330</v>
      </c>
      <c r="I54" s="104">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1980</v>
      </c>
      <c r="AA54" t="s">
        <v>33</v>
      </c>
      <c r="AB54" t="s">
        <v>1425</v>
      </c>
    </row>
    <row r="55" spans="1:28" ht="21" customHeight="1" x14ac:dyDescent="0.3">
      <c r="A55" s="110"/>
      <c r="B55" s="109" t="s">
        <v>1192</v>
      </c>
      <c r="C55" s="108">
        <v>200</v>
      </c>
      <c r="D55" s="104">
        <v>660</v>
      </c>
      <c r="E55" s="107" t="s">
        <v>184</v>
      </c>
      <c r="F55" s="871">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330</v>
      </c>
      <c r="G55" s="106">
        <f t="shared" si="1"/>
        <v>2</v>
      </c>
      <c r="H55" s="105">
        <v>669</v>
      </c>
      <c r="I55" s="104">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4014</v>
      </c>
      <c r="AA55" t="s">
        <v>571</v>
      </c>
      <c r="AB55" t="s">
        <v>1425</v>
      </c>
    </row>
    <row r="56" spans="1:28" ht="21" customHeight="1" x14ac:dyDescent="0.3">
      <c r="A56" s="110"/>
      <c r="B56" s="109" t="s">
        <v>1202</v>
      </c>
      <c r="C56" s="108">
        <v>200</v>
      </c>
      <c r="D56" s="104">
        <v>330</v>
      </c>
      <c r="E56" s="107" t="s">
        <v>184</v>
      </c>
      <c r="F56" s="871">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330</v>
      </c>
      <c r="G56" s="106">
        <f t="shared" si="1"/>
        <v>1</v>
      </c>
      <c r="H56" s="105">
        <v>338</v>
      </c>
      <c r="I56" s="104">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2028</v>
      </c>
      <c r="AA56" t="s">
        <v>280</v>
      </c>
      <c r="AB56" t="s">
        <v>1423</v>
      </c>
    </row>
    <row r="57" spans="1:28" ht="21" customHeight="1" x14ac:dyDescent="0.3">
      <c r="A57" s="110"/>
      <c r="B57" s="109" t="s">
        <v>1207</v>
      </c>
      <c r="C57" s="108">
        <v>200</v>
      </c>
      <c r="D57" s="104">
        <v>330</v>
      </c>
      <c r="E57" s="107" t="s">
        <v>184</v>
      </c>
      <c r="F57" s="871">
        <f>IF($B57="","",IF(SUMIFS(CONFIG_PALETES!$C:$C,CONFIG_PALETES!$A:$A,TRIM($B57),CONFIG_PALETES!$B:$B,$C57&amp;" ml")&gt;0,SUMIFS(CONFIG_PALETES!$C:$C,CONFIG_PALETES!$A:$A,TRIM($B57),CONFIG_PALETES!$B:$B,$C57&amp;" ml"),IF(SUMIFS(CONFIG_PALETES!$C:$C,CONFIG_PALETES!$A:$A,"GERAL",CONFIG_PALETES!$B:$B,$C57&amp;" ml")&gt;0,SUMIFS(CONFIG_PALETES!$C:$C,CONFIG_PALETES!$A:$A,"GERAL",CONFIG_PALETES!$B:$B,$C57&amp;" ml"),"")))</f>
        <v>330</v>
      </c>
      <c r="G57" s="106">
        <f t="shared" si="1"/>
        <v>1</v>
      </c>
      <c r="H57" s="105">
        <v>339</v>
      </c>
      <c r="I57" s="104">
        <f>IF(H57="","",H57*IF(SUMIFS(CONFIG_PALETES!$D:$D,CONFIG_PALETES!$A:$A,IF(ISNUMBER(SEARCH("ESPUMA",$B57)),"ESPUMA",IF(OR(ISNUMBER(SEARCH("OLEO DE COCO",$B57)),ISNUMBER(SEARCH("ÓLEO DE COCO",$B57)),ISNUMBER(SEARCH("COPRA",$B57))),"ÓLEO DE COCO",IF(ISNUMBER(SEARCH("CORANTE",$B57)),"CORANTE",TRIM($B57)))),CONFIG_PALETES!$B:$B,$C57&amp;" ml")&gt;0,SUMIFS(CONFIG_PALETES!$D:$D,CONFIG_PALETES!$A:$A,IF(ISNUMBER(SEARCH("ESPUMA",$B57)),"ESPUMA",IF(OR(ISNUMBER(SEARCH("OLEO DE COCO",$B57)),ISNUMBER(SEARCH("ÓLEO DE COCO",$B57)),ISNUMBER(SEARCH("COPRA",$B57))),"ÓLEO DE COCO",IF(ISNUMBER(SEARCH("CORANTE",$B57)),"CORANTE",TRIM($B57)))),CONFIG_PALETES!$B:$B,$C57&amp;" ml"),IF(SUMIFS(CONFIG_PALETES!$D:$D,CONFIG_PALETES!$A:$A,"GERAL",CONFIG_PALETES!$B:$B,$C57&amp;" ml")&gt;0,SUMIFS(CONFIG_PALETES!$D:$D,CONFIG_PALETES!$A:$A,"GERAL",CONFIG_PALETES!$B:$B,$C57&amp;" ml"),12)))</f>
        <v>2034</v>
      </c>
      <c r="AA57" t="s">
        <v>595</v>
      </c>
      <c r="AB57" t="s">
        <v>1425</v>
      </c>
    </row>
    <row r="58" spans="1:28" ht="21" customHeight="1" x14ac:dyDescent="0.3">
      <c r="A58" s="817"/>
      <c r="B58" s="818"/>
      <c r="C58" s="819"/>
      <c r="D58" s="820"/>
      <c r="E58" s="821" t="s">
        <v>184</v>
      </c>
      <c r="F58" s="872" t="str">
        <f>IF($B58="","",IF(SUMIFS(CONFIG_PALETES!$C:$C,CONFIG_PALETES!$A:$A,TRIM($B58),CONFIG_PALETES!$B:$B,$C58&amp;" ml")&gt;0,SUMIFS(CONFIG_PALETES!$C:$C,CONFIG_PALETES!$A:$A,TRIM($B58),CONFIG_PALETES!$B:$B,$C58&amp;" ml"),IF(SUMIFS(CONFIG_PALETES!$C:$C,CONFIG_PALETES!$A:$A,"GERAL",CONFIG_PALETES!$B:$B,$C58&amp;" ml")&gt;0,SUMIFS(CONFIG_PALETES!$C:$C,CONFIG_PALETES!$A:$A,"GERAL",CONFIG_PALETES!$B:$B,$C58&amp;" ml"),"")))</f>
        <v/>
      </c>
      <c r="G58" s="822" t="str">
        <f t="shared" si="1"/>
        <v/>
      </c>
      <c r="H58" s="823"/>
      <c r="I58" s="820" t="str">
        <f>IF(H58="","",H58*IF(SUMIFS(CONFIG_PALETES!$D:$D,CONFIG_PALETES!$A:$A,IF(ISNUMBER(SEARCH("ESPUMA",$B58)),"ESPUMA",IF(OR(ISNUMBER(SEARCH("OLEO DE COCO",$B58)),ISNUMBER(SEARCH("ÓLEO DE COCO",$B58)),ISNUMBER(SEARCH("COPRA",$B58))),"ÓLEO DE COCO",IF(ISNUMBER(SEARCH("CORANTE",$B58)),"CORANTE",TRIM($B58)))),CONFIG_PALETES!$B:$B,$C58&amp;" ml")&gt;0,SUMIFS(CONFIG_PALETES!$D:$D,CONFIG_PALETES!$A:$A,IF(ISNUMBER(SEARCH("ESPUMA",$B58)),"ESPUMA",IF(OR(ISNUMBER(SEARCH("OLEO DE COCO",$B58)),ISNUMBER(SEARCH("ÓLEO DE COCO",$B58)),ISNUMBER(SEARCH("COPRA",$B58))),"ÓLEO DE COCO",IF(ISNUMBER(SEARCH("CORANTE",$B58)),"CORANTE",TRIM($B58)))),CONFIG_PALETES!$B:$B,$C58&amp;" ml"),IF(SUMIFS(CONFIG_PALETES!$D:$D,CONFIG_PALETES!$A:$A,"GERAL",CONFIG_PALETES!$B:$B,$C58&amp;" ml")&gt;0,SUMIFS(CONFIG_PALETES!$D:$D,CONFIG_PALETES!$A:$A,"GERAL",CONFIG_PALETES!$B:$B,$C58&amp;" ml"),12)))</f>
        <v/>
      </c>
      <c r="AA58" t="s">
        <v>483</v>
      </c>
      <c r="AB58" t="s">
        <v>1422</v>
      </c>
    </row>
    <row r="59" spans="1:28" ht="15" customHeight="1" x14ac:dyDescent="0.3">
      <c r="A59" s="899"/>
      <c r="B59" s="846" t="s">
        <v>186</v>
      </c>
      <c r="C59" s="847"/>
      <c r="D59" s="848">
        <f>SUM(D51:D58)</f>
        <v>1980</v>
      </c>
      <c r="E59" s="849"/>
      <c r="F59" s="856" t="s">
        <v>1400</v>
      </c>
      <c r="G59" s="850">
        <f>SUM(G51:G58)</f>
        <v>6</v>
      </c>
      <c r="H59" s="848">
        <f>SUM(H51:H58)</f>
        <v>2011</v>
      </c>
      <c r="I59" s="848">
        <f>SUM(I51:I58)</f>
        <v>12066</v>
      </c>
      <c r="J59" s="63">
        <f>D59</f>
        <v>1980</v>
      </c>
      <c r="K59" s="93">
        <f>G59</f>
        <v>6</v>
      </c>
      <c r="L59" s="63">
        <f>H59</f>
        <v>2011</v>
      </c>
      <c r="M59" s="63">
        <f>I59</f>
        <v>12066</v>
      </c>
      <c r="N59" s="587" cm="1">
        <f t="array" ref="N59">IF(H59=0,"",SUMPRODUCT(IFERROR(INT(H53:H58/F53:F58),0)))</f>
        <v>6</v>
      </c>
      <c r="O59" s="770">
        <f>IF(N59="","",MAX(0,G59-N59))</f>
        <v>0</v>
      </c>
      <c r="AA59" t="s">
        <v>1202</v>
      </c>
      <c r="AB59" t="s">
        <v>1422</v>
      </c>
    </row>
    <row r="60" spans="1:28" ht="6" customHeight="1" x14ac:dyDescent="0.3">
      <c r="C60" s="65"/>
      <c r="AA60" t="s">
        <v>577</v>
      </c>
      <c r="AB60" t="s">
        <v>1422</v>
      </c>
    </row>
    <row r="61" spans="1:28" ht="15" customHeight="1" x14ac:dyDescent="0.3">
      <c r="A61" s="75">
        <v>46212</v>
      </c>
      <c r="B61" s="113" t="s">
        <v>49</v>
      </c>
      <c r="C61" s="112" t="s">
        <v>176</v>
      </c>
      <c r="D61" s="111" t="s">
        <v>177</v>
      </c>
      <c r="E61" s="111" t="s">
        <v>178</v>
      </c>
      <c r="F61" s="860" t="s">
        <v>179</v>
      </c>
      <c r="G61" s="111" t="s">
        <v>180</v>
      </c>
      <c r="H61" s="111" t="s">
        <v>181</v>
      </c>
      <c r="I61" s="111" t="s">
        <v>182</v>
      </c>
      <c r="AA61" t="s">
        <v>578</v>
      </c>
      <c r="AB61" t="s">
        <v>1422</v>
      </c>
    </row>
    <row r="62" spans="1:28" ht="21" customHeight="1" x14ac:dyDescent="0.3">
      <c r="A62" s="110"/>
      <c r="B62" s="109" t="s">
        <v>292</v>
      </c>
      <c r="C62" s="108">
        <v>70</v>
      </c>
      <c r="D62" s="104">
        <v>240</v>
      </c>
      <c r="E62" s="107" t="s">
        <v>184</v>
      </c>
      <c r="F62" s="871">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240</v>
      </c>
      <c r="G62" s="106">
        <f>IFERROR(ROUNDUP(D62/F62,0),"")</f>
        <v>1</v>
      </c>
      <c r="H62" s="105">
        <v>242</v>
      </c>
      <c r="I62" s="104">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2904</v>
      </c>
      <c r="AA62" t="s">
        <v>587</v>
      </c>
      <c r="AB62" t="s">
        <v>1422</v>
      </c>
    </row>
    <row r="63" spans="1:28" ht="21" customHeight="1" x14ac:dyDescent="0.3">
      <c r="A63" s="110"/>
      <c r="B63" s="109" t="s">
        <v>471</v>
      </c>
      <c r="C63" s="108">
        <v>70</v>
      </c>
      <c r="D63" s="104">
        <v>240</v>
      </c>
      <c r="E63" s="107" t="s">
        <v>184</v>
      </c>
      <c r="F63" s="871">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240</v>
      </c>
      <c r="G63" s="106">
        <f>IFERROR(ROUNDUP(D63/F63,0),"")</f>
        <v>1</v>
      </c>
      <c r="H63" s="105">
        <v>241</v>
      </c>
      <c r="I63" s="104">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2892</v>
      </c>
      <c r="AA63" t="s">
        <v>1413</v>
      </c>
      <c r="AB63" t="s">
        <v>1422</v>
      </c>
    </row>
    <row r="64" spans="1:28" ht="21" customHeight="1" x14ac:dyDescent="0.3">
      <c r="A64" s="110"/>
      <c r="B64" s="109" t="s">
        <v>1193</v>
      </c>
      <c r="C64" s="108">
        <v>70</v>
      </c>
      <c r="D64" s="104">
        <v>175</v>
      </c>
      <c r="E64" s="107" t="s">
        <v>184</v>
      </c>
      <c r="F64" s="871">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240</v>
      </c>
      <c r="G64" s="106">
        <f>IFERROR(ROUNDUP(D64/F64,0),"")</f>
        <v>1</v>
      </c>
      <c r="H64" s="105">
        <v>175</v>
      </c>
      <c r="I64" s="104">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2100</v>
      </c>
      <c r="AA64" t="s">
        <v>1403</v>
      </c>
      <c r="AB64" t="s">
        <v>1422</v>
      </c>
    </row>
    <row r="65" spans="1:28" ht="21" customHeight="1" x14ac:dyDescent="0.3">
      <c r="A65" s="110"/>
      <c r="B65" s="109" t="s">
        <v>1205</v>
      </c>
      <c r="C65" s="108">
        <v>100</v>
      </c>
      <c r="D65" s="104">
        <v>1680</v>
      </c>
      <c r="E65" s="107" t="s">
        <v>184</v>
      </c>
      <c r="F65" s="871">
        <f>IF($B65="","",IF(SUMIFS(CONFIG_PALETES!$C:$C,CONFIG_PALETES!$A:$A,TRIM($B65),CONFIG_PALETES!$B:$B,$C65&amp;" ml")&gt;0,SUMIFS(CONFIG_PALETES!$C:$C,CONFIG_PALETES!$A:$A,TRIM($B65),CONFIG_PALETES!$B:$B,$C65&amp;" ml"),IF(SUMIFS(CONFIG_PALETES!$C:$C,CONFIG_PALETES!$A:$A,"GERAL",CONFIG_PALETES!$B:$B,$C65&amp;" ml")&gt;0,SUMIFS(CONFIG_PALETES!$C:$C,CONFIG_PALETES!$A:$A,"GERAL",CONFIG_PALETES!$B:$B,$C65&amp;" ml"),"")))</f>
        <v>240</v>
      </c>
      <c r="G65" s="106">
        <f>IFERROR(ROUNDUP(D65/F65,0),"")</f>
        <v>7</v>
      </c>
      <c r="H65" s="105">
        <v>776</v>
      </c>
      <c r="I65" s="104">
        <f>IF(H65="","",H65*IF(SUMIFS(CONFIG_PALETES!$D:$D,CONFIG_PALETES!$A:$A,IF(ISNUMBER(SEARCH("ESPUMA",$B65)),"ESPUMA",IF(OR(ISNUMBER(SEARCH("OLEO DE COCO",$B65)),ISNUMBER(SEARCH("ÓLEO DE COCO",$B65)),ISNUMBER(SEARCH("COPRA",$B65))),"ÓLEO DE COCO",IF(ISNUMBER(SEARCH("CORANTE",$B65)),"CORANTE",TRIM($B65)))),CONFIG_PALETES!$B:$B,$C65&amp;" ml")&gt;0,SUMIFS(CONFIG_PALETES!$D:$D,CONFIG_PALETES!$A:$A,IF(ISNUMBER(SEARCH("ESPUMA",$B65)),"ESPUMA",IF(OR(ISNUMBER(SEARCH("OLEO DE COCO",$B65)),ISNUMBER(SEARCH("ÓLEO DE COCO",$B65)),ISNUMBER(SEARCH("COPRA",$B65))),"ÓLEO DE COCO",IF(ISNUMBER(SEARCH("CORANTE",$B65)),"CORANTE",TRIM($B65)))),CONFIG_PALETES!$B:$B,$C65&amp;" ml"),IF(SUMIFS(CONFIG_PALETES!$D:$D,CONFIG_PALETES!$A:$A,"GERAL",CONFIG_PALETES!$B:$B,$C65&amp;" ml")&gt;0,SUMIFS(CONFIG_PALETES!$D:$D,CONFIG_PALETES!$A:$A,"GERAL",CONFIG_PALETES!$B:$B,$C65&amp;" ml"),12)))</f>
        <v>9312</v>
      </c>
      <c r="AA65" t="s">
        <v>114</v>
      </c>
      <c r="AB65" t="s">
        <v>1422</v>
      </c>
    </row>
    <row r="66" spans="1:28" ht="21" customHeight="1" x14ac:dyDescent="0.3">
      <c r="A66" s="817"/>
      <c r="B66" s="818"/>
      <c r="C66" s="819"/>
      <c r="D66" s="820"/>
      <c r="E66" s="821" t="s">
        <v>184</v>
      </c>
      <c r="F66" s="872" t="str">
        <f>IF($B66="","",IF(SUMIFS(CONFIG_PALETES!$C:$C,CONFIG_PALETES!$A:$A,TRIM($B66),CONFIG_PALETES!$B:$B,$C66&amp;" ml")&gt;0,SUMIFS(CONFIG_PALETES!$C:$C,CONFIG_PALETES!$A:$A,TRIM($B66),CONFIG_PALETES!$B:$B,$C66&amp;" ml"),IF(SUMIFS(CONFIG_PALETES!$C:$C,CONFIG_PALETES!$A:$A,"GERAL",CONFIG_PALETES!$B:$B,$C66&amp;" ml")&gt;0,SUMIFS(CONFIG_PALETES!$C:$C,CONFIG_PALETES!$A:$A,"GERAL",CONFIG_PALETES!$B:$B,$C66&amp;" ml"),"")))</f>
        <v/>
      </c>
      <c r="G66" s="822" t="str">
        <f>IFERROR(ROUNDUP(D66/F66,0),"")</f>
        <v/>
      </c>
      <c r="H66" s="823"/>
      <c r="I66" s="820" t="str">
        <f>IF(H66="","",H66*IF(SUMIFS(CONFIG_PALETES!$D:$D,CONFIG_PALETES!$A:$A,IF(ISNUMBER(SEARCH("ESPUMA",$B66)),"ESPUMA",IF(OR(ISNUMBER(SEARCH("OLEO DE COCO",$B66)),ISNUMBER(SEARCH("ÓLEO DE COCO",$B66)),ISNUMBER(SEARCH("COPRA",$B66))),"ÓLEO DE COCO",IF(ISNUMBER(SEARCH("CORANTE",$B66)),"CORANTE",TRIM($B66)))),CONFIG_PALETES!$B:$B,$C66&amp;" ml")&gt;0,SUMIFS(CONFIG_PALETES!$D:$D,CONFIG_PALETES!$A:$A,IF(ISNUMBER(SEARCH("ESPUMA",$B66)),"ESPUMA",IF(OR(ISNUMBER(SEARCH("OLEO DE COCO",$B66)),ISNUMBER(SEARCH("ÓLEO DE COCO",$B66)),ISNUMBER(SEARCH("COPRA",$B66))),"ÓLEO DE COCO",IF(ISNUMBER(SEARCH("CORANTE",$B66)),"CORANTE",TRIM($B66)))),CONFIG_PALETES!$B:$B,$C66&amp;" ml"),IF(SUMIFS(CONFIG_PALETES!$D:$D,CONFIG_PALETES!$A:$A,"GERAL",CONFIG_PALETES!$B:$B,$C66&amp;" ml")&gt;0,SUMIFS(CONFIG_PALETES!$D:$D,CONFIG_PALETES!$A:$A,"GERAL",CONFIG_PALETES!$B:$B,$C66&amp;" ml"),12)))</f>
        <v/>
      </c>
      <c r="AA66" t="s">
        <v>487</v>
      </c>
      <c r="AB66" t="s">
        <v>1422</v>
      </c>
    </row>
    <row r="67" spans="1:28" ht="15" customHeight="1" x14ac:dyDescent="0.3">
      <c r="A67" s="899"/>
      <c r="B67" s="846" t="s">
        <v>186</v>
      </c>
      <c r="C67" s="847"/>
      <c r="D67" s="848">
        <f>SUM(D60:D66)</f>
        <v>2335</v>
      </c>
      <c r="E67" s="849"/>
      <c r="F67" s="856" t="s">
        <v>1400</v>
      </c>
      <c r="G67" s="850">
        <f>SUM(G60:G66)</f>
        <v>10</v>
      </c>
      <c r="H67" s="848">
        <f>SUM(H60:H66)</f>
        <v>1434</v>
      </c>
      <c r="I67" s="848">
        <f>SUM(I60:I66)</f>
        <v>17208</v>
      </c>
      <c r="J67" s="63">
        <f>D67</f>
        <v>2335</v>
      </c>
      <c r="K67" s="93">
        <f>G67</f>
        <v>10</v>
      </c>
      <c r="L67" s="63">
        <f>H67</f>
        <v>1434</v>
      </c>
      <c r="M67" s="63">
        <f>I67</f>
        <v>17208</v>
      </c>
      <c r="N67" s="587" cm="1">
        <f t="array" ref="N67">IF(H67=0,"",SUMPRODUCT(IFERROR(INT(H62:H66/F62:F66),0)))</f>
        <v>5</v>
      </c>
      <c r="O67" s="770">
        <f>IF(N67="","",MAX(0,G67-N67))</f>
        <v>5</v>
      </c>
      <c r="AA67" t="s">
        <v>488</v>
      </c>
      <c r="AB67" t="s">
        <v>1422</v>
      </c>
    </row>
    <row r="68" spans="1:28" ht="6" customHeight="1" x14ac:dyDescent="0.3">
      <c r="C68" s="65"/>
      <c r="AA68" t="s">
        <v>477</v>
      </c>
      <c r="AB68" t="s">
        <v>1422</v>
      </c>
    </row>
    <row r="69" spans="1:28" ht="15" customHeight="1" x14ac:dyDescent="0.3">
      <c r="A69" s="75">
        <v>46213</v>
      </c>
      <c r="B69" s="113" t="s">
        <v>49</v>
      </c>
      <c r="C69" s="112" t="s">
        <v>176</v>
      </c>
      <c r="D69" s="111" t="s">
        <v>177</v>
      </c>
      <c r="E69" s="111" t="s">
        <v>178</v>
      </c>
      <c r="F69" s="860" t="s">
        <v>179</v>
      </c>
      <c r="G69" s="111" t="s">
        <v>180</v>
      </c>
      <c r="H69" s="111" t="s">
        <v>181</v>
      </c>
      <c r="I69" s="111" t="s">
        <v>182</v>
      </c>
      <c r="AA69" t="s">
        <v>1189</v>
      </c>
      <c r="AB69" t="s">
        <v>1422</v>
      </c>
    </row>
    <row r="70" spans="1:28" ht="21" customHeight="1" x14ac:dyDescent="0.3">
      <c r="A70" s="110"/>
      <c r="B70" s="109" t="s">
        <v>1205</v>
      </c>
      <c r="C70" s="108">
        <v>100</v>
      </c>
      <c r="D70" s="104">
        <f>D65-H65</f>
        <v>904</v>
      </c>
      <c r="E70" s="107" t="s">
        <v>184</v>
      </c>
      <c r="F70" s="871">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240</v>
      </c>
      <c r="G70" s="106">
        <f>IFERROR(ROUNDUP(D70/F70,0),"")</f>
        <v>4</v>
      </c>
      <c r="H70" s="105">
        <v>894</v>
      </c>
      <c r="I70" s="104">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10728</v>
      </c>
      <c r="AA70" t="s">
        <v>479</v>
      </c>
      <c r="AB70" t="s">
        <v>1422</v>
      </c>
    </row>
    <row r="71" spans="1:28" ht="21" customHeight="1" x14ac:dyDescent="0.3">
      <c r="A71" s="110"/>
      <c r="B71" s="109" t="s">
        <v>1165</v>
      </c>
      <c r="C71" s="108">
        <v>100</v>
      </c>
      <c r="D71" s="104">
        <v>2500</v>
      </c>
      <c r="E71" s="107" t="s">
        <v>184</v>
      </c>
      <c r="F71" s="871">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240</v>
      </c>
      <c r="G71" s="106">
        <f>IFERROR(ROUNDUP(D71/F71,0),"")</f>
        <v>11</v>
      </c>
      <c r="H71" s="105">
        <v>406</v>
      </c>
      <c r="I71" s="104">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4872</v>
      </c>
      <c r="AA71" t="s">
        <v>476</v>
      </c>
      <c r="AB71" t="s">
        <v>1422</v>
      </c>
    </row>
    <row r="72" spans="1:28" ht="21" customHeight="1" x14ac:dyDescent="0.3">
      <c r="A72" s="110"/>
      <c r="B72" s="109"/>
      <c r="C72" s="108"/>
      <c r="D72" s="104"/>
      <c r="E72" s="107" t="s">
        <v>184</v>
      </c>
      <c r="F72" s="871"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106" t="str">
        <f>IFERROR(ROUNDUP(D72/F72,0),"")</f>
        <v/>
      </c>
      <c r="H72" s="105"/>
      <c r="I72" s="104"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21" customHeight="1" x14ac:dyDescent="0.3">
      <c r="A73" s="110"/>
      <c r="B73" s="109"/>
      <c r="C73" s="108"/>
      <c r="D73" s="104"/>
      <c r="E73" s="107" t="s">
        <v>184</v>
      </c>
      <c r="F73" s="871" t="str">
        <f>IF($B73="","",IF(SUMIFS(CONFIG_PALETES!$C:$C,CONFIG_PALETES!$A:$A,TRIM($B73),CONFIG_PALETES!$B:$B,$C73&amp;" ml")&gt;0,SUMIFS(CONFIG_PALETES!$C:$C,CONFIG_PALETES!$A:$A,TRIM($B73),CONFIG_PALETES!$B:$B,$C73&amp;" ml"),IF(SUMIFS(CONFIG_PALETES!$C:$C,CONFIG_PALETES!$A:$A,"GERAL",CONFIG_PALETES!$B:$B,$C73&amp;" ml")&gt;0,SUMIFS(CONFIG_PALETES!$C:$C,CONFIG_PALETES!$A:$A,"GERAL",CONFIG_PALETES!$B:$B,$C73&amp;" ml"),"")))</f>
        <v/>
      </c>
      <c r="G73" s="106" t="str">
        <f>IFERROR(ROUNDUP(D73/F73,0),"")</f>
        <v/>
      </c>
      <c r="H73" s="105"/>
      <c r="I73" s="104" t="str">
        <f>IF(H73="","",H73*IF(SUMIFS(CONFIG_PALETES!$D:$D,CONFIG_PALETES!$A:$A,IF(ISNUMBER(SEARCH("ESPUMA",$B73)),"ESPUMA",IF(OR(ISNUMBER(SEARCH("OLEO DE COCO",$B73)),ISNUMBER(SEARCH("ÓLEO DE COCO",$B73)),ISNUMBER(SEARCH("COPRA",$B73))),"ÓLEO DE COCO",IF(ISNUMBER(SEARCH("CORANTE",$B73)),"CORANTE",TRIM($B73)))),CONFIG_PALETES!$B:$B,$C73&amp;" ml")&gt;0,SUMIFS(CONFIG_PALETES!$D:$D,CONFIG_PALETES!$A:$A,IF(ISNUMBER(SEARCH("ESPUMA",$B73)),"ESPUMA",IF(OR(ISNUMBER(SEARCH("OLEO DE COCO",$B73)),ISNUMBER(SEARCH("ÓLEO DE COCO",$B73)),ISNUMBER(SEARCH("COPRA",$B73))),"ÓLEO DE COCO",IF(ISNUMBER(SEARCH("CORANTE",$B73)),"CORANTE",TRIM($B73)))),CONFIG_PALETES!$B:$B,$C73&amp;" ml"),IF(SUMIFS(CONFIG_PALETES!$D:$D,CONFIG_PALETES!$A:$A,"GERAL",CONFIG_PALETES!$B:$B,$C73&amp;" ml")&gt;0,SUMIFS(CONFIG_PALETES!$D:$D,CONFIG_PALETES!$A:$A,"GERAL",CONFIG_PALETES!$B:$B,$C73&amp;" ml"),12)))</f>
        <v/>
      </c>
      <c r="AA73" t="s">
        <v>1191</v>
      </c>
      <c r="AB73" t="s">
        <v>1422</v>
      </c>
    </row>
    <row r="74" spans="1:28" ht="21" customHeight="1" x14ac:dyDescent="0.3">
      <c r="A74" s="817"/>
      <c r="B74" s="818"/>
      <c r="C74" s="819"/>
      <c r="D74" s="820"/>
      <c r="E74" s="821" t="s">
        <v>184</v>
      </c>
      <c r="F74" s="872" t="str">
        <f>IF($B74="","",IF(SUMIFS(CONFIG_PALETES!$C:$C,CONFIG_PALETES!$A:$A,TRIM($B74),CONFIG_PALETES!$B:$B,$C74&amp;" ml")&gt;0,SUMIFS(CONFIG_PALETES!$C:$C,CONFIG_PALETES!$A:$A,TRIM($B74),CONFIG_PALETES!$B:$B,$C74&amp;" ml"),IF(SUMIFS(CONFIG_PALETES!$C:$C,CONFIG_PALETES!$A:$A,"GERAL",CONFIG_PALETES!$B:$B,$C74&amp;" ml")&gt;0,SUMIFS(CONFIG_PALETES!$C:$C,CONFIG_PALETES!$A:$A,"GERAL",CONFIG_PALETES!$B:$B,$C74&amp;" ml"),"")))</f>
        <v/>
      </c>
      <c r="G74" s="822" t="str">
        <f>IFERROR(ROUNDUP(D74/F74,0),"")</f>
        <v/>
      </c>
      <c r="H74" s="823"/>
      <c r="I74" s="820" t="str">
        <f>IF(H74="","",H74*IF(SUMIFS(CONFIG_PALETES!$D:$D,CONFIG_PALETES!$A:$A,IF(ISNUMBER(SEARCH("ESPUMA",$B74)),"ESPUMA",IF(OR(ISNUMBER(SEARCH("OLEO DE COCO",$B74)),ISNUMBER(SEARCH("ÓLEO DE COCO",$B74)),ISNUMBER(SEARCH("COPRA",$B74))),"ÓLEO DE COCO",IF(ISNUMBER(SEARCH("CORANTE",$B74)),"CORANTE",TRIM($B74)))),CONFIG_PALETES!$B:$B,$C74&amp;" ml")&gt;0,SUMIFS(CONFIG_PALETES!$D:$D,CONFIG_PALETES!$A:$A,IF(ISNUMBER(SEARCH("ESPUMA",$B74)),"ESPUMA",IF(OR(ISNUMBER(SEARCH("OLEO DE COCO",$B74)),ISNUMBER(SEARCH("ÓLEO DE COCO",$B74)),ISNUMBER(SEARCH("COPRA",$B74))),"ÓLEO DE COCO",IF(ISNUMBER(SEARCH("CORANTE",$B74)),"CORANTE",TRIM($B74)))),CONFIG_PALETES!$B:$B,$C74&amp;" ml"),IF(SUMIFS(CONFIG_PALETES!$D:$D,CONFIG_PALETES!$A:$A,"GERAL",CONFIG_PALETES!$B:$B,$C74&amp;" ml")&gt;0,SUMIFS(CONFIG_PALETES!$D:$D,CONFIG_PALETES!$A:$A,"GERAL",CONFIG_PALETES!$B:$B,$C74&amp;" ml"),12)))</f>
        <v/>
      </c>
      <c r="AA74" t="s">
        <v>481</v>
      </c>
      <c r="AB74" t="s">
        <v>1422</v>
      </c>
    </row>
    <row r="75" spans="1:28" ht="15" customHeight="1" x14ac:dyDescent="0.3">
      <c r="A75" s="899"/>
      <c r="B75" s="846" t="s">
        <v>186</v>
      </c>
      <c r="C75" s="847"/>
      <c r="D75" s="848">
        <f>SUM(D68:D74)</f>
        <v>3404</v>
      </c>
      <c r="E75" s="849"/>
      <c r="F75" s="856" t="s">
        <v>1400</v>
      </c>
      <c r="G75" s="850">
        <f>SUM(G68:G74)</f>
        <v>15</v>
      </c>
      <c r="H75" s="848">
        <f>SUM(H68:H74)</f>
        <v>1300</v>
      </c>
      <c r="I75" s="848">
        <f>SUM(I68:I74)</f>
        <v>15600</v>
      </c>
      <c r="J75" s="63">
        <f>D75</f>
        <v>3404</v>
      </c>
      <c r="K75" s="93">
        <f>G75</f>
        <v>15</v>
      </c>
      <c r="L75" s="63">
        <f>H75</f>
        <v>1300</v>
      </c>
      <c r="M75" s="63">
        <f>I75</f>
        <v>15600</v>
      </c>
      <c r="N75" s="587" cm="1">
        <f t="array" ref="N75">IF(H75=0,"",SUMPRODUCT(IFERROR(INT(H70:H74/F70:F74),0)))</f>
        <v>4</v>
      </c>
      <c r="O75" s="770">
        <f>IF(N75="","",MAX(0,G75-N75))</f>
        <v>11</v>
      </c>
      <c r="AA75" t="s">
        <v>482</v>
      </c>
      <c r="AB75" t="s">
        <v>1422</v>
      </c>
    </row>
    <row r="76" spans="1:28" ht="6" customHeight="1" x14ac:dyDescent="0.3">
      <c r="C76" s="65"/>
      <c r="AA76" t="s">
        <v>1192</v>
      </c>
      <c r="AB76" t="s">
        <v>1422</v>
      </c>
    </row>
    <row r="77" spans="1:28" ht="15" customHeight="1" x14ac:dyDescent="0.3">
      <c r="A77" s="135">
        <v>46214</v>
      </c>
      <c r="B77" s="113" t="s">
        <v>49</v>
      </c>
      <c r="C77" s="112" t="s">
        <v>176</v>
      </c>
      <c r="D77" s="111" t="s">
        <v>177</v>
      </c>
      <c r="E77" s="111" t="s">
        <v>178</v>
      </c>
      <c r="F77" s="862" t="s">
        <v>179</v>
      </c>
      <c r="G77" s="111" t="s">
        <v>180</v>
      </c>
      <c r="H77" s="111" t="s">
        <v>181</v>
      </c>
      <c r="I77" s="111" t="s">
        <v>182</v>
      </c>
      <c r="J77" s="128"/>
      <c r="K77" s="128"/>
      <c r="L77" s="128"/>
      <c r="M77" s="128"/>
      <c r="AA77" t="s">
        <v>480</v>
      </c>
      <c r="AB77" t="s">
        <v>1422</v>
      </c>
    </row>
    <row r="78" spans="1:28" ht="21" customHeight="1" x14ac:dyDescent="0.3">
      <c r="A78" s="110"/>
      <c r="B78" s="127" t="s">
        <v>1165</v>
      </c>
      <c r="C78" s="126">
        <v>100</v>
      </c>
      <c r="D78" s="129">
        <f>D71-H71</f>
        <v>2094</v>
      </c>
      <c r="E78" s="131" t="s">
        <v>184</v>
      </c>
      <c r="F78" s="877">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240</v>
      </c>
      <c r="G78" s="130">
        <f>IFERROR(ROUNDUP(D78/F78,0),"")</f>
        <v>9</v>
      </c>
      <c r="H78" s="105">
        <v>1022</v>
      </c>
      <c r="I78" s="129">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12264</v>
      </c>
      <c r="J78" s="128"/>
      <c r="K78" s="128"/>
      <c r="L78" s="128"/>
      <c r="M78" s="128"/>
      <c r="AA78" t="s">
        <v>1414</v>
      </c>
      <c r="AB78" t="s">
        <v>1422</v>
      </c>
    </row>
    <row r="79" spans="1:28" ht="21" customHeight="1" x14ac:dyDescent="0.3">
      <c r="A79" s="110"/>
      <c r="B79" s="127"/>
      <c r="C79" s="126"/>
      <c r="D79" s="129"/>
      <c r="E79" s="131" t="s">
        <v>184</v>
      </c>
      <c r="F79" s="877"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30" t="str">
        <f>IFERROR(ROUNDUP(D79/F79,0),"")</f>
        <v/>
      </c>
      <c r="H79" s="105"/>
      <c r="I79" s="129"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J79" s="128"/>
      <c r="K79" s="128"/>
      <c r="L79" s="128"/>
      <c r="M79" s="128"/>
      <c r="AA79" t="s">
        <v>582</v>
      </c>
      <c r="AB79" t="s">
        <v>1422</v>
      </c>
    </row>
    <row r="80" spans="1:28" ht="21" customHeight="1" x14ac:dyDescent="0.3">
      <c r="A80" s="110"/>
      <c r="B80" s="127"/>
      <c r="C80" s="126"/>
      <c r="D80" s="129"/>
      <c r="E80" s="131" t="s">
        <v>184</v>
      </c>
      <c r="F80" s="877"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130" t="str">
        <f>IFERROR(ROUNDUP(D80/F80,0),"")</f>
        <v/>
      </c>
      <c r="H80" s="105"/>
      <c r="I80" s="129"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J80" s="128"/>
      <c r="K80" s="128"/>
      <c r="L80" s="128"/>
      <c r="M80" s="128"/>
      <c r="AA80" t="s">
        <v>1207</v>
      </c>
      <c r="AB80" t="s">
        <v>1422</v>
      </c>
    </row>
    <row r="81" spans="1:28" ht="21" customHeight="1" x14ac:dyDescent="0.3">
      <c r="A81" s="110"/>
      <c r="B81" s="127"/>
      <c r="C81" s="126"/>
      <c r="D81" s="129"/>
      <c r="E81" s="131" t="s">
        <v>184</v>
      </c>
      <c r="F81" s="877" t="str">
        <f>IF($B81="","",IF(SUMIFS(CONFIG_PALETES!$C:$C,CONFIG_PALETES!$A:$A,TRIM($B81),CONFIG_PALETES!$B:$B,$C81&amp;" ml")&gt;0,SUMIFS(CONFIG_PALETES!$C:$C,CONFIG_PALETES!$A:$A,TRIM($B81),CONFIG_PALETES!$B:$B,$C81&amp;" ml"),IF(SUMIFS(CONFIG_PALETES!$C:$C,CONFIG_PALETES!$A:$A,"GERAL",CONFIG_PALETES!$B:$B,$C81&amp;" ml")&gt;0,SUMIFS(CONFIG_PALETES!$C:$C,CONFIG_PALETES!$A:$A,"GERAL",CONFIG_PALETES!$B:$B,$C81&amp;" ml"),"")))</f>
        <v/>
      </c>
      <c r="G81" s="130" t="str">
        <f>IFERROR(ROUNDUP(D81/F81,0),"")</f>
        <v/>
      </c>
      <c r="H81" s="105"/>
      <c r="I81" s="129" t="str">
        <f>IF(H81="","",H81*IF(SUMIFS(CONFIG_PALETES!$D:$D,CONFIG_PALETES!$A:$A,IF(ISNUMBER(SEARCH("ESPUMA",$B81)),"ESPUMA",IF(OR(ISNUMBER(SEARCH("OLEO DE COCO",$B81)),ISNUMBER(SEARCH("ÓLEO DE COCO",$B81)),ISNUMBER(SEARCH("COPRA",$B81))),"ÓLEO DE COCO",IF(ISNUMBER(SEARCH("CORANTE",$B81)),"CORANTE",TRIM($B81)))),CONFIG_PALETES!$B:$B,$C81&amp;" ml")&gt;0,SUMIFS(CONFIG_PALETES!$D:$D,CONFIG_PALETES!$A:$A,IF(ISNUMBER(SEARCH("ESPUMA",$B81)),"ESPUMA",IF(OR(ISNUMBER(SEARCH("OLEO DE COCO",$B81)),ISNUMBER(SEARCH("ÓLEO DE COCO",$B81)),ISNUMBER(SEARCH("COPRA",$B81))),"ÓLEO DE COCO",IF(ISNUMBER(SEARCH("CORANTE",$B81)),"CORANTE",TRIM($B81)))),CONFIG_PALETES!$B:$B,$C81&amp;" ml"),IF(SUMIFS(CONFIG_PALETES!$D:$D,CONFIG_PALETES!$A:$A,"GERAL",CONFIG_PALETES!$B:$B,$C81&amp;" ml")&gt;0,SUMIFS(CONFIG_PALETES!$D:$D,CONFIG_PALETES!$A:$A,"GERAL",CONFIG_PALETES!$B:$B,$C81&amp;" ml"),12)))</f>
        <v/>
      </c>
      <c r="J81" s="128"/>
      <c r="K81" s="128"/>
      <c r="L81" s="128"/>
      <c r="M81" s="128"/>
      <c r="AA81" t="s">
        <v>486</v>
      </c>
      <c r="AB81" t="s">
        <v>1422</v>
      </c>
    </row>
    <row r="82" spans="1:28" ht="21" customHeight="1" x14ac:dyDescent="0.3">
      <c r="A82" s="817"/>
      <c r="B82" s="829"/>
      <c r="C82" s="830"/>
      <c r="D82" s="831"/>
      <c r="E82" s="832" t="s">
        <v>184</v>
      </c>
      <c r="F82" s="878" t="str">
        <f>IF($B82="","",IF(SUMIFS(CONFIG_PALETES!$C:$C,CONFIG_PALETES!$A:$A,TRIM($B82),CONFIG_PALETES!$B:$B,$C82&amp;" ml")&gt;0,SUMIFS(CONFIG_PALETES!$C:$C,CONFIG_PALETES!$A:$A,TRIM($B82),CONFIG_PALETES!$B:$B,$C82&amp;" ml"),IF(SUMIFS(CONFIG_PALETES!$C:$C,CONFIG_PALETES!$A:$A,"GERAL",CONFIG_PALETES!$B:$B,$C82&amp;" ml")&gt;0,SUMIFS(CONFIG_PALETES!$C:$C,CONFIG_PALETES!$A:$A,"GERAL",CONFIG_PALETES!$B:$B,$C82&amp;" ml"),"")))</f>
        <v/>
      </c>
      <c r="G82" s="833" t="str">
        <f>IFERROR(ROUNDUP(D82/F82,0),"")</f>
        <v/>
      </c>
      <c r="H82" s="823"/>
      <c r="I82" s="831" t="str">
        <f>IF(H82="","",H82*IF(SUMIFS(CONFIG_PALETES!$D:$D,CONFIG_PALETES!$A:$A,IF(ISNUMBER(SEARCH("ESPUMA",$B82)),"ESPUMA",IF(OR(ISNUMBER(SEARCH("OLEO DE COCO",$B82)),ISNUMBER(SEARCH("ÓLEO DE COCO",$B82)),ISNUMBER(SEARCH("COPRA",$B82))),"ÓLEO DE COCO",IF(ISNUMBER(SEARCH("CORANTE",$B82)),"CORANTE",TRIM($B82)))),CONFIG_PALETES!$B:$B,$C82&amp;" ml")&gt;0,SUMIFS(CONFIG_PALETES!$D:$D,CONFIG_PALETES!$A:$A,IF(ISNUMBER(SEARCH("ESPUMA",$B82)),"ESPUMA",IF(OR(ISNUMBER(SEARCH("OLEO DE COCO",$B82)),ISNUMBER(SEARCH("ÓLEO DE COCO",$B82)),ISNUMBER(SEARCH("COPRA",$B82))),"ÓLEO DE COCO",IF(ISNUMBER(SEARCH("CORANTE",$B82)),"CORANTE",TRIM($B82)))),CONFIG_PALETES!$B:$B,$C82&amp;" ml"),IF(SUMIFS(CONFIG_PALETES!$D:$D,CONFIG_PALETES!$A:$A,"GERAL",CONFIG_PALETES!$B:$B,$C82&amp;" ml")&gt;0,SUMIFS(CONFIG_PALETES!$D:$D,CONFIG_PALETES!$A:$A,"GERAL",CONFIG_PALETES!$B:$B,$C82&amp;" ml"),12)))</f>
        <v/>
      </c>
      <c r="J82" s="128"/>
      <c r="K82" s="128"/>
      <c r="L82" s="128"/>
      <c r="M82" s="128"/>
      <c r="AA82" t="s">
        <v>485</v>
      </c>
      <c r="AB82" t="s">
        <v>1422</v>
      </c>
    </row>
    <row r="83" spans="1:28" ht="15" customHeight="1" x14ac:dyDescent="0.3">
      <c r="A83" s="899"/>
      <c r="B83" s="846" t="s">
        <v>186</v>
      </c>
      <c r="C83" s="851"/>
      <c r="D83" s="848">
        <f>SUM(D76:D82)</f>
        <v>2094</v>
      </c>
      <c r="E83" s="852"/>
      <c r="F83" s="857" t="s">
        <v>1400</v>
      </c>
      <c r="G83" s="850">
        <f>SUM(G76:G82)</f>
        <v>9</v>
      </c>
      <c r="H83" s="848">
        <f>SUM(H76:H82)</f>
        <v>1022</v>
      </c>
      <c r="I83" s="848">
        <f>SUM(I76:I82)</f>
        <v>12264</v>
      </c>
      <c r="J83" s="133">
        <f>D83</f>
        <v>2094</v>
      </c>
      <c r="K83" s="134">
        <f>G83</f>
        <v>9</v>
      </c>
      <c r="L83" s="133">
        <f>H83</f>
        <v>1022</v>
      </c>
      <c r="M83" s="133">
        <f>I83</f>
        <v>12264</v>
      </c>
      <c r="N83" s="587" cm="1">
        <f t="array" ref="N83">IF(H83=0,"",SUMPRODUCT(IFERROR(INT(H78:H82/F78:F82),0)))</f>
        <v>4</v>
      </c>
      <c r="O83" s="770">
        <f>IF(N83="","",MAX(0,G83-N83))</f>
        <v>5</v>
      </c>
      <c r="AA83" t="s">
        <v>583</v>
      </c>
      <c r="AB83" t="s">
        <v>1422</v>
      </c>
    </row>
    <row r="84" spans="1:28" ht="6" customHeight="1" x14ac:dyDescent="0.3">
      <c r="A84" s="128"/>
      <c r="B84" s="128"/>
      <c r="C84" s="132"/>
      <c r="D84" s="128"/>
      <c r="E84" s="128"/>
      <c r="F84" s="128"/>
      <c r="G84" s="128"/>
      <c r="H84" s="128"/>
      <c r="I84" s="128"/>
      <c r="J84" s="128"/>
      <c r="K84" s="128"/>
      <c r="L84" s="128"/>
      <c r="M84" s="128"/>
      <c r="AA84" t="s">
        <v>584</v>
      </c>
      <c r="AB84" t="s">
        <v>1422</v>
      </c>
    </row>
    <row r="85" spans="1:28" ht="15" customHeight="1" x14ac:dyDescent="0.3">
      <c r="A85" s="75">
        <v>46216</v>
      </c>
      <c r="B85" s="113" t="s">
        <v>49</v>
      </c>
      <c r="C85" s="112" t="s">
        <v>176</v>
      </c>
      <c r="D85" s="111" t="s">
        <v>177</v>
      </c>
      <c r="E85" s="111" t="s">
        <v>178</v>
      </c>
      <c r="F85" s="860" t="s">
        <v>179</v>
      </c>
      <c r="G85" s="111" t="s">
        <v>180</v>
      </c>
      <c r="H85" s="111" t="s">
        <v>181</v>
      </c>
      <c r="I85" s="111" t="s">
        <v>182</v>
      </c>
      <c r="AA85" t="s">
        <v>579</v>
      </c>
      <c r="AB85" t="s">
        <v>1422</v>
      </c>
    </row>
    <row r="86" spans="1:28" ht="21" customHeight="1" x14ac:dyDescent="0.3">
      <c r="A86" s="110"/>
      <c r="B86" s="109" t="s">
        <v>1165</v>
      </c>
      <c r="C86" s="108">
        <v>100</v>
      </c>
      <c r="D86" s="104">
        <f>D78-H78</f>
        <v>1072</v>
      </c>
      <c r="E86" s="107" t="s">
        <v>184</v>
      </c>
      <c r="F86" s="871">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240</v>
      </c>
      <c r="G86" s="106">
        <f t="shared" ref="G86:G91" si="2">IFERROR(ROUNDUP(D86/F86,0),"")</f>
        <v>5</v>
      </c>
      <c r="H86" s="105">
        <v>1074</v>
      </c>
      <c r="I86" s="104">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12888</v>
      </c>
      <c r="AA86" t="s">
        <v>484</v>
      </c>
      <c r="AB86" t="s">
        <v>1422</v>
      </c>
    </row>
    <row r="87" spans="1:28" ht="21" customHeight="1" x14ac:dyDescent="0.3">
      <c r="A87" s="110"/>
      <c r="B87" s="109" t="s">
        <v>1224</v>
      </c>
      <c r="C87" s="108">
        <v>100</v>
      </c>
      <c r="D87" s="104">
        <v>120</v>
      </c>
      <c r="E87" s="107" t="s">
        <v>184</v>
      </c>
      <c r="F87" s="871">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240</v>
      </c>
      <c r="G87" s="106">
        <f t="shared" si="2"/>
        <v>1</v>
      </c>
      <c r="H87" s="105">
        <v>118</v>
      </c>
      <c r="I87" s="104">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1416</v>
      </c>
      <c r="AA87" t="s">
        <v>580</v>
      </c>
      <c r="AB87" t="s">
        <v>1422</v>
      </c>
    </row>
    <row r="88" spans="1:28" ht="21" customHeight="1" x14ac:dyDescent="0.3">
      <c r="A88" s="110"/>
      <c r="B88" s="109" t="s">
        <v>1225</v>
      </c>
      <c r="C88" s="108">
        <v>100</v>
      </c>
      <c r="D88" s="104">
        <v>120</v>
      </c>
      <c r="E88" s="107" t="s">
        <v>184</v>
      </c>
      <c r="F88" s="871">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240</v>
      </c>
      <c r="G88" s="106">
        <f t="shared" si="2"/>
        <v>1</v>
      </c>
      <c r="H88" s="105">
        <v>118</v>
      </c>
      <c r="I88" s="104">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1416</v>
      </c>
      <c r="AA88" t="s">
        <v>585</v>
      </c>
      <c r="AB88" t="s">
        <v>1422</v>
      </c>
    </row>
    <row r="89" spans="1:28" ht="27.6" customHeight="1" x14ac:dyDescent="0.3">
      <c r="A89" s="110"/>
      <c r="B89" s="109" t="s">
        <v>1226</v>
      </c>
      <c r="C89" s="108">
        <v>100</v>
      </c>
      <c r="D89" s="104">
        <v>120</v>
      </c>
      <c r="E89" s="107" t="s">
        <v>184</v>
      </c>
      <c r="F89" s="871">
        <f>IF($B89="","",IF(SUMIFS(CONFIG_PALETES!$C:$C,CONFIG_PALETES!$A:$A,TRIM($B89),CONFIG_PALETES!$B:$B,$C89&amp;" ml")&gt;0,SUMIFS(CONFIG_PALETES!$C:$C,CONFIG_PALETES!$A:$A,TRIM($B89),CONFIG_PALETES!$B:$B,$C89&amp;" ml"),IF(SUMIFS(CONFIG_PALETES!$C:$C,CONFIG_PALETES!$A:$A,"GERAL",CONFIG_PALETES!$B:$B,$C89&amp;" ml")&gt;0,SUMIFS(CONFIG_PALETES!$C:$C,CONFIG_PALETES!$A:$A,"GERAL",CONFIG_PALETES!$B:$B,$C89&amp;" ml"),"")))</f>
        <v>240</v>
      </c>
      <c r="G89" s="106">
        <f t="shared" si="2"/>
        <v>1</v>
      </c>
      <c r="H89" s="105">
        <v>73</v>
      </c>
      <c r="I89" s="104">
        <f>IF(H89="","",H89*IF(SUMIFS(CONFIG_PALETES!$D:$D,CONFIG_PALETES!$A:$A,IF(ISNUMBER(SEARCH("ESPUMA",$B89)),"ESPUMA",IF(OR(ISNUMBER(SEARCH("OLEO DE COCO",$B89)),ISNUMBER(SEARCH("ÓLEO DE COCO",$B89)),ISNUMBER(SEARCH("COPRA",$B89))),"ÓLEO DE COCO",IF(ISNUMBER(SEARCH("CORANTE",$B89)),"CORANTE",TRIM($B89)))),CONFIG_PALETES!$B:$B,$C89&amp;" ml")&gt;0,SUMIFS(CONFIG_PALETES!$D:$D,CONFIG_PALETES!$A:$A,IF(ISNUMBER(SEARCH("ESPUMA",$B89)),"ESPUMA",IF(OR(ISNUMBER(SEARCH("OLEO DE COCO",$B89)),ISNUMBER(SEARCH("ÓLEO DE COCO",$B89)),ISNUMBER(SEARCH("COPRA",$B89))),"ÓLEO DE COCO",IF(ISNUMBER(SEARCH("CORANTE",$B89)),"CORANTE",TRIM($B89)))),CONFIG_PALETES!$B:$B,$C89&amp;" ml"),IF(SUMIFS(CONFIG_PALETES!$D:$D,CONFIG_PALETES!$A:$A,"GERAL",CONFIG_PALETES!$B:$B,$C89&amp;" ml")&gt;0,SUMIFS(CONFIG_PALETES!$D:$D,CONFIG_PALETES!$A:$A,"GERAL",CONFIG_PALETES!$B:$B,$C89&amp;" ml"),12)))</f>
        <v>876</v>
      </c>
      <c r="AA89" t="s">
        <v>586</v>
      </c>
      <c r="AB89" t="s">
        <v>1422</v>
      </c>
    </row>
    <row r="90" spans="1:28" ht="21" customHeight="1" x14ac:dyDescent="0.3">
      <c r="A90" s="110"/>
      <c r="B90" s="109"/>
      <c r="C90" s="108"/>
      <c r="D90" s="104"/>
      <c r="E90" s="107" t="s">
        <v>184</v>
      </c>
      <c r="F90" s="871" t="str">
        <f>IF($B90="","",IF(SUMIFS(CONFIG_PALETES!$C:$C,CONFIG_PALETES!$A:$A,TRIM($B90),CONFIG_PALETES!$B:$B,$C90&amp;" ml")&gt;0,SUMIFS(CONFIG_PALETES!$C:$C,CONFIG_PALETES!$A:$A,TRIM($B90),CONFIG_PALETES!$B:$B,$C90&amp;" ml"),IF(SUMIFS(CONFIG_PALETES!$C:$C,CONFIG_PALETES!$A:$A,"GERAL",CONFIG_PALETES!$B:$B,$C90&amp;" ml")&gt;0,SUMIFS(CONFIG_PALETES!$C:$C,CONFIG_PALETES!$A:$A,"GERAL",CONFIG_PALETES!$B:$B,$C90&amp;" ml"),"")))</f>
        <v/>
      </c>
      <c r="G90" s="106" t="str">
        <f t="shared" si="2"/>
        <v/>
      </c>
      <c r="H90" s="105"/>
      <c r="I90" s="104" t="str">
        <f>IF(H90="","",H90*IF(SUMIFS(CONFIG_PALETES!$D:$D,CONFIG_PALETES!$A:$A,IF(ISNUMBER(SEARCH("ESPUMA",$B90)),"ESPUMA",IF(OR(ISNUMBER(SEARCH("OLEO DE COCO",$B90)),ISNUMBER(SEARCH("ÓLEO DE COCO",$B90)),ISNUMBER(SEARCH("COPRA",$B90))),"ÓLEO DE COCO",IF(ISNUMBER(SEARCH("CORANTE",$B90)),"CORANTE",TRIM($B90)))),CONFIG_PALETES!$B:$B,$C90&amp;" ml")&gt;0,SUMIFS(CONFIG_PALETES!$D:$D,CONFIG_PALETES!$A:$A,IF(ISNUMBER(SEARCH("ESPUMA",$B90)),"ESPUMA",IF(OR(ISNUMBER(SEARCH("OLEO DE COCO",$B90)),ISNUMBER(SEARCH("ÓLEO DE COCO",$B90)),ISNUMBER(SEARCH("COPRA",$B90))),"ÓLEO DE COCO",IF(ISNUMBER(SEARCH("CORANTE",$B90)),"CORANTE",TRIM($B90)))),CONFIG_PALETES!$B:$B,$C90&amp;" ml"),IF(SUMIFS(CONFIG_PALETES!$D:$D,CONFIG_PALETES!$A:$A,"GERAL",CONFIG_PALETES!$B:$B,$C90&amp;" ml")&gt;0,SUMIFS(CONFIG_PALETES!$D:$D,CONFIG_PALETES!$A:$A,"GERAL",CONFIG_PALETES!$B:$B,$C90&amp;" ml"),12)))</f>
        <v/>
      </c>
      <c r="AA90" t="s">
        <v>194</v>
      </c>
      <c r="AB90" t="s">
        <v>1422</v>
      </c>
    </row>
    <row r="91" spans="1:28" ht="21" customHeight="1" x14ac:dyDescent="0.3">
      <c r="A91" s="817"/>
      <c r="B91" s="818"/>
      <c r="C91" s="819"/>
      <c r="D91" s="820"/>
      <c r="E91" s="821" t="s">
        <v>184</v>
      </c>
      <c r="F91" s="872" t="str">
        <f>IF($B91="","",IF(SUMIFS(CONFIG_PALETES!$C:$C,CONFIG_PALETES!$A:$A,TRIM($B91),CONFIG_PALETES!$B:$B,$C91&amp;" ml")&gt;0,SUMIFS(CONFIG_PALETES!$C:$C,CONFIG_PALETES!$A:$A,TRIM($B91),CONFIG_PALETES!$B:$B,$C91&amp;" ml"),IF(SUMIFS(CONFIG_PALETES!$C:$C,CONFIG_PALETES!$A:$A,"GERAL",CONFIG_PALETES!$B:$B,$C91&amp;" ml")&gt;0,SUMIFS(CONFIG_PALETES!$C:$C,CONFIG_PALETES!$A:$A,"GERAL",CONFIG_PALETES!$B:$B,$C91&amp;" ml"),"")))</f>
        <v/>
      </c>
      <c r="G91" s="822" t="str">
        <f t="shared" si="2"/>
        <v/>
      </c>
      <c r="H91" s="823"/>
      <c r="I91" s="820" t="str">
        <f>IF(H91="","",H91*IF(SUMIFS(CONFIG_PALETES!$D:$D,CONFIG_PALETES!$A:$A,IF(ISNUMBER(SEARCH("ESPUMA",$B91)),"ESPUMA",IF(OR(ISNUMBER(SEARCH("OLEO DE COCO",$B91)),ISNUMBER(SEARCH("ÓLEO DE COCO",$B91)),ISNUMBER(SEARCH("COPRA",$B91))),"ÓLEO DE COCO",IF(ISNUMBER(SEARCH("CORANTE",$B91)),"CORANTE",TRIM($B91)))),CONFIG_PALETES!$B:$B,$C91&amp;" ml")&gt;0,SUMIFS(CONFIG_PALETES!$D:$D,CONFIG_PALETES!$A:$A,IF(ISNUMBER(SEARCH("ESPUMA",$B91)),"ESPUMA",IF(OR(ISNUMBER(SEARCH("OLEO DE COCO",$B91)),ISNUMBER(SEARCH("ÓLEO DE COCO",$B91)),ISNUMBER(SEARCH("COPRA",$B91))),"ÓLEO DE COCO",IF(ISNUMBER(SEARCH("CORANTE",$B91)),"CORANTE",TRIM($B91)))),CONFIG_PALETES!$B:$B,$C91&amp;" ml"),IF(SUMIFS(CONFIG_PALETES!$D:$D,CONFIG_PALETES!$A:$A,"GERAL",CONFIG_PALETES!$B:$B,$C91&amp;" ml")&gt;0,SUMIFS(CONFIG_PALETES!$D:$D,CONFIG_PALETES!$A:$A,"GERAL",CONFIG_PALETES!$B:$B,$C91&amp;" ml"),12)))</f>
        <v/>
      </c>
      <c r="AA91" t="s">
        <v>35</v>
      </c>
      <c r="AB91" t="s">
        <v>1425</v>
      </c>
    </row>
    <row r="92" spans="1:28" ht="15" customHeight="1" x14ac:dyDescent="0.3">
      <c r="A92" s="899"/>
      <c r="B92" s="846" t="s">
        <v>186</v>
      </c>
      <c r="C92" s="847"/>
      <c r="D92" s="848">
        <f>SUM(D84:D91)</f>
        <v>1432</v>
      </c>
      <c r="E92" s="849"/>
      <c r="F92" s="856" t="s">
        <v>1400</v>
      </c>
      <c r="G92" s="850">
        <f>SUM(G84:G91)</f>
        <v>8</v>
      </c>
      <c r="H92" s="848">
        <f>SUM(H84:H91)</f>
        <v>1383</v>
      </c>
      <c r="I92" s="848">
        <f>SUM(I84:I91)</f>
        <v>16596</v>
      </c>
      <c r="J92" s="63">
        <f>D92</f>
        <v>1432</v>
      </c>
      <c r="K92" s="93">
        <f>G92</f>
        <v>8</v>
      </c>
      <c r="L92" s="63">
        <f>H92</f>
        <v>1383</v>
      </c>
      <c r="M92" s="63">
        <f>I92</f>
        <v>16596</v>
      </c>
      <c r="N92" s="587" cm="1">
        <f t="array" ref="N92">IF(H92=0,"",SUMPRODUCT(IFERROR(INT(H86:H91/F86:F91),0)))</f>
        <v>4</v>
      </c>
      <c r="O92" s="770">
        <f>IF(N92="","",MAX(0,G92-N92))</f>
        <v>4</v>
      </c>
      <c r="AA92" t="s">
        <v>597</v>
      </c>
      <c r="AB92" t="s">
        <v>1425</v>
      </c>
    </row>
    <row r="93" spans="1:28" ht="6" customHeight="1" x14ac:dyDescent="0.3">
      <c r="C93" s="65"/>
      <c r="AA93" t="s">
        <v>196</v>
      </c>
      <c r="AB93" t="s">
        <v>1429</v>
      </c>
    </row>
    <row r="94" spans="1:28" ht="15" customHeight="1" x14ac:dyDescent="0.3">
      <c r="A94" s="75">
        <v>46217</v>
      </c>
      <c r="B94" s="113" t="s">
        <v>49</v>
      </c>
      <c r="C94" s="112" t="s">
        <v>176</v>
      </c>
      <c r="D94" s="111" t="s">
        <v>177</v>
      </c>
      <c r="E94" s="111" t="s">
        <v>178</v>
      </c>
      <c r="F94" s="860" t="s">
        <v>179</v>
      </c>
      <c r="G94" s="111" t="s">
        <v>180</v>
      </c>
      <c r="H94" s="111" t="s">
        <v>181</v>
      </c>
      <c r="I94" s="111" t="s">
        <v>182</v>
      </c>
      <c r="AA94" t="s">
        <v>298</v>
      </c>
      <c r="AB94" t="s">
        <v>1422</v>
      </c>
    </row>
    <row r="95" spans="1:28" ht="32.700000000000003" customHeight="1" x14ac:dyDescent="0.3">
      <c r="A95" s="110"/>
      <c r="B95" s="109" t="s">
        <v>1226</v>
      </c>
      <c r="C95" s="108">
        <v>100</v>
      </c>
      <c r="D95" s="104">
        <f>D89-H89</f>
        <v>47</v>
      </c>
      <c r="E95" s="107" t="s">
        <v>184</v>
      </c>
      <c r="F95" s="871">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240</v>
      </c>
      <c r="G95" s="106">
        <f>IFERROR(ROUNDUP(D95/F95,0),"")</f>
        <v>1</v>
      </c>
      <c r="H95" s="105">
        <v>24</v>
      </c>
      <c r="I95" s="104">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288</v>
      </c>
      <c r="AA95" t="s">
        <v>191</v>
      </c>
      <c r="AB95" t="s">
        <v>1422</v>
      </c>
    </row>
    <row r="96" spans="1:28" ht="21" customHeight="1" x14ac:dyDescent="0.3">
      <c r="A96" s="110"/>
      <c r="B96" s="109" t="s">
        <v>1162</v>
      </c>
      <c r="C96" s="108">
        <v>180</v>
      </c>
      <c r="D96" s="104">
        <v>1200</v>
      </c>
      <c r="E96" s="107" t="s">
        <v>184</v>
      </c>
      <c r="F96" s="871">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240</v>
      </c>
      <c r="G96" s="106">
        <f>IFERROR(ROUNDUP(D96/F96,0),"")</f>
        <v>5</v>
      </c>
      <c r="H96" s="105">
        <v>1112</v>
      </c>
      <c r="I96" s="104">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13344</v>
      </c>
      <c r="AA96" t="s">
        <v>190</v>
      </c>
      <c r="AB96" t="s">
        <v>1422</v>
      </c>
    </row>
    <row r="97" spans="1:28" ht="21" customHeight="1" x14ac:dyDescent="0.3">
      <c r="A97" s="110"/>
      <c r="B97" s="109" t="s">
        <v>31</v>
      </c>
      <c r="C97" s="108">
        <v>600</v>
      </c>
      <c r="D97" s="104">
        <v>665</v>
      </c>
      <c r="E97" s="107" t="s">
        <v>184</v>
      </c>
      <c r="F97" s="871">
        <f>IF($B97="","",IF(SUMIFS(CONFIG_PALETES!$C:$C,CONFIG_PALETES!$A:$A,TRIM($B97),CONFIG_PALETES!$B:$B,$C97&amp;" ml")&gt;0,SUMIFS(CONFIG_PALETES!$C:$C,CONFIG_PALETES!$A:$A,TRIM($B97),CONFIG_PALETES!$B:$B,$C97&amp;" ml"),IF(SUMIFS(CONFIG_PALETES!$C:$C,CONFIG_PALETES!$A:$A,"GERAL",CONFIG_PALETES!$B:$B,$C97&amp;" ml")&gt;0,SUMIFS(CONFIG_PALETES!$C:$C,CONFIG_PALETES!$A:$A,"GERAL",CONFIG_PALETES!$B:$B,$C97&amp;" ml"),"")))</f>
        <v>95</v>
      </c>
      <c r="G97" s="106">
        <f>IFERROR(ROUNDUP(D97/F97,0),"")</f>
        <v>7</v>
      </c>
      <c r="H97" s="105">
        <v>66</v>
      </c>
      <c r="I97" s="104">
        <f>IF(H97="","",H97*IF(SUMIFS(CONFIG_PALETES!$D:$D,CONFIG_PALETES!$A:$A,IF(ISNUMBER(SEARCH("ESPUMA",$B97)),"ESPUMA",IF(OR(ISNUMBER(SEARCH("OLEO DE COCO",$B97)),ISNUMBER(SEARCH("ÓLEO DE COCO",$B97)),ISNUMBER(SEARCH("COPRA",$B97))),"ÓLEO DE COCO",IF(ISNUMBER(SEARCH("CORANTE",$B97)),"CORANTE",TRIM($B97)))),CONFIG_PALETES!$B:$B,$C97&amp;" ml")&gt;0,SUMIFS(CONFIG_PALETES!$D:$D,CONFIG_PALETES!$A:$A,IF(ISNUMBER(SEARCH("ESPUMA",$B97)),"ESPUMA",IF(OR(ISNUMBER(SEARCH("OLEO DE COCO",$B97)),ISNUMBER(SEARCH("ÓLEO DE COCO",$B97)),ISNUMBER(SEARCH("COPRA",$B97))),"ÓLEO DE COCO",IF(ISNUMBER(SEARCH("CORANTE",$B97)),"CORANTE",TRIM($B97)))),CONFIG_PALETES!$B:$B,$C97&amp;" ml"),IF(SUMIFS(CONFIG_PALETES!$D:$D,CONFIG_PALETES!$A:$A,"GERAL",CONFIG_PALETES!$B:$B,$C97&amp;" ml")&gt;0,SUMIFS(CONFIG_PALETES!$D:$D,CONFIG_PALETES!$A:$A,"GERAL",CONFIG_PALETES!$B:$B,$C97&amp;" ml"),12)))</f>
        <v>792</v>
      </c>
      <c r="AA97" t="s">
        <v>594</v>
      </c>
      <c r="AB97" t="s">
        <v>1424</v>
      </c>
    </row>
    <row r="98" spans="1:28" ht="21" customHeight="1" x14ac:dyDescent="0.3">
      <c r="A98" s="110"/>
      <c r="B98" s="109"/>
      <c r="C98" s="108"/>
      <c r="D98" s="104"/>
      <c r="E98" s="107" t="s">
        <v>184</v>
      </c>
      <c r="F98" s="871" t="str">
        <f>IF($B98="","",IF(SUMIFS(CONFIG_PALETES!$C:$C,CONFIG_PALETES!$A:$A,TRIM($B98),CONFIG_PALETES!$B:$B,$C98&amp;" ml")&gt;0,SUMIFS(CONFIG_PALETES!$C:$C,CONFIG_PALETES!$A:$A,TRIM($B98),CONFIG_PALETES!$B:$B,$C98&amp;" ml"),IF(SUMIFS(CONFIG_PALETES!$C:$C,CONFIG_PALETES!$A:$A,"GERAL",CONFIG_PALETES!$B:$B,$C98&amp;" ml")&gt;0,SUMIFS(CONFIG_PALETES!$C:$C,CONFIG_PALETES!$A:$A,"GERAL",CONFIG_PALETES!$B:$B,$C98&amp;" ml"),"")))</f>
        <v/>
      </c>
      <c r="G98" s="106" t="str">
        <f>IFERROR(ROUNDUP(D98/F98,0),"")</f>
        <v/>
      </c>
      <c r="H98" s="105"/>
      <c r="I98" s="104" t="str">
        <f>IF(H98="","",H98*IF(SUMIFS(CONFIG_PALETES!$D:$D,CONFIG_PALETES!$A:$A,IF(ISNUMBER(SEARCH("ESPUMA",$B98)),"ESPUMA",IF(OR(ISNUMBER(SEARCH("OLEO DE COCO",$B98)),ISNUMBER(SEARCH("ÓLEO DE COCO",$B98)),ISNUMBER(SEARCH("COPRA",$B98))),"ÓLEO DE COCO",IF(ISNUMBER(SEARCH("CORANTE",$B98)),"CORANTE",TRIM($B98)))),CONFIG_PALETES!$B:$B,$C98&amp;" ml")&gt;0,SUMIFS(CONFIG_PALETES!$D:$D,CONFIG_PALETES!$A:$A,IF(ISNUMBER(SEARCH("ESPUMA",$B98)),"ESPUMA",IF(OR(ISNUMBER(SEARCH("OLEO DE COCO",$B98)),ISNUMBER(SEARCH("ÓLEO DE COCO",$B98)),ISNUMBER(SEARCH("COPRA",$B98))),"ÓLEO DE COCO",IF(ISNUMBER(SEARCH("CORANTE",$B98)),"CORANTE",TRIM($B98)))),CONFIG_PALETES!$B:$B,$C98&amp;" ml"),IF(SUMIFS(CONFIG_PALETES!$D:$D,CONFIG_PALETES!$A:$A,"GERAL",CONFIG_PALETES!$B:$B,$C98&amp;" ml")&gt;0,SUMIFS(CONFIG_PALETES!$D:$D,CONFIG_PALETES!$A:$A,"GERAL",CONFIG_PALETES!$B:$B,$C98&amp;" ml"),12)))</f>
        <v/>
      </c>
      <c r="AA98" t="s">
        <v>1061</v>
      </c>
      <c r="AB98" t="s">
        <v>1429</v>
      </c>
    </row>
    <row r="99" spans="1:28" ht="21" customHeight="1" x14ac:dyDescent="0.3">
      <c r="A99" s="817"/>
      <c r="B99" s="818"/>
      <c r="C99" s="819"/>
      <c r="D99" s="820"/>
      <c r="E99" s="821" t="s">
        <v>184</v>
      </c>
      <c r="F99" s="872" t="str">
        <f>IF($B99="","",IF(SUMIFS(CONFIG_PALETES!$C:$C,CONFIG_PALETES!$A:$A,TRIM($B99),CONFIG_PALETES!$B:$B,$C99&amp;" ml")&gt;0,SUMIFS(CONFIG_PALETES!$C:$C,CONFIG_PALETES!$A:$A,TRIM($B99),CONFIG_PALETES!$B:$B,$C99&amp;" ml"),IF(SUMIFS(CONFIG_PALETES!$C:$C,CONFIG_PALETES!$A:$A,"GERAL",CONFIG_PALETES!$B:$B,$C99&amp;" ml")&gt;0,SUMIFS(CONFIG_PALETES!$C:$C,CONFIG_PALETES!$A:$A,"GERAL",CONFIG_PALETES!$B:$B,$C99&amp;" ml"),"")))</f>
        <v/>
      </c>
      <c r="G99" s="822" t="str">
        <f>IFERROR(ROUNDUP(D99/F99,0),"")</f>
        <v/>
      </c>
      <c r="H99" s="823"/>
      <c r="I99" s="820" t="str">
        <f>IF(H99="","",H99*IF(SUMIFS(CONFIG_PALETES!$D:$D,CONFIG_PALETES!$A:$A,IF(ISNUMBER(SEARCH("ESPUMA",$B99)),"ESPUMA",IF(OR(ISNUMBER(SEARCH("OLEO DE COCO",$B99)),ISNUMBER(SEARCH("ÓLEO DE COCO",$B99)),ISNUMBER(SEARCH("COPRA",$B99))),"ÓLEO DE COCO",IF(ISNUMBER(SEARCH("CORANTE",$B99)),"CORANTE",TRIM($B99)))),CONFIG_PALETES!$B:$B,$C99&amp;" ml")&gt;0,SUMIFS(CONFIG_PALETES!$D:$D,CONFIG_PALETES!$A:$A,IF(ISNUMBER(SEARCH("ESPUMA",$B99)),"ESPUMA",IF(OR(ISNUMBER(SEARCH("OLEO DE COCO",$B99)),ISNUMBER(SEARCH("ÓLEO DE COCO",$B99)),ISNUMBER(SEARCH("COPRA",$B99))),"ÓLEO DE COCO",IF(ISNUMBER(SEARCH("CORANTE",$B99)),"CORANTE",TRIM($B99)))),CONFIG_PALETES!$B:$B,$C99&amp;" ml"),IF(SUMIFS(CONFIG_PALETES!$D:$D,CONFIG_PALETES!$A:$A,"GERAL",CONFIG_PALETES!$B:$B,$C99&amp;" ml")&gt;0,SUMIFS(CONFIG_PALETES!$D:$D,CONFIG_PALETES!$A:$A,"GERAL",CONFIG_PALETES!$B:$B,$C99&amp;" ml"),12)))</f>
        <v/>
      </c>
      <c r="AA99" t="s">
        <v>149</v>
      </c>
      <c r="AB99" t="s">
        <v>1425</v>
      </c>
    </row>
    <row r="100" spans="1:28" ht="15" customHeight="1" x14ac:dyDescent="0.3">
      <c r="A100" s="899"/>
      <c r="B100" s="846" t="s">
        <v>186</v>
      </c>
      <c r="C100" s="847"/>
      <c r="D100" s="848">
        <f>SUM(D93:D99)</f>
        <v>1912</v>
      </c>
      <c r="E100" s="849"/>
      <c r="F100" s="856" t="s">
        <v>1400</v>
      </c>
      <c r="G100" s="850">
        <f>SUM(G93:G99)</f>
        <v>13</v>
      </c>
      <c r="H100" s="848">
        <f>SUM(H93:H99)</f>
        <v>1202</v>
      </c>
      <c r="I100" s="848">
        <f>SUM(I93:I99)</f>
        <v>14424</v>
      </c>
      <c r="J100" s="63">
        <f>D100</f>
        <v>1912</v>
      </c>
      <c r="K100" s="93">
        <f>G100</f>
        <v>13</v>
      </c>
      <c r="L100" s="63">
        <f>H100</f>
        <v>1202</v>
      </c>
      <c r="M100" s="63">
        <f>I100</f>
        <v>14424</v>
      </c>
      <c r="N100" s="587" cm="1">
        <f t="array" ref="N100">IF(H100=0,"",SUMPRODUCT(IFERROR(INT(H95:H99/F95:F99),0)))</f>
        <v>4</v>
      </c>
      <c r="O100" s="770">
        <f>IF(N100="","",MAX(0,G100-N100))</f>
        <v>9</v>
      </c>
      <c r="AA100" t="s">
        <v>29</v>
      </c>
      <c r="AB100" t="s">
        <v>1425</v>
      </c>
    </row>
    <row r="101" spans="1:28" ht="6" customHeight="1" x14ac:dyDescent="0.3">
      <c r="C101" s="65"/>
      <c r="AA101" t="s">
        <v>62</v>
      </c>
      <c r="AB101" t="s">
        <v>1423</v>
      </c>
    </row>
    <row r="102" spans="1:28" ht="15" customHeight="1" x14ac:dyDescent="0.3">
      <c r="A102" s="75">
        <v>46218</v>
      </c>
      <c r="B102" s="113" t="s">
        <v>49</v>
      </c>
      <c r="C102" s="112" t="s">
        <v>176</v>
      </c>
      <c r="D102" s="111" t="s">
        <v>177</v>
      </c>
      <c r="E102" s="111" t="s">
        <v>178</v>
      </c>
      <c r="F102" s="860" t="s">
        <v>179</v>
      </c>
      <c r="G102" s="111" t="s">
        <v>180</v>
      </c>
      <c r="H102" s="111" t="s">
        <v>181</v>
      </c>
      <c r="I102" s="111" t="s">
        <v>182</v>
      </c>
      <c r="AA102" t="s">
        <v>649</v>
      </c>
      <c r="AB102" t="s">
        <v>1423</v>
      </c>
    </row>
    <row r="103" spans="1:28" ht="21" customHeight="1" x14ac:dyDescent="0.3">
      <c r="A103" s="110"/>
      <c r="B103" s="109" t="s">
        <v>31</v>
      </c>
      <c r="C103" s="108">
        <v>600</v>
      </c>
      <c r="D103" s="104">
        <f>D97-H97</f>
        <v>599</v>
      </c>
      <c r="E103" s="107" t="s">
        <v>184</v>
      </c>
      <c r="F103" s="871">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95</v>
      </c>
      <c r="G103" s="106">
        <f>IFERROR(ROUNDUP(D103/F103,0),"")</f>
        <v>7</v>
      </c>
      <c r="H103" s="105">
        <v>607</v>
      </c>
      <c r="I103" s="104">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7284</v>
      </c>
      <c r="AA103" t="s">
        <v>188</v>
      </c>
      <c r="AB103" t="s">
        <v>1423</v>
      </c>
    </row>
    <row r="104" spans="1:28" ht="21" customHeight="1" x14ac:dyDescent="0.3">
      <c r="A104" s="110"/>
      <c r="B104" s="109" t="s">
        <v>1234</v>
      </c>
      <c r="C104" s="108">
        <v>600</v>
      </c>
      <c r="D104" s="104">
        <v>1330</v>
      </c>
      <c r="E104" s="107" t="s">
        <v>184</v>
      </c>
      <c r="F104" s="871">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95</v>
      </c>
      <c r="G104" s="106">
        <f>IFERROR(ROUNDUP(D104/F104,0),"")</f>
        <v>14</v>
      </c>
      <c r="H104" s="105">
        <v>291</v>
      </c>
      <c r="I104" s="104">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3492</v>
      </c>
      <c r="AA104" t="s">
        <v>1164</v>
      </c>
      <c r="AB104" t="s">
        <v>1423</v>
      </c>
    </row>
    <row r="105" spans="1:28" ht="21" customHeight="1" x14ac:dyDescent="0.3">
      <c r="A105" s="110"/>
      <c r="B105" s="109"/>
      <c r="C105" s="108"/>
      <c r="D105" s="104"/>
      <c r="E105" s="107" t="s">
        <v>184</v>
      </c>
      <c r="F105" s="871" t="str">
        <f>IF($B105="","",IF(SUMIFS(CONFIG_PALETES!$C:$C,CONFIG_PALETES!$A:$A,TRIM($B105),CONFIG_PALETES!$B:$B,$C105&amp;" ml")&gt;0,SUMIFS(CONFIG_PALETES!$C:$C,CONFIG_PALETES!$A:$A,TRIM($B105),CONFIG_PALETES!$B:$B,$C105&amp;" ml"),IF(SUMIFS(CONFIG_PALETES!$C:$C,CONFIG_PALETES!$A:$A,"GERAL",CONFIG_PALETES!$B:$B,$C105&amp;" ml")&gt;0,SUMIFS(CONFIG_PALETES!$C:$C,CONFIG_PALETES!$A:$A,"GERAL",CONFIG_PALETES!$B:$B,$C105&amp;" ml"),"")))</f>
        <v/>
      </c>
      <c r="G105" s="106" t="str">
        <f>IFERROR(ROUNDUP(D105/F105,0),"")</f>
        <v/>
      </c>
      <c r="H105" s="105"/>
      <c r="I105" s="104" t="str">
        <f>IF(H105="","",H105*IF(SUMIFS(CONFIG_PALETES!$D:$D,CONFIG_PALETES!$A:$A,IF(ISNUMBER(SEARCH("ESPUMA",$B105)),"ESPUMA",IF(OR(ISNUMBER(SEARCH("OLEO DE COCO",$B105)),ISNUMBER(SEARCH("ÓLEO DE COCO",$B105)),ISNUMBER(SEARCH("COPRA",$B105))),"ÓLEO DE COCO",IF(ISNUMBER(SEARCH("CORANTE",$B105)),"CORANTE",TRIM($B105)))),CONFIG_PALETES!$B:$B,$C105&amp;" ml")&gt;0,SUMIFS(CONFIG_PALETES!$D:$D,CONFIG_PALETES!$A:$A,IF(ISNUMBER(SEARCH("ESPUMA",$B105)),"ESPUMA",IF(OR(ISNUMBER(SEARCH("OLEO DE COCO",$B105)),ISNUMBER(SEARCH("ÓLEO DE COCO",$B105)),ISNUMBER(SEARCH("COPRA",$B105))),"ÓLEO DE COCO",IF(ISNUMBER(SEARCH("CORANTE",$B105)),"CORANTE",TRIM($B105)))),CONFIG_PALETES!$B:$B,$C105&amp;" ml"),IF(SUMIFS(CONFIG_PALETES!$D:$D,CONFIG_PALETES!$A:$A,"GERAL",CONFIG_PALETES!$B:$B,$C105&amp;" ml")&gt;0,SUMIFS(CONFIG_PALETES!$D:$D,CONFIG_PALETES!$A:$A,"GERAL",CONFIG_PALETES!$B:$B,$C105&amp;" ml"),12)))</f>
        <v/>
      </c>
      <c r="AA105" t="s">
        <v>131</v>
      </c>
      <c r="AB105" t="s">
        <v>1423</v>
      </c>
    </row>
    <row r="106" spans="1:28" ht="21" customHeight="1" x14ac:dyDescent="0.3">
      <c r="A106" s="110"/>
      <c r="B106" s="109"/>
      <c r="C106" s="108"/>
      <c r="D106" s="104"/>
      <c r="E106" s="107" t="s">
        <v>184</v>
      </c>
      <c r="F106" s="871" t="str">
        <f>IF($B106="","",IF(SUMIFS(CONFIG_PALETES!$C:$C,CONFIG_PALETES!$A:$A,TRIM($B106),CONFIG_PALETES!$B:$B,$C106&amp;" ml")&gt;0,SUMIFS(CONFIG_PALETES!$C:$C,CONFIG_PALETES!$A:$A,TRIM($B106),CONFIG_PALETES!$B:$B,$C106&amp;" ml"),IF(SUMIFS(CONFIG_PALETES!$C:$C,CONFIG_PALETES!$A:$A,"GERAL",CONFIG_PALETES!$B:$B,$C106&amp;" ml")&gt;0,SUMIFS(CONFIG_PALETES!$C:$C,CONFIG_PALETES!$A:$A,"GERAL",CONFIG_PALETES!$B:$B,$C106&amp;" ml"),"")))</f>
        <v/>
      </c>
      <c r="G106" s="106" t="str">
        <f>IFERROR(ROUNDUP(D106/F106,0),"")</f>
        <v/>
      </c>
      <c r="H106" s="105"/>
      <c r="I106" s="104" t="str">
        <f>IF(H106="","",H106*IF(SUMIFS(CONFIG_PALETES!$D:$D,CONFIG_PALETES!$A:$A,IF(ISNUMBER(SEARCH("ESPUMA",$B106)),"ESPUMA",IF(OR(ISNUMBER(SEARCH("OLEO DE COCO",$B106)),ISNUMBER(SEARCH("ÓLEO DE COCO",$B106)),ISNUMBER(SEARCH("COPRA",$B106))),"ÓLEO DE COCO",IF(ISNUMBER(SEARCH("CORANTE",$B106)),"CORANTE",TRIM($B106)))),CONFIG_PALETES!$B:$B,$C106&amp;" ml")&gt;0,SUMIFS(CONFIG_PALETES!$D:$D,CONFIG_PALETES!$A:$A,IF(ISNUMBER(SEARCH("ESPUMA",$B106)),"ESPUMA",IF(OR(ISNUMBER(SEARCH("OLEO DE COCO",$B106)),ISNUMBER(SEARCH("ÓLEO DE COCO",$B106)),ISNUMBER(SEARCH("COPRA",$B106))),"ÓLEO DE COCO",IF(ISNUMBER(SEARCH("CORANTE",$B106)),"CORANTE",TRIM($B106)))),CONFIG_PALETES!$B:$B,$C106&amp;" ml"),IF(SUMIFS(CONFIG_PALETES!$D:$D,CONFIG_PALETES!$A:$A,"GERAL",CONFIG_PALETES!$B:$B,$C106&amp;" ml")&gt;0,SUMIFS(CONFIG_PALETES!$D:$D,CONFIG_PALETES!$A:$A,"GERAL",CONFIG_PALETES!$B:$B,$C106&amp;" ml"),12)))</f>
        <v/>
      </c>
      <c r="AA106" t="s">
        <v>1225</v>
      </c>
      <c r="AB106" t="s">
        <v>1426</v>
      </c>
    </row>
    <row r="107" spans="1:28" ht="21" customHeight="1" x14ac:dyDescent="0.3">
      <c r="A107" s="817"/>
      <c r="B107" s="818"/>
      <c r="C107" s="819"/>
      <c r="D107" s="820"/>
      <c r="E107" s="821" t="s">
        <v>184</v>
      </c>
      <c r="F107" s="872" t="str">
        <f>IF($B107="","",IF(SUMIFS(CONFIG_PALETES!$C:$C,CONFIG_PALETES!$A:$A,TRIM($B107),CONFIG_PALETES!$B:$B,$C107&amp;" ml")&gt;0,SUMIFS(CONFIG_PALETES!$C:$C,CONFIG_PALETES!$A:$A,TRIM($B107),CONFIG_PALETES!$B:$B,$C107&amp;" ml"),IF(SUMIFS(CONFIG_PALETES!$C:$C,CONFIG_PALETES!$A:$A,"GERAL",CONFIG_PALETES!$B:$B,$C107&amp;" ml")&gt;0,SUMIFS(CONFIG_PALETES!$C:$C,CONFIG_PALETES!$A:$A,"GERAL",CONFIG_PALETES!$B:$B,$C107&amp;" ml"),"")))</f>
        <v/>
      </c>
      <c r="G107" s="822" t="str">
        <f>IFERROR(ROUNDUP(D107/F107,0),"")</f>
        <v/>
      </c>
      <c r="H107" s="823"/>
      <c r="I107" s="820" t="str">
        <f>IF(H107="","",H107*IF(SUMIFS(CONFIG_PALETES!$D:$D,CONFIG_PALETES!$A:$A,IF(ISNUMBER(SEARCH("ESPUMA",$B107)),"ESPUMA",IF(OR(ISNUMBER(SEARCH("OLEO DE COCO",$B107)),ISNUMBER(SEARCH("ÓLEO DE COCO",$B107)),ISNUMBER(SEARCH("COPRA",$B107))),"ÓLEO DE COCO",IF(ISNUMBER(SEARCH("CORANTE",$B107)),"CORANTE",TRIM($B107)))),CONFIG_PALETES!$B:$B,$C107&amp;" ml")&gt;0,SUMIFS(CONFIG_PALETES!$D:$D,CONFIG_PALETES!$A:$A,IF(ISNUMBER(SEARCH("ESPUMA",$B107)),"ESPUMA",IF(OR(ISNUMBER(SEARCH("OLEO DE COCO",$B107)),ISNUMBER(SEARCH("ÓLEO DE COCO",$B107)),ISNUMBER(SEARCH("COPRA",$B107))),"ÓLEO DE COCO",IF(ISNUMBER(SEARCH("CORANTE",$B107)),"CORANTE",TRIM($B107)))),CONFIG_PALETES!$B:$B,$C107&amp;" ml"),IF(SUMIFS(CONFIG_PALETES!$D:$D,CONFIG_PALETES!$A:$A,"GERAL",CONFIG_PALETES!$B:$B,$C107&amp;" ml")&gt;0,SUMIFS(CONFIG_PALETES!$D:$D,CONFIG_PALETES!$A:$A,"GERAL",CONFIG_PALETES!$B:$B,$C107&amp;" ml"),12)))</f>
        <v/>
      </c>
      <c r="AA107" t="s">
        <v>198</v>
      </c>
      <c r="AB107" t="s">
        <v>1425</v>
      </c>
    </row>
    <row r="108" spans="1:28" ht="15" customHeight="1" x14ac:dyDescent="0.3">
      <c r="A108" s="899"/>
      <c r="B108" s="846" t="s">
        <v>186</v>
      </c>
      <c r="C108" s="847"/>
      <c r="D108" s="848">
        <f>SUM(D101:D107)</f>
        <v>1929</v>
      </c>
      <c r="E108" s="849"/>
      <c r="F108" s="856" t="s">
        <v>1400</v>
      </c>
      <c r="G108" s="850">
        <f>SUM(G101:G107)</f>
        <v>21</v>
      </c>
      <c r="H108" s="848">
        <f>SUM(H101:H107)</f>
        <v>898</v>
      </c>
      <c r="I108" s="848">
        <f>SUM(I101:I107)</f>
        <v>10776</v>
      </c>
      <c r="J108" s="63">
        <f>D108</f>
        <v>1929</v>
      </c>
      <c r="K108" s="93">
        <f>G108</f>
        <v>21</v>
      </c>
      <c r="L108" s="63">
        <f>H108</f>
        <v>898</v>
      </c>
      <c r="M108" s="63">
        <f>I108</f>
        <v>10776</v>
      </c>
      <c r="N108" s="587" cm="1">
        <f t="array" ref="N108">IF(H108=0,"",SUMPRODUCT(IFERROR(INT(H103:H107/F103:F107),0)))</f>
        <v>9</v>
      </c>
      <c r="O108" s="770">
        <f>IF(N108="","",MAX(0,G108-N108))</f>
        <v>12</v>
      </c>
      <c r="AA108" t="s">
        <v>1226</v>
      </c>
      <c r="AB108" t="s">
        <v>1426</v>
      </c>
    </row>
    <row r="109" spans="1:28" ht="6" customHeight="1" x14ac:dyDescent="0.3">
      <c r="C109" s="65"/>
      <c r="AA109" t="s">
        <v>192</v>
      </c>
      <c r="AB109" t="s">
        <v>1422</v>
      </c>
    </row>
    <row r="110" spans="1:28" ht="15" customHeight="1" x14ac:dyDescent="0.3">
      <c r="A110" s="75">
        <v>46219</v>
      </c>
      <c r="B110" s="113" t="s">
        <v>49</v>
      </c>
      <c r="C110" s="112" t="s">
        <v>176</v>
      </c>
      <c r="D110" s="111" t="s">
        <v>177</v>
      </c>
      <c r="E110" s="111" t="s">
        <v>178</v>
      </c>
      <c r="F110" s="860" t="s">
        <v>179</v>
      </c>
      <c r="G110" s="111" t="s">
        <v>180</v>
      </c>
      <c r="H110" s="111" t="s">
        <v>181</v>
      </c>
      <c r="I110" s="111" t="s">
        <v>182</v>
      </c>
      <c r="AA110" t="s">
        <v>1163</v>
      </c>
      <c r="AB110" t="s">
        <v>1423</v>
      </c>
    </row>
    <row r="111" spans="1:28" ht="21" customHeight="1" x14ac:dyDescent="0.3">
      <c r="A111" s="110"/>
      <c r="B111" s="109" t="s">
        <v>1234</v>
      </c>
      <c r="C111" s="108">
        <v>600</v>
      </c>
      <c r="D111" s="104">
        <f>D104-H104</f>
        <v>1039</v>
      </c>
      <c r="E111" s="107" t="s">
        <v>184</v>
      </c>
      <c r="F111" s="871">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95</v>
      </c>
      <c r="G111" s="106">
        <f>IFERROR(ROUNDUP(D111/F111,0),"")</f>
        <v>11</v>
      </c>
      <c r="H111" s="105">
        <v>961</v>
      </c>
      <c r="I111" s="104">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11532</v>
      </c>
      <c r="AA111" t="s">
        <v>41</v>
      </c>
      <c r="AB111" t="s">
        <v>1423</v>
      </c>
    </row>
    <row r="112" spans="1:28" ht="21" customHeight="1" x14ac:dyDescent="0.3">
      <c r="A112" s="110"/>
      <c r="B112" s="109"/>
      <c r="C112" s="108"/>
      <c r="D112" s="104"/>
      <c r="E112" s="107" t="s">
        <v>184</v>
      </c>
      <c r="F112" s="871"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106" t="str">
        <f>IFERROR(ROUNDUP(D112/F112,0),"")</f>
        <v/>
      </c>
      <c r="H112" s="105"/>
      <c r="I112" s="104"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21" customHeight="1" x14ac:dyDescent="0.3">
      <c r="A113" s="110"/>
      <c r="B113" s="109"/>
      <c r="C113" s="108"/>
      <c r="D113" s="104"/>
      <c r="E113" s="107" t="s">
        <v>184</v>
      </c>
      <c r="F113" s="871" t="str">
        <f>IF($B113="","",IF(SUMIFS(CONFIG_PALETES!$C:$C,CONFIG_PALETES!$A:$A,TRIM($B113),CONFIG_PALETES!$B:$B,$C113&amp;" ml")&gt;0,SUMIFS(CONFIG_PALETES!$C:$C,CONFIG_PALETES!$A:$A,TRIM($B113),CONFIG_PALETES!$B:$B,$C113&amp;" ml"),IF(SUMIFS(CONFIG_PALETES!$C:$C,CONFIG_PALETES!$A:$A,"GERAL",CONFIG_PALETES!$B:$B,$C113&amp;" ml")&gt;0,SUMIFS(CONFIG_PALETES!$C:$C,CONFIG_PALETES!$A:$A,"GERAL",CONFIG_PALETES!$B:$B,$C113&amp;" ml"),"")))</f>
        <v/>
      </c>
      <c r="G113" s="106" t="str">
        <f>IFERROR(ROUNDUP(D113/F113,0),"")</f>
        <v/>
      </c>
      <c r="H113" s="105"/>
      <c r="I113" s="104" t="str">
        <f>IF(H113="","",H113*IF(SUMIFS(CONFIG_PALETES!$D:$D,CONFIG_PALETES!$A:$A,IF(ISNUMBER(SEARCH("ESPUMA",$B113)),"ESPUMA",IF(OR(ISNUMBER(SEARCH("OLEO DE COCO",$B113)),ISNUMBER(SEARCH("ÓLEO DE COCO",$B113)),ISNUMBER(SEARCH("COPRA",$B113))),"ÓLEO DE COCO",IF(ISNUMBER(SEARCH("CORANTE",$B113)),"CORANTE",TRIM($B113)))),CONFIG_PALETES!$B:$B,$C113&amp;" ml")&gt;0,SUMIFS(CONFIG_PALETES!$D:$D,CONFIG_PALETES!$A:$A,IF(ISNUMBER(SEARCH("ESPUMA",$B113)),"ESPUMA",IF(OR(ISNUMBER(SEARCH("OLEO DE COCO",$B113)),ISNUMBER(SEARCH("ÓLEO DE COCO",$B113)),ISNUMBER(SEARCH("COPRA",$B113))),"ÓLEO DE COCO",IF(ISNUMBER(SEARCH("CORANTE",$B113)),"CORANTE",TRIM($B113)))),CONFIG_PALETES!$B:$B,$C113&amp;" ml"),IF(SUMIFS(CONFIG_PALETES!$D:$D,CONFIG_PALETES!$A:$A,"GERAL",CONFIG_PALETES!$B:$B,$C113&amp;" ml")&gt;0,SUMIFS(CONFIG_PALETES!$D:$D,CONFIG_PALETES!$A:$A,"GERAL",CONFIG_PALETES!$B:$B,$C113&amp;" ml"),12)))</f>
        <v/>
      </c>
      <c r="AA113" t="s">
        <v>494</v>
      </c>
      <c r="AB113" t="s">
        <v>1426</v>
      </c>
    </row>
    <row r="114" spans="1:28" ht="21" customHeight="1" x14ac:dyDescent="0.3">
      <c r="A114" s="110"/>
      <c r="B114" s="109"/>
      <c r="C114" s="108"/>
      <c r="D114" s="104"/>
      <c r="E114" s="107" t="s">
        <v>184</v>
      </c>
      <c r="F114" s="871" t="str">
        <f>IF($B114="","",IF(SUMIFS(CONFIG_PALETES!$C:$C,CONFIG_PALETES!$A:$A,TRIM($B114),CONFIG_PALETES!$B:$B,$C114&amp;" ml")&gt;0,SUMIFS(CONFIG_PALETES!$C:$C,CONFIG_PALETES!$A:$A,TRIM($B114),CONFIG_PALETES!$B:$B,$C114&amp;" ml"),IF(SUMIFS(CONFIG_PALETES!$C:$C,CONFIG_PALETES!$A:$A,"GERAL",CONFIG_PALETES!$B:$B,$C114&amp;" ml")&gt;0,SUMIFS(CONFIG_PALETES!$C:$C,CONFIG_PALETES!$A:$A,"GERAL",CONFIG_PALETES!$B:$B,$C114&amp;" ml"),"")))</f>
        <v/>
      </c>
      <c r="G114" s="106" t="str">
        <f>IFERROR(ROUNDUP(D114/F114,0),"")</f>
        <v/>
      </c>
      <c r="H114" s="105"/>
      <c r="I114" s="104" t="str">
        <f>IF(H114="","",H114*IF(SUMIFS(CONFIG_PALETES!$D:$D,CONFIG_PALETES!$A:$A,IF(ISNUMBER(SEARCH("ESPUMA",$B114)),"ESPUMA",IF(OR(ISNUMBER(SEARCH("OLEO DE COCO",$B114)),ISNUMBER(SEARCH("ÓLEO DE COCO",$B114)),ISNUMBER(SEARCH("COPRA",$B114))),"ÓLEO DE COCO",IF(ISNUMBER(SEARCH("CORANTE",$B114)),"CORANTE",TRIM($B114)))),CONFIG_PALETES!$B:$B,$C114&amp;" ml")&gt;0,SUMIFS(CONFIG_PALETES!$D:$D,CONFIG_PALETES!$A:$A,IF(ISNUMBER(SEARCH("ESPUMA",$B114)),"ESPUMA",IF(OR(ISNUMBER(SEARCH("OLEO DE COCO",$B114)),ISNUMBER(SEARCH("ÓLEO DE COCO",$B114)),ISNUMBER(SEARCH("COPRA",$B114))),"ÓLEO DE COCO",IF(ISNUMBER(SEARCH("CORANTE",$B114)),"CORANTE",TRIM($B114)))),CONFIG_PALETES!$B:$B,$C114&amp;" ml"),IF(SUMIFS(CONFIG_PALETES!$D:$D,CONFIG_PALETES!$A:$A,"GERAL",CONFIG_PALETES!$B:$B,$C114&amp;" ml")&gt;0,SUMIFS(CONFIG_PALETES!$D:$D,CONFIG_PALETES!$A:$A,"GERAL",CONFIG_PALETES!$B:$B,$C114&amp;" ml"),12)))</f>
        <v/>
      </c>
      <c r="AA114" t="s">
        <v>404</v>
      </c>
      <c r="AB114" t="s">
        <v>1422</v>
      </c>
    </row>
    <row r="115" spans="1:28" ht="21" customHeight="1" x14ac:dyDescent="0.3">
      <c r="A115" s="817"/>
      <c r="B115" s="818"/>
      <c r="C115" s="819"/>
      <c r="D115" s="820"/>
      <c r="E115" s="821" t="s">
        <v>184</v>
      </c>
      <c r="F115" s="872" t="str">
        <f>IF($B115="","",IF(SUMIFS(CONFIG_PALETES!$C:$C,CONFIG_PALETES!$A:$A,TRIM($B115),CONFIG_PALETES!$B:$B,$C115&amp;" ml")&gt;0,SUMIFS(CONFIG_PALETES!$C:$C,CONFIG_PALETES!$A:$A,TRIM($B115),CONFIG_PALETES!$B:$B,$C115&amp;" ml"),IF(SUMIFS(CONFIG_PALETES!$C:$C,CONFIG_PALETES!$A:$A,"GERAL",CONFIG_PALETES!$B:$B,$C115&amp;" ml")&gt;0,SUMIFS(CONFIG_PALETES!$C:$C,CONFIG_PALETES!$A:$A,"GERAL",CONFIG_PALETES!$B:$B,$C115&amp;" ml"),"")))</f>
        <v/>
      </c>
      <c r="G115" s="822" t="str">
        <f>IFERROR(ROUNDUP(D115/F115,0),"")</f>
        <v/>
      </c>
      <c r="H115" s="823"/>
      <c r="I115" s="820" t="str">
        <f>IF(H115="","",H115*IF(SUMIFS(CONFIG_PALETES!$D:$D,CONFIG_PALETES!$A:$A,IF(ISNUMBER(SEARCH("ESPUMA",$B115)),"ESPUMA",IF(OR(ISNUMBER(SEARCH("OLEO DE COCO",$B115)),ISNUMBER(SEARCH("ÓLEO DE COCO",$B115)),ISNUMBER(SEARCH("COPRA",$B115))),"ÓLEO DE COCO",IF(ISNUMBER(SEARCH("CORANTE",$B115)),"CORANTE",TRIM($B115)))),CONFIG_PALETES!$B:$B,$C115&amp;" ml")&gt;0,SUMIFS(CONFIG_PALETES!$D:$D,CONFIG_PALETES!$A:$A,IF(ISNUMBER(SEARCH("ESPUMA",$B115)),"ESPUMA",IF(OR(ISNUMBER(SEARCH("OLEO DE COCO",$B115)),ISNUMBER(SEARCH("ÓLEO DE COCO",$B115)),ISNUMBER(SEARCH("COPRA",$B115))),"ÓLEO DE COCO",IF(ISNUMBER(SEARCH("CORANTE",$B115)),"CORANTE",TRIM($B115)))),CONFIG_PALETES!$B:$B,$C115&amp;" ml"),IF(SUMIFS(CONFIG_PALETES!$D:$D,CONFIG_PALETES!$A:$A,"GERAL",CONFIG_PALETES!$B:$B,$C115&amp;" ml")&gt;0,SUMIFS(CONFIG_PALETES!$D:$D,CONFIG_PALETES!$A:$A,"GERAL",CONFIG_PALETES!$B:$B,$C115&amp;" ml"),12)))</f>
        <v/>
      </c>
      <c r="AA115" t="s">
        <v>493</v>
      </c>
      <c r="AB115" t="s">
        <v>1431</v>
      </c>
    </row>
    <row r="116" spans="1:28" ht="15" customHeight="1" x14ac:dyDescent="0.3">
      <c r="A116" s="899"/>
      <c r="B116" s="846" t="s">
        <v>186</v>
      </c>
      <c r="C116" s="847"/>
      <c r="D116" s="848">
        <f>SUM(D109:D115)</f>
        <v>1039</v>
      </c>
      <c r="E116" s="849"/>
      <c r="F116" s="856" t="s">
        <v>1400</v>
      </c>
      <c r="G116" s="850">
        <f>SUM(G109:G115)</f>
        <v>11</v>
      </c>
      <c r="H116" s="848">
        <f>SUM(H109:H115)</f>
        <v>961</v>
      </c>
      <c r="I116" s="848">
        <f>SUM(I109:I115)</f>
        <v>11532</v>
      </c>
      <c r="J116" s="63">
        <f>D116</f>
        <v>1039</v>
      </c>
      <c r="K116" s="93">
        <f>G116</f>
        <v>11</v>
      </c>
      <c r="L116" s="63">
        <f>H116</f>
        <v>961</v>
      </c>
      <c r="M116" s="63">
        <f>I116</f>
        <v>11532</v>
      </c>
      <c r="N116" s="587" cm="1">
        <f t="array" ref="N116">IF(H116=0,"",SUMPRODUCT(IFERROR(INT(H111:H115/F111:F115),0)))</f>
        <v>10</v>
      </c>
      <c r="O116" s="770">
        <f>IF(N116="","",MAX(0,G116-N116))</f>
        <v>1</v>
      </c>
      <c r="AA116" t="s">
        <v>400</v>
      </c>
      <c r="AB116" t="s">
        <v>1430</v>
      </c>
    </row>
    <row r="117" spans="1:28" ht="6" customHeight="1" x14ac:dyDescent="0.3">
      <c r="C117" s="65"/>
      <c r="AA117" t="s">
        <v>492</v>
      </c>
      <c r="AB117" t="s">
        <v>1435</v>
      </c>
    </row>
    <row r="118" spans="1:28" ht="15" customHeight="1" x14ac:dyDescent="0.3">
      <c r="A118" s="75">
        <v>46220</v>
      </c>
      <c r="B118" s="113" t="s">
        <v>49</v>
      </c>
      <c r="C118" s="112" t="s">
        <v>176</v>
      </c>
      <c r="D118" s="111" t="s">
        <v>177</v>
      </c>
      <c r="E118" s="111" t="s">
        <v>178</v>
      </c>
      <c r="F118" s="860" t="s">
        <v>179</v>
      </c>
      <c r="G118" s="111" t="s">
        <v>180</v>
      </c>
      <c r="H118" s="111" t="s">
        <v>181</v>
      </c>
      <c r="I118" s="111" t="s">
        <v>182</v>
      </c>
      <c r="AA118" t="s">
        <v>498</v>
      </c>
      <c r="AB118" t="s">
        <v>1423</v>
      </c>
    </row>
    <row r="119" spans="1:28" ht="21" customHeight="1" x14ac:dyDescent="0.3">
      <c r="A119" s="110"/>
      <c r="B119" s="109" t="s">
        <v>1234</v>
      </c>
      <c r="C119" s="108">
        <v>600</v>
      </c>
      <c r="D119" s="104">
        <f>D111-H111</f>
        <v>78</v>
      </c>
      <c r="E119" s="107" t="s">
        <v>184</v>
      </c>
      <c r="F119" s="871">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95</v>
      </c>
      <c r="G119" s="106">
        <f t="shared" ref="G119:G124" si="3">IFERROR(ROUNDUP(D119/F119,0),"")</f>
        <v>1</v>
      </c>
      <c r="H119" s="105">
        <v>94</v>
      </c>
      <c r="I119" s="104">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1128</v>
      </c>
      <c r="AA119" t="s">
        <v>995</v>
      </c>
      <c r="AB119" t="s">
        <v>1426</v>
      </c>
    </row>
    <row r="120" spans="1:28" ht="21" customHeight="1" x14ac:dyDescent="0.3">
      <c r="A120" s="110"/>
      <c r="B120" s="109" t="s">
        <v>131</v>
      </c>
      <c r="C120" s="108">
        <v>600</v>
      </c>
      <c r="D120" s="104">
        <v>380</v>
      </c>
      <c r="E120" s="107" t="s">
        <v>184</v>
      </c>
      <c r="F120" s="871">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95</v>
      </c>
      <c r="G120" s="106">
        <f t="shared" si="3"/>
        <v>4</v>
      </c>
      <c r="H120" s="105">
        <v>380</v>
      </c>
      <c r="I120" s="104">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4560</v>
      </c>
      <c r="AA120" t="s">
        <v>286</v>
      </c>
      <c r="AB120" t="s">
        <v>1426</v>
      </c>
    </row>
    <row r="121" spans="1:28" ht="21" customHeight="1" x14ac:dyDescent="0.3">
      <c r="A121" s="110"/>
      <c r="B121" s="109" t="s">
        <v>163</v>
      </c>
      <c r="C121" s="108">
        <v>600</v>
      </c>
      <c r="D121" s="104">
        <v>400</v>
      </c>
      <c r="E121" s="107" t="s">
        <v>184</v>
      </c>
      <c r="F121" s="871">
        <f>IF($B121="","",IF(SUMIFS(CONFIG_PALETES!$C:$C,CONFIG_PALETES!$A:$A,TRIM($B121),CONFIG_PALETES!$B:$B,$C121&amp;" ml")&gt;0,SUMIFS(CONFIG_PALETES!$C:$C,CONFIG_PALETES!$A:$A,TRIM($B121),CONFIG_PALETES!$B:$B,$C121&amp;" ml"),IF(SUMIFS(CONFIG_PALETES!$C:$C,CONFIG_PALETES!$A:$A,"GERAL",CONFIG_PALETES!$B:$B,$C121&amp;" ml")&gt;0,SUMIFS(CONFIG_PALETES!$C:$C,CONFIG_PALETES!$A:$A,"GERAL",CONFIG_PALETES!$B:$B,$C121&amp;" ml"),"")))</f>
        <v>95</v>
      </c>
      <c r="G121" s="106">
        <f t="shared" si="3"/>
        <v>5</v>
      </c>
      <c r="H121" s="105">
        <v>124</v>
      </c>
      <c r="I121" s="104">
        <f>IF(H121="","",H121*IF(SUMIFS(CONFIG_PALETES!$D:$D,CONFIG_PALETES!$A:$A,IF(ISNUMBER(SEARCH("ESPUMA",$B121)),"ESPUMA",IF(OR(ISNUMBER(SEARCH("OLEO DE COCO",$B121)),ISNUMBER(SEARCH("ÓLEO DE COCO",$B121)),ISNUMBER(SEARCH("COPRA",$B121))),"ÓLEO DE COCO",IF(ISNUMBER(SEARCH("CORANTE",$B121)),"CORANTE",TRIM($B121)))),CONFIG_PALETES!$B:$B,$C121&amp;" ml")&gt;0,SUMIFS(CONFIG_PALETES!$D:$D,CONFIG_PALETES!$A:$A,IF(ISNUMBER(SEARCH("ESPUMA",$B121)),"ESPUMA",IF(OR(ISNUMBER(SEARCH("OLEO DE COCO",$B121)),ISNUMBER(SEARCH("ÓLEO DE COCO",$B121)),ISNUMBER(SEARCH("COPRA",$B121))),"ÓLEO DE COCO",IF(ISNUMBER(SEARCH("CORANTE",$B121)),"CORANTE",TRIM($B121)))),CONFIG_PALETES!$B:$B,$C121&amp;" ml"),IF(SUMIFS(CONFIG_PALETES!$D:$D,CONFIG_PALETES!$A:$A,"GERAL",CONFIG_PALETES!$B:$B,$C121&amp;" ml")&gt;0,SUMIFS(CONFIG_PALETES!$D:$D,CONFIG_PALETES!$A:$A,"GERAL",CONFIG_PALETES!$B:$B,$C121&amp;" ml"),12)))</f>
        <v>1488</v>
      </c>
      <c r="AA121" t="s">
        <v>285</v>
      </c>
      <c r="AB121" t="s">
        <v>1426</v>
      </c>
    </row>
    <row r="122" spans="1:28" ht="21" customHeight="1" x14ac:dyDescent="0.3">
      <c r="A122" s="110"/>
      <c r="B122" s="109"/>
      <c r="C122" s="108"/>
      <c r="D122" s="104"/>
      <c r="E122" s="107" t="s">
        <v>184</v>
      </c>
      <c r="F122" s="871" t="str">
        <f>IF($B122="","",IF(SUMIFS(CONFIG_PALETES!$C:$C,CONFIG_PALETES!$A:$A,TRIM($B122),CONFIG_PALETES!$B:$B,$C122&amp;" ml")&gt;0,SUMIFS(CONFIG_PALETES!$C:$C,CONFIG_PALETES!$A:$A,TRIM($B122),CONFIG_PALETES!$B:$B,$C122&amp;" ml"),IF(SUMIFS(CONFIG_PALETES!$C:$C,CONFIG_PALETES!$A:$A,"GERAL",CONFIG_PALETES!$B:$B,$C122&amp;" ml")&gt;0,SUMIFS(CONFIG_PALETES!$C:$C,CONFIG_PALETES!$A:$A,"GERAL",CONFIG_PALETES!$B:$B,$C122&amp;" ml"),"")))</f>
        <v/>
      </c>
      <c r="G122" s="106" t="str">
        <f t="shared" si="3"/>
        <v/>
      </c>
      <c r="H122" s="105"/>
      <c r="I122" s="104" t="str">
        <f>IF(H122="","",H122*IF(SUMIFS(CONFIG_PALETES!$D:$D,CONFIG_PALETES!$A:$A,IF(ISNUMBER(SEARCH("ESPUMA",$B122)),"ESPUMA",IF(OR(ISNUMBER(SEARCH("OLEO DE COCO",$B122)),ISNUMBER(SEARCH("ÓLEO DE COCO",$B122)),ISNUMBER(SEARCH("COPRA",$B122))),"ÓLEO DE COCO",IF(ISNUMBER(SEARCH("CORANTE",$B122)),"CORANTE",TRIM($B122)))),CONFIG_PALETES!$B:$B,$C122&amp;" ml")&gt;0,SUMIFS(CONFIG_PALETES!$D:$D,CONFIG_PALETES!$A:$A,IF(ISNUMBER(SEARCH("ESPUMA",$B122)),"ESPUMA",IF(OR(ISNUMBER(SEARCH("OLEO DE COCO",$B122)),ISNUMBER(SEARCH("ÓLEO DE COCO",$B122)),ISNUMBER(SEARCH("COPRA",$B122))),"ÓLEO DE COCO",IF(ISNUMBER(SEARCH("CORANTE",$B122)),"CORANTE",TRIM($B122)))),CONFIG_PALETES!$B:$B,$C122&amp;" ml"),IF(SUMIFS(CONFIG_PALETES!$D:$D,CONFIG_PALETES!$A:$A,"GERAL",CONFIG_PALETES!$B:$B,$C122&amp;" ml")&gt;0,SUMIFS(CONFIG_PALETES!$D:$D,CONFIG_PALETES!$A:$A,"GERAL",CONFIG_PALETES!$B:$B,$C122&amp;" ml"),12)))</f>
        <v/>
      </c>
      <c r="AA122" t="s">
        <v>103</v>
      </c>
      <c r="AB122" t="s">
        <v>1425</v>
      </c>
    </row>
    <row r="123" spans="1:28" ht="21" customHeight="1" x14ac:dyDescent="0.3">
      <c r="A123" s="110"/>
      <c r="B123" s="109"/>
      <c r="C123" s="108"/>
      <c r="D123" s="104"/>
      <c r="E123" s="107" t="s">
        <v>184</v>
      </c>
      <c r="F123" s="871" t="str">
        <f>IF($B123="","",IF(SUMIFS(CONFIG_PALETES!$C:$C,CONFIG_PALETES!$A:$A,TRIM($B123),CONFIG_PALETES!$B:$B,$C123&amp;" ml")&gt;0,SUMIFS(CONFIG_PALETES!$C:$C,CONFIG_PALETES!$A:$A,TRIM($B123),CONFIG_PALETES!$B:$B,$C123&amp;" ml"),IF(SUMIFS(CONFIG_PALETES!$C:$C,CONFIG_PALETES!$A:$A,"GERAL",CONFIG_PALETES!$B:$B,$C123&amp;" ml")&gt;0,SUMIFS(CONFIG_PALETES!$C:$C,CONFIG_PALETES!$A:$A,"GERAL",CONFIG_PALETES!$B:$B,$C123&amp;" ml"),"")))</f>
        <v/>
      </c>
      <c r="G123" s="106" t="str">
        <f t="shared" si="3"/>
        <v/>
      </c>
      <c r="H123" s="105"/>
      <c r="I123" s="104" t="str">
        <f>IF(H123="","",H123*IF(SUMIFS(CONFIG_PALETES!$D:$D,CONFIG_PALETES!$A:$A,IF(ISNUMBER(SEARCH("ESPUMA",$B123)),"ESPUMA",IF(OR(ISNUMBER(SEARCH("OLEO DE COCO",$B123)),ISNUMBER(SEARCH("ÓLEO DE COCO",$B123)),ISNUMBER(SEARCH("COPRA",$B123))),"ÓLEO DE COCO",IF(ISNUMBER(SEARCH("CORANTE",$B123)),"CORANTE",TRIM($B123)))),CONFIG_PALETES!$B:$B,$C123&amp;" ml")&gt;0,SUMIFS(CONFIG_PALETES!$D:$D,CONFIG_PALETES!$A:$A,IF(ISNUMBER(SEARCH("ESPUMA",$B123)),"ESPUMA",IF(OR(ISNUMBER(SEARCH("OLEO DE COCO",$B123)),ISNUMBER(SEARCH("ÓLEO DE COCO",$B123)),ISNUMBER(SEARCH("COPRA",$B123))),"ÓLEO DE COCO",IF(ISNUMBER(SEARCH("CORANTE",$B123)),"CORANTE",TRIM($B123)))),CONFIG_PALETES!$B:$B,$C123&amp;" ml"),IF(SUMIFS(CONFIG_PALETES!$D:$D,CONFIG_PALETES!$A:$A,"GERAL",CONFIG_PALETES!$B:$B,$C123&amp;" ml")&gt;0,SUMIFS(CONFIG_PALETES!$D:$D,CONFIG_PALETES!$A:$A,"GERAL",CONFIG_PALETES!$B:$B,$C123&amp;" ml"),12)))</f>
        <v/>
      </c>
      <c r="AA123" t="s">
        <v>282</v>
      </c>
      <c r="AB123" t="s">
        <v>1425</v>
      </c>
    </row>
    <row r="124" spans="1:28" ht="21" customHeight="1" x14ac:dyDescent="0.3">
      <c r="A124" s="817"/>
      <c r="B124" s="818"/>
      <c r="C124" s="819"/>
      <c r="D124" s="820"/>
      <c r="E124" s="821" t="s">
        <v>184</v>
      </c>
      <c r="F124" s="872"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822" t="str">
        <f t="shared" si="3"/>
        <v/>
      </c>
      <c r="H124" s="823"/>
      <c r="I124" s="820"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15" customHeight="1" x14ac:dyDescent="0.3">
      <c r="A125" s="899"/>
      <c r="B125" s="846" t="s">
        <v>186</v>
      </c>
      <c r="C125" s="847"/>
      <c r="D125" s="848">
        <f>SUM(D117:D124)</f>
        <v>858</v>
      </c>
      <c r="E125" s="849"/>
      <c r="F125" s="856" t="s">
        <v>1400</v>
      </c>
      <c r="G125" s="850">
        <f>SUM(G117:G124)</f>
        <v>10</v>
      </c>
      <c r="H125" s="848">
        <f>SUM(H117:H124)</f>
        <v>598</v>
      </c>
      <c r="I125" s="848">
        <f>SUM(I117:I124)</f>
        <v>7176</v>
      </c>
      <c r="J125" s="63">
        <f>D125</f>
        <v>858</v>
      </c>
      <c r="K125" s="93">
        <f>G125</f>
        <v>10</v>
      </c>
      <c r="L125" s="63">
        <f>H125</f>
        <v>598</v>
      </c>
      <c r="M125" s="63">
        <f>I125</f>
        <v>7176</v>
      </c>
      <c r="N125" s="587" cm="1">
        <f t="array" ref="N125">IF(H125=0,"",SUMPRODUCT(IFERROR(INT(H119:H124/F119:F124),0)))</f>
        <v>5</v>
      </c>
      <c r="O125" s="770">
        <f>IF(N125="","",MAX(0,G125-N125))</f>
        <v>5</v>
      </c>
      <c r="AA125" t="s">
        <v>135</v>
      </c>
      <c r="AB125" t="s">
        <v>1425</v>
      </c>
    </row>
    <row r="126" spans="1:28" ht="6" customHeight="1" x14ac:dyDescent="0.3">
      <c r="C126" s="65"/>
      <c r="AA126" t="s">
        <v>402</v>
      </c>
      <c r="AB126" t="s">
        <v>1425</v>
      </c>
    </row>
    <row r="127" spans="1:28" ht="15" customHeight="1" x14ac:dyDescent="0.3">
      <c r="A127" s="135">
        <v>46221</v>
      </c>
      <c r="B127" s="113" t="s">
        <v>49</v>
      </c>
      <c r="C127" s="112" t="s">
        <v>176</v>
      </c>
      <c r="D127" s="111" t="s">
        <v>177</v>
      </c>
      <c r="E127" s="111" t="s">
        <v>178</v>
      </c>
      <c r="F127" s="862" t="s">
        <v>179</v>
      </c>
      <c r="G127" s="111" t="s">
        <v>180</v>
      </c>
      <c r="H127" s="111" t="s">
        <v>181</v>
      </c>
      <c r="I127" s="111" t="s">
        <v>182</v>
      </c>
      <c r="J127" s="128"/>
      <c r="K127" s="128"/>
      <c r="L127" s="128"/>
      <c r="M127" s="128"/>
      <c r="AA127" t="s">
        <v>290</v>
      </c>
      <c r="AB127" t="s">
        <v>1426</v>
      </c>
    </row>
    <row r="128" spans="1:28" ht="21" customHeight="1" x14ac:dyDescent="0.3">
      <c r="A128" s="110"/>
      <c r="B128" s="127" t="s">
        <v>163</v>
      </c>
      <c r="C128" s="126">
        <v>600</v>
      </c>
      <c r="D128" s="129">
        <f>D121-H121</f>
        <v>276</v>
      </c>
      <c r="E128" s="131" t="s">
        <v>184</v>
      </c>
      <c r="F128" s="877">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95</v>
      </c>
      <c r="G128" s="130">
        <f>IFERROR(ROUNDUP(D128/F128,0),"")</f>
        <v>3</v>
      </c>
      <c r="H128" s="105">
        <v>279</v>
      </c>
      <c r="I128" s="129">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3348</v>
      </c>
      <c r="J128" s="128"/>
      <c r="K128" s="128"/>
      <c r="L128" s="128"/>
      <c r="M128" s="128"/>
      <c r="AA128" t="s">
        <v>289</v>
      </c>
      <c r="AB128" t="s">
        <v>1426</v>
      </c>
    </row>
    <row r="129" spans="1:28" ht="21" customHeight="1" x14ac:dyDescent="0.3">
      <c r="A129" s="110"/>
      <c r="B129" s="109" t="s">
        <v>31</v>
      </c>
      <c r="C129" s="108">
        <v>600</v>
      </c>
      <c r="D129" s="104">
        <v>665</v>
      </c>
      <c r="E129" s="107" t="s">
        <v>184</v>
      </c>
      <c r="F129" s="871">
        <f>IF($B129="","",IF(SUMIFS(CONFIG_PALETES!$C:$C,CONFIG_PALETES!$A:$A,TRIM($B129),CONFIG_PALETES!$B:$B,$C129&amp;" ml")&gt;0,SUMIFS(CONFIG_PALETES!$C:$C,CONFIG_PALETES!$A:$A,TRIM($B129),CONFIG_PALETES!$B:$B,$C129&amp;" ml"),IF(SUMIFS(CONFIG_PALETES!$C:$C,CONFIG_PALETES!$A:$A,"GERAL",CONFIG_PALETES!$B:$B,$C129&amp;" ml")&gt;0,SUMIFS(CONFIG_PALETES!$C:$C,CONFIG_PALETES!$A:$A,"GERAL",CONFIG_PALETES!$B:$B,$C129&amp;" ml"),"")))</f>
        <v>95</v>
      </c>
      <c r="G129" s="106">
        <f>IFERROR(ROUNDUP(D129/F129,0),"")</f>
        <v>7</v>
      </c>
      <c r="H129" s="105">
        <v>429</v>
      </c>
      <c r="I129" s="104">
        <f>IF(H129="","",H129*IF(SUMIFS(CONFIG_PALETES!$D:$D,CONFIG_PALETES!$A:$A,IF(ISNUMBER(SEARCH("ESPUMA",$B129)),"ESPUMA",IF(OR(ISNUMBER(SEARCH("OLEO DE COCO",$B129)),ISNUMBER(SEARCH("ÓLEO DE COCO",$B129)),ISNUMBER(SEARCH("COPRA",$B129))),"ÓLEO DE COCO",IF(ISNUMBER(SEARCH("CORANTE",$B129)),"CORANTE",TRIM($B129)))),CONFIG_PALETES!$B:$B,$C129&amp;" ml")&gt;0,SUMIFS(CONFIG_PALETES!$D:$D,CONFIG_PALETES!$A:$A,IF(ISNUMBER(SEARCH("ESPUMA",$B129)),"ESPUMA",IF(OR(ISNUMBER(SEARCH("OLEO DE COCO",$B129)),ISNUMBER(SEARCH("ÓLEO DE COCO",$B129)),ISNUMBER(SEARCH("COPRA",$B129))),"ÓLEO DE COCO",IF(ISNUMBER(SEARCH("CORANTE",$B129)),"CORANTE",TRIM($B129)))),CONFIG_PALETES!$B:$B,$C129&amp;" ml"),IF(SUMIFS(CONFIG_PALETES!$D:$D,CONFIG_PALETES!$A:$A,"GERAL",CONFIG_PALETES!$B:$B,$C129&amp;" ml")&gt;0,SUMIFS(CONFIG_PALETES!$D:$D,CONFIG_PALETES!$A:$A,"GERAL",CONFIG_PALETES!$B:$B,$C129&amp;" ml"),12)))</f>
        <v>5148</v>
      </c>
      <c r="AA129" t="s">
        <v>72</v>
      </c>
      <c r="AB129" t="s">
        <v>1432</v>
      </c>
    </row>
    <row r="130" spans="1:28" ht="21" customHeight="1" x14ac:dyDescent="0.3">
      <c r="A130" s="110"/>
      <c r="B130" s="127"/>
      <c r="C130" s="126"/>
      <c r="D130" s="129"/>
      <c r="E130" s="131" t="s">
        <v>184</v>
      </c>
      <c r="F130" s="877" t="str">
        <f>IF($B130="","",IF(SUMIFS(CONFIG_PALETES!$C:$C,CONFIG_PALETES!$A:$A,TRIM($B130),CONFIG_PALETES!$B:$B,$C130&amp;" ml")&gt;0,SUMIFS(CONFIG_PALETES!$C:$C,CONFIG_PALETES!$A:$A,TRIM($B130),CONFIG_PALETES!$B:$B,$C130&amp;" ml"),IF(SUMIFS(CONFIG_PALETES!$C:$C,CONFIG_PALETES!$A:$A,"GERAL",CONFIG_PALETES!$B:$B,$C130&amp;" ml")&gt;0,SUMIFS(CONFIG_PALETES!$C:$C,CONFIG_PALETES!$A:$A,"GERAL",CONFIG_PALETES!$B:$B,$C130&amp;" ml"),"")))</f>
        <v/>
      </c>
      <c r="G130" s="130" t="str">
        <f>IFERROR(ROUNDUP(D130/F130,0),"")</f>
        <v/>
      </c>
      <c r="H130" s="105"/>
      <c r="I130" s="129" t="str">
        <f>IF(H130="","",H130*IF(SUMIFS(CONFIG_PALETES!$D:$D,CONFIG_PALETES!$A:$A,IF(ISNUMBER(SEARCH("ESPUMA",$B130)),"ESPUMA",IF(OR(ISNUMBER(SEARCH("OLEO DE COCO",$B130)),ISNUMBER(SEARCH("ÓLEO DE COCO",$B130)),ISNUMBER(SEARCH("COPRA",$B130))),"ÓLEO DE COCO",IF(ISNUMBER(SEARCH("CORANTE",$B130)),"CORANTE",TRIM($B130)))),CONFIG_PALETES!$B:$B,$C130&amp;" ml")&gt;0,SUMIFS(CONFIG_PALETES!$D:$D,CONFIG_PALETES!$A:$A,IF(ISNUMBER(SEARCH("ESPUMA",$B130)),"ESPUMA",IF(OR(ISNUMBER(SEARCH("OLEO DE COCO",$B130)),ISNUMBER(SEARCH("ÓLEO DE COCO",$B130)),ISNUMBER(SEARCH("COPRA",$B130))),"ÓLEO DE COCO",IF(ISNUMBER(SEARCH("CORANTE",$B130)),"CORANTE",TRIM($B130)))),CONFIG_PALETES!$B:$B,$C130&amp;" ml"),IF(SUMIFS(CONFIG_PALETES!$D:$D,CONFIG_PALETES!$A:$A,"GERAL",CONFIG_PALETES!$B:$B,$C130&amp;" ml")&gt;0,SUMIFS(CONFIG_PALETES!$D:$D,CONFIG_PALETES!$A:$A,"GERAL",CONFIG_PALETES!$B:$B,$C130&amp;" ml"),12)))</f>
        <v/>
      </c>
      <c r="J130" s="128"/>
      <c r="K130" s="128"/>
      <c r="L130" s="128"/>
      <c r="M130" s="128"/>
      <c r="AA130" t="s">
        <v>395</v>
      </c>
      <c r="AB130" t="s">
        <v>1423</v>
      </c>
    </row>
    <row r="131" spans="1:28" ht="21" customHeight="1" x14ac:dyDescent="0.3">
      <c r="A131" s="110"/>
      <c r="B131" s="127"/>
      <c r="C131" s="126"/>
      <c r="D131" s="129"/>
      <c r="E131" s="131" t="s">
        <v>184</v>
      </c>
      <c r="F131" s="877" t="str">
        <f>IF($B131="","",IF(SUMIFS(CONFIG_PALETES!$C:$C,CONFIG_PALETES!$A:$A,TRIM($B131),CONFIG_PALETES!$B:$B,$C131&amp;" ml")&gt;0,SUMIFS(CONFIG_PALETES!$C:$C,CONFIG_PALETES!$A:$A,TRIM($B131),CONFIG_PALETES!$B:$B,$C131&amp;" ml"),IF(SUMIFS(CONFIG_PALETES!$C:$C,CONFIG_PALETES!$A:$A,"GERAL",CONFIG_PALETES!$B:$B,$C131&amp;" ml")&gt;0,SUMIFS(CONFIG_PALETES!$C:$C,CONFIG_PALETES!$A:$A,"GERAL",CONFIG_PALETES!$B:$B,$C131&amp;" ml"),"")))</f>
        <v/>
      </c>
      <c r="G131" s="130" t="str">
        <f>IFERROR(ROUNDUP(D131/F131,0),"")</f>
        <v/>
      </c>
      <c r="H131" s="105"/>
      <c r="I131" s="129" t="str">
        <f>IF(H131="","",H131*IF(SUMIFS(CONFIG_PALETES!$D:$D,CONFIG_PALETES!$A:$A,IF(ISNUMBER(SEARCH("ESPUMA",$B131)),"ESPUMA",IF(OR(ISNUMBER(SEARCH("OLEO DE COCO",$B131)),ISNUMBER(SEARCH("ÓLEO DE COCO",$B131)),ISNUMBER(SEARCH("COPRA",$B131))),"ÓLEO DE COCO",IF(ISNUMBER(SEARCH("CORANTE",$B131)),"CORANTE",TRIM($B131)))),CONFIG_PALETES!$B:$B,$C131&amp;" ml")&gt;0,SUMIFS(CONFIG_PALETES!$D:$D,CONFIG_PALETES!$A:$A,IF(ISNUMBER(SEARCH("ESPUMA",$B131)),"ESPUMA",IF(OR(ISNUMBER(SEARCH("OLEO DE COCO",$B131)),ISNUMBER(SEARCH("ÓLEO DE COCO",$B131)),ISNUMBER(SEARCH("COPRA",$B131))),"ÓLEO DE COCO",IF(ISNUMBER(SEARCH("CORANTE",$B131)),"CORANTE",TRIM($B131)))),CONFIG_PALETES!$B:$B,$C131&amp;" ml"),IF(SUMIFS(CONFIG_PALETES!$D:$D,CONFIG_PALETES!$A:$A,"GERAL",CONFIG_PALETES!$B:$B,$C131&amp;" ml")&gt;0,SUMIFS(CONFIG_PALETES!$D:$D,CONFIG_PALETES!$A:$A,"GERAL",CONFIG_PALETES!$B:$B,$C131&amp;" ml"),12)))</f>
        <v/>
      </c>
      <c r="J131" s="128"/>
      <c r="K131" s="128"/>
      <c r="L131" s="128"/>
      <c r="M131" s="128"/>
      <c r="AA131" t="s">
        <v>25</v>
      </c>
      <c r="AB131" t="s">
        <v>1433</v>
      </c>
    </row>
    <row r="132" spans="1:28" ht="21" customHeight="1" x14ac:dyDescent="0.3">
      <c r="A132" s="817"/>
      <c r="B132" s="829"/>
      <c r="C132" s="830"/>
      <c r="D132" s="831"/>
      <c r="E132" s="832" t="s">
        <v>184</v>
      </c>
      <c r="F132" s="878"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833" t="str">
        <f>IFERROR(ROUNDUP(D132/F132,0),"")</f>
        <v/>
      </c>
      <c r="H132" s="823"/>
      <c r="I132" s="831"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J132" s="128"/>
      <c r="K132" s="128"/>
      <c r="L132" s="128"/>
      <c r="M132" s="128"/>
      <c r="AA132" t="s">
        <v>398</v>
      </c>
      <c r="AB132" t="s">
        <v>1424</v>
      </c>
    </row>
    <row r="133" spans="1:28" ht="15" customHeight="1" x14ac:dyDescent="0.3">
      <c r="A133" s="899"/>
      <c r="B133" s="846" t="s">
        <v>186</v>
      </c>
      <c r="C133" s="851"/>
      <c r="D133" s="848">
        <f>SUM(D126:D132)</f>
        <v>941</v>
      </c>
      <c r="E133" s="852"/>
      <c r="F133" s="857" t="s">
        <v>1400</v>
      </c>
      <c r="G133" s="850">
        <f>SUM(G126:G132)</f>
        <v>10</v>
      </c>
      <c r="H133" s="848">
        <f>SUM(H126:H132)</f>
        <v>708</v>
      </c>
      <c r="I133" s="848">
        <f>SUM(I126:I132)</f>
        <v>8496</v>
      </c>
      <c r="J133" s="133">
        <f>D133</f>
        <v>941</v>
      </c>
      <c r="K133" s="134">
        <f>G133</f>
        <v>10</v>
      </c>
      <c r="L133" s="133">
        <f>H133</f>
        <v>708</v>
      </c>
      <c r="M133" s="133">
        <f>I133</f>
        <v>8496</v>
      </c>
      <c r="N133" s="587" cm="1">
        <f t="array" ref="N133">IF(H133=0,"",SUMPRODUCT(IFERROR(INT(H128:H132/F128:F132),0)))</f>
        <v>6</v>
      </c>
      <c r="O133" s="770">
        <f>IF(N133="","",MAX(0,G133-N133))</f>
        <v>4</v>
      </c>
      <c r="AA133" t="s">
        <v>396</v>
      </c>
      <c r="AB133" t="s">
        <v>1432</v>
      </c>
    </row>
    <row r="134" spans="1:28" ht="6" customHeight="1" x14ac:dyDescent="0.3">
      <c r="A134" s="128"/>
      <c r="B134" s="128"/>
      <c r="C134" s="132"/>
      <c r="D134" s="128"/>
      <c r="E134" s="128"/>
      <c r="F134" s="128"/>
      <c r="G134" s="128"/>
      <c r="H134" s="128"/>
      <c r="I134" s="128"/>
      <c r="J134" s="128"/>
      <c r="K134" s="128"/>
      <c r="L134" s="128"/>
      <c r="M134" s="128"/>
      <c r="AA134" t="s">
        <v>490</v>
      </c>
      <c r="AB134" t="s">
        <v>1425</v>
      </c>
    </row>
    <row r="135" spans="1:28" ht="15" customHeight="1" x14ac:dyDescent="0.3">
      <c r="A135" s="75">
        <v>46223</v>
      </c>
      <c r="B135" s="113" t="s">
        <v>49</v>
      </c>
      <c r="C135" s="112" t="s">
        <v>176</v>
      </c>
      <c r="D135" s="111" t="s">
        <v>177</v>
      </c>
      <c r="E135" s="111" t="s">
        <v>178</v>
      </c>
      <c r="F135" s="860" t="s">
        <v>179</v>
      </c>
      <c r="G135" s="111" t="s">
        <v>180</v>
      </c>
      <c r="H135" s="111" t="s">
        <v>181</v>
      </c>
      <c r="I135" s="111" t="s">
        <v>182</v>
      </c>
      <c r="AA135" t="s">
        <v>1082</v>
      </c>
      <c r="AB135" t="s">
        <v>1424</v>
      </c>
    </row>
    <row r="136" spans="1:28" ht="21" customHeight="1" x14ac:dyDescent="0.3">
      <c r="A136" s="110"/>
      <c r="B136" s="109" t="s">
        <v>31</v>
      </c>
      <c r="C136" s="108">
        <v>600</v>
      </c>
      <c r="D136" s="104">
        <f>D129-H129</f>
        <v>236</v>
      </c>
      <c r="E136" s="107" t="s">
        <v>184</v>
      </c>
      <c r="F136" s="871">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95</v>
      </c>
      <c r="G136" s="106">
        <f t="shared" ref="G136:G141" si="4">IFERROR(ROUNDUP(D136/F136,0),"")</f>
        <v>3</v>
      </c>
      <c r="H136" s="105">
        <v>244</v>
      </c>
      <c r="I136" s="104">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2928</v>
      </c>
      <c r="AA136" t="s">
        <v>598</v>
      </c>
      <c r="AB136" t="s">
        <v>1432</v>
      </c>
    </row>
    <row r="137" spans="1:28" ht="21" customHeight="1" x14ac:dyDescent="0.3">
      <c r="A137" s="110"/>
      <c r="B137" s="109" t="s">
        <v>1163</v>
      </c>
      <c r="C137" s="108">
        <v>600</v>
      </c>
      <c r="D137" s="104">
        <v>190</v>
      </c>
      <c r="E137" s="107" t="s">
        <v>184</v>
      </c>
      <c r="F137" s="871">
        <f>IF($B137="","",IF(SUMIFS(CONFIG_PALETES!$C:$C,CONFIG_PALETES!$A:$A,TRIM($B137),CONFIG_PALETES!$B:$B,$C137&amp;" ml")&gt;0,SUMIFS(CONFIG_PALETES!$C:$C,CONFIG_PALETES!$A:$A,TRIM($B137),CONFIG_PALETES!$B:$B,$C137&amp;" ml"),IF(SUMIFS(CONFIG_PALETES!$C:$C,CONFIG_PALETES!$A:$A,"GERAL",CONFIG_PALETES!$B:$B,$C137&amp;" ml")&gt;0,SUMIFS(CONFIG_PALETES!$C:$C,CONFIG_PALETES!$A:$A,"GERAL",CONFIG_PALETES!$B:$B,$C137&amp;" ml"),"")))</f>
        <v>95</v>
      </c>
      <c r="G137" s="106">
        <f t="shared" si="4"/>
        <v>2</v>
      </c>
      <c r="H137" s="105">
        <v>195</v>
      </c>
      <c r="I137" s="104">
        <f>IF(H137="","",H137*IF(SUMIFS(CONFIG_PALETES!$D:$D,CONFIG_PALETES!$A:$A,IF(ISNUMBER(SEARCH("ESPUMA",$B137)),"ESPUMA",IF(OR(ISNUMBER(SEARCH("OLEO DE COCO",$B137)),ISNUMBER(SEARCH("ÓLEO DE COCO",$B137)),ISNUMBER(SEARCH("COPRA",$B137))),"ÓLEO DE COCO",IF(ISNUMBER(SEARCH("CORANTE",$B137)),"CORANTE",TRIM($B137)))),CONFIG_PALETES!$B:$B,$C137&amp;" ml")&gt;0,SUMIFS(CONFIG_PALETES!$D:$D,CONFIG_PALETES!$A:$A,IF(ISNUMBER(SEARCH("ESPUMA",$B137)),"ESPUMA",IF(OR(ISNUMBER(SEARCH("OLEO DE COCO",$B137)),ISNUMBER(SEARCH("ÓLEO DE COCO",$B137)),ISNUMBER(SEARCH("COPRA",$B137))),"ÓLEO DE COCO",IF(ISNUMBER(SEARCH("CORANTE",$B137)),"CORANTE",TRIM($B137)))),CONFIG_PALETES!$B:$B,$C137&amp;" ml"),IF(SUMIFS(CONFIG_PALETES!$D:$D,CONFIG_PALETES!$A:$A,"GERAL",CONFIG_PALETES!$B:$B,$C137&amp;" ml")&gt;0,SUMIFS(CONFIG_PALETES!$D:$D,CONFIG_PALETES!$A:$A,"GERAL",CONFIG_PALETES!$B:$B,$C137&amp;" ml"),12)))</f>
        <v>2340</v>
      </c>
      <c r="AA137" t="s">
        <v>397</v>
      </c>
      <c r="AB137" t="s">
        <v>1424</v>
      </c>
    </row>
    <row r="138" spans="1:28" ht="21" customHeight="1" x14ac:dyDescent="0.3">
      <c r="A138" s="110"/>
      <c r="B138" s="109" t="s">
        <v>1164</v>
      </c>
      <c r="C138" s="108">
        <v>600</v>
      </c>
      <c r="D138" s="104">
        <v>475</v>
      </c>
      <c r="E138" s="107" t="s">
        <v>184</v>
      </c>
      <c r="F138" s="871">
        <f>IF($B138="","",IF(SUMIFS(CONFIG_PALETES!$C:$C,CONFIG_PALETES!$A:$A,TRIM($B138),CONFIG_PALETES!$B:$B,$C138&amp;" ml")&gt;0,SUMIFS(CONFIG_PALETES!$C:$C,CONFIG_PALETES!$A:$A,TRIM($B138),CONFIG_PALETES!$B:$B,$C138&amp;" ml"),IF(SUMIFS(CONFIG_PALETES!$C:$C,CONFIG_PALETES!$A:$A,"GERAL",CONFIG_PALETES!$B:$B,$C138&amp;" ml")&gt;0,SUMIFS(CONFIG_PALETES!$C:$C,CONFIG_PALETES!$A:$A,"GERAL",CONFIG_PALETES!$B:$B,$C138&amp;" ml"),"")))</f>
        <v>95</v>
      </c>
      <c r="G138" s="106">
        <f t="shared" si="4"/>
        <v>5</v>
      </c>
      <c r="H138" s="105">
        <v>465</v>
      </c>
      <c r="I138" s="104">
        <f>IF(H138="","",H138*IF(SUMIFS(CONFIG_PALETES!$D:$D,CONFIG_PALETES!$A:$A,IF(ISNUMBER(SEARCH("ESPUMA",$B138)),"ESPUMA",IF(OR(ISNUMBER(SEARCH("OLEO DE COCO",$B138)),ISNUMBER(SEARCH("ÓLEO DE COCO",$B138)),ISNUMBER(SEARCH("COPRA",$B138))),"ÓLEO DE COCO",IF(ISNUMBER(SEARCH("CORANTE",$B138)),"CORANTE",TRIM($B138)))),CONFIG_PALETES!$B:$B,$C138&amp;" ml")&gt;0,SUMIFS(CONFIG_PALETES!$D:$D,CONFIG_PALETES!$A:$A,IF(ISNUMBER(SEARCH("ESPUMA",$B138)),"ESPUMA",IF(OR(ISNUMBER(SEARCH("OLEO DE COCO",$B138)),ISNUMBER(SEARCH("ÓLEO DE COCO",$B138)),ISNUMBER(SEARCH("COPRA",$B138))),"ÓLEO DE COCO",IF(ISNUMBER(SEARCH("CORANTE",$B138)),"CORANTE",TRIM($B138)))),CONFIG_PALETES!$B:$B,$C138&amp;" ml"),IF(SUMIFS(CONFIG_PALETES!$D:$D,CONFIG_PALETES!$A:$A,"GERAL",CONFIG_PALETES!$B:$B,$C138&amp;" ml")&gt;0,SUMIFS(CONFIG_PALETES!$D:$D,CONFIG_PALETES!$A:$A,"GERAL",CONFIG_PALETES!$B:$B,$C138&amp;" ml"),12)))</f>
        <v>5580</v>
      </c>
      <c r="AA138" t="s">
        <v>163</v>
      </c>
      <c r="AB138" t="s">
        <v>1423</v>
      </c>
    </row>
    <row r="139" spans="1:28" ht="21" customHeight="1" x14ac:dyDescent="0.3">
      <c r="A139" s="110"/>
      <c r="B139" s="109"/>
      <c r="C139" s="108"/>
      <c r="D139" s="104"/>
      <c r="E139" s="107" t="s">
        <v>184</v>
      </c>
      <c r="F139" s="871" t="str">
        <f>IF($B139="","",IF(SUMIFS(CONFIG_PALETES!$C:$C,CONFIG_PALETES!$A:$A,TRIM($B139),CONFIG_PALETES!$B:$B,$C139&amp;" ml")&gt;0,SUMIFS(CONFIG_PALETES!$C:$C,CONFIG_PALETES!$A:$A,TRIM($B139),CONFIG_PALETES!$B:$B,$C139&amp;" ml"),IF(SUMIFS(CONFIG_PALETES!$C:$C,CONFIG_PALETES!$A:$A,"GERAL",CONFIG_PALETES!$B:$B,$C139&amp;" ml")&gt;0,SUMIFS(CONFIG_PALETES!$C:$C,CONFIG_PALETES!$A:$A,"GERAL",CONFIG_PALETES!$B:$B,$C139&amp;" ml"),"")))</f>
        <v/>
      </c>
      <c r="G139" s="106" t="str">
        <f t="shared" si="4"/>
        <v/>
      </c>
      <c r="H139" s="105"/>
      <c r="I139" s="104" t="str">
        <f>IF(H139="","",H139*IF(SUMIFS(CONFIG_PALETES!$D:$D,CONFIG_PALETES!$A:$A,IF(ISNUMBER(SEARCH("ESPUMA",$B139)),"ESPUMA",IF(OR(ISNUMBER(SEARCH("OLEO DE COCO",$B139)),ISNUMBER(SEARCH("ÓLEO DE COCO",$B139)),ISNUMBER(SEARCH("COPRA",$B139))),"ÓLEO DE COCO",IF(ISNUMBER(SEARCH("CORANTE",$B139)),"CORANTE",TRIM($B139)))),CONFIG_PALETES!$B:$B,$C139&amp;" ml")&gt;0,SUMIFS(CONFIG_PALETES!$D:$D,CONFIG_PALETES!$A:$A,IF(ISNUMBER(SEARCH("ESPUMA",$B139)),"ESPUMA",IF(OR(ISNUMBER(SEARCH("OLEO DE COCO",$B139)),ISNUMBER(SEARCH("ÓLEO DE COCO",$B139)),ISNUMBER(SEARCH("COPRA",$B139))),"ÓLEO DE COCO",IF(ISNUMBER(SEARCH("CORANTE",$B139)),"CORANTE",TRIM($B139)))),CONFIG_PALETES!$B:$B,$C139&amp;" ml"),IF(SUMIFS(CONFIG_PALETES!$D:$D,CONFIG_PALETES!$A:$A,"GERAL",CONFIG_PALETES!$B:$B,$C139&amp;" ml")&gt;0,SUMIFS(CONFIG_PALETES!$D:$D,CONFIG_PALETES!$A:$A,"GERAL",CONFIG_PALETES!$B:$B,$C139&amp;" ml"),12)))</f>
        <v/>
      </c>
      <c r="AA139" t="s">
        <v>1361</v>
      </c>
      <c r="AB139" t="s">
        <v>1436</v>
      </c>
    </row>
    <row r="140" spans="1:28" ht="21" customHeight="1" x14ac:dyDescent="0.3">
      <c r="A140" s="110"/>
      <c r="B140" s="109"/>
      <c r="C140" s="108"/>
      <c r="D140" s="104"/>
      <c r="E140" s="107" t="s">
        <v>184</v>
      </c>
      <c r="F140" s="871"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06" t="str">
        <f t="shared" si="4"/>
        <v/>
      </c>
      <c r="H140" s="105"/>
      <c r="I140" s="104"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row>
    <row r="141" spans="1:28" ht="21" customHeight="1" x14ac:dyDescent="0.3">
      <c r="A141" s="817"/>
      <c r="B141" s="818"/>
      <c r="C141" s="819"/>
      <c r="D141" s="820"/>
      <c r="E141" s="821" t="s">
        <v>184</v>
      </c>
      <c r="F141" s="872"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822" t="str">
        <f t="shared" si="4"/>
        <v/>
      </c>
      <c r="H141" s="823"/>
      <c r="I141" s="820"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row>
    <row r="142" spans="1:28" ht="15" customHeight="1" x14ac:dyDescent="0.3">
      <c r="A142" s="899"/>
      <c r="B142" s="846" t="s">
        <v>186</v>
      </c>
      <c r="C142" s="847"/>
      <c r="D142" s="848">
        <f>SUM(D134:D141)</f>
        <v>901</v>
      </c>
      <c r="E142" s="849"/>
      <c r="F142" s="856" t="s">
        <v>1400</v>
      </c>
      <c r="G142" s="850">
        <f>SUM(G134:G141)</f>
        <v>10</v>
      </c>
      <c r="H142" s="848">
        <f>SUM(H134:H141)</f>
        <v>904</v>
      </c>
      <c r="I142" s="848">
        <f>SUM(I134:I141)</f>
        <v>10848</v>
      </c>
      <c r="J142" s="63">
        <f>D142</f>
        <v>901</v>
      </c>
      <c r="K142" s="93">
        <f>G142</f>
        <v>10</v>
      </c>
      <c r="L142" s="63">
        <f>H142</f>
        <v>904</v>
      </c>
      <c r="M142" s="63">
        <f>I142</f>
        <v>10848</v>
      </c>
      <c r="N142" s="587" cm="1">
        <f t="array" ref="N142">IF(H142=0,"",SUMPRODUCT(IFERROR(INT(H136:H141/F136:F141),0)))</f>
        <v>8</v>
      </c>
      <c r="O142" s="770">
        <f>IF(N142="","",MAX(0,G142-N142))</f>
        <v>2</v>
      </c>
    </row>
    <row r="143" spans="1:28" ht="6" customHeight="1" x14ac:dyDescent="0.3">
      <c r="C143" s="65"/>
    </row>
    <row r="144" spans="1:28" ht="15" customHeight="1" x14ac:dyDescent="0.3">
      <c r="A144" s="75">
        <v>46224</v>
      </c>
      <c r="B144" s="113" t="s">
        <v>49</v>
      </c>
      <c r="C144" s="112" t="s">
        <v>176</v>
      </c>
      <c r="D144" s="111" t="s">
        <v>177</v>
      </c>
      <c r="E144" s="111" t="s">
        <v>178</v>
      </c>
      <c r="F144" s="860" t="s">
        <v>179</v>
      </c>
      <c r="G144" s="111" t="s">
        <v>180</v>
      </c>
      <c r="H144" s="111" t="s">
        <v>181</v>
      </c>
      <c r="I144" s="111" t="s">
        <v>182</v>
      </c>
    </row>
    <row r="145" spans="1:15" ht="21" customHeight="1" x14ac:dyDescent="0.3">
      <c r="A145" s="110"/>
      <c r="B145" s="109" t="s">
        <v>1014</v>
      </c>
      <c r="C145" s="108">
        <v>400</v>
      </c>
      <c r="D145" s="104">
        <v>750</v>
      </c>
      <c r="E145" s="107" t="s">
        <v>184</v>
      </c>
      <c r="F145" s="871">
        <f>IF($B145="","",IF(SUMIFS(CONFIG_PALETES!$C:$C,CONFIG_PALETES!$A:$A,TRIM($B145),CONFIG_PALETES!$B:$B,$C145&amp;" ml")&gt;0,SUMIFS(CONFIG_PALETES!$C:$C,CONFIG_PALETES!$A:$A,TRIM($B145),CONFIG_PALETES!$B:$B,$C145&amp;" ml"),IF(SUMIFS(CONFIG_PALETES!$C:$C,CONFIG_PALETES!$A:$A,"GERAL",CONFIG_PALETES!$B:$B,$C145&amp;" ml")&gt;0,SUMIFS(CONFIG_PALETES!$C:$C,CONFIG_PALETES!$A:$A,"GERAL",CONFIG_PALETES!$B:$B,$C145&amp;" ml"),"")))</f>
        <v>125</v>
      </c>
      <c r="G145" s="106">
        <f>IFERROR(ROUNDUP(D145/F145,0),"")</f>
        <v>6</v>
      </c>
      <c r="H145" s="105">
        <v>750</v>
      </c>
      <c r="I145" s="104">
        <f>IF(H145="","",H145*IF(SUMIFS(CONFIG_PALETES!$D:$D,CONFIG_PALETES!$A:$A,IF(ISNUMBER(SEARCH("ESPUMA",$B145)),"ESPUMA",IF(OR(ISNUMBER(SEARCH("OLEO DE COCO",$B145)),ISNUMBER(SEARCH("ÓLEO DE COCO",$B145)),ISNUMBER(SEARCH("COPRA",$B145))),"ÓLEO DE COCO",IF(ISNUMBER(SEARCH("CORANTE",$B145)),"CORANTE",TRIM($B145)))),CONFIG_PALETES!$B:$B,$C145&amp;" ml")&gt;0,SUMIFS(CONFIG_PALETES!$D:$D,CONFIG_PALETES!$A:$A,IF(ISNUMBER(SEARCH("ESPUMA",$B145)),"ESPUMA",IF(OR(ISNUMBER(SEARCH("OLEO DE COCO",$B145)),ISNUMBER(SEARCH("ÓLEO DE COCO",$B145)),ISNUMBER(SEARCH("COPRA",$B145))),"ÓLEO DE COCO",IF(ISNUMBER(SEARCH("CORANTE",$B145)),"CORANTE",TRIM($B145)))),CONFIG_PALETES!$B:$B,$C145&amp;" ml"),IF(SUMIFS(CONFIG_PALETES!$D:$D,CONFIG_PALETES!$A:$A,"GERAL",CONFIG_PALETES!$B:$B,$C145&amp;" ml")&gt;0,SUMIFS(CONFIG_PALETES!$D:$D,CONFIG_PALETES!$A:$A,"GERAL",CONFIG_PALETES!$B:$B,$C145&amp;" ml"),12)))</f>
        <v>9000</v>
      </c>
    </row>
    <row r="146" spans="1:15" ht="21" customHeight="1" x14ac:dyDescent="0.3">
      <c r="A146" s="110"/>
      <c r="B146" s="109" t="s">
        <v>103</v>
      </c>
      <c r="C146" s="108">
        <v>400</v>
      </c>
      <c r="D146" s="104">
        <v>250</v>
      </c>
      <c r="E146" s="107" t="s">
        <v>184</v>
      </c>
      <c r="F146" s="871">
        <f>IF($B146="","",IF(SUMIFS(CONFIG_PALETES!$C:$C,CONFIG_PALETES!$A:$A,TRIM($B146),CONFIG_PALETES!$B:$B,$C146&amp;" ml")&gt;0,SUMIFS(CONFIG_PALETES!$C:$C,CONFIG_PALETES!$A:$A,TRIM($B146),CONFIG_PALETES!$B:$B,$C146&amp;" ml"),IF(SUMIFS(CONFIG_PALETES!$C:$C,CONFIG_PALETES!$A:$A,"GERAL",CONFIG_PALETES!$B:$B,$C146&amp;" ml")&gt;0,SUMIFS(CONFIG_PALETES!$C:$C,CONFIG_PALETES!$A:$A,"GERAL",CONFIG_PALETES!$B:$B,$C146&amp;" ml"),"")))</f>
        <v>125</v>
      </c>
      <c r="G146" s="106">
        <f>IFERROR(ROUNDUP(D146/F146,0),"")</f>
        <v>2</v>
      </c>
      <c r="H146" s="105">
        <v>250</v>
      </c>
      <c r="I146" s="104">
        <f>IF(H146="","",H146*IF(SUMIFS(CONFIG_PALETES!$D:$D,CONFIG_PALETES!$A:$A,IF(ISNUMBER(SEARCH("ESPUMA",$B146)),"ESPUMA",IF(OR(ISNUMBER(SEARCH("OLEO DE COCO",$B146)),ISNUMBER(SEARCH("ÓLEO DE COCO",$B146)),ISNUMBER(SEARCH("COPRA",$B146))),"ÓLEO DE COCO",IF(ISNUMBER(SEARCH("CORANTE",$B146)),"CORANTE",TRIM($B146)))),CONFIG_PALETES!$B:$B,$C146&amp;" ml")&gt;0,SUMIFS(CONFIG_PALETES!$D:$D,CONFIG_PALETES!$A:$A,IF(ISNUMBER(SEARCH("ESPUMA",$B146)),"ESPUMA",IF(OR(ISNUMBER(SEARCH("OLEO DE COCO",$B146)),ISNUMBER(SEARCH("ÓLEO DE COCO",$B146)),ISNUMBER(SEARCH("COPRA",$B146))),"ÓLEO DE COCO",IF(ISNUMBER(SEARCH("CORANTE",$B146)),"CORANTE",TRIM($B146)))),CONFIG_PALETES!$B:$B,$C146&amp;" ml"),IF(SUMIFS(CONFIG_PALETES!$D:$D,CONFIG_PALETES!$A:$A,"GERAL",CONFIG_PALETES!$B:$B,$C146&amp;" ml")&gt;0,SUMIFS(CONFIG_PALETES!$D:$D,CONFIG_PALETES!$A:$A,"GERAL",CONFIG_PALETES!$B:$B,$C146&amp;" ml"),12)))</f>
        <v>3000</v>
      </c>
    </row>
    <row r="147" spans="1:15" ht="21" customHeight="1" x14ac:dyDescent="0.3">
      <c r="A147" s="110"/>
      <c r="B147" s="109" t="s">
        <v>29</v>
      </c>
      <c r="C147" s="108">
        <v>400</v>
      </c>
      <c r="D147" s="104">
        <v>2310</v>
      </c>
      <c r="E147" s="107" t="s">
        <v>184</v>
      </c>
      <c r="F147" s="871">
        <f>IF($B147="","",IF(SUMIFS(CONFIG_PALETES!$C:$C,CONFIG_PALETES!$A:$A,TRIM($B147),CONFIG_PALETES!$B:$B,$C147&amp;" ml")&gt;0,SUMIFS(CONFIG_PALETES!$C:$C,CONFIG_PALETES!$A:$A,TRIM($B147),CONFIG_PALETES!$B:$B,$C147&amp;" ml"),IF(SUMIFS(CONFIG_PALETES!$C:$C,CONFIG_PALETES!$A:$A,"GERAL",CONFIG_PALETES!$B:$B,$C147&amp;" ml")&gt;0,SUMIFS(CONFIG_PALETES!$C:$C,CONFIG_PALETES!$A:$A,"GERAL",CONFIG_PALETES!$B:$B,$C147&amp;" ml"),"")))</f>
        <v>110</v>
      </c>
      <c r="G147" s="106">
        <f>IFERROR(ROUNDUP(D147/F147,0),"")</f>
        <v>21</v>
      </c>
      <c r="H147" s="105">
        <v>277</v>
      </c>
      <c r="I147" s="104">
        <f>IF(H147="","",H147*IF(SUMIFS(CONFIG_PALETES!$D:$D,CONFIG_PALETES!$A:$A,IF(ISNUMBER(SEARCH("ESPUMA",$B147)),"ESPUMA",IF(OR(ISNUMBER(SEARCH("OLEO DE COCO",$B147)),ISNUMBER(SEARCH("ÓLEO DE COCO",$B147)),ISNUMBER(SEARCH("COPRA",$B147))),"ÓLEO DE COCO",IF(ISNUMBER(SEARCH("CORANTE",$B147)),"CORANTE",TRIM($B147)))),CONFIG_PALETES!$B:$B,$C147&amp;" ml")&gt;0,SUMIFS(CONFIG_PALETES!$D:$D,CONFIG_PALETES!$A:$A,IF(ISNUMBER(SEARCH("ESPUMA",$B147)),"ESPUMA",IF(OR(ISNUMBER(SEARCH("OLEO DE COCO",$B147)),ISNUMBER(SEARCH("ÓLEO DE COCO",$B147)),ISNUMBER(SEARCH("COPRA",$B147))),"ÓLEO DE COCO",IF(ISNUMBER(SEARCH("CORANTE",$B147)),"CORANTE",TRIM($B147)))),CONFIG_PALETES!$B:$B,$C147&amp;" ml"),IF(SUMIFS(CONFIG_PALETES!$D:$D,CONFIG_PALETES!$A:$A,"GERAL",CONFIG_PALETES!$B:$B,$C147&amp;" ml")&gt;0,SUMIFS(CONFIG_PALETES!$D:$D,CONFIG_PALETES!$A:$A,"GERAL",CONFIG_PALETES!$B:$B,$C147&amp;" ml"),12)))</f>
        <v>3324</v>
      </c>
    </row>
    <row r="148" spans="1:15" ht="21" customHeight="1" x14ac:dyDescent="0.3">
      <c r="A148" s="110"/>
      <c r="B148" s="109"/>
      <c r="C148" s="108"/>
      <c r="D148" s="104"/>
      <c r="E148" s="107" t="s">
        <v>184</v>
      </c>
      <c r="F148" s="871"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06" t="str">
        <f>IFERROR(ROUNDUP(D148/F148,0),"")</f>
        <v/>
      </c>
      <c r="H148" s="105"/>
      <c r="I148" s="104"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row>
    <row r="149" spans="1:15" ht="21" customHeight="1" x14ac:dyDescent="0.3">
      <c r="A149" s="817"/>
      <c r="B149" s="818"/>
      <c r="C149" s="819"/>
      <c r="D149" s="820"/>
      <c r="E149" s="821" t="s">
        <v>184</v>
      </c>
      <c r="F149" s="872"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822" t="str">
        <f>IFERROR(ROUNDUP(D149/F149,0),"")</f>
        <v/>
      </c>
      <c r="H149" s="823"/>
      <c r="I149" s="820"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row>
    <row r="150" spans="1:15" ht="15" customHeight="1" x14ac:dyDescent="0.3">
      <c r="A150" s="899"/>
      <c r="B150" s="846" t="s">
        <v>186</v>
      </c>
      <c r="C150" s="847"/>
      <c r="D150" s="848">
        <f>SUM(D143:D149)</f>
        <v>3310</v>
      </c>
      <c r="E150" s="849"/>
      <c r="F150" s="856" t="s">
        <v>1400</v>
      </c>
      <c r="G150" s="850">
        <f>SUM(G143:G149)</f>
        <v>29</v>
      </c>
      <c r="H150" s="848">
        <f>SUM(H143:H149)</f>
        <v>1277</v>
      </c>
      <c r="I150" s="848">
        <f>SUM(I143:I149)</f>
        <v>15324</v>
      </c>
      <c r="J150" s="63">
        <f>D150</f>
        <v>3310</v>
      </c>
      <c r="K150" s="93">
        <f>G150</f>
        <v>29</v>
      </c>
      <c r="L150" s="63">
        <f>H150</f>
        <v>1277</v>
      </c>
      <c r="M150" s="63">
        <f>I150</f>
        <v>15324</v>
      </c>
      <c r="N150" s="587" cm="1">
        <f t="array" ref="N150">IF(H150=0,"",SUMPRODUCT(IFERROR(INT(H145:H149/F145:F149),0)))</f>
        <v>10</v>
      </c>
      <c r="O150" s="770">
        <f>IF(N150="","",MAX(0,G150-N150))</f>
        <v>19</v>
      </c>
    </row>
    <row r="151" spans="1:15" ht="6" customHeight="1" x14ac:dyDescent="0.3">
      <c r="C151" s="65"/>
    </row>
    <row r="152" spans="1:15" ht="15" customHeight="1" x14ac:dyDescent="0.3">
      <c r="A152" s="75">
        <v>46225</v>
      </c>
      <c r="B152" s="113" t="s">
        <v>49</v>
      </c>
      <c r="C152" s="112" t="s">
        <v>176</v>
      </c>
      <c r="D152" s="111" t="s">
        <v>177</v>
      </c>
      <c r="E152" s="111" t="s">
        <v>178</v>
      </c>
      <c r="F152" s="860" t="s">
        <v>179</v>
      </c>
      <c r="G152" s="111" t="s">
        <v>180</v>
      </c>
      <c r="H152" s="111" t="s">
        <v>181</v>
      </c>
      <c r="I152" s="111" t="s">
        <v>182</v>
      </c>
      <c r="N152" s="589"/>
      <c r="O152" s="591"/>
    </row>
    <row r="153" spans="1:15" ht="21" customHeight="1" x14ac:dyDescent="0.3">
      <c r="A153" s="110"/>
      <c r="B153" s="109" t="s">
        <v>29</v>
      </c>
      <c r="C153" s="108">
        <v>400</v>
      </c>
      <c r="D153" s="104">
        <f>D147-H147</f>
        <v>2033</v>
      </c>
      <c r="E153" s="107" t="s">
        <v>184</v>
      </c>
      <c r="F153" s="871">
        <f>IF($B153="","",IF(SUMIFS(CONFIG_PALETES!$C:$C,CONFIG_PALETES!$A:$A,TRIM($B153),CONFIG_PALETES!$B:$B,$C153&amp;" ml")&gt;0,SUMIFS(CONFIG_PALETES!$C:$C,CONFIG_PALETES!$A:$A,TRIM($B153),CONFIG_PALETES!$B:$B,$C153&amp;" ml"),IF(SUMIFS(CONFIG_PALETES!$C:$C,CONFIG_PALETES!$A:$A,"GERAL",CONFIG_PALETES!$B:$B,$C153&amp;" ml")&gt;0,SUMIFS(CONFIG_PALETES!$C:$C,CONFIG_PALETES!$A:$A,"GERAL",CONFIG_PALETES!$B:$B,$C153&amp;" ml"),"")))</f>
        <v>110</v>
      </c>
      <c r="G153" s="106">
        <f t="shared" ref="G153:G159" si="5">IFERROR(ROUNDUP(D153/F153,0),"")</f>
        <v>19</v>
      </c>
      <c r="H153" s="105">
        <v>1673</v>
      </c>
      <c r="I153" s="104">
        <f>IF(H153="","",H153*IF(SUMIFS(CONFIG_PALETES!$D:$D,CONFIG_PALETES!$A:$A,IF(ISNUMBER(SEARCH("ESPUMA",$B153)),"ESPUMA",IF(OR(ISNUMBER(SEARCH("OLEO DE COCO",$B153)),ISNUMBER(SEARCH("ÓLEO DE COCO",$B153)),ISNUMBER(SEARCH("COPRA",$B153))),"ÓLEO DE COCO",IF(ISNUMBER(SEARCH("CORANTE",$B153)),"CORANTE",TRIM($B153)))),CONFIG_PALETES!$B:$B,$C153&amp;" ml")&gt;0,SUMIFS(CONFIG_PALETES!$D:$D,CONFIG_PALETES!$A:$A,IF(ISNUMBER(SEARCH("ESPUMA",$B153)),"ESPUMA",IF(OR(ISNUMBER(SEARCH("OLEO DE COCO",$B153)),ISNUMBER(SEARCH("ÓLEO DE COCO",$B153)),ISNUMBER(SEARCH("COPRA",$B153))),"ÓLEO DE COCO",IF(ISNUMBER(SEARCH("CORANTE",$B153)),"CORANTE",TRIM($B153)))),CONFIG_PALETES!$B:$B,$C153&amp;" ml"),IF(SUMIFS(CONFIG_PALETES!$D:$D,CONFIG_PALETES!$A:$A,"GERAL",CONFIG_PALETES!$B:$B,$C153&amp;" ml")&gt;0,SUMIFS(CONFIG_PALETES!$D:$D,CONFIG_PALETES!$A:$A,"GERAL",CONFIG_PALETES!$B:$B,$C153&amp;" ml"),12)))</f>
        <v>20076</v>
      </c>
      <c r="N153" s="589"/>
      <c r="O153" s="591"/>
    </row>
    <row r="154" spans="1:15" ht="21" customHeight="1" x14ac:dyDescent="0.3">
      <c r="A154" s="110"/>
      <c r="B154" s="109"/>
      <c r="C154" s="108"/>
      <c r="D154" s="104"/>
      <c r="E154" s="107" t="s">
        <v>184</v>
      </c>
      <c r="F154" s="871" t="str">
        <f>IF($B154="","",IF(SUMIFS(CONFIG_PALETES!$C:$C,CONFIG_PALETES!$A:$A,TRIM($B154),CONFIG_PALETES!$B:$B,$C154&amp;" ml")&gt;0,SUMIFS(CONFIG_PALETES!$C:$C,CONFIG_PALETES!$A:$A,TRIM($B154),CONFIG_PALETES!$B:$B,$C154&amp;" ml"),IF(SUMIFS(CONFIG_PALETES!$C:$C,CONFIG_PALETES!$A:$A,"GERAL",CONFIG_PALETES!$B:$B,$C154&amp;" ml")&gt;0,SUMIFS(CONFIG_PALETES!$C:$C,CONFIG_PALETES!$A:$A,"GERAL",CONFIG_PALETES!$B:$B,$C154&amp;" ml"),"")))</f>
        <v/>
      </c>
      <c r="G154" s="106" t="str">
        <f t="shared" si="5"/>
        <v/>
      </c>
      <c r="H154" s="105"/>
      <c r="I154" s="104" t="str">
        <f>IF(H154="","",H154*IF(SUMIFS(CONFIG_PALETES!$D:$D,CONFIG_PALETES!$A:$A,IF(ISNUMBER(SEARCH("ESPUMA",$B154)),"ESPUMA",IF(OR(ISNUMBER(SEARCH("OLEO DE COCO",$B154)),ISNUMBER(SEARCH("ÓLEO DE COCO",$B154)),ISNUMBER(SEARCH("COPRA",$B154))),"ÓLEO DE COCO",IF(ISNUMBER(SEARCH("CORANTE",$B154)),"CORANTE",TRIM($B154)))),CONFIG_PALETES!$B:$B,$C154&amp;" ml")&gt;0,SUMIFS(CONFIG_PALETES!$D:$D,CONFIG_PALETES!$A:$A,IF(ISNUMBER(SEARCH("ESPUMA",$B154)),"ESPUMA",IF(OR(ISNUMBER(SEARCH("OLEO DE COCO",$B154)),ISNUMBER(SEARCH("ÓLEO DE COCO",$B154)),ISNUMBER(SEARCH("COPRA",$B154))),"ÓLEO DE COCO",IF(ISNUMBER(SEARCH("CORANTE",$B154)),"CORANTE",TRIM($B154)))),CONFIG_PALETES!$B:$B,$C154&amp;" ml"),IF(SUMIFS(CONFIG_PALETES!$D:$D,CONFIG_PALETES!$A:$A,"GERAL",CONFIG_PALETES!$B:$B,$C154&amp;" ml")&gt;0,SUMIFS(CONFIG_PALETES!$D:$D,CONFIG_PALETES!$A:$A,"GERAL",CONFIG_PALETES!$B:$B,$C154&amp;" ml"),12)))</f>
        <v/>
      </c>
    </row>
    <row r="155" spans="1:15" ht="21" customHeight="1" x14ac:dyDescent="0.3">
      <c r="A155" s="110"/>
      <c r="B155" s="109"/>
      <c r="C155" s="108"/>
      <c r="D155" s="104"/>
      <c r="E155" s="107" t="s">
        <v>184</v>
      </c>
      <c r="F155" s="871" t="str">
        <f>IF($B155="","",IF(SUMIFS(CONFIG_PALETES!$C:$C,CONFIG_PALETES!$A:$A,TRIM($B155),CONFIG_PALETES!$B:$B,$C155&amp;" ml")&gt;0,SUMIFS(CONFIG_PALETES!$C:$C,CONFIG_PALETES!$A:$A,TRIM($B155),CONFIG_PALETES!$B:$B,$C155&amp;" ml"),IF(SUMIFS(CONFIG_PALETES!$C:$C,CONFIG_PALETES!$A:$A,"GERAL",CONFIG_PALETES!$B:$B,$C155&amp;" ml")&gt;0,SUMIFS(CONFIG_PALETES!$C:$C,CONFIG_PALETES!$A:$A,"GERAL",CONFIG_PALETES!$B:$B,$C155&amp;" ml"),"")))</f>
        <v/>
      </c>
      <c r="G155" s="106" t="str">
        <f t="shared" si="5"/>
        <v/>
      </c>
      <c r="H155" s="105"/>
      <c r="I155" s="104" t="str">
        <f>IF(H155="","",H155*IF(SUMIFS(CONFIG_PALETES!$D:$D,CONFIG_PALETES!$A:$A,IF(ISNUMBER(SEARCH("ESPUMA",$B155)),"ESPUMA",IF(OR(ISNUMBER(SEARCH("OLEO DE COCO",$B155)),ISNUMBER(SEARCH("ÓLEO DE COCO",$B155)),ISNUMBER(SEARCH("COPRA",$B155))),"ÓLEO DE COCO",IF(ISNUMBER(SEARCH("CORANTE",$B155)),"CORANTE",TRIM($B155)))),CONFIG_PALETES!$B:$B,$C155&amp;" ml")&gt;0,SUMIFS(CONFIG_PALETES!$D:$D,CONFIG_PALETES!$A:$A,IF(ISNUMBER(SEARCH("ESPUMA",$B155)),"ESPUMA",IF(OR(ISNUMBER(SEARCH("OLEO DE COCO",$B155)),ISNUMBER(SEARCH("ÓLEO DE COCO",$B155)),ISNUMBER(SEARCH("COPRA",$B155))),"ÓLEO DE COCO",IF(ISNUMBER(SEARCH("CORANTE",$B155)),"CORANTE",TRIM($B155)))),CONFIG_PALETES!$B:$B,$C155&amp;" ml"),IF(SUMIFS(CONFIG_PALETES!$D:$D,CONFIG_PALETES!$A:$A,"GERAL",CONFIG_PALETES!$B:$B,$C155&amp;" ml")&gt;0,SUMIFS(CONFIG_PALETES!$D:$D,CONFIG_PALETES!$A:$A,"GERAL",CONFIG_PALETES!$B:$B,$C155&amp;" ml"),12)))</f>
        <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 t="shared" si="5"/>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 t="shared" si="5"/>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 t="shared" si="5"/>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817"/>
      <c r="B159" s="818"/>
      <c r="C159" s="819"/>
      <c r="D159" s="820"/>
      <c r="E159" s="821" t="s">
        <v>184</v>
      </c>
      <c r="F159" s="872"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822" t="str">
        <f t="shared" si="5"/>
        <v/>
      </c>
      <c r="H159" s="823"/>
      <c r="I159" s="820"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15" customHeight="1" x14ac:dyDescent="0.3">
      <c r="A160" s="899"/>
      <c r="B160" s="846" t="s">
        <v>186</v>
      </c>
      <c r="C160" s="847"/>
      <c r="D160" s="848">
        <f>SUM(D151:D159)</f>
        <v>2033</v>
      </c>
      <c r="E160" s="849"/>
      <c r="F160" s="856" t="s">
        <v>1400</v>
      </c>
      <c r="G160" s="850">
        <f>SUM(G151:G159)</f>
        <v>19</v>
      </c>
      <c r="H160" s="848">
        <f>SUM(H151:H159)</f>
        <v>1673</v>
      </c>
      <c r="I160" s="848">
        <f>SUM(I151:I159)</f>
        <v>20076</v>
      </c>
      <c r="J160" s="63">
        <f>D160</f>
        <v>2033</v>
      </c>
      <c r="K160" s="93">
        <f>G160</f>
        <v>19</v>
      </c>
      <c r="L160" s="63">
        <f>H160</f>
        <v>1673</v>
      </c>
      <c r="M160" s="63">
        <f>I160</f>
        <v>20076</v>
      </c>
      <c r="N160" s="587" cm="1">
        <f t="array" ref="N160">IF(H160=0,"",SUMPRODUCT(IFERROR(INT(H153:H159/F153:F159),0)))</f>
        <v>15</v>
      </c>
      <c r="O160" s="770">
        <f>IF(N160="","",MAX(0,G160-N160))</f>
        <v>4</v>
      </c>
    </row>
    <row r="161" spans="1:15" ht="6" customHeight="1" x14ac:dyDescent="0.3">
      <c r="C161" s="65"/>
    </row>
    <row r="162" spans="1:15" ht="15" customHeight="1" x14ac:dyDescent="0.3">
      <c r="A162" s="75">
        <v>46226</v>
      </c>
      <c r="B162" s="113" t="s">
        <v>49</v>
      </c>
      <c r="C162" s="112" t="s">
        <v>176</v>
      </c>
      <c r="D162" s="111" t="s">
        <v>177</v>
      </c>
      <c r="E162" s="111" t="s">
        <v>178</v>
      </c>
      <c r="F162" s="860" t="s">
        <v>179</v>
      </c>
      <c r="G162" s="111" t="s">
        <v>180</v>
      </c>
      <c r="H162" s="111" t="s">
        <v>181</v>
      </c>
      <c r="I162" s="111" t="s">
        <v>182</v>
      </c>
      <c r="N162" s="589"/>
      <c r="O162" s="591"/>
    </row>
    <row r="163" spans="1:15" ht="21" customHeight="1" x14ac:dyDescent="0.3">
      <c r="A163" s="110"/>
      <c r="B163" s="109" t="s">
        <v>29</v>
      </c>
      <c r="C163" s="108">
        <v>400</v>
      </c>
      <c r="D163" s="104">
        <f>D153-H153</f>
        <v>360</v>
      </c>
      <c r="E163" s="107" t="s">
        <v>184</v>
      </c>
      <c r="F163" s="871">
        <f>IF($B163="","",IF(SUMIFS(CONFIG_PALETES!$C:$C,CONFIG_PALETES!$A:$A,TRIM($B163),CONFIG_PALETES!$B:$B,$C163&amp;" ml")&gt;0,SUMIFS(CONFIG_PALETES!$C:$C,CONFIG_PALETES!$A:$A,TRIM($B163),CONFIG_PALETES!$B:$B,$C163&amp;" ml"),IF(SUMIFS(CONFIG_PALETES!$C:$C,CONFIG_PALETES!$A:$A,"GERAL",CONFIG_PALETES!$B:$B,$C163&amp;" ml")&gt;0,SUMIFS(CONFIG_PALETES!$C:$C,CONFIG_PALETES!$A:$A,"GERAL",CONFIG_PALETES!$B:$B,$C163&amp;" ml"),"")))</f>
        <v>110</v>
      </c>
      <c r="G163" s="106">
        <f t="shared" ref="G163:G169" si="6">IFERROR(ROUNDUP(D163/F163,0),"")</f>
        <v>4</v>
      </c>
      <c r="H163" s="105">
        <v>360</v>
      </c>
      <c r="I163" s="104">
        <f>IF(H163="","",H163*IF(SUMIFS(CONFIG_PALETES!$D:$D,CONFIG_PALETES!$A:$A,IF(ISNUMBER(SEARCH("ESPUMA",$B163)),"ESPUMA",IF(OR(ISNUMBER(SEARCH("OLEO DE COCO",$B163)),ISNUMBER(SEARCH("ÓLEO DE COCO",$B163)),ISNUMBER(SEARCH("COPRA",$B163))),"ÓLEO DE COCO",IF(ISNUMBER(SEARCH("CORANTE",$B163)),"CORANTE",TRIM($B163)))),CONFIG_PALETES!$B:$B,$C163&amp;" ml")&gt;0,SUMIFS(CONFIG_PALETES!$D:$D,CONFIG_PALETES!$A:$A,IF(ISNUMBER(SEARCH("ESPUMA",$B163)),"ESPUMA",IF(OR(ISNUMBER(SEARCH("OLEO DE COCO",$B163)),ISNUMBER(SEARCH("ÓLEO DE COCO",$B163)),ISNUMBER(SEARCH("COPRA",$B163))),"ÓLEO DE COCO",IF(ISNUMBER(SEARCH("CORANTE",$B163)),"CORANTE",TRIM($B163)))),CONFIG_PALETES!$B:$B,$C163&amp;" ml"),IF(SUMIFS(CONFIG_PALETES!$D:$D,CONFIG_PALETES!$A:$A,"GERAL",CONFIG_PALETES!$B:$B,$C163&amp;" ml")&gt;0,SUMIFS(CONFIG_PALETES!$D:$D,CONFIG_PALETES!$A:$A,"GERAL",CONFIG_PALETES!$B:$B,$C163&amp;" ml"),12)))</f>
        <v>4320</v>
      </c>
      <c r="N163" s="589"/>
      <c r="O163" s="591"/>
    </row>
    <row r="164" spans="1:15" ht="21" customHeight="1" x14ac:dyDescent="0.3">
      <c r="A164" s="110"/>
      <c r="B164" s="109" t="s">
        <v>139</v>
      </c>
      <c r="C164" s="108">
        <v>400</v>
      </c>
      <c r="D164" s="104">
        <v>200</v>
      </c>
      <c r="E164" s="107" t="s">
        <v>184</v>
      </c>
      <c r="F164" s="871">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125</v>
      </c>
      <c r="G164" s="106">
        <f t="shared" si="6"/>
        <v>2</v>
      </c>
      <c r="H164" s="105">
        <v>200</v>
      </c>
      <c r="I164" s="104">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2400</v>
      </c>
    </row>
    <row r="165" spans="1:15" ht="21" customHeight="1" x14ac:dyDescent="0.3">
      <c r="A165" s="110"/>
      <c r="B165" s="109" t="s">
        <v>571</v>
      </c>
      <c r="C165" s="108">
        <v>400</v>
      </c>
      <c r="D165" s="104">
        <v>875</v>
      </c>
      <c r="E165" s="107" t="s">
        <v>184</v>
      </c>
      <c r="F165" s="871">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125</v>
      </c>
      <c r="G165" s="106">
        <f t="shared" si="6"/>
        <v>7</v>
      </c>
      <c r="H165" s="105"/>
      <c r="I165" s="104"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row>
    <row r="166" spans="1:15"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 t="shared" si="6"/>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5"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 t="shared" si="6"/>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5" ht="21" customHeight="1" x14ac:dyDescent="0.3">
      <c r="A168" s="110"/>
      <c r="B168" s="109"/>
      <c r="C168" s="108"/>
      <c r="D168" s="104"/>
      <c r="E168" s="107" t="s">
        <v>184</v>
      </c>
      <c r="F168" s="871"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106" t="str">
        <f t="shared" si="6"/>
        <v/>
      </c>
      <c r="H168" s="105"/>
      <c r="I168" s="104"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21" customHeight="1" x14ac:dyDescent="0.3">
      <c r="A169" s="817"/>
      <c r="B169" s="818"/>
      <c r="C169" s="819"/>
      <c r="D169" s="820"/>
      <c r="E169" s="821" t="s">
        <v>184</v>
      </c>
      <c r="F169" s="872" t="str">
        <f>IF($B169="","",IF(SUMIFS(CONFIG_PALETES!$C:$C,CONFIG_PALETES!$A:$A,TRIM($B169),CONFIG_PALETES!$B:$B,$C169&amp;" ml")&gt;0,SUMIFS(CONFIG_PALETES!$C:$C,CONFIG_PALETES!$A:$A,TRIM($B169),CONFIG_PALETES!$B:$B,$C169&amp;" ml"),IF(SUMIFS(CONFIG_PALETES!$C:$C,CONFIG_PALETES!$A:$A,"GERAL",CONFIG_PALETES!$B:$B,$C169&amp;" ml")&gt;0,SUMIFS(CONFIG_PALETES!$C:$C,CONFIG_PALETES!$A:$A,"GERAL",CONFIG_PALETES!$B:$B,$C169&amp;" ml"),"")))</f>
        <v/>
      </c>
      <c r="G169" s="822" t="str">
        <f t="shared" si="6"/>
        <v/>
      </c>
      <c r="H169" s="823"/>
      <c r="I169" s="820" t="str">
        <f>IF(H169="","",H169*IF(SUMIFS(CONFIG_PALETES!$D:$D,CONFIG_PALETES!$A:$A,IF(ISNUMBER(SEARCH("ESPUMA",$B169)),"ESPUMA",IF(OR(ISNUMBER(SEARCH("OLEO DE COCO",$B169)),ISNUMBER(SEARCH("ÓLEO DE COCO",$B169)),ISNUMBER(SEARCH("COPRA",$B169))),"ÓLEO DE COCO",IF(ISNUMBER(SEARCH("CORANTE",$B169)),"CORANTE",TRIM($B169)))),CONFIG_PALETES!$B:$B,$C169&amp;" ml")&gt;0,SUMIFS(CONFIG_PALETES!$D:$D,CONFIG_PALETES!$A:$A,IF(ISNUMBER(SEARCH("ESPUMA",$B169)),"ESPUMA",IF(OR(ISNUMBER(SEARCH("OLEO DE COCO",$B169)),ISNUMBER(SEARCH("ÓLEO DE COCO",$B169)),ISNUMBER(SEARCH("COPRA",$B169))),"ÓLEO DE COCO",IF(ISNUMBER(SEARCH("CORANTE",$B169)),"CORANTE",TRIM($B169)))),CONFIG_PALETES!$B:$B,$C169&amp;" ml"),IF(SUMIFS(CONFIG_PALETES!$D:$D,CONFIG_PALETES!$A:$A,"GERAL",CONFIG_PALETES!$B:$B,$C169&amp;" ml")&gt;0,SUMIFS(CONFIG_PALETES!$D:$D,CONFIG_PALETES!$A:$A,"GERAL",CONFIG_PALETES!$B:$B,$C169&amp;" ml"),12)))</f>
        <v/>
      </c>
    </row>
    <row r="170" spans="1:15" ht="15" customHeight="1" x14ac:dyDescent="0.3">
      <c r="A170" s="899"/>
      <c r="B170" s="846" t="s">
        <v>186</v>
      </c>
      <c r="C170" s="847"/>
      <c r="D170" s="848">
        <f>SUM(D161:D169)</f>
        <v>1435</v>
      </c>
      <c r="E170" s="849"/>
      <c r="F170" s="856" t="s">
        <v>1400</v>
      </c>
      <c r="G170" s="850">
        <f>SUM(G161:G169)</f>
        <v>13</v>
      </c>
      <c r="H170" s="848">
        <f>SUM(H161:H169)</f>
        <v>560</v>
      </c>
      <c r="I170" s="848">
        <f>SUM(I161:I169)</f>
        <v>6720</v>
      </c>
      <c r="J170" s="63">
        <f>D170</f>
        <v>1435</v>
      </c>
      <c r="K170" s="93">
        <f>G170</f>
        <v>13</v>
      </c>
      <c r="L170" s="63">
        <f>H170</f>
        <v>560</v>
      </c>
      <c r="M170" s="63">
        <f>I170</f>
        <v>6720</v>
      </c>
      <c r="N170" s="587" cm="1">
        <f t="array" ref="N170">IF(H170=0,"",SUMPRODUCT(IFERROR(INT(H163:H169/F163:F169),0)))</f>
        <v>4</v>
      </c>
      <c r="O170" s="770">
        <f>IF(N170="","",MAX(0,G170-N170))</f>
        <v>9</v>
      </c>
    </row>
    <row r="171" spans="1:15" ht="6" customHeight="1" x14ac:dyDescent="0.3">
      <c r="C171" s="65"/>
    </row>
    <row r="172" spans="1:15" ht="15" customHeight="1" x14ac:dyDescent="0.3">
      <c r="A172" s="75">
        <v>46227</v>
      </c>
      <c r="B172" s="113" t="s">
        <v>49</v>
      </c>
      <c r="C172" s="112" t="s">
        <v>176</v>
      </c>
      <c r="D172" s="111" t="s">
        <v>177</v>
      </c>
      <c r="E172" s="111" t="s">
        <v>178</v>
      </c>
      <c r="F172" s="860" t="s">
        <v>179</v>
      </c>
      <c r="G172" s="111" t="s">
        <v>180</v>
      </c>
      <c r="H172" s="111" t="s">
        <v>181</v>
      </c>
      <c r="I172" s="111" t="s">
        <v>182</v>
      </c>
    </row>
    <row r="173" spans="1:15" ht="21" customHeight="1" x14ac:dyDescent="0.3">
      <c r="A173" s="110"/>
      <c r="B173" s="109" t="s">
        <v>571</v>
      </c>
      <c r="C173" s="108">
        <v>400</v>
      </c>
      <c r="D173" s="104">
        <f>D165-H165</f>
        <v>875</v>
      </c>
      <c r="E173" s="107" t="s">
        <v>184</v>
      </c>
      <c r="F173" s="871">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125</v>
      </c>
      <c r="G173" s="106">
        <f t="shared" ref="G173:G179" si="7">IFERROR(ROUNDUP(D173/F173,0),"")</f>
        <v>7</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t="s">
        <v>25</v>
      </c>
      <c r="C174" s="108">
        <v>400</v>
      </c>
      <c r="D174" s="104">
        <v>1750</v>
      </c>
      <c r="E174" s="107" t="s">
        <v>184</v>
      </c>
      <c r="F174" s="871">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125</v>
      </c>
      <c r="G174" s="106">
        <f t="shared" si="7"/>
        <v>14</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110"/>
      <c r="B176" s="109"/>
      <c r="C176" s="108"/>
      <c r="D176" s="104"/>
      <c r="E176" s="107" t="s">
        <v>184</v>
      </c>
      <c r="F176" s="871"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106" t="str">
        <f>IFERROR(ROUNDUP(D176/F176,0),"")</f>
        <v/>
      </c>
      <c r="H176" s="105"/>
      <c r="I176" s="104"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21" customHeight="1" x14ac:dyDescent="0.3">
      <c r="A177" s="110"/>
      <c r="B177" s="109"/>
      <c r="C177" s="108"/>
      <c r="D177" s="104"/>
      <c r="E177" s="107" t="s">
        <v>184</v>
      </c>
      <c r="F177" s="871" t="str">
        <f>IF($B177="","",IF(SUMIFS(CONFIG_PALETES!$C:$C,CONFIG_PALETES!$A:$A,TRIM($B177),CONFIG_PALETES!$B:$B,$C177&amp;" ml")&gt;0,SUMIFS(CONFIG_PALETES!$C:$C,CONFIG_PALETES!$A:$A,TRIM($B177),CONFIG_PALETES!$B:$B,$C177&amp;" ml"),IF(SUMIFS(CONFIG_PALETES!$C:$C,CONFIG_PALETES!$A:$A,"GERAL",CONFIG_PALETES!$B:$B,$C177&amp;" ml")&gt;0,SUMIFS(CONFIG_PALETES!$C:$C,CONFIG_PALETES!$A:$A,"GERAL",CONFIG_PALETES!$B:$B,$C177&amp;" ml"),"")))</f>
        <v/>
      </c>
      <c r="G177" s="106" t="str">
        <f t="shared" si="7"/>
        <v/>
      </c>
      <c r="H177" s="105"/>
      <c r="I177" s="104" t="str">
        <f>IF(H177="","",H177*IF(SUMIFS(CONFIG_PALETES!$D:$D,CONFIG_PALETES!$A:$A,IF(ISNUMBER(SEARCH("ESPUMA",$B177)),"ESPUMA",IF(OR(ISNUMBER(SEARCH("OLEO DE COCO",$B177)),ISNUMBER(SEARCH("ÓLEO DE COCO",$B177)),ISNUMBER(SEARCH("COPRA",$B177))),"ÓLEO DE COCO",IF(ISNUMBER(SEARCH("CORANTE",$B177)),"CORANTE",TRIM($B177)))),CONFIG_PALETES!$B:$B,$C177&amp;" ml")&gt;0,SUMIFS(CONFIG_PALETES!$D:$D,CONFIG_PALETES!$A:$A,IF(ISNUMBER(SEARCH("ESPUMA",$B177)),"ESPUMA",IF(OR(ISNUMBER(SEARCH("OLEO DE COCO",$B177)),ISNUMBER(SEARCH("ÓLEO DE COCO",$B177)),ISNUMBER(SEARCH("COPRA",$B177))),"ÓLEO DE COCO",IF(ISNUMBER(SEARCH("CORANTE",$B177)),"CORANTE",TRIM($B177)))),CONFIG_PALETES!$B:$B,$C177&amp;" ml"),IF(SUMIFS(CONFIG_PALETES!$D:$D,CONFIG_PALETES!$A:$A,"GERAL",CONFIG_PALETES!$B:$B,$C177&amp;" ml")&gt;0,SUMIFS(CONFIG_PALETES!$D:$D,CONFIG_PALETES!$A:$A,"GERAL",CONFIG_PALETES!$B:$B,$C177&amp;" ml"),12)))</f>
        <v/>
      </c>
    </row>
    <row r="178" spans="1:15" ht="21" customHeight="1" x14ac:dyDescent="0.3">
      <c r="A178" s="110"/>
      <c r="B178" s="109"/>
      <c r="C178" s="108"/>
      <c r="D178" s="104"/>
      <c r="E178" s="107" t="s">
        <v>184</v>
      </c>
      <c r="F178" s="871" t="str">
        <f>IF($B178="","",IF(SUMIFS(CONFIG_PALETES!$C:$C,CONFIG_PALETES!$A:$A,TRIM($B178),CONFIG_PALETES!$B:$B,$C178&amp;" ml")&gt;0,SUMIFS(CONFIG_PALETES!$C:$C,CONFIG_PALETES!$A:$A,TRIM($B178),CONFIG_PALETES!$B:$B,$C178&amp;" ml"),IF(SUMIFS(CONFIG_PALETES!$C:$C,CONFIG_PALETES!$A:$A,"GERAL",CONFIG_PALETES!$B:$B,$C178&amp;" ml")&gt;0,SUMIFS(CONFIG_PALETES!$C:$C,CONFIG_PALETES!$A:$A,"GERAL",CONFIG_PALETES!$B:$B,$C178&amp;" ml"),"")))</f>
        <v/>
      </c>
      <c r="G178" s="106" t="str">
        <f t="shared" si="7"/>
        <v/>
      </c>
      <c r="H178" s="105"/>
      <c r="I178" s="104" t="str">
        <f>IF(H178="","",H178*IF(SUMIFS(CONFIG_PALETES!$D:$D,CONFIG_PALETES!$A:$A,IF(ISNUMBER(SEARCH("ESPUMA",$B178)),"ESPUMA",IF(OR(ISNUMBER(SEARCH("OLEO DE COCO",$B178)),ISNUMBER(SEARCH("ÓLEO DE COCO",$B178)),ISNUMBER(SEARCH("COPRA",$B178))),"ÓLEO DE COCO",IF(ISNUMBER(SEARCH("CORANTE",$B178)),"CORANTE",TRIM($B178)))),CONFIG_PALETES!$B:$B,$C178&amp;" ml")&gt;0,SUMIFS(CONFIG_PALETES!$D:$D,CONFIG_PALETES!$A:$A,IF(ISNUMBER(SEARCH("ESPUMA",$B178)),"ESPUMA",IF(OR(ISNUMBER(SEARCH("OLEO DE COCO",$B178)),ISNUMBER(SEARCH("ÓLEO DE COCO",$B178)),ISNUMBER(SEARCH("COPRA",$B178))),"ÓLEO DE COCO",IF(ISNUMBER(SEARCH("CORANTE",$B178)),"CORANTE",TRIM($B178)))),CONFIG_PALETES!$B:$B,$C178&amp;" ml"),IF(SUMIFS(CONFIG_PALETES!$D:$D,CONFIG_PALETES!$A:$A,"GERAL",CONFIG_PALETES!$B:$B,$C178&amp;" ml")&gt;0,SUMIFS(CONFIG_PALETES!$D:$D,CONFIG_PALETES!$A:$A,"GERAL",CONFIG_PALETES!$B:$B,$C178&amp;" ml"),12)))</f>
        <v/>
      </c>
    </row>
    <row r="179" spans="1:15" ht="21" customHeight="1" x14ac:dyDescent="0.3">
      <c r="A179" s="817"/>
      <c r="B179" s="818"/>
      <c r="C179" s="819"/>
      <c r="D179" s="820"/>
      <c r="E179" s="821" t="s">
        <v>184</v>
      </c>
      <c r="F179" s="872" t="str">
        <f>IF($B179="","",IF(SUMIFS(CONFIG_PALETES!$C:$C,CONFIG_PALETES!$A:$A,TRIM($B179),CONFIG_PALETES!$B:$B,$C179&amp;" ml")&gt;0,SUMIFS(CONFIG_PALETES!$C:$C,CONFIG_PALETES!$A:$A,TRIM($B179),CONFIG_PALETES!$B:$B,$C179&amp;" ml"),IF(SUMIFS(CONFIG_PALETES!$C:$C,CONFIG_PALETES!$A:$A,"GERAL",CONFIG_PALETES!$B:$B,$C179&amp;" ml")&gt;0,SUMIFS(CONFIG_PALETES!$C:$C,CONFIG_PALETES!$A:$A,"GERAL",CONFIG_PALETES!$B:$B,$C179&amp;" ml"),"")))</f>
        <v/>
      </c>
      <c r="G179" s="822" t="str">
        <f t="shared" si="7"/>
        <v/>
      </c>
      <c r="H179" s="823"/>
      <c r="I179" s="820" t="str">
        <f>IF(H179="","",H179*IF(SUMIFS(CONFIG_PALETES!$D:$D,CONFIG_PALETES!$A:$A,IF(ISNUMBER(SEARCH("ESPUMA",$B179)),"ESPUMA",IF(OR(ISNUMBER(SEARCH("OLEO DE COCO",$B179)),ISNUMBER(SEARCH("ÓLEO DE COCO",$B179)),ISNUMBER(SEARCH("COPRA",$B179))),"ÓLEO DE COCO",IF(ISNUMBER(SEARCH("CORANTE",$B179)),"CORANTE",TRIM($B179)))),CONFIG_PALETES!$B:$B,$C179&amp;" ml")&gt;0,SUMIFS(CONFIG_PALETES!$D:$D,CONFIG_PALETES!$A:$A,IF(ISNUMBER(SEARCH("ESPUMA",$B179)),"ESPUMA",IF(OR(ISNUMBER(SEARCH("OLEO DE COCO",$B179)),ISNUMBER(SEARCH("ÓLEO DE COCO",$B179)),ISNUMBER(SEARCH("COPRA",$B179))),"ÓLEO DE COCO",IF(ISNUMBER(SEARCH("CORANTE",$B179)),"CORANTE",TRIM($B179)))),CONFIG_PALETES!$B:$B,$C179&amp;" ml"),IF(SUMIFS(CONFIG_PALETES!$D:$D,CONFIG_PALETES!$A:$A,"GERAL",CONFIG_PALETES!$B:$B,$C179&amp;" ml")&gt;0,SUMIFS(CONFIG_PALETES!$D:$D,CONFIG_PALETES!$A:$A,"GERAL",CONFIG_PALETES!$B:$B,$C179&amp;" ml"),12)))</f>
        <v/>
      </c>
    </row>
    <row r="180" spans="1:15" ht="15" customHeight="1" x14ac:dyDescent="0.3">
      <c r="A180" s="899"/>
      <c r="B180" s="846" t="s">
        <v>186</v>
      </c>
      <c r="C180" s="847"/>
      <c r="D180" s="848">
        <f>SUM(D171:D179)</f>
        <v>2625</v>
      </c>
      <c r="E180" s="849"/>
      <c r="F180" s="856" t="s">
        <v>1400</v>
      </c>
      <c r="G180" s="850">
        <f>SUM(G171:G179)</f>
        <v>21</v>
      </c>
      <c r="H180" s="848">
        <f>SUM(H171:H179)</f>
        <v>0</v>
      </c>
      <c r="I180" s="848">
        <f>SUM(I171:I179)</f>
        <v>0</v>
      </c>
      <c r="J180" s="63">
        <f>D180</f>
        <v>2625</v>
      </c>
      <c r="K180" s="93">
        <f>G180</f>
        <v>21</v>
      </c>
      <c r="L180" s="63">
        <f>H180</f>
        <v>0</v>
      </c>
      <c r="M180" s="63">
        <f>I180</f>
        <v>0</v>
      </c>
      <c r="N180" s="587" t="str" cm="1">
        <f t="array" ref="N180">IF(H180=0,"",SUMPRODUCT(IFERROR(INT(H173:H179/F173:F179),0)))</f>
        <v/>
      </c>
      <c r="O180" s="770" t="str">
        <f>IF(N180="","",MAX(0,G180-N180))</f>
        <v/>
      </c>
    </row>
    <row r="181" spans="1:15" ht="6" customHeight="1" x14ac:dyDescent="0.3">
      <c r="C181" s="65"/>
    </row>
    <row r="182" spans="1:15" ht="15" customHeight="1" x14ac:dyDescent="0.3">
      <c r="A182" s="135">
        <v>46228</v>
      </c>
      <c r="B182" s="113" t="s">
        <v>49</v>
      </c>
      <c r="C182" s="112" t="s">
        <v>176</v>
      </c>
      <c r="D182" s="111" t="s">
        <v>177</v>
      </c>
      <c r="E182" s="111" t="s">
        <v>178</v>
      </c>
      <c r="F182" s="862" t="s">
        <v>179</v>
      </c>
      <c r="G182" s="111" t="s">
        <v>180</v>
      </c>
      <c r="H182" s="111" t="s">
        <v>181</v>
      </c>
      <c r="I182" s="111" t="s">
        <v>182</v>
      </c>
      <c r="J182" s="128"/>
      <c r="K182" s="128"/>
      <c r="L182" s="128"/>
      <c r="M182" s="128"/>
    </row>
    <row r="183" spans="1:15" ht="21" customHeight="1" x14ac:dyDescent="0.3">
      <c r="A183" s="110"/>
      <c r="B183" s="127" t="s">
        <v>195</v>
      </c>
      <c r="C183" s="126">
        <v>400</v>
      </c>
      <c r="D183" s="129">
        <f>D174-H174</f>
        <v>1750</v>
      </c>
      <c r="E183" s="131" t="s">
        <v>184</v>
      </c>
      <c r="F183" s="877">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125</v>
      </c>
      <c r="G183" s="130">
        <f>IFERROR(ROUNDUP(D183/F183,0),"")</f>
        <v>14</v>
      </c>
      <c r="H183" s="105"/>
      <c r="I183" s="129"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c r="J183" s="128"/>
      <c r="K183" s="128"/>
      <c r="L183" s="128"/>
      <c r="M183" s="128"/>
    </row>
    <row r="184" spans="1:15" ht="21" customHeight="1" x14ac:dyDescent="0.3">
      <c r="A184" s="110"/>
      <c r="B184" s="127"/>
      <c r="C184" s="126"/>
      <c r="D184" s="129"/>
      <c r="E184" s="131" t="s">
        <v>184</v>
      </c>
      <c r="F184" s="877"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130" t="str">
        <f>IFERROR(ROUNDUP(D184/F184,0),"")</f>
        <v/>
      </c>
      <c r="H184" s="105"/>
      <c r="I184" s="129"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c r="J184" s="128"/>
      <c r="K184" s="128"/>
      <c r="L184" s="128"/>
      <c r="M184" s="128"/>
    </row>
    <row r="185" spans="1:15" ht="21" customHeight="1" x14ac:dyDescent="0.3">
      <c r="A185" s="110"/>
      <c r="B185" s="127"/>
      <c r="C185" s="126"/>
      <c r="D185" s="129"/>
      <c r="E185" s="131" t="s">
        <v>184</v>
      </c>
      <c r="F185" s="877" t="str">
        <f>IF($B185="","",IF(SUMIFS(CONFIG_PALETES!$C:$C,CONFIG_PALETES!$A:$A,TRIM($B185),CONFIG_PALETES!$B:$B,$C185&amp;" ml")&gt;0,SUMIFS(CONFIG_PALETES!$C:$C,CONFIG_PALETES!$A:$A,TRIM($B185),CONFIG_PALETES!$B:$B,$C185&amp;" ml"),IF(SUMIFS(CONFIG_PALETES!$C:$C,CONFIG_PALETES!$A:$A,"GERAL",CONFIG_PALETES!$B:$B,$C185&amp;" ml")&gt;0,SUMIFS(CONFIG_PALETES!$C:$C,CONFIG_PALETES!$A:$A,"GERAL",CONFIG_PALETES!$B:$B,$C185&amp;" ml"),"")))</f>
        <v/>
      </c>
      <c r="G185" s="130" t="str">
        <f>IFERROR(ROUNDUP(D185/F185,0),"")</f>
        <v/>
      </c>
      <c r="H185" s="105"/>
      <c r="I185" s="129" t="str">
        <f>IF(H185="","",H185*IF(SUMIFS(CONFIG_PALETES!$D:$D,CONFIG_PALETES!$A:$A,IF(ISNUMBER(SEARCH("ESPUMA",$B185)),"ESPUMA",IF(OR(ISNUMBER(SEARCH("OLEO DE COCO",$B185)),ISNUMBER(SEARCH("ÓLEO DE COCO",$B185)),ISNUMBER(SEARCH("COPRA",$B185))),"ÓLEO DE COCO",IF(ISNUMBER(SEARCH("CORANTE",$B185)),"CORANTE",TRIM($B185)))),CONFIG_PALETES!$B:$B,$C185&amp;" ml")&gt;0,SUMIFS(CONFIG_PALETES!$D:$D,CONFIG_PALETES!$A:$A,IF(ISNUMBER(SEARCH("ESPUMA",$B185)),"ESPUMA",IF(OR(ISNUMBER(SEARCH("OLEO DE COCO",$B185)),ISNUMBER(SEARCH("ÓLEO DE COCO",$B185)),ISNUMBER(SEARCH("COPRA",$B185))),"ÓLEO DE COCO",IF(ISNUMBER(SEARCH("CORANTE",$B185)),"CORANTE",TRIM($B185)))),CONFIG_PALETES!$B:$B,$C185&amp;" ml"),IF(SUMIFS(CONFIG_PALETES!$D:$D,CONFIG_PALETES!$A:$A,"GERAL",CONFIG_PALETES!$B:$B,$C185&amp;" ml")&gt;0,SUMIFS(CONFIG_PALETES!$D:$D,CONFIG_PALETES!$A:$A,"GERAL",CONFIG_PALETES!$B:$B,$C185&amp;" ml"),12)))</f>
        <v/>
      </c>
      <c r="J185" s="128"/>
      <c r="K185" s="128"/>
      <c r="L185" s="128"/>
      <c r="M185" s="128"/>
    </row>
    <row r="186" spans="1:15" ht="21" customHeight="1" x14ac:dyDescent="0.3">
      <c r="A186" s="110"/>
      <c r="B186" s="127"/>
      <c r="C186" s="126"/>
      <c r="D186" s="129"/>
      <c r="E186" s="131" t="s">
        <v>184</v>
      </c>
      <c r="F186" s="877" t="str">
        <f>IF($B186="","",IF(SUMIFS(CONFIG_PALETES!$C:$C,CONFIG_PALETES!$A:$A,TRIM($B186),CONFIG_PALETES!$B:$B,$C186&amp;" ml")&gt;0,SUMIFS(CONFIG_PALETES!$C:$C,CONFIG_PALETES!$A:$A,TRIM($B186),CONFIG_PALETES!$B:$B,$C186&amp;" ml"),IF(SUMIFS(CONFIG_PALETES!$C:$C,CONFIG_PALETES!$A:$A,"GERAL",CONFIG_PALETES!$B:$B,$C186&amp;" ml")&gt;0,SUMIFS(CONFIG_PALETES!$C:$C,CONFIG_PALETES!$A:$A,"GERAL",CONFIG_PALETES!$B:$B,$C186&amp;" ml"),"")))</f>
        <v/>
      </c>
      <c r="G186" s="130" t="str">
        <f>IFERROR(ROUNDUP(D186/F186,0),"")</f>
        <v/>
      </c>
      <c r="H186" s="105"/>
      <c r="I186" s="129" t="str">
        <f>IF(H186="","",H186*IF(SUMIFS(CONFIG_PALETES!$D:$D,CONFIG_PALETES!$A:$A,IF(ISNUMBER(SEARCH("ESPUMA",$B186)),"ESPUMA",IF(OR(ISNUMBER(SEARCH("OLEO DE COCO",$B186)),ISNUMBER(SEARCH("ÓLEO DE COCO",$B186)),ISNUMBER(SEARCH("COPRA",$B186))),"ÓLEO DE COCO",IF(ISNUMBER(SEARCH("CORANTE",$B186)),"CORANTE",TRIM($B186)))),CONFIG_PALETES!$B:$B,$C186&amp;" ml")&gt;0,SUMIFS(CONFIG_PALETES!$D:$D,CONFIG_PALETES!$A:$A,IF(ISNUMBER(SEARCH("ESPUMA",$B186)),"ESPUMA",IF(OR(ISNUMBER(SEARCH("OLEO DE COCO",$B186)),ISNUMBER(SEARCH("ÓLEO DE COCO",$B186)),ISNUMBER(SEARCH("COPRA",$B186))),"ÓLEO DE COCO",IF(ISNUMBER(SEARCH("CORANTE",$B186)),"CORANTE",TRIM($B186)))),CONFIG_PALETES!$B:$B,$C186&amp;" ml"),IF(SUMIFS(CONFIG_PALETES!$D:$D,CONFIG_PALETES!$A:$A,"GERAL",CONFIG_PALETES!$B:$B,$C186&amp;" ml")&gt;0,SUMIFS(CONFIG_PALETES!$D:$D,CONFIG_PALETES!$A:$A,"GERAL",CONFIG_PALETES!$B:$B,$C186&amp;" ml"),12)))</f>
        <v/>
      </c>
      <c r="J186" s="128"/>
      <c r="K186" s="128"/>
      <c r="L186" s="128"/>
      <c r="M186" s="128"/>
    </row>
    <row r="187" spans="1:15" ht="21" customHeight="1" x14ac:dyDescent="0.3">
      <c r="A187" s="817"/>
      <c r="B187" s="829"/>
      <c r="C187" s="830"/>
      <c r="D187" s="831"/>
      <c r="E187" s="832" t="s">
        <v>184</v>
      </c>
      <c r="F187" s="878" t="str">
        <f>IF($B187="","",IF(SUMIFS(CONFIG_PALETES!$C:$C,CONFIG_PALETES!$A:$A,TRIM($B187),CONFIG_PALETES!$B:$B,$C187&amp;" ml")&gt;0,SUMIFS(CONFIG_PALETES!$C:$C,CONFIG_PALETES!$A:$A,TRIM($B187),CONFIG_PALETES!$B:$B,$C187&amp;" ml"),IF(SUMIFS(CONFIG_PALETES!$C:$C,CONFIG_PALETES!$A:$A,"GERAL",CONFIG_PALETES!$B:$B,$C187&amp;" ml")&gt;0,SUMIFS(CONFIG_PALETES!$C:$C,CONFIG_PALETES!$A:$A,"GERAL",CONFIG_PALETES!$B:$B,$C187&amp;" ml"),"")))</f>
        <v/>
      </c>
      <c r="G187" s="833" t="str">
        <f>IFERROR(ROUNDUP(D187/F187,0),"")</f>
        <v/>
      </c>
      <c r="H187" s="823"/>
      <c r="I187" s="831" t="str">
        <f>IF(H187="","",H187*IF(SUMIFS(CONFIG_PALETES!$D:$D,CONFIG_PALETES!$A:$A,IF(ISNUMBER(SEARCH("ESPUMA",$B187)),"ESPUMA",IF(OR(ISNUMBER(SEARCH("OLEO DE COCO",$B187)),ISNUMBER(SEARCH("ÓLEO DE COCO",$B187)),ISNUMBER(SEARCH("COPRA",$B187))),"ÓLEO DE COCO",IF(ISNUMBER(SEARCH("CORANTE",$B187)),"CORANTE",TRIM($B187)))),CONFIG_PALETES!$B:$B,$C187&amp;" ml")&gt;0,SUMIFS(CONFIG_PALETES!$D:$D,CONFIG_PALETES!$A:$A,IF(ISNUMBER(SEARCH("ESPUMA",$B187)),"ESPUMA",IF(OR(ISNUMBER(SEARCH("OLEO DE COCO",$B187)),ISNUMBER(SEARCH("ÓLEO DE COCO",$B187)),ISNUMBER(SEARCH("COPRA",$B187))),"ÓLEO DE COCO",IF(ISNUMBER(SEARCH("CORANTE",$B187)),"CORANTE",TRIM($B187)))),CONFIG_PALETES!$B:$B,$C187&amp;" ml"),IF(SUMIFS(CONFIG_PALETES!$D:$D,CONFIG_PALETES!$A:$A,"GERAL",CONFIG_PALETES!$B:$B,$C187&amp;" ml")&gt;0,SUMIFS(CONFIG_PALETES!$D:$D,CONFIG_PALETES!$A:$A,"GERAL",CONFIG_PALETES!$B:$B,$C187&amp;" ml"),12)))</f>
        <v/>
      </c>
      <c r="J187" s="128"/>
      <c r="K187" s="128"/>
      <c r="L187" s="128"/>
      <c r="M187" s="128"/>
    </row>
    <row r="188" spans="1:15" ht="15" customHeight="1" x14ac:dyDescent="0.3">
      <c r="A188" s="899"/>
      <c r="B188" s="846" t="s">
        <v>186</v>
      </c>
      <c r="C188" s="851"/>
      <c r="D188" s="848">
        <f>SUM(D181:D187)</f>
        <v>1750</v>
      </c>
      <c r="E188" s="852"/>
      <c r="F188" s="857" t="s">
        <v>1400</v>
      </c>
      <c r="G188" s="850">
        <f>SUM(G181:G187)</f>
        <v>14</v>
      </c>
      <c r="H188" s="848">
        <f>SUM(H181:H187)</f>
        <v>0</v>
      </c>
      <c r="I188" s="848">
        <f>SUM(I181:I187)</f>
        <v>0</v>
      </c>
      <c r="J188" s="133">
        <f>D188</f>
        <v>1750</v>
      </c>
      <c r="K188" s="134">
        <f>G188</f>
        <v>14</v>
      </c>
      <c r="L188" s="133">
        <f>H188</f>
        <v>0</v>
      </c>
      <c r="M188" s="133">
        <f>I188</f>
        <v>0</v>
      </c>
      <c r="N188" s="587" t="str" cm="1">
        <f t="array" ref="N188">IF(H188=0,"",SUMPRODUCT(IFERROR(INT(H183:H187/F183:F187),0)))</f>
        <v/>
      </c>
      <c r="O188" s="770" t="str">
        <f>IF(N188="","",MAX(0,G188-N188))</f>
        <v/>
      </c>
    </row>
    <row r="189" spans="1:15" ht="6" customHeight="1" x14ac:dyDescent="0.3">
      <c r="A189" s="128"/>
      <c r="B189" s="128"/>
      <c r="C189" s="132"/>
      <c r="D189" s="128"/>
      <c r="E189" s="128"/>
      <c r="F189" s="128"/>
      <c r="G189" s="128"/>
      <c r="H189" s="128"/>
      <c r="I189" s="128"/>
      <c r="J189" s="128"/>
      <c r="K189" s="128"/>
      <c r="L189" s="128"/>
      <c r="M189" s="128"/>
    </row>
    <row r="190" spans="1:15" ht="15" customHeight="1" x14ac:dyDescent="0.3">
      <c r="A190" s="75">
        <v>46230</v>
      </c>
      <c r="B190" s="113" t="s">
        <v>49</v>
      </c>
      <c r="C190" s="112" t="s">
        <v>176</v>
      </c>
      <c r="D190" s="111" t="s">
        <v>177</v>
      </c>
      <c r="E190" s="111" t="s">
        <v>178</v>
      </c>
      <c r="F190" s="860" t="s">
        <v>179</v>
      </c>
      <c r="G190" s="111" t="s">
        <v>180</v>
      </c>
      <c r="H190" s="111" t="s">
        <v>181</v>
      </c>
      <c r="I190" s="111" t="s">
        <v>182</v>
      </c>
    </row>
    <row r="191" spans="1:15" ht="21" customHeight="1" x14ac:dyDescent="0.3">
      <c r="A191" s="110"/>
      <c r="B191" s="109"/>
      <c r="C191" s="108"/>
      <c r="D191" s="104"/>
      <c r="E191" s="107" t="s">
        <v>184</v>
      </c>
      <c r="F191" s="871"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06" t="str">
        <f>IFERROR(ROUNDUP(D191/F191,0),"")</f>
        <v/>
      </c>
      <c r="H191" s="105"/>
      <c r="I191" s="104"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row>
    <row r="192" spans="1:15" ht="21" customHeight="1" x14ac:dyDescent="0.3">
      <c r="A192" s="110"/>
      <c r="B192" s="109"/>
      <c r="C192" s="108"/>
      <c r="D192" s="104"/>
      <c r="E192" s="107" t="s">
        <v>184</v>
      </c>
      <c r="F192" s="871"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106" t="str">
        <f>IFERROR(ROUNDUP(D192/F192,0),"")</f>
        <v/>
      </c>
      <c r="H192" s="105"/>
      <c r="I192" s="104"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row>
    <row r="193" spans="1:15" ht="21" customHeight="1" x14ac:dyDescent="0.3">
      <c r="A193" s="110"/>
      <c r="B193" s="109"/>
      <c r="C193" s="108"/>
      <c r="D193" s="104"/>
      <c r="E193" s="107" t="s">
        <v>184</v>
      </c>
      <c r="F193" s="871" t="str">
        <f>IF($B193="","",IF(SUMIFS(CONFIG_PALETES!$C:$C,CONFIG_PALETES!$A:$A,TRIM($B193),CONFIG_PALETES!$B:$B,$C193&amp;" ml")&gt;0,SUMIFS(CONFIG_PALETES!$C:$C,CONFIG_PALETES!$A:$A,TRIM($B193),CONFIG_PALETES!$B:$B,$C193&amp;" ml"),IF(SUMIFS(CONFIG_PALETES!$C:$C,CONFIG_PALETES!$A:$A,"GERAL",CONFIG_PALETES!$B:$B,$C193&amp;" ml")&gt;0,SUMIFS(CONFIG_PALETES!$C:$C,CONFIG_PALETES!$A:$A,"GERAL",CONFIG_PALETES!$B:$B,$C193&amp;" ml"),"")))</f>
        <v/>
      </c>
      <c r="G193" s="106" t="str">
        <f>IFERROR(ROUNDUP(D193/F193,0),"")</f>
        <v/>
      </c>
      <c r="H193" s="105"/>
      <c r="I193" s="104" t="str">
        <f>IF(H193="","",H193*IF(SUMIFS(CONFIG_PALETES!$D:$D,CONFIG_PALETES!$A:$A,IF(ISNUMBER(SEARCH("ESPUMA",$B193)),"ESPUMA",IF(OR(ISNUMBER(SEARCH("OLEO DE COCO",$B193)),ISNUMBER(SEARCH("ÓLEO DE COCO",$B193)),ISNUMBER(SEARCH("COPRA",$B193))),"ÓLEO DE COCO",IF(ISNUMBER(SEARCH("CORANTE",$B193)),"CORANTE",TRIM($B193)))),CONFIG_PALETES!$B:$B,$C193&amp;" ml")&gt;0,SUMIFS(CONFIG_PALETES!$D:$D,CONFIG_PALETES!$A:$A,IF(ISNUMBER(SEARCH("ESPUMA",$B193)),"ESPUMA",IF(OR(ISNUMBER(SEARCH("OLEO DE COCO",$B193)),ISNUMBER(SEARCH("ÓLEO DE COCO",$B193)),ISNUMBER(SEARCH("COPRA",$B193))),"ÓLEO DE COCO",IF(ISNUMBER(SEARCH("CORANTE",$B193)),"CORANTE",TRIM($B193)))),CONFIG_PALETES!$B:$B,$C193&amp;" ml"),IF(SUMIFS(CONFIG_PALETES!$D:$D,CONFIG_PALETES!$A:$A,"GERAL",CONFIG_PALETES!$B:$B,$C193&amp;" ml")&gt;0,SUMIFS(CONFIG_PALETES!$D:$D,CONFIG_PALETES!$A:$A,"GERAL",CONFIG_PALETES!$B:$B,$C193&amp;" ml"),12)))</f>
        <v/>
      </c>
    </row>
    <row r="194" spans="1:15" ht="21" customHeight="1" x14ac:dyDescent="0.3">
      <c r="A194" s="110"/>
      <c r="B194" s="109"/>
      <c r="C194" s="108"/>
      <c r="D194" s="104"/>
      <c r="E194" s="107" t="s">
        <v>184</v>
      </c>
      <c r="F194" s="871" t="str">
        <f>IF($B194="","",IF(SUMIFS(CONFIG_PALETES!$C:$C,CONFIG_PALETES!$A:$A,TRIM($B194),CONFIG_PALETES!$B:$B,$C194&amp;" ml")&gt;0,SUMIFS(CONFIG_PALETES!$C:$C,CONFIG_PALETES!$A:$A,TRIM($B194),CONFIG_PALETES!$B:$B,$C194&amp;" ml"),IF(SUMIFS(CONFIG_PALETES!$C:$C,CONFIG_PALETES!$A:$A,"GERAL",CONFIG_PALETES!$B:$B,$C194&amp;" ml")&gt;0,SUMIFS(CONFIG_PALETES!$C:$C,CONFIG_PALETES!$A:$A,"GERAL",CONFIG_PALETES!$B:$B,$C194&amp;" ml"),"")))</f>
        <v/>
      </c>
      <c r="G194" s="106" t="str">
        <f>IFERROR(ROUNDUP(D194/F194,0),"")</f>
        <v/>
      </c>
      <c r="H194" s="105"/>
      <c r="I194" s="104" t="str">
        <f>IF(H194="","",H194*IF(SUMIFS(CONFIG_PALETES!$D:$D,CONFIG_PALETES!$A:$A,IF(ISNUMBER(SEARCH("ESPUMA",$B194)),"ESPUMA",IF(OR(ISNUMBER(SEARCH("OLEO DE COCO",$B194)),ISNUMBER(SEARCH("ÓLEO DE COCO",$B194)),ISNUMBER(SEARCH("COPRA",$B194))),"ÓLEO DE COCO",IF(ISNUMBER(SEARCH("CORANTE",$B194)),"CORANTE",TRIM($B194)))),CONFIG_PALETES!$B:$B,$C194&amp;" ml")&gt;0,SUMIFS(CONFIG_PALETES!$D:$D,CONFIG_PALETES!$A:$A,IF(ISNUMBER(SEARCH("ESPUMA",$B194)),"ESPUMA",IF(OR(ISNUMBER(SEARCH("OLEO DE COCO",$B194)),ISNUMBER(SEARCH("ÓLEO DE COCO",$B194)),ISNUMBER(SEARCH("COPRA",$B194))),"ÓLEO DE COCO",IF(ISNUMBER(SEARCH("CORANTE",$B194)),"CORANTE",TRIM($B194)))),CONFIG_PALETES!$B:$B,$C194&amp;" ml"),IF(SUMIFS(CONFIG_PALETES!$D:$D,CONFIG_PALETES!$A:$A,"GERAL",CONFIG_PALETES!$B:$B,$C194&amp;" ml")&gt;0,SUMIFS(CONFIG_PALETES!$D:$D,CONFIG_PALETES!$A:$A,"GERAL",CONFIG_PALETES!$B:$B,$C194&amp;" ml"),12)))</f>
        <v/>
      </c>
    </row>
    <row r="195" spans="1:15" ht="21" customHeight="1" x14ac:dyDescent="0.3">
      <c r="A195" s="817"/>
      <c r="B195" s="818"/>
      <c r="C195" s="819"/>
      <c r="D195" s="820"/>
      <c r="E195" s="821" t="s">
        <v>184</v>
      </c>
      <c r="F195" s="872" t="str">
        <f>IF($B195="","",IF(SUMIFS(CONFIG_PALETES!$C:$C,CONFIG_PALETES!$A:$A,TRIM($B195),CONFIG_PALETES!$B:$B,$C195&amp;" ml")&gt;0,SUMIFS(CONFIG_PALETES!$C:$C,CONFIG_PALETES!$A:$A,TRIM($B195),CONFIG_PALETES!$B:$B,$C195&amp;" ml"),IF(SUMIFS(CONFIG_PALETES!$C:$C,CONFIG_PALETES!$A:$A,"GERAL",CONFIG_PALETES!$B:$B,$C195&amp;" ml")&gt;0,SUMIFS(CONFIG_PALETES!$C:$C,CONFIG_PALETES!$A:$A,"GERAL",CONFIG_PALETES!$B:$B,$C195&amp;" ml"),"")))</f>
        <v/>
      </c>
      <c r="G195" s="822" t="str">
        <f>IFERROR(ROUNDUP(D195/F195,0),"")</f>
        <v/>
      </c>
      <c r="H195" s="823"/>
      <c r="I195" s="820" t="str">
        <f>IF(H195="","",H195*IF(SUMIFS(CONFIG_PALETES!$D:$D,CONFIG_PALETES!$A:$A,IF(ISNUMBER(SEARCH("ESPUMA",$B195)),"ESPUMA",IF(OR(ISNUMBER(SEARCH("OLEO DE COCO",$B195)),ISNUMBER(SEARCH("ÓLEO DE COCO",$B195)),ISNUMBER(SEARCH("COPRA",$B195))),"ÓLEO DE COCO",IF(ISNUMBER(SEARCH("CORANTE",$B195)),"CORANTE",TRIM($B195)))),CONFIG_PALETES!$B:$B,$C195&amp;" ml")&gt;0,SUMIFS(CONFIG_PALETES!$D:$D,CONFIG_PALETES!$A:$A,IF(ISNUMBER(SEARCH("ESPUMA",$B195)),"ESPUMA",IF(OR(ISNUMBER(SEARCH("OLEO DE COCO",$B195)),ISNUMBER(SEARCH("ÓLEO DE COCO",$B195)),ISNUMBER(SEARCH("COPRA",$B195))),"ÓLEO DE COCO",IF(ISNUMBER(SEARCH("CORANTE",$B195)),"CORANTE",TRIM($B195)))),CONFIG_PALETES!$B:$B,$C195&amp;" ml"),IF(SUMIFS(CONFIG_PALETES!$D:$D,CONFIG_PALETES!$A:$A,"GERAL",CONFIG_PALETES!$B:$B,$C195&amp;" ml")&gt;0,SUMIFS(CONFIG_PALETES!$D:$D,CONFIG_PALETES!$A:$A,"GERAL",CONFIG_PALETES!$B:$B,$C195&amp;" ml"),12)))</f>
        <v/>
      </c>
    </row>
    <row r="196" spans="1:15" ht="15" customHeight="1" x14ac:dyDescent="0.3">
      <c r="A196" s="899"/>
      <c r="B196" s="846" t="s">
        <v>186</v>
      </c>
      <c r="C196" s="847"/>
      <c r="D196" s="848">
        <f>SUM(D189:D195)</f>
        <v>0</v>
      </c>
      <c r="E196" s="849"/>
      <c r="F196" s="856" t="s">
        <v>1400</v>
      </c>
      <c r="G196" s="850">
        <f>SUM(G189:G195)</f>
        <v>0</v>
      </c>
      <c r="H196" s="848">
        <f>SUM(H189:H195)</f>
        <v>0</v>
      </c>
      <c r="I196" s="848">
        <f>SUM(I189:I195)</f>
        <v>0</v>
      </c>
      <c r="J196" s="63">
        <f>D196</f>
        <v>0</v>
      </c>
      <c r="K196" s="93">
        <f>G196</f>
        <v>0</v>
      </c>
      <c r="L196" s="63">
        <f>H196</f>
        <v>0</v>
      </c>
      <c r="M196" s="63">
        <f>I196</f>
        <v>0</v>
      </c>
      <c r="N196" s="587" t="str" cm="1">
        <f t="array" ref="N196">IF(H196=0,"",SUMPRODUCT(IFERROR(INT(H191:H195/F191:F195),0)))</f>
        <v/>
      </c>
      <c r="O196" s="770" t="str">
        <f>IF(N196="","",MAX(0,G196-N196))</f>
        <v/>
      </c>
    </row>
    <row r="197" spans="1:15" ht="6" customHeight="1" x14ac:dyDescent="0.3">
      <c r="C197" s="65"/>
    </row>
    <row r="198" spans="1:15" ht="14.25" customHeight="1" x14ac:dyDescent="0.3">
      <c r="A198" s="75">
        <v>46231</v>
      </c>
      <c r="B198" s="113" t="s">
        <v>49</v>
      </c>
      <c r="C198" s="112" t="s">
        <v>176</v>
      </c>
      <c r="D198" s="111" t="s">
        <v>177</v>
      </c>
      <c r="E198" s="111" t="s">
        <v>178</v>
      </c>
      <c r="F198" s="860" t="s">
        <v>179</v>
      </c>
      <c r="G198" s="111" t="s">
        <v>180</v>
      </c>
      <c r="H198" s="111" t="s">
        <v>181</v>
      </c>
      <c r="I198" s="111" t="s">
        <v>182</v>
      </c>
    </row>
    <row r="199" spans="1:15" ht="21" customHeight="1" x14ac:dyDescent="0.3">
      <c r="A199" s="110"/>
      <c r="B199" s="109"/>
      <c r="C199" s="108"/>
      <c r="D199" s="104"/>
      <c r="E199" s="107" t="s">
        <v>184</v>
      </c>
      <c r="F199" s="871"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06" t="str">
        <f>IFERROR(ROUNDUP(D199/F199,0),"")</f>
        <v/>
      </c>
      <c r="H199" s="105"/>
      <c r="I199" s="104"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row>
    <row r="200" spans="1:15" ht="21" customHeight="1" x14ac:dyDescent="0.3">
      <c r="A200" s="110"/>
      <c r="B200" s="109"/>
      <c r="C200" s="108"/>
      <c r="D200" s="104"/>
      <c r="E200" s="107" t="s">
        <v>184</v>
      </c>
      <c r="F200" s="871"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106" t="str">
        <f>IFERROR(ROUNDUP(D200/F200,0),"")</f>
        <v/>
      </c>
      <c r="H200" s="105"/>
      <c r="I200" s="104"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row>
    <row r="201" spans="1:15" ht="21" customHeight="1" x14ac:dyDescent="0.3">
      <c r="A201" s="110"/>
      <c r="B201" s="109"/>
      <c r="C201" s="108"/>
      <c r="D201" s="104"/>
      <c r="E201" s="107" t="s">
        <v>184</v>
      </c>
      <c r="F201" s="871" t="str">
        <f>IF($B201="","",IF(SUMIFS(CONFIG_PALETES!$C:$C,CONFIG_PALETES!$A:$A,TRIM($B201),CONFIG_PALETES!$B:$B,$C201&amp;" ml")&gt;0,SUMIFS(CONFIG_PALETES!$C:$C,CONFIG_PALETES!$A:$A,TRIM($B201),CONFIG_PALETES!$B:$B,$C201&amp;" ml"),IF(SUMIFS(CONFIG_PALETES!$C:$C,CONFIG_PALETES!$A:$A,"GERAL",CONFIG_PALETES!$B:$B,$C201&amp;" ml")&gt;0,SUMIFS(CONFIG_PALETES!$C:$C,CONFIG_PALETES!$A:$A,"GERAL",CONFIG_PALETES!$B:$B,$C201&amp;" ml"),"")))</f>
        <v/>
      </c>
      <c r="G201" s="106" t="str">
        <f>IFERROR(ROUNDUP(D201/F201,0),"")</f>
        <v/>
      </c>
      <c r="H201" s="105"/>
      <c r="I201" s="104" t="str">
        <f>IF(H201="","",H201*IF(SUMIFS(CONFIG_PALETES!$D:$D,CONFIG_PALETES!$A:$A,IF(ISNUMBER(SEARCH("ESPUMA",$B201)),"ESPUMA",IF(OR(ISNUMBER(SEARCH("OLEO DE COCO",$B201)),ISNUMBER(SEARCH("ÓLEO DE COCO",$B201)),ISNUMBER(SEARCH("COPRA",$B201))),"ÓLEO DE COCO",IF(ISNUMBER(SEARCH("CORANTE",$B201)),"CORANTE",TRIM($B201)))),CONFIG_PALETES!$B:$B,$C201&amp;" ml")&gt;0,SUMIFS(CONFIG_PALETES!$D:$D,CONFIG_PALETES!$A:$A,IF(ISNUMBER(SEARCH("ESPUMA",$B201)),"ESPUMA",IF(OR(ISNUMBER(SEARCH("OLEO DE COCO",$B201)),ISNUMBER(SEARCH("ÓLEO DE COCO",$B201)),ISNUMBER(SEARCH("COPRA",$B201))),"ÓLEO DE COCO",IF(ISNUMBER(SEARCH("CORANTE",$B201)),"CORANTE",TRIM($B201)))),CONFIG_PALETES!$B:$B,$C201&amp;" ml"),IF(SUMIFS(CONFIG_PALETES!$D:$D,CONFIG_PALETES!$A:$A,"GERAL",CONFIG_PALETES!$B:$B,$C201&amp;" ml")&gt;0,SUMIFS(CONFIG_PALETES!$D:$D,CONFIG_PALETES!$A:$A,"GERAL",CONFIG_PALETES!$B:$B,$C201&amp;" ml"),12)))</f>
        <v/>
      </c>
    </row>
    <row r="202" spans="1:15" ht="21" customHeight="1" x14ac:dyDescent="0.3">
      <c r="A202" s="110"/>
      <c r="B202" s="109"/>
      <c r="C202" s="108"/>
      <c r="D202" s="104"/>
      <c r="E202" s="107" t="s">
        <v>184</v>
      </c>
      <c r="F202" s="871" t="str">
        <f>IF($B202="","",IF(SUMIFS(CONFIG_PALETES!$C:$C,CONFIG_PALETES!$A:$A,TRIM($B202),CONFIG_PALETES!$B:$B,$C202&amp;" ml")&gt;0,SUMIFS(CONFIG_PALETES!$C:$C,CONFIG_PALETES!$A:$A,TRIM($B202),CONFIG_PALETES!$B:$B,$C202&amp;" ml"),IF(SUMIFS(CONFIG_PALETES!$C:$C,CONFIG_PALETES!$A:$A,"GERAL",CONFIG_PALETES!$B:$B,$C202&amp;" ml")&gt;0,SUMIFS(CONFIG_PALETES!$C:$C,CONFIG_PALETES!$A:$A,"GERAL",CONFIG_PALETES!$B:$B,$C202&amp;" ml"),"")))</f>
        <v/>
      </c>
      <c r="G202" s="106" t="str">
        <f>IFERROR(ROUNDUP(D202/F202,0),"")</f>
        <v/>
      </c>
      <c r="H202" s="105"/>
      <c r="I202" s="104" t="str">
        <f>IF(H202="","",H202*IF(SUMIFS(CONFIG_PALETES!$D:$D,CONFIG_PALETES!$A:$A,IF(ISNUMBER(SEARCH("ESPUMA",$B202)),"ESPUMA",IF(OR(ISNUMBER(SEARCH("OLEO DE COCO",$B202)),ISNUMBER(SEARCH("ÓLEO DE COCO",$B202)),ISNUMBER(SEARCH("COPRA",$B202))),"ÓLEO DE COCO",IF(ISNUMBER(SEARCH("CORANTE",$B202)),"CORANTE",TRIM($B202)))),CONFIG_PALETES!$B:$B,$C202&amp;" ml")&gt;0,SUMIFS(CONFIG_PALETES!$D:$D,CONFIG_PALETES!$A:$A,IF(ISNUMBER(SEARCH("ESPUMA",$B202)),"ESPUMA",IF(OR(ISNUMBER(SEARCH("OLEO DE COCO",$B202)),ISNUMBER(SEARCH("ÓLEO DE COCO",$B202)),ISNUMBER(SEARCH("COPRA",$B202))),"ÓLEO DE COCO",IF(ISNUMBER(SEARCH("CORANTE",$B202)),"CORANTE",TRIM($B202)))),CONFIG_PALETES!$B:$B,$C202&amp;" ml"),IF(SUMIFS(CONFIG_PALETES!$D:$D,CONFIG_PALETES!$A:$A,"GERAL",CONFIG_PALETES!$B:$B,$C202&amp;" ml")&gt;0,SUMIFS(CONFIG_PALETES!$D:$D,CONFIG_PALETES!$A:$A,"GERAL",CONFIG_PALETES!$B:$B,$C202&amp;" ml"),12)))</f>
        <v/>
      </c>
    </row>
    <row r="203" spans="1:15" ht="21" customHeight="1" x14ac:dyDescent="0.3">
      <c r="A203" s="817"/>
      <c r="B203" s="818"/>
      <c r="C203" s="819"/>
      <c r="D203" s="820"/>
      <c r="E203" s="821" t="s">
        <v>184</v>
      </c>
      <c r="F203" s="872" t="str">
        <f>IF($B203="","",IF(SUMIFS(CONFIG_PALETES!$C:$C,CONFIG_PALETES!$A:$A,TRIM($B203),CONFIG_PALETES!$B:$B,$C203&amp;" ml")&gt;0,SUMIFS(CONFIG_PALETES!$C:$C,CONFIG_PALETES!$A:$A,TRIM($B203),CONFIG_PALETES!$B:$B,$C203&amp;" ml"),IF(SUMIFS(CONFIG_PALETES!$C:$C,CONFIG_PALETES!$A:$A,"GERAL",CONFIG_PALETES!$B:$B,$C203&amp;" ml")&gt;0,SUMIFS(CONFIG_PALETES!$C:$C,CONFIG_PALETES!$A:$A,"GERAL",CONFIG_PALETES!$B:$B,$C203&amp;" ml"),"")))</f>
        <v/>
      </c>
      <c r="G203" s="822" t="str">
        <f>IFERROR(ROUNDUP(D203/F203,0),"")</f>
        <v/>
      </c>
      <c r="H203" s="823"/>
      <c r="I203" s="820" t="str">
        <f>IF(H203="","",H203*IF(SUMIFS(CONFIG_PALETES!$D:$D,CONFIG_PALETES!$A:$A,IF(ISNUMBER(SEARCH("ESPUMA",$B203)),"ESPUMA",IF(OR(ISNUMBER(SEARCH("OLEO DE COCO",$B203)),ISNUMBER(SEARCH("ÓLEO DE COCO",$B203)),ISNUMBER(SEARCH("COPRA",$B203))),"ÓLEO DE COCO",IF(ISNUMBER(SEARCH("CORANTE",$B203)),"CORANTE",TRIM($B203)))),CONFIG_PALETES!$B:$B,$C203&amp;" ml")&gt;0,SUMIFS(CONFIG_PALETES!$D:$D,CONFIG_PALETES!$A:$A,IF(ISNUMBER(SEARCH("ESPUMA",$B203)),"ESPUMA",IF(OR(ISNUMBER(SEARCH("OLEO DE COCO",$B203)),ISNUMBER(SEARCH("ÓLEO DE COCO",$B203)),ISNUMBER(SEARCH("COPRA",$B203))),"ÓLEO DE COCO",IF(ISNUMBER(SEARCH("CORANTE",$B203)),"CORANTE",TRIM($B203)))),CONFIG_PALETES!$B:$B,$C203&amp;" ml"),IF(SUMIFS(CONFIG_PALETES!$D:$D,CONFIG_PALETES!$A:$A,"GERAL",CONFIG_PALETES!$B:$B,$C203&amp;" ml")&gt;0,SUMIFS(CONFIG_PALETES!$D:$D,CONFIG_PALETES!$A:$A,"GERAL",CONFIG_PALETES!$B:$B,$C203&amp;" ml"),12)))</f>
        <v/>
      </c>
    </row>
    <row r="204" spans="1:15" ht="14.25" customHeight="1" x14ac:dyDescent="0.3">
      <c r="A204" s="899"/>
      <c r="B204" s="846" t="s">
        <v>186</v>
      </c>
      <c r="C204" s="847"/>
      <c r="D204" s="848">
        <f>SUM(D197:D203)</f>
        <v>0</v>
      </c>
      <c r="E204" s="849"/>
      <c r="F204" s="856" t="s">
        <v>1400</v>
      </c>
      <c r="G204" s="850">
        <f>SUM(G197:G203)</f>
        <v>0</v>
      </c>
      <c r="H204" s="848">
        <f>SUM(H197:H203)</f>
        <v>0</v>
      </c>
      <c r="I204" s="848">
        <f>SUM(I197:I203)</f>
        <v>0</v>
      </c>
      <c r="J204" s="63">
        <f>D204</f>
        <v>0</v>
      </c>
      <c r="K204" s="93">
        <f>G204</f>
        <v>0</v>
      </c>
      <c r="L204" s="63">
        <f>H204</f>
        <v>0</v>
      </c>
      <c r="M204" s="63">
        <f>I204</f>
        <v>0</v>
      </c>
      <c r="N204" s="587" t="str" cm="1">
        <f t="array" ref="N204">IF(H204=0,"",SUMPRODUCT(IFERROR(INT(H199:H203/F199:F203),0)))</f>
        <v/>
      </c>
      <c r="O204" s="770" t="str">
        <f>IF(N204="","",MAX(0,G204-N204))</f>
        <v/>
      </c>
    </row>
    <row r="205" spans="1:15" ht="14.25" customHeight="1" x14ac:dyDescent="0.3">
      <c r="C205" s="65"/>
    </row>
    <row r="206" spans="1:15" ht="14.25" customHeight="1" x14ac:dyDescent="0.3">
      <c r="A206" s="75">
        <v>46232</v>
      </c>
      <c r="B206" s="113" t="s">
        <v>49</v>
      </c>
      <c r="C206" s="112" t="s">
        <v>176</v>
      </c>
      <c r="D206" s="111" t="s">
        <v>177</v>
      </c>
      <c r="E206" s="111" t="s">
        <v>178</v>
      </c>
      <c r="F206" s="860" t="s">
        <v>179</v>
      </c>
      <c r="G206" s="111" t="s">
        <v>180</v>
      </c>
      <c r="H206" s="111" t="s">
        <v>181</v>
      </c>
      <c r="I206" s="111" t="s">
        <v>182</v>
      </c>
    </row>
    <row r="207" spans="1:15" ht="21" customHeight="1" x14ac:dyDescent="0.3">
      <c r="A207" s="110"/>
      <c r="B207" s="109"/>
      <c r="C207" s="108"/>
      <c r="D207" s="104"/>
      <c r="E207" s="107" t="s">
        <v>184</v>
      </c>
      <c r="F207" s="871" t="str">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
      </c>
      <c r="G207" s="106" t="str">
        <f>IFERROR(ROUNDUP(D207/F207,0),"")</f>
        <v/>
      </c>
      <c r="H207" s="105"/>
      <c r="I207" s="104" t="str">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
      </c>
    </row>
    <row r="208" spans="1:15" ht="21" customHeight="1" x14ac:dyDescent="0.3">
      <c r="A208" s="110"/>
      <c r="B208" s="109"/>
      <c r="C208" s="108"/>
      <c r="D208" s="104"/>
      <c r="E208" s="107" t="s">
        <v>184</v>
      </c>
      <c r="F208" s="871" t="str">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
      </c>
      <c r="G208" s="106" t="str">
        <f>IFERROR(ROUNDUP(D208/F208,0),"")</f>
        <v/>
      </c>
      <c r="H208" s="105"/>
      <c r="I208" s="104" t="str">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
      </c>
    </row>
    <row r="209" spans="1:15" ht="21" customHeight="1" x14ac:dyDescent="0.3">
      <c r="A209" s="110"/>
      <c r="B209" s="109"/>
      <c r="C209" s="108"/>
      <c r="D209" s="104"/>
      <c r="E209" s="107" t="s">
        <v>184</v>
      </c>
      <c r="F209" s="871" t="str">
        <f>IF($B209="","",IF(SUMIFS(CONFIG_PALETES!$C:$C,CONFIG_PALETES!$A:$A,TRIM($B209),CONFIG_PALETES!$B:$B,$C209&amp;" ml")&gt;0,SUMIFS(CONFIG_PALETES!$C:$C,CONFIG_PALETES!$A:$A,TRIM($B209),CONFIG_PALETES!$B:$B,$C209&amp;" ml"),IF(SUMIFS(CONFIG_PALETES!$C:$C,CONFIG_PALETES!$A:$A,"GERAL",CONFIG_PALETES!$B:$B,$C209&amp;" ml")&gt;0,SUMIFS(CONFIG_PALETES!$C:$C,CONFIG_PALETES!$A:$A,"GERAL",CONFIG_PALETES!$B:$B,$C209&amp;" ml"),"")))</f>
        <v/>
      </c>
      <c r="G209" s="106" t="str">
        <f>IFERROR(ROUNDUP(D209/F209,0),"")</f>
        <v/>
      </c>
      <c r="H209" s="105"/>
      <c r="I209" s="104" t="str">
        <f>IF(H209="","",H209*IF(SUMIFS(CONFIG_PALETES!$D:$D,CONFIG_PALETES!$A:$A,IF(ISNUMBER(SEARCH("ESPUMA",$B209)),"ESPUMA",IF(OR(ISNUMBER(SEARCH("OLEO DE COCO",$B209)),ISNUMBER(SEARCH("ÓLEO DE COCO",$B209)),ISNUMBER(SEARCH("COPRA",$B209))),"ÓLEO DE COCO",IF(ISNUMBER(SEARCH("CORANTE",$B209)),"CORANTE",TRIM($B209)))),CONFIG_PALETES!$B:$B,$C209&amp;" ml")&gt;0,SUMIFS(CONFIG_PALETES!$D:$D,CONFIG_PALETES!$A:$A,IF(ISNUMBER(SEARCH("ESPUMA",$B209)),"ESPUMA",IF(OR(ISNUMBER(SEARCH("OLEO DE COCO",$B209)),ISNUMBER(SEARCH("ÓLEO DE COCO",$B209)),ISNUMBER(SEARCH("COPRA",$B209))),"ÓLEO DE COCO",IF(ISNUMBER(SEARCH("CORANTE",$B209)),"CORANTE",TRIM($B209)))),CONFIG_PALETES!$B:$B,$C209&amp;" ml"),IF(SUMIFS(CONFIG_PALETES!$D:$D,CONFIG_PALETES!$A:$A,"GERAL",CONFIG_PALETES!$B:$B,$C209&amp;" ml")&gt;0,SUMIFS(CONFIG_PALETES!$D:$D,CONFIG_PALETES!$A:$A,"GERAL",CONFIG_PALETES!$B:$B,$C209&amp;" ml"),12)))</f>
        <v/>
      </c>
    </row>
    <row r="210" spans="1:15" ht="21" customHeight="1" x14ac:dyDescent="0.3">
      <c r="A210" s="110"/>
      <c r="B210" s="109"/>
      <c r="C210" s="108"/>
      <c r="D210" s="104"/>
      <c r="E210" s="107" t="s">
        <v>184</v>
      </c>
      <c r="F210" s="871" t="str">
        <f>IF($B210="","",IF(SUMIFS(CONFIG_PALETES!$C:$C,CONFIG_PALETES!$A:$A,TRIM($B210),CONFIG_PALETES!$B:$B,$C210&amp;" ml")&gt;0,SUMIFS(CONFIG_PALETES!$C:$C,CONFIG_PALETES!$A:$A,TRIM($B210),CONFIG_PALETES!$B:$B,$C210&amp;" ml"),IF(SUMIFS(CONFIG_PALETES!$C:$C,CONFIG_PALETES!$A:$A,"GERAL",CONFIG_PALETES!$B:$B,$C210&amp;" ml")&gt;0,SUMIFS(CONFIG_PALETES!$C:$C,CONFIG_PALETES!$A:$A,"GERAL",CONFIG_PALETES!$B:$B,$C210&amp;" ml"),"")))</f>
        <v/>
      </c>
      <c r="G210" s="106" t="str">
        <f>IFERROR(ROUNDUP(D210/F210,0),"")</f>
        <v/>
      </c>
      <c r="H210" s="105"/>
      <c r="I210" s="104" t="str">
        <f>IF(H210="","",H210*IF(SUMIFS(CONFIG_PALETES!$D:$D,CONFIG_PALETES!$A:$A,IF(ISNUMBER(SEARCH("ESPUMA",$B210)),"ESPUMA",IF(OR(ISNUMBER(SEARCH("OLEO DE COCO",$B210)),ISNUMBER(SEARCH("ÓLEO DE COCO",$B210)),ISNUMBER(SEARCH("COPRA",$B210))),"ÓLEO DE COCO",IF(ISNUMBER(SEARCH("CORANTE",$B210)),"CORANTE",TRIM($B210)))),CONFIG_PALETES!$B:$B,$C210&amp;" ml")&gt;0,SUMIFS(CONFIG_PALETES!$D:$D,CONFIG_PALETES!$A:$A,IF(ISNUMBER(SEARCH("ESPUMA",$B210)),"ESPUMA",IF(OR(ISNUMBER(SEARCH("OLEO DE COCO",$B210)),ISNUMBER(SEARCH("ÓLEO DE COCO",$B210)),ISNUMBER(SEARCH("COPRA",$B210))),"ÓLEO DE COCO",IF(ISNUMBER(SEARCH("CORANTE",$B210)),"CORANTE",TRIM($B210)))),CONFIG_PALETES!$B:$B,$C210&amp;" ml"),IF(SUMIFS(CONFIG_PALETES!$D:$D,CONFIG_PALETES!$A:$A,"GERAL",CONFIG_PALETES!$B:$B,$C210&amp;" ml")&gt;0,SUMIFS(CONFIG_PALETES!$D:$D,CONFIG_PALETES!$A:$A,"GERAL",CONFIG_PALETES!$B:$B,$C210&amp;" ml"),12)))</f>
        <v/>
      </c>
    </row>
    <row r="211" spans="1:15" ht="21" customHeight="1" x14ac:dyDescent="0.3">
      <c r="A211" s="817"/>
      <c r="B211" s="818"/>
      <c r="C211" s="819"/>
      <c r="D211" s="820"/>
      <c r="E211" s="821" t="s">
        <v>184</v>
      </c>
      <c r="F211" s="872" t="str">
        <f>IF($B211="","",IF(SUMIFS(CONFIG_PALETES!$C:$C,CONFIG_PALETES!$A:$A,TRIM($B211),CONFIG_PALETES!$B:$B,$C211&amp;" ml")&gt;0,SUMIFS(CONFIG_PALETES!$C:$C,CONFIG_PALETES!$A:$A,TRIM($B211),CONFIG_PALETES!$B:$B,$C211&amp;" ml"),IF(SUMIFS(CONFIG_PALETES!$C:$C,CONFIG_PALETES!$A:$A,"GERAL",CONFIG_PALETES!$B:$B,$C211&amp;" ml")&gt;0,SUMIFS(CONFIG_PALETES!$C:$C,CONFIG_PALETES!$A:$A,"GERAL",CONFIG_PALETES!$B:$B,$C211&amp;" ml"),"")))</f>
        <v/>
      </c>
      <c r="G211" s="822" t="str">
        <f>IFERROR(ROUNDUP(D211/F211,0),"")</f>
        <v/>
      </c>
      <c r="H211" s="823"/>
      <c r="I211" s="820" t="str">
        <f>IF(H211="","",H211*IF(SUMIFS(CONFIG_PALETES!$D:$D,CONFIG_PALETES!$A:$A,IF(ISNUMBER(SEARCH("ESPUMA",$B211)),"ESPUMA",IF(OR(ISNUMBER(SEARCH("OLEO DE COCO",$B211)),ISNUMBER(SEARCH("ÓLEO DE COCO",$B211)),ISNUMBER(SEARCH("COPRA",$B211))),"ÓLEO DE COCO",IF(ISNUMBER(SEARCH("CORANTE",$B211)),"CORANTE",TRIM($B211)))),CONFIG_PALETES!$B:$B,$C211&amp;" ml")&gt;0,SUMIFS(CONFIG_PALETES!$D:$D,CONFIG_PALETES!$A:$A,IF(ISNUMBER(SEARCH("ESPUMA",$B211)),"ESPUMA",IF(OR(ISNUMBER(SEARCH("OLEO DE COCO",$B211)),ISNUMBER(SEARCH("ÓLEO DE COCO",$B211)),ISNUMBER(SEARCH("COPRA",$B211))),"ÓLEO DE COCO",IF(ISNUMBER(SEARCH("CORANTE",$B211)),"CORANTE",TRIM($B211)))),CONFIG_PALETES!$B:$B,$C211&amp;" ml"),IF(SUMIFS(CONFIG_PALETES!$D:$D,CONFIG_PALETES!$A:$A,"GERAL",CONFIG_PALETES!$B:$B,$C211&amp;" ml")&gt;0,SUMIFS(CONFIG_PALETES!$D:$D,CONFIG_PALETES!$A:$A,"GERAL",CONFIG_PALETES!$B:$B,$C211&amp;" ml"),12)))</f>
        <v/>
      </c>
    </row>
    <row r="212" spans="1:15" ht="14.25" customHeight="1" x14ac:dyDescent="0.3">
      <c r="A212" s="899"/>
      <c r="B212" s="846" t="s">
        <v>186</v>
      </c>
      <c r="C212" s="847"/>
      <c r="D212" s="848">
        <f>SUM(D205:D211)</f>
        <v>0</v>
      </c>
      <c r="E212" s="849"/>
      <c r="F212" s="856" t="s">
        <v>1400</v>
      </c>
      <c r="G212" s="850">
        <f>SUM(G205:G211)</f>
        <v>0</v>
      </c>
      <c r="H212" s="848">
        <f>SUM(H205:H211)</f>
        <v>0</v>
      </c>
      <c r="I212" s="848">
        <f>SUM(I205:I211)</f>
        <v>0</v>
      </c>
      <c r="J212" s="63">
        <f>D212</f>
        <v>0</v>
      </c>
      <c r="K212" s="93">
        <f>G212</f>
        <v>0</v>
      </c>
      <c r="L212" s="63">
        <f>H212</f>
        <v>0</v>
      </c>
      <c r="M212" s="63">
        <f>I212</f>
        <v>0</v>
      </c>
      <c r="N212" s="587" t="str" cm="1">
        <f t="array" ref="N212">IF(H212=0,"",SUMPRODUCT(IFERROR(INT(H207:H211/F207:F211),0)))</f>
        <v/>
      </c>
      <c r="O212" s="770" t="str">
        <f>IF(N212="","",MAX(0,G212-N212))</f>
        <v/>
      </c>
    </row>
    <row r="213" spans="1:15" ht="14.25" customHeight="1" x14ac:dyDescent="0.3">
      <c r="C213" s="65"/>
    </row>
    <row r="214" spans="1:15" ht="14.25" customHeight="1" x14ac:dyDescent="0.3">
      <c r="A214" s="75">
        <v>46233</v>
      </c>
      <c r="B214" s="113" t="s">
        <v>49</v>
      </c>
      <c r="C214" s="112" t="s">
        <v>176</v>
      </c>
      <c r="D214" s="111" t="s">
        <v>177</v>
      </c>
      <c r="E214" s="111" t="s">
        <v>178</v>
      </c>
      <c r="F214" s="860" t="s">
        <v>179</v>
      </c>
      <c r="G214" s="111" t="s">
        <v>180</v>
      </c>
      <c r="H214" s="111" t="s">
        <v>181</v>
      </c>
      <c r="I214" s="111" t="s">
        <v>182</v>
      </c>
    </row>
    <row r="215" spans="1:15" ht="21" customHeight="1" x14ac:dyDescent="0.3">
      <c r="A215" s="110"/>
      <c r="B215" s="109"/>
      <c r="C215" s="108"/>
      <c r="D215" s="104"/>
      <c r="E215" s="107" t="s">
        <v>184</v>
      </c>
      <c r="F215" s="871" t="str">
        <f>IF($B215="","",IF(SUMIFS(CONFIG_PALETES!$C:$C,CONFIG_PALETES!$A:$A,TRIM($B215),CONFIG_PALETES!$B:$B,$C215&amp;" ml")&gt;0,SUMIFS(CONFIG_PALETES!$C:$C,CONFIG_PALETES!$A:$A,TRIM($B215),CONFIG_PALETES!$B:$B,$C215&amp;" ml"),IF(SUMIFS(CONFIG_PALETES!$C:$C,CONFIG_PALETES!$A:$A,"GERAL",CONFIG_PALETES!$B:$B,$C215&amp;" ml")&gt;0,SUMIFS(CONFIG_PALETES!$C:$C,CONFIG_PALETES!$A:$A,"GERAL",CONFIG_PALETES!$B:$B,$C215&amp;" ml"),"")))</f>
        <v/>
      </c>
      <c r="G215" s="106" t="str">
        <f>IFERROR(ROUNDUP(D215/F215,0),"")</f>
        <v/>
      </c>
      <c r="H215" s="105"/>
      <c r="I215" s="104" t="str">
        <f>IF(H215="","",H215*IF(SUMIFS(CONFIG_PALETES!$D:$D,CONFIG_PALETES!$A:$A,IF(ISNUMBER(SEARCH("ESPUMA",$B215)),"ESPUMA",IF(OR(ISNUMBER(SEARCH("OLEO DE COCO",$B215)),ISNUMBER(SEARCH("ÓLEO DE COCO",$B215)),ISNUMBER(SEARCH("COPRA",$B215))),"ÓLEO DE COCO",IF(ISNUMBER(SEARCH("CORANTE",$B215)),"CORANTE",TRIM($B215)))),CONFIG_PALETES!$B:$B,$C215&amp;" ml")&gt;0,SUMIFS(CONFIG_PALETES!$D:$D,CONFIG_PALETES!$A:$A,IF(ISNUMBER(SEARCH("ESPUMA",$B215)),"ESPUMA",IF(OR(ISNUMBER(SEARCH("OLEO DE COCO",$B215)),ISNUMBER(SEARCH("ÓLEO DE COCO",$B215)),ISNUMBER(SEARCH("COPRA",$B215))),"ÓLEO DE COCO",IF(ISNUMBER(SEARCH("CORANTE",$B215)),"CORANTE",TRIM($B215)))),CONFIG_PALETES!$B:$B,$C215&amp;" ml"),IF(SUMIFS(CONFIG_PALETES!$D:$D,CONFIG_PALETES!$A:$A,"GERAL",CONFIG_PALETES!$B:$B,$C215&amp;" ml")&gt;0,SUMIFS(CONFIG_PALETES!$D:$D,CONFIG_PALETES!$A:$A,"GERAL",CONFIG_PALETES!$B:$B,$C215&amp;" ml"),12)))</f>
        <v/>
      </c>
    </row>
    <row r="216" spans="1:15" ht="21" customHeight="1" x14ac:dyDescent="0.3">
      <c r="A216" s="110"/>
      <c r="B216" s="109"/>
      <c r="C216" s="108"/>
      <c r="D216" s="104"/>
      <c r="E216" s="107" t="s">
        <v>184</v>
      </c>
      <c r="F216" s="871" t="str">
        <f>IF($B216="","",IF(SUMIFS(CONFIG_PALETES!$C:$C,CONFIG_PALETES!$A:$A,TRIM($B216),CONFIG_PALETES!$B:$B,$C216&amp;" ml")&gt;0,SUMIFS(CONFIG_PALETES!$C:$C,CONFIG_PALETES!$A:$A,TRIM($B216),CONFIG_PALETES!$B:$B,$C216&amp;" ml"),IF(SUMIFS(CONFIG_PALETES!$C:$C,CONFIG_PALETES!$A:$A,"GERAL",CONFIG_PALETES!$B:$B,$C216&amp;" ml")&gt;0,SUMIFS(CONFIG_PALETES!$C:$C,CONFIG_PALETES!$A:$A,"GERAL",CONFIG_PALETES!$B:$B,$C216&amp;" ml"),"")))</f>
        <v/>
      </c>
      <c r="G216" s="106" t="str">
        <f>IFERROR(ROUNDUP(D216/F216,0),"")</f>
        <v/>
      </c>
      <c r="H216" s="105"/>
      <c r="I216" s="104" t="str">
        <f>IF(H216="","",H216*IF(SUMIFS(CONFIG_PALETES!$D:$D,CONFIG_PALETES!$A:$A,IF(ISNUMBER(SEARCH("ESPUMA",$B216)),"ESPUMA",IF(OR(ISNUMBER(SEARCH("OLEO DE COCO",$B216)),ISNUMBER(SEARCH("ÓLEO DE COCO",$B216)),ISNUMBER(SEARCH("COPRA",$B216))),"ÓLEO DE COCO",IF(ISNUMBER(SEARCH("CORANTE",$B216)),"CORANTE",TRIM($B216)))),CONFIG_PALETES!$B:$B,$C216&amp;" ml")&gt;0,SUMIFS(CONFIG_PALETES!$D:$D,CONFIG_PALETES!$A:$A,IF(ISNUMBER(SEARCH("ESPUMA",$B216)),"ESPUMA",IF(OR(ISNUMBER(SEARCH("OLEO DE COCO",$B216)),ISNUMBER(SEARCH("ÓLEO DE COCO",$B216)),ISNUMBER(SEARCH("COPRA",$B216))),"ÓLEO DE COCO",IF(ISNUMBER(SEARCH("CORANTE",$B216)),"CORANTE",TRIM($B216)))),CONFIG_PALETES!$B:$B,$C216&amp;" ml"),IF(SUMIFS(CONFIG_PALETES!$D:$D,CONFIG_PALETES!$A:$A,"GERAL",CONFIG_PALETES!$B:$B,$C216&amp;" ml")&gt;0,SUMIFS(CONFIG_PALETES!$D:$D,CONFIG_PALETES!$A:$A,"GERAL",CONFIG_PALETES!$B:$B,$C216&amp;" ml"),12)))</f>
        <v/>
      </c>
    </row>
    <row r="217" spans="1:15" ht="21" customHeight="1" x14ac:dyDescent="0.3">
      <c r="A217" s="110"/>
      <c r="B217" s="109"/>
      <c r="C217" s="108"/>
      <c r="D217" s="104"/>
      <c r="E217" s="107" t="s">
        <v>184</v>
      </c>
      <c r="F217" s="871" t="str">
        <f>IF($B217="","",IF(SUMIFS(CONFIG_PALETES!$C:$C,CONFIG_PALETES!$A:$A,TRIM($B217),CONFIG_PALETES!$B:$B,$C217&amp;" ml")&gt;0,SUMIFS(CONFIG_PALETES!$C:$C,CONFIG_PALETES!$A:$A,TRIM($B217),CONFIG_PALETES!$B:$B,$C217&amp;" ml"),IF(SUMIFS(CONFIG_PALETES!$C:$C,CONFIG_PALETES!$A:$A,"GERAL",CONFIG_PALETES!$B:$B,$C217&amp;" ml")&gt;0,SUMIFS(CONFIG_PALETES!$C:$C,CONFIG_PALETES!$A:$A,"GERAL",CONFIG_PALETES!$B:$B,$C217&amp;" ml"),"")))</f>
        <v/>
      </c>
      <c r="G217" s="106" t="str">
        <f>IFERROR(ROUNDUP(D217/F217,0),"")</f>
        <v/>
      </c>
      <c r="H217" s="105"/>
      <c r="I217" s="104" t="str">
        <f>IF(H217="","",H217*IF(SUMIFS(CONFIG_PALETES!$D:$D,CONFIG_PALETES!$A:$A,IF(ISNUMBER(SEARCH("ESPUMA",$B217)),"ESPUMA",IF(OR(ISNUMBER(SEARCH("OLEO DE COCO",$B217)),ISNUMBER(SEARCH("ÓLEO DE COCO",$B217)),ISNUMBER(SEARCH("COPRA",$B217))),"ÓLEO DE COCO",IF(ISNUMBER(SEARCH("CORANTE",$B217)),"CORANTE",TRIM($B217)))),CONFIG_PALETES!$B:$B,$C217&amp;" ml")&gt;0,SUMIFS(CONFIG_PALETES!$D:$D,CONFIG_PALETES!$A:$A,IF(ISNUMBER(SEARCH("ESPUMA",$B217)),"ESPUMA",IF(OR(ISNUMBER(SEARCH("OLEO DE COCO",$B217)),ISNUMBER(SEARCH("ÓLEO DE COCO",$B217)),ISNUMBER(SEARCH("COPRA",$B217))),"ÓLEO DE COCO",IF(ISNUMBER(SEARCH("CORANTE",$B217)),"CORANTE",TRIM($B217)))),CONFIG_PALETES!$B:$B,$C217&amp;" ml"),IF(SUMIFS(CONFIG_PALETES!$D:$D,CONFIG_PALETES!$A:$A,"GERAL",CONFIG_PALETES!$B:$B,$C217&amp;" ml")&gt;0,SUMIFS(CONFIG_PALETES!$D:$D,CONFIG_PALETES!$A:$A,"GERAL",CONFIG_PALETES!$B:$B,$C217&amp;" ml"),12)))</f>
        <v/>
      </c>
    </row>
    <row r="218" spans="1:15" ht="21" customHeight="1" x14ac:dyDescent="0.3">
      <c r="A218" s="110"/>
      <c r="B218" s="109"/>
      <c r="C218" s="108"/>
      <c r="D218" s="104"/>
      <c r="E218" s="107" t="s">
        <v>184</v>
      </c>
      <c r="F218" s="871" t="str">
        <f>IF($B218="","",IF(SUMIFS(CONFIG_PALETES!$C:$C,CONFIG_PALETES!$A:$A,TRIM($B218),CONFIG_PALETES!$B:$B,$C218&amp;" ml")&gt;0,SUMIFS(CONFIG_PALETES!$C:$C,CONFIG_PALETES!$A:$A,TRIM($B218),CONFIG_PALETES!$B:$B,$C218&amp;" ml"),IF(SUMIFS(CONFIG_PALETES!$C:$C,CONFIG_PALETES!$A:$A,"GERAL",CONFIG_PALETES!$B:$B,$C218&amp;" ml")&gt;0,SUMIFS(CONFIG_PALETES!$C:$C,CONFIG_PALETES!$A:$A,"GERAL",CONFIG_PALETES!$B:$B,$C218&amp;" ml"),"")))</f>
        <v/>
      </c>
      <c r="G218" s="106" t="str">
        <f>IFERROR(ROUNDUP(D218/F218,0),"")</f>
        <v/>
      </c>
      <c r="H218" s="105"/>
      <c r="I218" s="104" t="str">
        <f>IF(H218="","",H218*IF(SUMIFS(CONFIG_PALETES!$D:$D,CONFIG_PALETES!$A:$A,IF(ISNUMBER(SEARCH("ESPUMA",$B218)),"ESPUMA",IF(OR(ISNUMBER(SEARCH("OLEO DE COCO",$B218)),ISNUMBER(SEARCH("ÓLEO DE COCO",$B218)),ISNUMBER(SEARCH("COPRA",$B218))),"ÓLEO DE COCO",IF(ISNUMBER(SEARCH("CORANTE",$B218)),"CORANTE",TRIM($B218)))),CONFIG_PALETES!$B:$B,$C218&amp;" ml")&gt;0,SUMIFS(CONFIG_PALETES!$D:$D,CONFIG_PALETES!$A:$A,IF(ISNUMBER(SEARCH("ESPUMA",$B218)),"ESPUMA",IF(OR(ISNUMBER(SEARCH("OLEO DE COCO",$B218)),ISNUMBER(SEARCH("ÓLEO DE COCO",$B218)),ISNUMBER(SEARCH("COPRA",$B218))),"ÓLEO DE COCO",IF(ISNUMBER(SEARCH("CORANTE",$B218)),"CORANTE",TRIM($B218)))),CONFIG_PALETES!$B:$B,$C218&amp;" ml"),IF(SUMIFS(CONFIG_PALETES!$D:$D,CONFIG_PALETES!$A:$A,"GERAL",CONFIG_PALETES!$B:$B,$C218&amp;" ml")&gt;0,SUMIFS(CONFIG_PALETES!$D:$D,CONFIG_PALETES!$A:$A,"GERAL",CONFIG_PALETES!$B:$B,$C218&amp;" ml"),12)))</f>
        <v/>
      </c>
    </row>
    <row r="219" spans="1:15" ht="21" customHeight="1" x14ac:dyDescent="0.3">
      <c r="A219" s="817"/>
      <c r="B219" s="818"/>
      <c r="C219" s="819"/>
      <c r="D219" s="820"/>
      <c r="E219" s="821" t="s">
        <v>184</v>
      </c>
      <c r="F219" s="872" t="str">
        <f>IF($B219="","",IF(SUMIFS(CONFIG_PALETES!$C:$C,CONFIG_PALETES!$A:$A,TRIM($B219),CONFIG_PALETES!$B:$B,$C219&amp;" ml")&gt;0,SUMIFS(CONFIG_PALETES!$C:$C,CONFIG_PALETES!$A:$A,TRIM($B219),CONFIG_PALETES!$B:$B,$C219&amp;" ml"),IF(SUMIFS(CONFIG_PALETES!$C:$C,CONFIG_PALETES!$A:$A,"GERAL",CONFIG_PALETES!$B:$B,$C219&amp;" ml")&gt;0,SUMIFS(CONFIG_PALETES!$C:$C,CONFIG_PALETES!$A:$A,"GERAL",CONFIG_PALETES!$B:$B,$C219&amp;" ml"),"")))</f>
        <v/>
      </c>
      <c r="G219" s="822" t="str">
        <f>IFERROR(ROUNDUP(D219/F219,0),"")</f>
        <v/>
      </c>
      <c r="H219" s="823"/>
      <c r="I219" s="820" t="str">
        <f>IF(H219="","",H219*IF(SUMIFS(CONFIG_PALETES!$D:$D,CONFIG_PALETES!$A:$A,IF(ISNUMBER(SEARCH("ESPUMA",$B219)),"ESPUMA",IF(OR(ISNUMBER(SEARCH("OLEO DE COCO",$B219)),ISNUMBER(SEARCH("ÓLEO DE COCO",$B219)),ISNUMBER(SEARCH("COPRA",$B219))),"ÓLEO DE COCO",IF(ISNUMBER(SEARCH("CORANTE",$B219)),"CORANTE",TRIM($B219)))),CONFIG_PALETES!$B:$B,$C219&amp;" ml")&gt;0,SUMIFS(CONFIG_PALETES!$D:$D,CONFIG_PALETES!$A:$A,IF(ISNUMBER(SEARCH("ESPUMA",$B219)),"ESPUMA",IF(OR(ISNUMBER(SEARCH("OLEO DE COCO",$B219)),ISNUMBER(SEARCH("ÓLEO DE COCO",$B219)),ISNUMBER(SEARCH("COPRA",$B219))),"ÓLEO DE COCO",IF(ISNUMBER(SEARCH("CORANTE",$B219)),"CORANTE",TRIM($B219)))),CONFIG_PALETES!$B:$B,$C219&amp;" ml"),IF(SUMIFS(CONFIG_PALETES!$D:$D,CONFIG_PALETES!$A:$A,"GERAL",CONFIG_PALETES!$B:$B,$C219&amp;" ml")&gt;0,SUMIFS(CONFIG_PALETES!$D:$D,CONFIG_PALETES!$A:$A,"GERAL",CONFIG_PALETES!$B:$B,$C219&amp;" ml"),12)))</f>
        <v/>
      </c>
    </row>
    <row r="220" spans="1:15" ht="14.25" customHeight="1" x14ac:dyDescent="0.3">
      <c r="A220" s="899"/>
      <c r="B220" s="846" t="s">
        <v>186</v>
      </c>
      <c r="C220" s="847"/>
      <c r="D220" s="848">
        <f>SUM(D213:D219)</f>
        <v>0</v>
      </c>
      <c r="E220" s="849"/>
      <c r="F220" s="856" t="s">
        <v>1400</v>
      </c>
      <c r="G220" s="850">
        <f>SUM(G213:G219)</f>
        <v>0</v>
      </c>
      <c r="H220" s="848">
        <f>SUM(H213:H219)</f>
        <v>0</v>
      </c>
      <c r="I220" s="848">
        <f>SUM(I213:I219)</f>
        <v>0</v>
      </c>
      <c r="J220" s="63">
        <f>D220</f>
        <v>0</v>
      </c>
      <c r="K220" s="93">
        <f>G220</f>
        <v>0</v>
      </c>
      <c r="L220" s="63">
        <f>H220</f>
        <v>0</v>
      </c>
      <c r="M220" s="63">
        <f>I220</f>
        <v>0</v>
      </c>
      <c r="N220" s="587" t="str" cm="1">
        <f t="array" ref="N220">IF(H220=0,"",SUMPRODUCT(IFERROR(INT(H215:H219/F215:F219),0)))</f>
        <v/>
      </c>
      <c r="O220" s="770" t="str">
        <f>IF(N220="","",MAX(0,G220-N220))</f>
        <v/>
      </c>
    </row>
    <row r="221" spans="1:15" ht="14.25" customHeight="1" x14ac:dyDescent="0.3">
      <c r="C221" s="65"/>
    </row>
    <row r="222" spans="1:15" ht="14.25" customHeight="1" x14ac:dyDescent="0.3">
      <c r="A222" s="75">
        <v>46234</v>
      </c>
      <c r="B222" s="113" t="s">
        <v>49</v>
      </c>
      <c r="C222" s="112" t="s">
        <v>176</v>
      </c>
      <c r="D222" s="111" t="s">
        <v>177</v>
      </c>
      <c r="E222" s="111" t="s">
        <v>178</v>
      </c>
      <c r="F222" s="860" t="s">
        <v>179</v>
      </c>
      <c r="G222" s="111" t="s">
        <v>180</v>
      </c>
      <c r="H222" s="111" t="s">
        <v>181</v>
      </c>
      <c r="I222" s="111" t="s">
        <v>182</v>
      </c>
    </row>
    <row r="223" spans="1:15" ht="21" customHeight="1" x14ac:dyDescent="0.3">
      <c r="A223" s="110"/>
      <c r="B223" s="109"/>
      <c r="C223" s="108"/>
      <c r="D223" s="104"/>
      <c r="E223" s="107" t="s">
        <v>184</v>
      </c>
      <c r="F223" s="871" t="str">
        <f>IF($B223="","",IF(SUMIFS(CONFIG_PALETES!$C:$C,CONFIG_PALETES!$A:$A,TRIM($B223),CONFIG_PALETES!$B:$B,$C223&amp;" ml")&gt;0,SUMIFS(CONFIG_PALETES!$C:$C,CONFIG_PALETES!$A:$A,TRIM($B223),CONFIG_PALETES!$B:$B,$C223&amp;" ml"),IF(SUMIFS(CONFIG_PALETES!$C:$C,CONFIG_PALETES!$A:$A,"GERAL",CONFIG_PALETES!$B:$B,$C223&amp;" ml")&gt;0,SUMIFS(CONFIG_PALETES!$C:$C,CONFIG_PALETES!$A:$A,"GERAL",CONFIG_PALETES!$B:$B,$C223&amp;" ml"),"")))</f>
        <v/>
      </c>
      <c r="G223" s="106" t="str">
        <f>IFERROR(ROUNDUP(D223/F223,0),"")</f>
        <v/>
      </c>
      <c r="H223" s="105"/>
      <c r="I223" s="104" t="str">
        <f>IF(H223="","",H223*IF(SUMIFS(CONFIG_PALETES!$D:$D,CONFIG_PALETES!$A:$A,IF(ISNUMBER(SEARCH("ESPUMA",$B223)),"ESPUMA",IF(OR(ISNUMBER(SEARCH("OLEO DE COCO",$B223)),ISNUMBER(SEARCH("ÓLEO DE COCO",$B223)),ISNUMBER(SEARCH("COPRA",$B223))),"ÓLEO DE COCO",IF(ISNUMBER(SEARCH("CORANTE",$B223)),"CORANTE",TRIM($B223)))),CONFIG_PALETES!$B:$B,$C223&amp;" ml")&gt;0,SUMIFS(CONFIG_PALETES!$D:$D,CONFIG_PALETES!$A:$A,IF(ISNUMBER(SEARCH("ESPUMA",$B223)),"ESPUMA",IF(OR(ISNUMBER(SEARCH("OLEO DE COCO",$B223)),ISNUMBER(SEARCH("ÓLEO DE COCO",$B223)),ISNUMBER(SEARCH("COPRA",$B223))),"ÓLEO DE COCO",IF(ISNUMBER(SEARCH("CORANTE",$B223)),"CORANTE",TRIM($B223)))),CONFIG_PALETES!$B:$B,$C223&amp;" ml"),IF(SUMIFS(CONFIG_PALETES!$D:$D,CONFIG_PALETES!$A:$A,"GERAL",CONFIG_PALETES!$B:$B,$C223&amp;" ml")&gt;0,SUMIFS(CONFIG_PALETES!$D:$D,CONFIG_PALETES!$A:$A,"GERAL",CONFIG_PALETES!$B:$B,$C223&amp;" ml"),12)))</f>
        <v/>
      </c>
    </row>
    <row r="224" spans="1:15" ht="21" customHeight="1" x14ac:dyDescent="0.3">
      <c r="A224" s="110"/>
      <c r="B224" s="109"/>
      <c r="C224" s="108"/>
      <c r="D224" s="104"/>
      <c r="E224" s="107" t="s">
        <v>184</v>
      </c>
      <c r="F224" s="871" t="str">
        <f>IF($B224="","",IF(SUMIFS(CONFIG_PALETES!$C:$C,CONFIG_PALETES!$A:$A,TRIM($B224),CONFIG_PALETES!$B:$B,$C224&amp;" ml")&gt;0,SUMIFS(CONFIG_PALETES!$C:$C,CONFIG_PALETES!$A:$A,TRIM($B224),CONFIG_PALETES!$B:$B,$C224&amp;" ml"),IF(SUMIFS(CONFIG_PALETES!$C:$C,CONFIG_PALETES!$A:$A,"GERAL",CONFIG_PALETES!$B:$B,$C224&amp;" ml")&gt;0,SUMIFS(CONFIG_PALETES!$C:$C,CONFIG_PALETES!$A:$A,"GERAL",CONFIG_PALETES!$B:$B,$C224&amp;" ml"),"")))</f>
        <v/>
      </c>
      <c r="G224" s="106" t="str">
        <f>IFERROR(ROUNDUP(D224/F224,0),"")</f>
        <v/>
      </c>
      <c r="H224" s="105"/>
      <c r="I224" s="104" t="str">
        <f>IF(H224="","",H224*IF(SUMIFS(CONFIG_PALETES!$D:$D,CONFIG_PALETES!$A:$A,IF(ISNUMBER(SEARCH("ESPUMA",$B224)),"ESPUMA",IF(OR(ISNUMBER(SEARCH("OLEO DE COCO",$B224)),ISNUMBER(SEARCH("ÓLEO DE COCO",$B224)),ISNUMBER(SEARCH("COPRA",$B224))),"ÓLEO DE COCO",IF(ISNUMBER(SEARCH("CORANTE",$B224)),"CORANTE",TRIM($B224)))),CONFIG_PALETES!$B:$B,$C224&amp;" ml")&gt;0,SUMIFS(CONFIG_PALETES!$D:$D,CONFIG_PALETES!$A:$A,IF(ISNUMBER(SEARCH("ESPUMA",$B224)),"ESPUMA",IF(OR(ISNUMBER(SEARCH("OLEO DE COCO",$B224)),ISNUMBER(SEARCH("ÓLEO DE COCO",$B224)),ISNUMBER(SEARCH("COPRA",$B224))),"ÓLEO DE COCO",IF(ISNUMBER(SEARCH("CORANTE",$B224)),"CORANTE",TRIM($B224)))),CONFIG_PALETES!$B:$B,$C224&amp;" ml"),IF(SUMIFS(CONFIG_PALETES!$D:$D,CONFIG_PALETES!$A:$A,"GERAL",CONFIG_PALETES!$B:$B,$C224&amp;" ml")&gt;0,SUMIFS(CONFIG_PALETES!$D:$D,CONFIG_PALETES!$A:$A,"GERAL",CONFIG_PALETES!$B:$B,$C224&amp;" ml"),12)))</f>
        <v/>
      </c>
    </row>
    <row r="225" spans="1:15" ht="21" customHeight="1" x14ac:dyDescent="0.3">
      <c r="A225" s="110"/>
      <c r="B225" s="109"/>
      <c r="C225" s="108"/>
      <c r="D225" s="104"/>
      <c r="E225" s="107" t="s">
        <v>184</v>
      </c>
      <c r="F225" s="871" t="str">
        <f>IF($B225="","",IF(SUMIFS(CONFIG_PALETES!$C:$C,CONFIG_PALETES!$A:$A,TRIM($B225),CONFIG_PALETES!$B:$B,$C225&amp;" ml")&gt;0,SUMIFS(CONFIG_PALETES!$C:$C,CONFIG_PALETES!$A:$A,TRIM($B225),CONFIG_PALETES!$B:$B,$C225&amp;" ml"),IF(SUMIFS(CONFIG_PALETES!$C:$C,CONFIG_PALETES!$A:$A,"GERAL",CONFIG_PALETES!$B:$B,$C225&amp;" ml")&gt;0,SUMIFS(CONFIG_PALETES!$C:$C,CONFIG_PALETES!$A:$A,"GERAL",CONFIG_PALETES!$B:$B,$C225&amp;" ml"),"")))</f>
        <v/>
      </c>
      <c r="G225" s="106" t="str">
        <f>IFERROR(ROUNDUP(D225/F225,0),"")</f>
        <v/>
      </c>
      <c r="H225" s="105"/>
      <c r="I225" s="104" t="str">
        <f>IF(H225="","",H225*IF(SUMIFS(CONFIG_PALETES!$D:$D,CONFIG_PALETES!$A:$A,IF(ISNUMBER(SEARCH("ESPUMA",$B225)),"ESPUMA",IF(OR(ISNUMBER(SEARCH("OLEO DE COCO",$B225)),ISNUMBER(SEARCH("ÓLEO DE COCO",$B225)),ISNUMBER(SEARCH("COPRA",$B225))),"ÓLEO DE COCO",IF(ISNUMBER(SEARCH("CORANTE",$B225)),"CORANTE",TRIM($B225)))),CONFIG_PALETES!$B:$B,$C225&amp;" ml")&gt;0,SUMIFS(CONFIG_PALETES!$D:$D,CONFIG_PALETES!$A:$A,IF(ISNUMBER(SEARCH("ESPUMA",$B225)),"ESPUMA",IF(OR(ISNUMBER(SEARCH("OLEO DE COCO",$B225)),ISNUMBER(SEARCH("ÓLEO DE COCO",$B225)),ISNUMBER(SEARCH("COPRA",$B225))),"ÓLEO DE COCO",IF(ISNUMBER(SEARCH("CORANTE",$B225)),"CORANTE",TRIM($B225)))),CONFIG_PALETES!$B:$B,$C225&amp;" ml"),IF(SUMIFS(CONFIG_PALETES!$D:$D,CONFIG_PALETES!$A:$A,"GERAL",CONFIG_PALETES!$B:$B,$C225&amp;" ml")&gt;0,SUMIFS(CONFIG_PALETES!$D:$D,CONFIG_PALETES!$A:$A,"GERAL",CONFIG_PALETES!$B:$B,$C225&amp;" ml"),12)))</f>
        <v/>
      </c>
    </row>
    <row r="226" spans="1:15" ht="21" customHeight="1" x14ac:dyDescent="0.3">
      <c r="A226" s="110"/>
      <c r="B226" s="109"/>
      <c r="C226" s="108"/>
      <c r="D226" s="104"/>
      <c r="E226" s="107" t="s">
        <v>184</v>
      </c>
      <c r="F226" s="871" t="str">
        <f>IF($B226="","",IF(SUMIFS(CONFIG_PALETES!$C:$C,CONFIG_PALETES!$A:$A,TRIM($B226),CONFIG_PALETES!$B:$B,$C226&amp;" ml")&gt;0,SUMIFS(CONFIG_PALETES!$C:$C,CONFIG_PALETES!$A:$A,TRIM($B226),CONFIG_PALETES!$B:$B,$C226&amp;" ml"),IF(SUMIFS(CONFIG_PALETES!$C:$C,CONFIG_PALETES!$A:$A,"GERAL",CONFIG_PALETES!$B:$B,$C226&amp;" ml")&gt;0,SUMIFS(CONFIG_PALETES!$C:$C,CONFIG_PALETES!$A:$A,"GERAL",CONFIG_PALETES!$B:$B,$C226&amp;" ml"),"")))</f>
        <v/>
      </c>
      <c r="G226" s="106" t="str">
        <f>IFERROR(ROUNDUP(D226/F226,0),"")</f>
        <v/>
      </c>
      <c r="H226" s="105"/>
      <c r="I226" s="104" t="str">
        <f>IF(H226="","",H226*IF(SUMIFS(CONFIG_PALETES!$D:$D,CONFIG_PALETES!$A:$A,IF(ISNUMBER(SEARCH("ESPUMA",$B226)),"ESPUMA",IF(OR(ISNUMBER(SEARCH("OLEO DE COCO",$B226)),ISNUMBER(SEARCH("ÓLEO DE COCO",$B226)),ISNUMBER(SEARCH("COPRA",$B226))),"ÓLEO DE COCO",IF(ISNUMBER(SEARCH("CORANTE",$B226)),"CORANTE",TRIM($B226)))),CONFIG_PALETES!$B:$B,$C226&amp;" ml")&gt;0,SUMIFS(CONFIG_PALETES!$D:$D,CONFIG_PALETES!$A:$A,IF(ISNUMBER(SEARCH("ESPUMA",$B226)),"ESPUMA",IF(OR(ISNUMBER(SEARCH("OLEO DE COCO",$B226)),ISNUMBER(SEARCH("ÓLEO DE COCO",$B226)),ISNUMBER(SEARCH("COPRA",$B226))),"ÓLEO DE COCO",IF(ISNUMBER(SEARCH("CORANTE",$B226)),"CORANTE",TRIM($B226)))),CONFIG_PALETES!$B:$B,$C226&amp;" ml"),IF(SUMIFS(CONFIG_PALETES!$D:$D,CONFIG_PALETES!$A:$A,"GERAL",CONFIG_PALETES!$B:$B,$C226&amp;" ml")&gt;0,SUMIFS(CONFIG_PALETES!$D:$D,CONFIG_PALETES!$A:$A,"GERAL",CONFIG_PALETES!$B:$B,$C226&amp;" ml"),12)))</f>
        <v/>
      </c>
    </row>
    <row r="227" spans="1:15" ht="21" customHeight="1" x14ac:dyDescent="0.3">
      <c r="A227" s="817"/>
      <c r="B227" s="818"/>
      <c r="C227" s="819"/>
      <c r="D227" s="820"/>
      <c r="E227" s="821" t="s">
        <v>184</v>
      </c>
      <c r="F227" s="872" t="str">
        <f>IF($B227="","",IF(SUMIFS(CONFIG_PALETES!$C:$C,CONFIG_PALETES!$A:$A,TRIM($B227),CONFIG_PALETES!$B:$B,$C227&amp;" ml")&gt;0,SUMIFS(CONFIG_PALETES!$C:$C,CONFIG_PALETES!$A:$A,TRIM($B227),CONFIG_PALETES!$B:$B,$C227&amp;" ml"),IF(SUMIFS(CONFIG_PALETES!$C:$C,CONFIG_PALETES!$A:$A,"GERAL",CONFIG_PALETES!$B:$B,$C227&amp;" ml")&gt;0,SUMIFS(CONFIG_PALETES!$C:$C,CONFIG_PALETES!$A:$A,"GERAL",CONFIG_PALETES!$B:$B,$C227&amp;" ml"),"")))</f>
        <v/>
      </c>
      <c r="G227" s="822" t="str">
        <f>IFERROR(ROUNDUP(D227/F227,0),"")</f>
        <v/>
      </c>
      <c r="H227" s="823"/>
      <c r="I227" s="820" t="str">
        <f>IF(H227="","",H227*IF(SUMIFS(CONFIG_PALETES!$D:$D,CONFIG_PALETES!$A:$A,IF(ISNUMBER(SEARCH("ESPUMA",$B227)),"ESPUMA",IF(OR(ISNUMBER(SEARCH("OLEO DE COCO",$B227)),ISNUMBER(SEARCH("ÓLEO DE COCO",$B227)),ISNUMBER(SEARCH("COPRA",$B227))),"ÓLEO DE COCO",IF(ISNUMBER(SEARCH("CORANTE",$B227)),"CORANTE",TRIM($B227)))),CONFIG_PALETES!$B:$B,$C227&amp;" ml")&gt;0,SUMIFS(CONFIG_PALETES!$D:$D,CONFIG_PALETES!$A:$A,IF(ISNUMBER(SEARCH("ESPUMA",$B227)),"ESPUMA",IF(OR(ISNUMBER(SEARCH("OLEO DE COCO",$B227)),ISNUMBER(SEARCH("ÓLEO DE COCO",$B227)),ISNUMBER(SEARCH("COPRA",$B227))),"ÓLEO DE COCO",IF(ISNUMBER(SEARCH("CORANTE",$B227)),"CORANTE",TRIM($B227)))),CONFIG_PALETES!$B:$B,$C227&amp;" ml"),IF(SUMIFS(CONFIG_PALETES!$D:$D,CONFIG_PALETES!$A:$A,"GERAL",CONFIG_PALETES!$B:$B,$C227&amp;" ml")&gt;0,SUMIFS(CONFIG_PALETES!$D:$D,CONFIG_PALETES!$A:$A,"GERAL",CONFIG_PALETES!$B:$B,$C227&amp;" ml"),12)))</f>
        <v/>
      </c>
    </row>
    <row r="228" spans="1:15" ht="14.25" customHeight="1" x14ac:dyDescent="0.3">
      <c r="A228" s="899"/>
      <c r="B228" s="846" t="s">
        <v>186</v>
      </c>
      <c r="C228" s="847"/>
      <c r="D228" s="848">
        <f>SUM(D221:D227)</f>
        <v>0</v>
      </c>
      <c r="E228" s="849"/>
      <c r="F228" s="856" t="s">
        <v>1400</v>
      </c>
      <c r="G228" s="850">
        <f>SUM(G221:G227)</f>
        <v>0</v>
      </c>
      <c r="H228" s="848">
        <f>SUM(H221:H227)</f>
        <v>0</v>
      </c>
      <c r="I228" s="848">
        <f>SUM(I221:I227)</f>
        <v>0</v>
      </c>
      <c r="J228" s="63">
        <f>D228</f>
        <v>0</v>
      </c>
      <c r="K228" s="93">
        <f>G228</f>
        <v>0</v>
      </c>
      <c r="L228" s="63">
        <f>H228</f>
        <v>0</v>
      </c>
      <c r="M228" s="63">
        <f>I228</f>
        <v>0</v>
      </c>
      <c r="N228" s="587" t="str" cm="1">
        <f t="array" ref="N228">IF(H228=0,"",SUMPRODUCT(IFERROR(INT(H223:H227/F223:F227),0)))</f>
        <v/>
      </c>
      <c r="O228" s="770" t="str">
        <f>IF(N228="","",MAX(0,G228-N228))</f>
        <v/>
      </c>
    </row>
  </sheetData>
  <mergeCells count="3">
    <mergeCell ref="A1:I1"/>
    <mergeCell ref="A2:F2"/>
    <mergeCell ref="G2:I2"/>
  </mergeCells>
  <dataValidations count="6">
    <dataValidation type="list" allowBlank="1" errorTitle="Embalagem inválida" error="Escolha uma embalagem compatível com o produto." promptTitle="Selecione a embalagem" prompt="As opções mudam conforme o produto escolhido." sqref="C1:C3 C9:C11 C17:C19 C25:C27 C33:C35 C41:C43 C50:C52 C59:C61 C67:C69 C75:C77 C83:C85 C92:C94 C100:C102 C108:C110 C116:C118 C125:C127 C133:C135 C142:C144 C150:C152 C160:C162 C170:C172 C180:C182 C188:C190 C196:C198 C204:C206 C212:C214 C220:C222 C228:C1196" xr:uid="{00000000-0002-0000-16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227" xr:uid="{92CB0D49-A6CF-42AF-B274-78D87ADB6A51}">
      <formula1>INDIRECT(IF(OR(ISNUMBER(SEARCH("ICEBERG ICE",UPPER(TRIM($B227)))),ISNUMBER(SEARCH("ICE ICEBERG",UPPER(TRIM($B227)))),ISNUMBER(SEARCH("GELINHO ICEBERG",UPPER(TRIM($B227))))),"$AJ$2:$AJ$2",IF(ISNUMBER(SEARCH("ESPUMA",$B227)),"$AI$2:$AI$2",IF(ISNUMBER(SEARCH("CORANTE",$B227)),"$AN$2:$AN$2",IFERROR(INDEX($AB$2:$AB$139,MATCH(UPPER(TRIM($B227)),$AA$2:$AA$139,0)),"$AO$2:$AO$9")))))</formula1>
    </dataValidation>
    <dataValidation type="list" allowBlank="1" errorTitle="Embalagem inválida" error="Escolha uma embalagem compatível com o produto." promptTitle="Selecione a embalagem" prompt="As opções mudam conforme o produto digitado." sqref="C226" xr:uid="{B019C2C1-B601-4429-9360-989F6054EE26}">
      <formula1>INDIRECT(IF(OR(ISNUMBER(SEARCH("ICEBERG ICE",UPPER(TRIM($B226)))),ISNUMBER(SEARCH("ICE ICEBERG",UPPER(TRIM($B226)))),ISNUMBER(SEARCH("GELINHO ICEBERG",UPPER(TRIM($B226))))),"$AJ$2:$AJ$2",IF(ISNUMBER(SEARCH("ESPUMA",$B226)),"$AI$2:$AI$2",IF(ISNUMBER(SEARCH("CORANTE",$B226)),"$AN$2:$AN$2",IFERROR(INDEX($AB$2:$AB$139,MATCH(UPPER(TRIM($B226)),$AA$2:$AA$139,0)),"$AO$2:$AO$9")))))</formula1>
    </dataValidation>
    <dataValidation type="list" allowBlank="1" errorTitle="Embalagem inválida" error="Escolha uma embalagem compatível com o produto." promptTitle="Selecione a embalagem" prompt="As opções mudam conforme o produto digitado." sqref="C225" xr:uid="{8CD8C9C7-4F2C-4EBD-910C-DF6E7D52BA00}">
      <formula1>INDIRECT(IF(OR(ISNUMBER(SEARCH("ICEBERG ICE",UPPER(TRIM($B225)))),ISNUMBER(SEARCH("ICE ICEBERG",UPPER(TRIM($B225)))),ISNUMBER(SEARCH("GELINHO ICEBERG",UPPER(TRIM($B225))))),"$AJ$2:$AJ$2",IF(ISNUMBER(SEARCH("ESPUMA",$B225)),"$AI$2:$AI$2",IF(ISNUMBER(SEARCH("CORANTE",$B225)),"$AN$2:$AN$2",IFERROR(INDEX($AB$2:$AB$139,MATCH(UPPER(TRIM($B225)),$AA$2:$AA$139,0)),"$AO$2:$AO$9")))))</formula1>
    </dataValidation>
    <dataValidation type="list" allowBlank="1" errorTitle="Embalagem inválida" error="Escolha uma embalagem compatível com o produto." promptTitle="Selecione a embalagem" prompt="As opções mudam conforme o produto digitado." sqref="C224" xr:uid="{4F57DA1F-98FA-4CA3-A092-383F36841F16}">
      <formula1>INDIRECT(IF(OR(ISNUMBER(SEARCH("ICEBERG ICE",UPPER(TRIM($B224)))),ISNUMBER(SEARCH("ICE ICEBERG",UPPER(TRIM($B224)))),ISNUMBER(SEARCH("GELINHO ICEBERG",UPPER(TRIM($B224))))),"$AJ$2:$AJ$2",IF(ISNUMBER(SEARCH("ESPUMA",$B224)),"$AI$2:$AI$2",IF(ISNUMBER(SEARCH("CORANTE",$B224)),"$AN$2:$AN$2",IFERROR(INDEX($AB$2:$AB$139,MATCH(UPPER(TRIM($B224)),$AA$2:$AA$139,0)),"$AO$2:$AO$9")))))</formula1>
    </dataValidation>
    <dataValidation type="list" allowBlank="1" errorTitle="Embalagem inválida" error="Escolha uma embalagem compatível com o produto." promptTitle="Selecione a embalagem" prompt="As opções mudam conforme o produto digitado." sqref="C4 C5 C6 C7 C8 C12 C13 C14 C15 C16 C20 C21 C22 C23 C24 C28 C29 C30 C31 C32 C36 C37 C38 C39 C40 C44 C45 C46 C47 C48 C49 C53 C54 C55 C56 C57 C58 C62 C63 C64 C65 C66 C70 C71 C72 C73 C74 C78 C79 C80 C81 C82 C86 C87 C88 C89 C90 C91 C95 C96 C97 C98 C99 C103 C104 C105 C106 C107 C111 C112 C113 C114 C115 C119 C120 C121 C122 C123 C124 C128 C129 C130 C131 C132 C136 C137 C138 C139 C140 C141 C145 C146 C147 C148 C149 C153 C154 C155 C156 C157 C158 C159 C163 C164 C165 C166 C167 C168 C169 C173 C174 C175 C176 C177 C178 C179 C183 C184 C185 C186 C187 C191 C192 C193 C194 C195 C199 C200 C201 C202 C203 C207 C208 C209 C210 C211 C215 C216 C217 C218 C219 C223" xr:uid="{7B927F99-C150-47CB-93D7-C5C16B78EE5B}">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18ED-DF58-4919-93C0-7299E0E61836}">
  <sheetPr>
    <tabColor rgb="FF0F766E"/>
  </sheetPr>
  <dimension ref="A1:Y59"/>
  <sheetViews>
    <sheetView showGridLines="0" topLeftCell="A11" zoomScale="90" zoomScaleNormal="90" workbookViewId="0">
      <selection activeCell="F43" sqref="F43"/>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610</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SUM(C9:C35)</f>
        <v>241080</v>
      </c>
      <c r="C4" s="424"/>
      <c r="D4" s="435">
        <f>SUM(D9:D35)</f>
        <v>220000</v>
      </c>
      <c r="E4" s="424"/>
      <c r="F4" s="435">
        <f>IFERROR(SUM(C9:C35)/COUNTIF(C9:C35,"&gt;0"),0)</f>
        <v>12054</v>
      </c>
      <c r="G4" s="424"/>
      <c r="H4" s="435">
        <f>IFERROR(MAX(C9:C35),0)</f>
        <v>20076</v>
      </c>
      <c r="I4" s="424"/>
      <c r="J4" s="436">
        <f>IFERROR(B4/D4,0)</f>
        <v>1.0958181818181818</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46204</v>
      </c>
      <c r="B9" s="414">
        <f>IF(D9&gt;0,COUNTIF($D$9:D9,"&gt;0"),"")</f>
        <v>1</v>
      </c>
      <c r="C9" s="888">
        <f>'SEMANA JULHO'!$M$9</f>
        <v>10626</v>
      </c>
      <c r="D9" s="888">
        <f>IF(C9&gt;0,CONFIG!$B$3,0)</f>
        <v>11000</v>
      </c>
      <c r="E9" s="889">
        <f t="shared" ref="E9:E35" si="0">IF(C9&gt;0,C9-D9,0)</f>
        <v>-374</v>
      </c>
      <c r="F9" s="463" t="s">
        <v>1167</v>
      </c>
      <c r="G9" s="424"/>
      <c r="H9" s="424"/>
      <c r="I9" s="424"/>
      <c r="J9" s="424"/>
      <c r="K9" s="424"/>
      <c r="L9" s="424"/>
      <c r="M9" s="424"/>
      <c r="N9" s="424"/>
      <c r="O9" s="424"/>
      <c r="P9" s="93">
        <f t="shared" ref="P9:P35" si="1">B9</f>
        <v>1</v>
      </c>
      <c r="Q9" s="1">
        <f t="shared" ref="Q9:Q35" si="2">IF(AND($C9&gt;0,$C9&lt;$D9),$C9,NA())</f>
        <v>10626</v>
      </c>
      <c r="R9" s="1" t="e">
        <f t="shared" ref="R9:R35" si="3">IF(AND($C9&gt;0,$C9=$D9),$C9,NA())</f>
        <v>#N/A</v>
      </c>
      <c r="S9" s="1" t="e">
        <f t="shared" ref="S9:S35" si="4">IF(AND($C9&gt;0,$C9&gt;$D9),$C9,NA())</f>
        <v>#N/A</v>
      </c>
      <c r="X9" s="63">
        <f t="shared" ref="X9:X31" si="5">IF(COUNTIF($F9,"*Feriado*")&gt;0,NA(),$C9)</f>
        <v>10626</v>
      </c>
      <c r="Y9" s="63">
        <f t="shared" ref="Y9:Y31" si="6">IF(COUNTIF($F9,"*Feriado*")&gt;0,NA(),$D9)</f>
        <v>11000</v>
      </c>
    </row>
    <row r="10" spans="1:25" ht="27.6" x14ac:dyDescent="0.3">
      <c r="A10" s="412">
        <v>46205</v>
      </c>
      <c r="B10" s="414">
        <f>IF(D10&gt;0,COUNTIF($D$9:D10,"&gt;0"),"")</f>
        <v>2</v>
      </c>
      <c r="C10" s="888">
        <f>'SEMANA JULHO'!$M$17</f>
        <v>7872</v>
      </c>
      <c r="D10" s="888">
        <f>IF(C10&gt;0,CONFIG!$B$3,0)</f>
        <v>11000</v>
      </c>
      <c r="E10" s="889">
        <f t="shared" si="0"/>
        <v>-3128</v>
      </c>
      <c r="F10" s="444" t="s">
        <v>1174</v>
      </c>
      <c r="G10" s="424"/>
      <c r="H10" s="424"/>
      <c r="I10" s="424"/>
      <c r="J10" s="424"/>
      <c r="K10" s="424"/>
      <c r="L10" s="424"/>
      <c r="M10" s="424"/>
      <c r="N10" s="424"/>
      <c r="O10" s="424"/>
      <c r="P10" s="93">
        <f t="shared" si="1"/>
        <v>2</v>
      </c>
      <c r="Q10" s="1">
        <f t="shared" si="2"/>
        <v>7872</v>
      </c>
      <c r="R10" s="1" t="e">
        <f t="shared" si="3"/>
        <v>#N/A</v>
      </c>
      <c r="S10" s="1" t="e">
        <f t="shared" si="4"/>
        <v>#N/A</v>
      </c>
      <c r="X10" s="63">
        <f t="shared" si="5"/>
        <v>7872</v>
      </c>
      <c r="Y10" s="63">
        <f t="shared" si="6"/>
        <v>11000</v>
      </c>
    </row>
    <row r="11" spans="1:25" x14ac:dyDescent="0.3">
      <c r="A11" s="412">
        <v>46206</v>
      </c>
      <c r="B11" s="414">
        <f>IF(D11&gt;0,COUNTIF($D$9:D11,"&gt;0"),"")</f>
        <v>3</v>
      </c>
      <c r="C11" s="888">
        <f>'SEMANA JULHO'!$M$25</f>
        <v>9480</v>
      </c>
      <c r="D11" s="888">
        <f>IF(C11&gt;0,CONFIG!$B$3,0)</f>
        <v>11000</v>
      </c>
      <c r="E11" s="889">
        <f t="shared" si="0"/>
        <v>-1520</v>
      </c>
      <c r="F11" s="444"/>
      <c r="G11" s="424"/>
      <c r="H11" s="424"/>
      <c r="I11" s="424"/>
      <c r="J11" s="424"/>
      <c r="K11" s="424"/>
      <c r="L11" s="424"/>
      <c r="M11" s="424"/>
      <c r="N11" s="424"/>
      <c r="O11" s="424"/>
      <c r="P11" s="93">
        <f t="shared" si="1"/>
        <v>3</v>
      </c>
      <c r="Q11" s="1">
        <f t="shared" si="2"/>
        <v>9480</v>
      </c>
      <c r="R11" s="1" t="e">
        <f t="shared" si="3"/>
        <v>#N/A</v>
      </c>
      <c r="S11" s="1" t="e">
        <f t="shared" si="4"/>
        <v>#N/A</v>
      </c>
      <c r="X11" s="63">
        <f t="shared" si="5"/>
        <v>9480</v>
      </c>
      <c r="Y11" s="63">
        <f t="shared" si="6"/>
        <v>11000</v>
      </c>
    </row>
    <row r="12" spans="1:25" x14ac:dyDescent="0.3">
      <c r="A12" s="412">
        <v>46207</v>
      </c>
      <c r="B12" s="414">
        <f>IF(D12&gt;0,COUNTIF($D$9:D12,"&gt;0"),"")</f>
        <v>4</v>
      </c>
      <c r="C12" s="888">
        <f>'SEMANA JULHO'!$M$33</f>
        <v>10704</v>
      </c>
      <c r="D12" s="888">
        <f>IF(C12&gt;0,CONFIG!$B$3,0)</f>
        <v>11000</v>
      </c>
      <c r="E12" s="889">
        <f t="shared" si="0"/>
        <v>-296</v>
      </c>
      <c r="F12" s="459" t="s">
        <v>512</v>
      </c>
      <c r="G12" s="424"/>
      <c r="H12" s="424"/>
      <c r="I12" s="424"/>
      <c r="J12" s="424"/>
      <c r="K12" s="424"/>
      <c r="L12" s="424"/>
      <c r="M12" s="424"/>
      <c r="N12" s="424"/>
      <c r="O12" s="424"/>
      <c r="P12" s="93">
        <f t="shared" si="1"/>
        <v>4</v>
      </c>
      <c r="Q12" s="1">
        <f t="shared" si="2"/>
        <v>10704</v>
      </c>
      <c r="R12" s="1" t="e">
        <f t="shared" si="3"/>
        <v>#N/A</v>
      </c>
      <c r="S12" s="1" t="e">
        <f t="shared" si="4"/>
        <v>#N/A</v>
      </c>
      <c r="X12" s="63">
        <f t="shared" si="5"/>
        <v>10704</v>
      </c>
      <c r="Y12" s="63">
        <f t="shared" si="6"/>
        <v>11000</v>
      </c>
    </row>
    <row r="13" spans="1:25" x14ac:dyDescent="0.3">
      <c r="A13" s="412">
        <v>46209</v>
      </c>
      <c r="B13" s="414">
        <f>IF(D13&gt;0,COUNTIF($D$9:D13,"&gt;0"),"")</f>
        <v>5</v>
      </c>
      <c r="C13" s="888">
        <f>'SEMANA JULHO'!$M$41</f>
        <v>14940</v>
      </c>
      <c r="D13" s="888">
        <f>IF(C13&gt;0,CONFIG!$B$3,0)</f>
        <v>11000</v>
      </c>
      <c r="E13" s="889">
        <f t="shared" si="0"/>
        <v>3940</v>
      </c>
      <c r="F13" s="444"/>
      <c r="G13" s="424"/>
      <c r="H13" s="424"/>
      <c r="I13" s="424"/>
      <c r="J13" s="424"/>
      <c r="K13" s="424"/>
      <c r="L13" s="424"/>
      <c r="M13" s="424"/>
      <c r="N13" s="424"/>
      <c r="O13" s="424"/>
      <c r="P13" s="93">
        <f t="shared" si="1"/>
        <v>5</v>
      </c>
      <c r="Q13" s="1" t="e">
        <f t="shared" si="2"/>
        <v>#N/A</v>
      </c>
      <c r="R13" s="1" t="e">
        <f t="shared" si="3"/>
        <v>#N/A</v>
      </c>
      <c r="S13" s="1">
        <f t="shared" si="4"/>
        <v>14940</v>
      </c>
      <c r="X13" s="63">
        <f t="shared" si="5"/>
        <v>14940</v>
      </c>
      <c r="Y13" s="63">
        <f t="shared" si="6"/>
        <v>11000</v>
      </c>
    </row>
    <row r="14" spans="1:25" x14ac:dyDescent="0.3">
      <c r="A14" s="412">
        <v>46210</v>
      </c>
      <c r="B14" s="414">
        <f>IF(D14&gt;0,COUNTIF($D$9:D14,"&gt;0"),"")</f>
        <v>6</v>
      </c>
      <c r="C14" s="888">
        <f>'SEMANA JULHO'!$M$50</f>
        <v>8352</v>
      </c>
      <c r="D14" s="888">
        <f>IF(C14&gt;0,CONFIG!$B$3,0)</f>
        <v>11000</v>
      </c>
      <c r="E14" s="889">
        <f t="shared" si="0"/>
        <v>-2648</v>
      </c>
      <c r="F14" s="444" t="s">
        <v>1228</v>
      </c>
      <c r="G14" s="424"/>
      <c r="H14" s="424"/>
      <c r="I14" s="424"/>
      <c r="J14" s="424"/>
      <c r="K14" s="424"/>
      <c r="L14" s="424"/>
      <c r="M14" s="424"/>
      <c r="N14" s="424"/>
      <c r="O14" s="424"/>
      <c r="P14" s="93">
        <f t="shared" si="1"/>
        <v>6</v>
      </c>
      <c r="Q14" s="1">
        <f t="shared" si="2"/>
        <v>8352</v>
      </c>
      <c r="R14" s="1" t="e">
        <f t="shared" si="3"/>
        <v>#N/A</v>
      </c>
      <c r="S14" s="1" t="e">
        <f t="shared" si="4"/>
        <v>#N/A</v>
      </c>
      <c r="X14" s="63">
        <f t="shared" si="5"/>
        <v>8352</v>
      </c>
      <c r="Y14" s="63">
        <f t="shared" si="6"/>
        <v>11000</v>
      </c>
    </row>
    <row r="15" spans="1:25" x14ac:dyDescent="0.3">
      <c r="A15" s="412">
        <v>46211</v>
      </c>
      <c r="B15" s="414">
        <f>IF(D15&gt;0,COUNTIF($D$9:D15,"&gt;0"),"")</f>
        <v>7</v>
      </c>
      <c r="C15" s="888">
        <f>'SEMANA JULHO'!$M$59</f>
        <v>12066</v>
      </c>
      <c r="D15" s="888">
        <f>IF(C15&gt;0,CONFIG!$B$3,0)</f>
        <v>11000</v>
      </c>
      <c r="E15" s="889">
        <f t="shared" si="0"/>
        <v>1066</v>
      </c>
      <c r="F15" s="444"/>
      <c r="G15" s="424"/>
      <c r="H15" s="424"/>
      <c r="I15" s="424"/>
      <c r="J15" s="424"/>
      <c r="K15" s="424"/>
      <c r="L15" s="424"/>
      <c r="M15" s="424"/>
      <c r="N15" s="424"/>
      <c r="O15" s="424"/>
      <c r="P15" s="93">
        <f t="shared" si="1"/>
        <v>7</v>
      </c>
      <c r="Q15" s="1" t="e">
        <f t="shared" si="2"/>
        <v>#N/A</v>
      </c>
      <c r="R15" s="1" t="e">
        <f t="shared" si="3"/>
        <v>#N/A</v>
      </c>
      <c r="S15" s="1">
        <f t="shared" si="4"/>
        <v>12066</v>
      </c>
      <c r="X15" s="63">
        <f t="shared" si="5"/>
        <v>12066</v>
      </c>
      <c r="Y15" s="63">
        <f t="shared" si="6"/>
        <v>11000</v>
      </c>
    </row>
    <row r="16" spans="1:25" x14ac:dyDescent="0.3">
      <c r="A16" s="412">
        <v>46212</v>
      </c>
      <c r="B16" s="414">
        <f>IF(D16&gt;0,COUNTIF($D$9:D16,"&gt;0"),"")</f>
        <v>8</v>
      </c>
      <c r="C16" s="888">
        <f>'SEMANA JULHO'!$M$67</f>
        <v>17208</v>
      </c>
      <c r="D16" s="888">
        <f>IF(C16&gt;0,CONFIG!$B$3,0)</f>
        <v>11000</v>
      </c>
      <c r="E16" s="889">
        <f t="shared" si="0"/>
        <v>6208</v>
      </c>
      <c r="F16" s="444"/>
      <c r="G16" s="424"/>
      <c r="H16" s="424"/>
      <c r="I16" s="424"/>
      <c r="J16" s="424"/>
      <c r="K16" s="424"/>
      <c r="L16" s="424"/>
      <c r="M16" s="424"/>
      <c r="N16" s="424"/>
      <c r="O16" s="424"/>
      <c r="P16" s="93">
        <f t="shared" si="1"/>
        <v>8</v>
      </c>
      <c r="Q16" s="1" t="e">
        <f t="shared" si="2"/>
        <v>#N/A</v>
      </c>
      <c r="R16" s="1" t="e">
        <f t="shared" si="3"/>
        <v>#N/A</v>
      </c>
      <c r="S16" s="1">
        <f t="shared" si="4"/>
        <v>17208</v>
      </c>
      <c r="X16" s="63">
        <f t="shared" si="5"/>
        <v>17208</v>
      </c>
      <c r="Y16" s="63">
        <f t="shared" si="6"/>
        <v>11000</v>
      </c>
    </row>
    <row r="17" spans="1:25" ht="27.6" x14ac:dyDescent="0.3">
      <c r="A17" s="412">
        <v>46213</v>
      </c>
      <c r="B17" s="414">
        <f>IF(D17&gt;0,COUNTIF($D$9:D17,"&gt;0"),"")</f>
        <v>9</v>
      </c>
      <c r="C17" s="888">
        <f>'SEMANA JULHO'!$M$75</f>
        <v>15600</v>
      </c>
      <c r="D17" s="888">
        <f>IF(C17&gt;0,CONFIG!$B$3,0)</f>
        <v>11000</v>
      </c>
      <c r="E17" s="889">
        <f t="shared" si="0"/>
        <v>4600</v>
      </c>
      <c r="F17" s="444" t="s">
        <v>1232</v>
      </c>
      <c r="G17" s="424"/>
      <c r="H17" s="424"/>
      <c r="I17" s="424"/>
      <c r="J17" s="424"/>
      <c r="K17" s="424"/>
      <c r="L17" s="424"/>
      <c r="M17" s="424"/>
      <c r="N17" s="424"/>
      <c r="O17" s="424"/>
      <c r="P17" s="93">
        <f t="shared" si="1"/>
        <v>9</v>
      </c>
      <c r="Q17" s="1" t="e">
        <f t="shared" si="2"/>
        <v>#N/A</v>
      </c>
      <c r="R17" s="1" t="e">
        <f t="shared" si="3"/>
        <v>#N/A</v>
      </c>
      <c r="S17" s="1">
        <f t="shared" si="4"/>
        <v>15600</v>
      </c>
      <c r="X17" s="63">
        <f t="shared" si="5"/>
        <v>15600</v>
      </c>
      <c r="Y17" s="63">
        <f t="shared" si="6"/>
        <v>11000</v>
      </c>
    </row>
    <row r="18" spans="1:25" ht="41.4" x14ac:dyDescent="0.3">
      <c r="A18" s="412">
        <v>46214</v>
      </c>
      <c r="B18" s="414">
        <f>IF(D18&gt;0,COUNTIF($D$9:D18,"&gt;0"),"")</f>
        <v>10</v>
      </c>
      <c r="C18" s="888">
        <f>'SEMANA JULHO'!$M$83</f>
        <v>12264</v>
      </c>
      <c r="D18" s="888">
        <f>IF(C18&gt;0,CONFIG!$B$3,0)</f>
        <v>11000</v>
      </c>
      <c r="E18" s="889">
        <f t="shared" si="0"/>
        <v>1264</v>
      </c>
      <c r="F18" s="459" t="s">
        <v>1231</v>
      </c>
      <c r="G18" s="424"/>
      <c r="H18" s="424"/>
      <c r="I18" s="424"/>
      <c r="J18" s="424"/>
      <c r="K18" s="424"/>
      <c r="L18" s="424"/>
      <c r="M18" s="424"/>
      <c r="N18" s="424"/>
      <c r="O18" s="424"/>
      <c r="P18" s="93">
        <f t="shared" si="1"/>
        <v>10</v>
      </c>
      <c r="Q18" s="1" t="e">
        <f t="shared" si="2"/>
        <v>#N/A</v>
      </c>
      <c r="R18" s="1" t="e">
        <f t="shared" si="3"/>
        <v>#N/A</v>
      </c>
      <c r="S18" s="1">
        <f t="shared" si="4"/>
        <v>12264</v>
      </c>
      <c r="X18" s="63">
        <f t="shared" si="5"/>
        <v>12264</v>
      </c>
      <c r="Y18" s="63">
        <f t="shared" si="6"/>
        <v>11000</v>
      </c>
    </row>
    <row r="19" spans="1:25" x14ac:dyDescent="0.3">
      <c r="A19" s="412">
        <v>46216</v>
      </c>
      <c r="B19" s="414">
        <f>IF(D19&gt;0,COUNTIF($D$9:D19,"&gt;0"),"")</f>
        <v>11</v>
      </c>
      <c r="C19" s="888">
        <f>'SEMANA JULHO'!$M$92</f>
        <v>16596</v>
      </c>
      <c r="D19" s="888">
        <f>IF(C19&gt;0,CONFIG!$B$3,0)</f>
        <v>11000</v>
      </c>
      <c r="E19" s="889">
        <f t="shared" si="0"/>
        <v>5596</v>
      </c>
      <c r="F19" s="444"/>
      <c r="G19" s="424"/>
      <c r="H19" s="424"/>
      <c r="I19" s="424"/>
      <c r="J19" s="424"/>
      <c r="K19" s="424"/>
      <c r="L19" s="424"/>
      <c r="M19" s="424"/>
      <c r="N19" s="424"/>
      <c r="O19" s="424"/>
      <c r="P19" s="93">
        <f t="shared" si="1"/>
        <v>11</v>
      </c>
      <c r="Q19" s="1" t="e">
        <f t="shared" si="2"/>
        <v>#N/A</v>
      </c>
      <c r="R19" s="1" t="e">
        <f t="shared" si="3"/>
        <v>#N/A</v>
      </c>
      <c r="S19" s="1">
        <f t="shared" si="4"/>
        <v>16596</v>
      </c>
      <c r="X19" s="63">
        <f t="shared" si="5"/>
        <v>16596</v>
      </c>
      <c r="Y19" s="63">
        <f t="shared" si="6"/>
        <v>11000</v>
      </c>
    </row>
    <row r="20" spans="1:25" x14ac:dyDescent="0.3">
      <c r="A20" s="412">
        <v>46217</v>
      </c>
      <c r="B20" s="414">
        <f>IF(D20&gt;0,COUNTIF($D$9:D20,"&gt;0"),"")</f>
        <v>12</v>
      </c>
      <c r="C20" s="888">
        <f>'SEMANA JULHO'!$M$100</f>
        <v>14424</v>
      </c>
      <c r="D20" s="888">
        <f>IF(C20&gt;0,CONFIG!$B$3,0)</f>
        <v>11000</v>
      </c>
      <c r="E20" s="889">
        <f t="shared" si="0"/>
        <v>3424</v>
      </c>
      <c r="F20" s="444"/>
      <c r="G20" s="424"/>
      <c r="H20" s="424"/>
      <c r="I20" s="424"/>
      <c r="J20" s="424"/>
      <c r="K20" s="424"/>
      <c r="L20" s="424"/>
      <c r="M20" s="424"/>
      <c r="N20" s="424"/>
      <c r="O20" s="424"/>
      <c r="P20" s="93">
        <f t="shared" si="1"/>
        <v>12</v>
      </c>
      <c r="Q20" s="1" t="e">
        <f t="shared" si="2"/>
        <v>#N/A</v>
      </c>
      <c r="R20" s="1" t="e">
        <f t="shared" si="3"/>
        <v>#N/A</v>
      </c>
      <c r="S20" s="1">
        <f t="shared" si="4"/>
        <v>14424</v>
      </c>
      <c r="X20" s="63">
        <f t="shared" si="5"/>
        <v>14424</v>
      </c>
      <c r="Y20" s="63">
        <f t="shared" si="6"/>
        <v>11000</v>
      </c>
    </row>
    <row r="21" spans="1:25" x14ac:dyDescent="0.3">
      <c r="A21" s="412">
        <v>46218</v>
      </c>
      <c r="B21" s="414">
        <f>IF(D21&gt;0,COUNTIF($D$9:D21,"&gt;0"),"")</f>
        <v>13</v>
      </c>
      <c r="C21" s="888">
        <f>'SEMANA JULHO'!$M$108</f>
        <v>10776</v>
      </c>
      <c r="D21" s="888">
        <f>IF(C21&gt;0,CONFIG!$B$3,0)</f>
        <v>11000</v>
      </c>
      <c r="E21" s="889">
        <f t="shared" si="0"/>
        <v>-224</v>
      </c>
      <c r="F21" s="444" t="s">
        <v>1246</v>
      </c>
      <c r="G21" s="424"/>
      <c r="H21" s="424"/>
      <c r="I21" s="424"/>
      <c r="J21" s="424"/>
      <c r="K21" s="424"/>
      <c r="L21" s="424"/>
      <c r="M21" s="424"/>
      <c r="N21" s="424"/>
      <c r="O21" s="424"/>
      <c r="P21" s="93">
        <f t="shared" si="1"/>
        <v>13</v>
      </c>
      <c r="Q21" s="1">
        <f t="shared" si="2"/>
        <v>10776</v>
      </c>
      <c r="R21" s="1" t="e">
        <f t="shared" si="3"/>
        <v>#N/A</v>
      </c>
      <c r="S21" s="1" t="e">
        <f t="shared" si="4"/>
        <v>#N/A</v>
      </c>
      <c r="X21" s="63">
        <f t="shared" si="5"/>
        <v>10776</v>
      </c>
      <c r="Y21" s="63">
        <f t="shared" si="6"/>
        <v>11000</v>
      </c>
    </row>
    <row r="22" spans="1:25" x14ac:dyDescent="0.3">
      <c r="A22" s="412">
        <v>46219</v>
      </c>
      <c r="B22" s="414">
        <f>IF(D22&gt;0,COUNTIF($D$9:D22,"&gt;0"),"")</f>
        <v>14</v>
      </c>
      <c r="C22" s="888">
        <f>'SEMANA JULHO'!$M$116</f>
        <v>11532</v>
      </c>
      <c r="D22" s="888">
        <f>IF(C22&gt;0,CONFIG!$B$3,0)</f>
        <v>11000</v>
      </c>
      <c r="E22" s="889">
        <f t="shared" si="0"/>
        <v>532</v>
      </c>
      <c r="F22" s="444" t="s">
        <v>1260</v>
      </c>
      <c r="G22" s="424"/>
      <c r="H22" s="424"/>
      <c r="I22" s="424"/>
      <c r="J22" s="424"/>
      <c r="K22" s="424"/>
      <c r="L22" s="424"/>
      <c r="M22" s="424"/>
      <c r="N22" s="424"/>
      <c r="O22" s="424"/>
      <c r="P22" s="93">
        <f t="shared" si="1"/>
        <v>14</v>
      </c>
      <c r="Q22" s="1" t="e">
        <f t="shared" si="2"/>
        <v>#N/A</v>
      </c>
      <c r="R22" s="1" t="e">
        <f t="shared" si="3"/>
        <v>#N/A</v>
      </c>
      <c r="S22" s="1">
        <f t="shared" si="4"/>
        <v>11532</v>
      </c>
      <c r="X22" s="63">
        <f t="shared" si="5"/>
        <v>11532</v>
      </c>
      <c r="Y22" s="63">
        <f t="shared" si="6"/>
        <v>11000</v>
      </c>
    </row>
    <row r="23" spans="1:25" ht="27.6" x14ac:dyDescent="0.3">
      <c r="A23" s="412">
        <v>46220</v>
      </c>
      <c r="B23" s="414">
        <f>IF(D23&gt;0,COUNTIF($D$9:D23,"&gt;0"),"")</f>
        <v>15</v>
      </c>
      <c r="C23" s="888">
        <f>'SEMANA JULHO'!$M$125</f>
        <v>7176</v>
      </c>
      <c r="D23" s="888">
        <f>IF(C23&gt;0,CONFIG!$B$3,0)</f>
        <v>11000</v>
      </c>
      <c r="E23" s="889">
        <f t="shared" si="0"/>
        <v>-3824</v>
      </c>
      <c r="F23" s="469" t="s">
        <v>1264</v>
      </c>
      <c r="G23" s="424"/>
      <c r="H23" s="424"/>
      <c r="I23" s="424"/>
      <c r="J23" s="424"/>
      <c r="K23" s="424"/>
      <c r="L23" s="424"/>
      <c r="M23" s="424"/>
      <c r="N23" s="424"/>
      <c r="O23" s="424"/>
      <c r="P23" s="93">
        <f t="shared" si="1"/>
        <v>15</v>
      </c>
      <c r="Q23" s="1">
        <f t="shared" si="2"/>
        <v>7176</v>
      </c>
      <c r="R23" s="1" t="e">
        <f t="shared" si="3"/>
        <v>#N/A</v>
      </c>
      <c r="S23" s="1" t="e">
        <f t="shared" si="4"/>
        <v>#N/A</v>
      </c>
      <c r="X23" s="63">
        <f t="shared" si="5"/>
        <v>7176</v>
      </c>
      <c r="Y23" s="63">
        <f t="shared" si="6"/>
        <v>11000</v>
      </c>
    </row>
    <row r="24" spans="1:25" x14ac:dyDescent="0.3">
      <c r="A24" s="412">
        <v>46221</v>
      </c>
      <c r="B24" s="414">
        <f>IF(D24&gt;0,COUNTIF($D$9:D24,"&gt;0"),"")</f>
        <v>16</v>
      </c>
      <c r="C24" s="888">
        <f>'SEMANA JULHO'!$M$133</f>
        <v>8496</v>
      </c>
      <c r="D24" s="888">
        <f>IF(C24&gt;0,CONFIG!$B$3,0)</f>
        <v>11000</v>
      </c>
      <c r="E24" s="889">
        <f t="shared" si="0"/>
        <v>-2504</v>
      </c>
      <c r="F24" s="459" t="s">
        <v>512</v>
      </c>
      <c r="G24" s="424"/>
      <c r="H24" s="424"/>
      <c r="I24" s="424"/>
      <c r="J24" s="424"/>
      <c r="K24" s="424"/>
      <c r="L24" s="424"/>
      <c r="M24" s="424"/>
      <c r="N24" s="424"/>
      <c r="O24" s="424"/>
      <c r="P24" s="93">
        <f t="shared" si="1"/>
        <v>16</v>
      </c>
      <c r="Q24" s="1">
        <f t="shared" si="2"/>
        <v>8496</v>
      </c>
      <c r="R24" s="1" t="e">
        <f t="shared" si="3"/>
        <v>#N/A</v>
      </c>
      <c r="S24" s="1" t="e">
        <f t="shared" si="4"/>
        <v>#N/A</v>
      </c>
      <c r="X24" s="63">
        <f t="shared" si="5"/>
        <v>8496</v>
      </c>
      <c r="Y24" s="63">
        <f t="shared" si="6"/>
        <v>11000</v>
      </c>
    </row>
    <row r="25" spans="1:25" x14ac:dyDescent="0.3">
      <c r="A25" s="412">
        <v>46223</v>
      </c>
      <c r="B25" s="414">
        <f>IF(D25&gt;0,COUNTIF($D$9:D25,"&gt;0"),"")</f>
        <v>17</v>
      </c>
      <c r="C25" s="888">
        <f>'SEMANA JULHO'!$M$142</f>
        <v>10848</v>
      </c>
      <c r="D25" s="888">
        <f>IF(C25&gt;0,CONFIG!$B$3,0)</f>
        <v>11000</v>
      </c>
      <c r="E25" s="889">
        <f t="shared" si="0"/>
        <v>-152</v>
      </c>
      <c r="F25" s="444"/>
      <c r="G25" s="424"/>
      <c r="H25" s="424"/>
      <c r="I25" s="424"/>
      <c r="J25" s="424"/>
      <c r="K25" s="424"/>
      <c r="L25" s="424"/>
      <c r="M25" s="424"/>
      <c r="N25" s="424"/>
      <c r="O25" s="424"/>
      <c r="P25" s="93">
        <f t="shared" si="1"/>
        <v>17</v>
      </c>
      <c r="Q25" s="1">
        <f t="shared" si="2"/>
        <v>10848</v>
      </c>
      <c r="R25" s="1" t="e">
        <f t="shared" si="3"/>
        <v>#N/A</v>
      </c>
      <c r="S25" s="1" t="e">
        <f t="shared" si="4"/>
        <v>#N/A</v>
      </c>
      <c r="X25" s="63">
        <f t="shared" si="5"/>
        <v>10848</v>
      </c>
      <c r="Y25" s="63">
        <f t="shared" si="6"/>
        <v>11000</v>
      </c>
    </row>
    <row r="26" spans="1:25" x14ac:dyDescent="0.3">
      <c r="A26" s="412">
        <v>46224</v>
      </c>
      <c r="B26" s="414">
        <f>IF(D26&gt;0,COUNTIF($D$9:D26,"&gt;0"),"")</f>
        <v>18</v>
      </c>
      <c r="C26" s="888">
        <f>'SEMANA JULHO'!$M$150</f>
        <v>15324</v>
      </c>
      <c r="D26" s="888">
        <f>IF(C26&gt;0,CONFIG!$B$3,0)</f>
        <v>11000</v>
      </c>
      <c r="E26" s="889">
        <f t="shared" si="0"/>
        <v>4324</v>
      </c>
      <c r="F26" s="444" t="s">
        <v>1368</v>
      </c>
      <c r="G26" s="424"/>
      <c r="H26" s="424"/>
      <c r="I26" s="424"/>
      <c r="J26" s="424"/>
      <c r="K26" s="424"/>
      <c r="L26" s="424"/>
      <c r="M26" s="424"/>
      <c r="N26" s="424"/>
      <c r="O26" s="424"/>
      <c r="P26" s="93">
        <f t="shared" si="1"/>
        <v>18</v>
      </c>
      <c r="Q26" s="1" t="e">
        <f t="shared" si="2"/>
        <v>#N/A</v>
      </c>
      <c r="R26" s="1" t="e">
        <f t="shared" si="3"/>
        <v>#N/A</v>
      </c>
      <c r="S26" s="1">
        <f t="shared" si="4"/>
        <v>15324</v>
      </c>
      <c r="X26" s="63">
        <f t="shared" si="5"/>
        <v>15324</v>
      </c>
      <c r="Y26" s="63">
        <f t="shared" si="6"/>
        <v>11000</v>
      </c>
    </row>
    <row r="27" spans="1:25" x14ac:dyDescent="0.3">
      <c r="A27" s="412">
        <v>46225</v>
      </c>
      <c r="B27" s="414">
        <f>IF(D27&gt;0,COUNTIF($D$9:D27,"&gt;0"),"")</f>
        <v>19</v>
      </c>
      <c r="C27" s="888">
        <f>'SEMANA JULHO'!$M$160</f>
        <v>20076</v>
      </c>
      <c r="D27" s="888">
        <f>IF(C27&gt;0,CONFIG!$B$3,0)</f>
        <v>11000</v>
      </c>
      <c r="E27" s="889">
        <f t="shared" si="0"/>
        <v>9076</v>
      </c>
      <c r="F27" s="444"/>
      <c r="G27" s="424"/>
      <c r="H27" s="424"/>
      <c r="I27" s="424"/>
      <c r="J27" s="424"/>
      <c r="K27" s="424"/>
      <c r="L27" s="424"/>
      <c r="M27" s="424"/>
      <c r="N27" s="424"/>
      <c r="O27" s="424"/>
      <c r="P27" s="93">
        <f t="shared" si="1"/>
        <v>19</v>
      </c>
      <c r="Q27" s="1" t="e">
        <f t="shared" si="2"/>
        <v>#N/A</v>
      </c>
      <c r="R27" s="1" t="e">
        <f t="shared" si="3"/>
        <v>#N/A</v>
      </c>
      <c r="S27" s="1">
        <f t="shared" si="4"/>
        <v>20076</v>
      </c>
      <c r="X27" s="63">
        <f t="shared" si="5"/>
        <v>20076</v>
      </c>
      <c r="Y27" s="63">
        <f t="shared" si="6"/>
        <v>11000</v>
      </c>
    </row>
    <row r="28" spans="1:25" x14ac:dyDescent="0.3">
      <c r="A28" s="412">
        <v>46226</v>
      </c>
      <c r="B28" s="414">
        <f>IF(D28&gt;0,COUNTIF($D$9:D28,"&gt;0"),"")</f>
        <v>20</v>
      </c>
      <c r="C28" s="888">
        <f>'SEMANA JULHO'!$M$170</f>
        <v>6720</v>
      </c>
      <c r="D28" s="888">
        <f>IF(C28&gt;0,CONFIG!$B$3,0)</f>
        <v>11000</v>
      </c>
      <c r="E28" s="889">
        <f t="shared" si="0"/>
        <v>-4280</v>
      </c>
      <c r="F28" s="444" t="s">
        <v>1401</v>
      </c>
      <c r="G28" s="424"/>
      <c r="H28" s="424"/>
      <c r="I28" s="424"/>
      <c r="J28" s="424"/>
      <c r="K28" s="424"/>
      <c r="L28" s="424"/>
      <c r="M28" s="424"/>
      <c r="N28" s="424"/>
      <c r="O28" s="424"/>
      <c r="P28" s="93">
        <f t="shared" si="1"/>
        <v>20</v>
      </c>
      <c r="Q28" s="1">
        <f t="shared" si="2"/>
        <v>6720</v>
      </c>
      <c r="R28" s="1" t="e">
        <f t="shared" si="3"/>
        <v>#N/A</v>
      </c>
      <c r="S28" s="1" t="e">
        <f t="shared" si="4"/>
        <v>#N/A</v>
      </c>
      <c r="X28" s="63">
        <f t="shared" si="5"/>
        <v>6720</v>
      </c>
      <c r="Y28" s="63">
        <f t="shared" si="6"/>
        <v>11000</v>
      </c>
    </row>
    <row r="29" spans="1:25" x14ac:dyDescent="0.3">
      <c r="A29" s="412">
        <v>46227</v>
      </c>
      <c r="B29" s="414" t="str">
        <f>IF(D29&gt;0,COUNTIF($D$9:D29,"&gt;0"),"")</f>
        <v/>
      </c>
      <c r="C29" s="888">
        <f>'SEMANA JULHO'!$M$180</f>
        <v>0</v>
      </c>
      <c r="D29" s="888">
        <f>IF(C29&gt;0,CONFIG!$B$3,0)</f>
        <v>0</v>
      </c>
      <c r="E29" s="889">
        <f t="shared" si="0"/>
        <v>0</v>
      </c>
      <c r="F29" s="444"/>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46228</v>
      </c>
      <c r="B30" s="414" t="str">
        <f>IF(D30&gt;0,COUNTIF($D$9:D30,"&gt;0"),"")</f>
        <v/>
      </c>
      <c r="C30" s="888">
        <f>'SEMANA JULHO'!$M$188</f>
        <v>0</v>
      </c>
      <c r="D30" s="888">
        <f>IF(C30&gt;0,CONFIG!$B$3,0)</f>
        <v>0</v>
      </c>
      <c r="E30" s="889">
        <f t="shared" si="0"/>
        <v>0</v>
      </c>
      <c r="F30" s="459" t="s">
        <v>512</v>
      </c>
      <c r="G30" s="424"/>
      <c r="H30" s="424"/>
      <c r="I30" s="424"/>
      <c r="J30" s="424"/>
      <c r="K30" s="424"/>
      <c r="L30" s="424"/>
      <c r="M30" s="424"/>
      <c r="N30" s="424"/>
      <c r="O30" s="424"/>
      <c r="P30" s="93" t="str">
        <f t="shared" si="1"/>
        <v/>
      </c>
      <c r="Q30" s="1" t="e">
        <f t="shared" si="2"/>
        <v>#N/A</v>
      </c>
      <c r="R30" s="1" t="e">
        <f t="shared" si="3"/>
        <v>#N/A</v>
      </c>
      <c r="S30" s="1" t="e">
        <f t="shared" si="4"/>
        <v>#N/A</v>
      </c>
      <c r="X30" s="63">
        <f t="shared" si="5"/>
        <v>0</v>
      </c>
      <c r="Y30" s="63">
        <f t="shared" si="6"/>
        <v>0</v>
      </c>
    </row>
    <row r="31" spans="1:25" x14ac:dyDescent="0.3">
      <c r="A31" s="412">
        <v>46230</v>
      </c>
      <c r="B31" s="414" t="str">
        <f>IF(D31&gt;0,COUNTIF($D$9:D31,"&gt;0"),"")</f>
        <v/>
      </c>
      <c r="C31" s="888">
        <f>'SEMANA JULHO'!$M$196</f>
        <v>0</v>
      </c>
      <c r="D31" s="888">
        <f>IF(C31&gt;0,CONFIG!$B$3,0)</f>
        <v>0</v>
      </c>
      <c r="E31" s="889">
        <f t="shared" si="0"/>
        <v>0</v>
      </c>
      <c r="F31" s="444"/>
      <c r="G31" s="424"/>
      <c r="H31" s="424"/>
      <c r="I31" s="424"/>
      <c r="J31" s="424"/>
      <c r="K31" s="424"/>
      <c r="L31" s="424"/>
      <c r="M31" s="424"/>
      <c r="N31" s="424"/>
      <c r="O31" s="424"/>
      <c r="P31" s="93" t="str">
        <f t="shared" si="1"/>
        <v/>
      </c>
      <c r="Q31" s="1" t="e">
        <f t="shared" si="2"/>
        <v>#N/A</v>
      </c>
      <c r="R31" s="1" t="e">
        <f t="shared" si="3"/>
        <v>#N/A</v>
      </c>
      <c r="S31" s="1" t="e">
        <f t="shared" si="4"/>
        <v>#N/A</v>
      </c>
      <c r="X31" s="63">
        <f t="shared" si="5"/>
        <v>0</v>
      </c>
      <c r="Y31" s="63">
        <f t="shared" si="6"/>
        <v>0</v>
      </c>
    </row>
    <row r="32" spans="1:25" x14ac:dyDescent="0.3">
      <c r="A32" s="412">
        <v>46231</v>
      </c>
      <c r="B32" s="414" t="str">
        <f>IF(D32&gt;0,COUNTIF($D$9:D32,"&gt;0"),"")</f>
        <v/>
      </c>
      <c r="C32" s="888">
        <f>'SEMANA JULHO'!$M$204</f>
        <v>0</v>
      </c>
      <c r="D32" s="888">
        <f>IF(C32&gt;0,CONFIG!$B$3,0)</f>
        <v>0</v>
      </c>
      <c r="E32" s="889">
        <f t="shared" si="0"/>
        <v>0</v>
      </c>
      <c r="F32" s="444"/>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46232</v>
      </c>
      <c r="B33" s="414" t="str">
        <f>IF(D33&gt;0,COUNTIF($D$9:D33,"&gt;0"),"")</f>
        <v/>
      </c>
      <c r="C33" s="888">
        <f>'SEMANA JULHO'!$M$212</f>
        <v>0</v>
      </c>
      <c r="D33" s="888">
        <f>IF(C33&gt;0,CONFIG!$B$3,0)</f>
        <v>0</v>
      </c>
      <c r="E33" s="889">
        <f t="shared" si="0"/>
        <v>0</v>
      </c>
      <c r="F33" s="444"/>
      <c r="G33" s="424"/>
      <c r="H33" s="424"/>
      <c r="I33" s="424"/>
      <c r="J33" s="424"/>
      <c r="K33" s="424"/>
      <c r="L33" s="424"/>
      <c r="M33" s="424"/>
      <c r="N33" s="424"/>
      <c r="O33" s="424"/>
      <c r="P33" s="93" t="str">
        <f t="shared" si="1"/>
        <v/>
      </c>
      <c r="Q33" s="1" t="e">
        <f t="shared" si="2"/>
        <v>#N/A</v>
      </c>
      <c r="R33" s="1" t="e">
        <f t="shared" si="3"/>
        <v>#N/A</v>
      </c>
      <c r="S33" s="1" t="e">
        <f t="shared" si="4"/>
        <v>#N/A</v>
      </c>
    </row>
    <row r="34" spans="1:19" x14ac:dyDescent="0.3">
      <c r="A34" s="412">
        <v>46233</v>
      </c>
      <c r="B34" s="414" t="str">
        <f>IF(D34&gt;0,COUNTIF($D$9:D34,"&gt;0"),"")</f>
        <v/>
      </c>
      <c r="C34" s="888">
        <f>'SEMANA JULHO'!$M$220</f>
        <v>0</v>
      </c>
      <c r="D34" s="888">
        <f>IF(C34&gt;0,CONFIG!$B$3,0)</f>
        <v>0</v>
      </c>
      <c r="E34" s="889">
        <f t="shared" si="0"/>
        <v>0</v>
      </c>
      <c r="F34" s="444"/>
      <c r="G34" s="424"/>
      <c r="H34" s="424"/>
      <c r="I34" s="424"/>
      <c r="J34" s="424"/>
      <c r="K34" s="424"/>
      <c r="L34" s="424"/>
      <c r="M34" s="424"/>
      <c r="N34" s="424"/>
      <c r="O34" s="424"/>
      <c r="P34" s="93" t="str">
        <f t="shared" si="1"/>
        <v/>
      </c>
      <c r="Q34" s="1" t="e">
        <f t="shared" si="2"/>
        <v>#N/A</v>
      </c>
      <c r="R34" s="1" t="e">
        <f t="shared" si="3"/>
        <v>#N/A</v>
      </c>
      <c r="S34" s="1" t="e">
        <f t="shared" si="4"/>
        <v>#N/A</v>
      </c>
    </row>
    <row r="35" spans="1:19" x14ac:dyDescent="0.3">
      <c r="A35" s="412">
        <v>46234</v>
      </c>
      <c r="B35" s="414" t="str">
        <f>IF(D35&gt;0,COUNTIF($D$9:D35,"&gt;0"),"")</f>
        <v/>
      </c>
      <c r="C35" s="888">
        <f>'SEMANA JULHO'!$M$228</f>
        <v>0</v>
      </c>
      <c r="D35" s="888">
        <f>IF(C35&gt;0,CONFIG!$B$3,0)</f>
        <v>0</v>
      </c>
      <c r="E35" s="889">
        <f t="shared" si="0"/>
        <v>0</v>
      </c>
      <c r="F35" s="444"/>
      <c r="G35" s="424"/>
      <c r="H35" s="424"/>
      <c r="I35" s="424"/>
      <c r="J35" s="424"/>
      <c r="K35" s="424"/>
      <c r="L35" s="424"/>
      <c r="M35" s="424"/>
      <c r="N35" s="424"/>
      <c r="O35" s="424"/>
      <c r="P35" s="93" t="str">
        <f t="shared" si="1"/>
        <v/>
      </c>
      <c r="Q35" s="1" t="e">
        <f t="shared" si="2"/>
        <v>#N/A</v>
      </c>
      <c r="R35" s="1" t="e">
        <f t="shared" si="3"/>
        <v>#N/A</v>
      </c>
      <c r="S35" s="1" t="e">
        <f t="shared" si="4"/>
        <v>#N/A</v>
      </c>
    </row>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53" priority="1" operator="greaterThan">
      <formula>0</formula>
    </cfRule>
    <cfRule type="cellIs" dxfId="52" priority="2" operator="lessThan">
      <formula>0</formula>
    </cfRule>
    <cfRule type="cellIs" dxfId="51"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08BD-DCD4-4F39-A950-E7DD78CDBECD}">
  <sheetPr>
    <tabColor rgb="FFC96B0A"/>
  </sheetPr>
  <dimension ref="B1:O300"/>
  <sheetViews>
    <sheetView showGridLines="0" zoomScale="90" zoomScaleNormal="90" workbookViewId="0">
      <selection activeCell="E31" sqref="E31:F31"/>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611</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c r="C4" s="638"/>
      <c r="D4" s="638"/>
      <c r="E4" s="638"/>
      <c r="F4" s="638"/>
      <c r="G4" s="638"/>
      <c r="H4" s="638"/>
      <c r="I4" s="638"/>
      <c r="J4" s="638"/>
      <c r="K4" s="638"/>
      <c r="L4" s="638"/>
      <c r="M4" s="497"/>
      <c r="N4" s="533"/>
      <c r="O4" s="493"/>
    </row>
    <row r="5" spans="2:15" ht="17.25" customHeight="1" x14ac:dyDescent="0.3">
      <c r="B5" s="499"/>
      <c r="C5" s="637"/>
      <c r="D5" s="637"/>
      <c r="E5" s="637"/>
      <c r="F5" s="637"/>
      <c r="G5" s="637"/>
      <c r="H5" s="637"/>
      <c r="I5" s="637"/>
      <c r="J5" s="637"/>
      <c r="K5" s="637"/>
      <c r="L5" s="637"/>
      <c r="M5" s="499"/>
      <c r="N5" s="525"/>
      <c r="O5" s="493"/>
    </row>
    <row r="6" spans="2:15" ht="17.25" customHeight="1" x14ac:dyDescent="0.3">
      <c r="B6" s="496"/>
      <c r="C6" s="638"/>
      <c r="D6" s="638"/>
      <c r="E6" s="638"/>
      <c r="F6" s="638"/>
      <c r="G6" s="638"/>
      <c r="H6" s="638"/>
      <c r="I6" s="638"/>
      <c r="J6" s="638"/>
      <c r="K6" s="638"/>
      <c r="L6" s="638"/>
      <c r="M6" s="497"/>
      <c r="N6" s="525"/>
      <c r="O6" s="493"/>
    </row>
    <row r="7" spans="2:15" ht="17.25" customHeight="1" x14ac:dyDescent="0.3">
      <c r="B7" s="499"/>
      <c r="C7" s="637"/>
      <c r="D7" s="637"/>
      <c r="E7" s="637"/>
      <c r="F7" s="637"/>
      <c r="G7" s="637"/>
      <c r="H7" s="637"/>
      <c r="I7" s="637"/>
      <c r="J7" s="637"/>
      <c r="K7" s="637"/>
      <c r="L7" s="637"/>
      <c r="M7" s="500"/>
      <c r="N7" s="525"/>
      <c r="O7" s="493"/>
    </row>
    <row r="8" spans="2:15" ht="17.25" customHeight="1" x14ac:dyDescent="0.3">
      <c r="B8" s="496"/>
      <c r="C8" s="638"/>
      <c r="D8" s="638"/>
      <c r="E8" s="638"/>
      <c r="F8" s="638"/>
      <c r="G8" s="638"/>
      <c r="H8" s="638"/>
      <c r="I8" s="638"/>
      <c r="J8" s="638"/>
      <c r="K8" s="638"/>
      <c r="L8" s="638"/>
      <c r="M8" s="497"/>
      <c r="N8" s="525"/>
      <c r="O8" s="493"/>
    </row>
    <row r="9" spans="2:15" ht="17.25" customHeight="1" x14ac:dyDescent="0.3">
      <c r="B9" s="499"/>
      <c r="C9" s="637"/>
      <c r="D9" s="637"/>
      <c r="E9" s="637"/>
      <c r="F9" s="637"/>
      <c r="G9" s="637"/>
      <c r="H9" s="637"/>
      <c r="I9" s="637"/>
      <c r="J9" s="637"/>
      <c r="K9" s="637"/>
      <c r="L9" s="637"/>
      <c r="M9" s="499"/>
      <c r="N9" s="525"/>
      <c r="O9" s="493"/>
    </row>
    <row r="10" spans="2:15" ht="17.25" customHeight="1" x14ac:dyDescent="0.3">
      <c r="B10" s="496"/>
      <c r="C10" s="638"/>
      <c r="D10" s="638"/>
      <c r="E10" s="638"/>
      <c r="F10" s="638"/>
      <c r="G10" s="638"/>
      <c r="H10" s="638"/>
      <c r="I10" s="638"/>
      <c r="J10" s="638"/>
      <c r="K10" s="638"/>
      <c r="L10" s="638"/>
      <c r="M10" s="496"/>
      <c r="N10" s="525"/>
      <c r="O10" s="493"/>
    </row>
    <row r="11" spans="2:15" ht="17.25" customHeight="1" x14ac:dyDescent="0.3">
      <c r="B11" s="499"/>
      <c r="C11" s="637"/>
      <c r="D11" s="637"/>
      <c r="E11" s="637"/>
      <c r="F11" s="637"/>
      <c r="G11" s="637"/>
      <c r="H11" s="637"/>
      <c r="I11" s="637"/>
      <c r="J11" s="637"/>
      <c r="K11" s="637"/>
      <c r="L11" s="637"/>
      <c r="M11" s="499"/>
      <c r="N11" s="525"/>
      <c r="O11" s="493"/>
    </row>
    <row r="12" spans="2:15" ht="17.25" customHeight="1" x14ac:dyDescent="0.3">
      <c r="B12" s="496"/>
      <c r="C12" s="638"/>
      <c r="D12" s="638"/>
      <c r="E12" s="638"/>
      <c r="F12" s="638"/>
      <c r="G12" s="638"/>
      <c r="H12" s="638"/>
      <c r="I12" s="638"/>
      <c r="J12" s="638"/>
      <c r="K12" s="638"/>
      <c r="L12" s="638"/>
      <c r="M12" s="496"/>
      <c r="N12" s="525"/>
      <c r="O12" s="493"/>
    </row>
    <row r="13" spans="2:15" ht="17.25" customHeight="1" x14ac:dyDescent="0.3">
      <c r="B13" s="499"/>
      <c r="C13" s="637"/>
      <c r="D13" s="637"/>
      <c r="E13" s="637"/>
      <c r="F13" s="637"/>
      <c r="G13" s="637"/>
      <c r="H13" s="637"/>
      <c r="I13" s="637"/>
      <c r="J13" s="637"/>
      <c r="K13" s="637"/>
      <c r="L13" s="637"/>
      <c r="M13" s="499"/>
      <c r="N13" s="525"/>
      <c r="O13" s="493"/>
    </row>
    <row r="14" spans="2:15" ht="17.25" customHeight="1" x14ac:dyDescent="0.3">
      <c r="B14" s="496"/>
      <c r="C14" s="638"/>
      <c r="D14" s="638"/>
      <c r="E14" s="638"/>
      <c r="F14" s="638"/>
      <c r="G14" s="638"/>
      <c r="H14" s="638"/>
      <c r="I14" s="638"/>
      <c r="J14" s="638"/>
      <c r="K14" s="638"/>
      <c r="L14" s="638"/>
      <c r="M14" s="496"/>
      <c r="N14" s="525"/>
      <c r="O14" s="493"/>
    </row>
    <row r="15" spans="2:15" ht="17.25" customHeight="1" x14ac:dyDescent="0.3">
      <c r="B15" s="499"/>
      <c r="C15" s="637"/>
      <c r="D15" s="637"/>
      <c r="E15" s="637"/>
      <c r="F15" s="637"/>
      <c r="G15" s="637"/>
      <c r="H15" s="637"/>
      <c r="I15" s="637"/>
      <c r="J15" s="637"/>
      <c r="K15" s="637"/>
      <c r="L15" s="637"/>
      <c r="M15" s="499"/>
      <c r="N15" s="525"/>
      <c r="O15" s="493"/>
    </row>
    <row r="16" spans="2:15" ht="17.25" customHeight="1" x14ac:dyDescent="0.3">
      <c r="B16" s="496"/>
      <c r="C16" s="638"/>
      <c r="D16" s="638"/>
      <c r="E16" s="638"/>
      <c r="F16" s="638"/>
      <c r="G16" s="638"/>
      <c r="H16" s="638"/>
      <c r="I16" s="638"/>
      <c r="J16" s="638"/>
      <c r="K16" s="638"/>
      <c r="L16" s="638"/>
      <c r="M16" s="496"/>
      <c r="N16" s="525"/>
      <c r="O16" s="493"/>
    </row>
    <row r="17" spans="2:15" ht="17.25" customHeight="1" x14ac:dyDescent="0.3">
      <c r="B17" s="499"/>
      <c r="C17" s="637"/>
      <c r="D17" s="637"/>
      <c r="E17" s="637"/>
      <c r="F17" s="637"/>
      <c r="G17" s="637"/>
      <c r="H17" s="637"/>
      <c r="I17" s="637"/>
      <c r="J17" s="637"/>
      <c r="K17" s="637"/>
      <c r="L17" s="637"/>
      <c r="M17" s="500"/>
      <c r="N17" s="525"/>
      <c r="O17" s="493"/>
    </row>
    <row r="18" spans="2:15" ht="17.25" customHeight="1" x14ac:dyDescent="0.3">
      <c r="B18" s="496"/>
      <c r="C18" s="638"/>
      <c r="D18" s="638"/>
      <c r="E18" s="638"/>
      <c r="F18" s="638"/>
      <c r="G18" s="638"/>
      <c r="H18" s="638"/>
      <c r="I18" s="638"/>
      <c r="J18" s="638"/>
      <c r="K18" s="638"/>
      <c r="L18" s="638"/>
      <c r="M18" s="496"/>
      <c r="N18" s="525"/>
      <c r="O18" s="493"/>
    </row>
    <row r="19" spans="2:15" ht="17.25" customHeight="1" x14ac:dyDescent="0.3">
      <c r="B19" s="499"/>
      <c r="C19" s="637"/>
      <c r="D19" s="637"/>
      <c r="E19" s="637"/>
      <c r="F19" s="637"/>
      <c r="G19" s="637"/>
      <c r="H19" s="637"/>
      <c r="I19" s="637"/>
      <c r="J19" s="637"/>
      <c r="K19" s="637"/>
      <c r="L19" s="637"/>
      <c r="M19" s="499"/>
      <c r="N19" s="525"/>
      <c r="O19" s="493"/>
    </row>
    <row r="20" spans="2:15" ht="17.25" customHeight="1" x14ac:dyDescent="0.3">
      <c r="B20" s="496"/>
      <c r="C20" s="638"/>
      <c r="D20" s="638"/>
      <c r="E20" s="638"/>
      <c r="F20" s="638"/>
      <c r="G20" s="638"/>
      <c r="H20" s="638"/>
      <c r="I20" s="638"/>
      <c r="J20" s="638"/>
      <c r="K20" s="638"/>
      <c r="L20" s="638"/>
      <c r="M20" s="496"/>
      <c r="N20" s="525"/>
      <c r="O20" s="493"/>
    </row>
    <row r="21" spans="2:15" ht="17.25" customHeight="1" x14ac:dyDescent="0.3">
      <c r="B21" s="499"/>
      <c r="C21" s="637"/>
      <c r="D21" s="637"/>
      <c r="E21" s="637"/>
      <c r="F21" s="637"/>
      <c r="G21" s="637"/>
      <c r="H21" s="637"/>
      <c r="I21" s="637"/>
      <c r="J21" s="637"/>
      <c r="K21" s="637"/>
      <c r="L21" s="637"/>
      <c r="M21" s="499"/>
      <c r="N21" s="525"/>
      <c r="O21" s="493"/>
    </row>
    <row r="22" spans="2:15" ht="17.25" customHeight="1" x14ac:dyDescent="0.3">
      <c r="B22" s="496"/>
      <c r="C22" s="638"/>
      <c r="D22" s="638"/>
      <c r="E22" s="638"/>
      <c r="F22" s="638"/>
      <c r="G22" s="638"/>
      <c r="H22" s="638"/>
      <c r="I22" s="638"/>
      <c r="J22" s="638"/>
      <c r="K22" s="638"/>
      <c r="L22" s="638"/>
      <c r="M22" s="496"/>
      <c r="N22" s="525"/>
      <c r="O22" s="493"/>
    </row>
    <row r="23" spans="2:15" ht="17.25" customHeight="1" x14ac:dyDescent="0.3">
      <c r="B23" s="499"/>
      <c r="C23" s="637"/>
      <c r="D23" s="637"/>
      <c r="E23" s="637"/>
      <c r="F23" s="637"/>
      <c r="G23" s="637"/>
      <c r="H23" s="637"/>
      <c r="I23" s="637"/>
      <c r="J23" s="637"/>
      <c r="K23" s="637"/>
      <c r="L23" s="637"/>
      <c r="M23" s="499"/>
      <c r="N23" s="525"/>
      <c r="O23" s="493"/>
    </row>
    <row r="24" spans="2:15" ht="17.25" customHeight="1" x14ac:dyDescent="0.3">
      <c r="B24" s="496"/>
      <c r="C24" s="638"/>
      <c r="D24" s="638"/>
      <c r="E24" s="638"/>
      <c r="F24" s="638"/>
      <c r="G24" s="638"/>
      <c r="H24" s="638"/>
      <c r="I24" s="638"/>
      <c r="J24" s="638"/>
      <c r="K24" s="638"/>
      <c r="L24" s="638"/>
      <c r="M24" s="496"/>
      <c r="N24" s="525"/>
      <c r="O24" s="493"/>
    </row>
    <row r="25" spans="2:15" ht="17.25" customHeight="1" x14ac:dyDescent="0.3">
      <c r="B25" s="499"/>
      <c r="C25" s="637"/>
      <c r="D25" s="637"/>
      <c r="E25" s="637"/>
      <c r="F25" s="637"/>
      <c r="G25" s="637"/>
      <c r="H25" s="637"/>
      <c r="I25" s="637"/>
      <c r="J25" s="637"/>
      <c r="K25" s="637"/>
      <c r="L25" s="637"/>
      <c r="M25" s="500"/>
      <c r="N25" s="525"/>
      <c r="O25" s="493"/>
    </row>
    <row r="26" spans="2:15" ht="17.25" customHeight="1" x14ac:dyDescent="0.3">
      <c r="B26" s="496"/>
      <c r="C26" s="638"/>
      <c r="D26" s="638"/>
      <c r="E26" s="638"/>
      <c r="F26" s="638"/>
      <c r="G26" s="638"/>
      <c r="H26" s="638"/>
      <c r="I26" s="638"/>
      <c r="J26" s="638"/>
      <c r="K26" s="638"/>
      <c r="L26" s="638"/>
      <c r="M26" s="496"/>
      <c r="N26" s="525"/>
      <c r="O26" s="493"/>
    </row>
    <row r="27" spans="2:15" ht="17.25" customHeight="1" x14ac:dyDescent="0.3">
      <c r="B27" s="499"/>
      <c r="C27" s="637"/>
      <c r="D27" s="637"/>
      <c r="E27" s="637"/>
      <c r="F27" s="637"/>
      <c r="G27" s="637"/>
      <c r="H27" s="637"/>
      <c r="I27" s="637"/>
      <c r="J27" s="637"/>
      <c r="K27" s="637"/>
      <c r="L27" s="637"/>
      <c r="M27" s="499"/>
      <c r="N27" s="525"/>
      <c r="O27" s="493"/>
    </row>
    <row r="28" spans="2:15" ht="17.25" customHeight="1" x14ac:dyDescent="0.3">
      <c r="B28" s="496"/>
      <c r="C28" s="638"/>
      <c r="D28" s="638"/>
      <c r="E28" s="638"/>
      <c r="F28" s="638"/>
      <c r="G28" s="638"/>
      <c r="H28" s="638"/>
      <c r="I28" s="638"/>
      <c r="J28" s="638"/>
      <c r="K28" s="638"/>
      <c r="L28" s="638"/>
      <c r="M28" s="496"/>
      <c r="N28" s="525"/>
      <c r="O28" s="493"/>
    </row>
    <row r="29" spans="2:15" ht="17.25" customHeight="1" x14ac:dyDescent="0.3">
      <c r="B29" s="499"/>
      <c r="C29" s="637"/>
      <c r="D29" s="637"/>
      <c r="E29" s="637"/>
      <c r="F29" s="637"/>
      <c r="G29" s="637"/>
      <c r="H29" s="637"/>
      <c r="I29" s="637"/>
      <c r="J29" s="637"/>
      <c r="K29" s="637"/>
      <c r="L29" s="637"/>
      <c r="M29" s="499"/>
      <c r="N29" s="525"/>
      <c r="O29" s="493"/>
    </row>
    <row r="30" spans="2:15" ht="17.25" customHeight="1" x14ac:dyDescent="0.3">
      <c r="B30" s="496"/>
      <c r="C30" s="638"/>
      <c r="D30" s="638"/>
      <c r="E30" s="638"/>
      <c r="F30" s="638"/>
      <c r="G30" s="638"/>
      <c r="H30" s="638"/>
      <c r="I30" s="638"/>
      <c r="J30" s="638"/>
      <c r="K30" s="638"/>
      <c r="L30" s="638"/>
      <c r="M30" s="496"/>
      <c r="N30" s="525"/>
      <c r="O30" s="493"/>
    </row>
    <row r="31" spans="2:15" ht="17.25" customHeight="1" x14ac:dyDescent="0.3">
      <c r="B31" s="499"/>
      <c r="C31" s="637"/>
      <c r="D31" s="637"/>
      <c r="E31" s="637"/>
      <c r="F31" s="637"/>
      <c r="G31" s="637"/>
      <c r="H31" s="637"/>
      <c r="I31" s="637"/>
      <c r="J31" s="637"/>
      <c r="K31" s="637"/>
      <c r="L31" s="637"/>
      <c r="M31" s="499"/>
      <c r="N31" s="525"/>
      <c r="O31" s="493"/>
    </row>
    <row r="32" spans="2:15" ht="17.25" customHeight="1" x14ac:dyDescent="0.3">
      <c r="B32" s="496"/>
      <c r="C32" s="638"/>
      <c r="D32" s="638"/>
      <c r="E32" s="638"/>
      <c r="F32" s="638"/>
      <c r="G32" s="638"/>
      <c r="H32" s="638"/>
      <c r="I32" s="638"/>
      <c r="J32" s="638"/>
      <c r="K32" s="638"/>
      <c r="L32" s="638"/>
      <c r="M32" s="496"/>
      <c r="N32" s="525"/>
      <c r="O32" s="493"/>
    </row>
    <row r="33" spans="2:15" ht="17.25" customHeight="1" x14ac:dyDescent="0.3">
      <c r="B33" s="499"/>
      <c r="C33" s="637"/>
      <c r="D33" s="637"/>
      <c r="E33" s="637"/>
      <c r="F33" s="637"/>
      <c r="G33" s="637"/>
      <c r="H33" s="637"/>
      <c r="I33" s="637"/>
      <c r="J33" s="637"/>
      <c r="K33" s="637"/>
      <c r="L33" s="637"/>
      <c r="M33" s="499"/>
      <c r="N33" s="525"/>
      <c r="O33" s="493"/>
    </row>
    <row r="34" spans="2:15" ht="17.25" customHeight="1" x14ac:dyDescent="0.3">
      <c r="B34" s="496"/>
      <c r="C34" s="638"/>
      <c r="D34" s="638"/>
      <c r="E34" s="638"/>
      <c r="F34" s="638"/>
      <c r="G34" s="638"/>
      <c r="H34" s="638"/>
      <c r="I34" s="638"/>
      <c r="J34" s="638"/>
      <c r="K34" s="638"/>
      <c r="L34" s="638"/>
      <c r="M34" s="497"/>
      <c r="N34" s="525"/>
      <c r="O34" s="493"/>
    </row>
    <row r="35" spans="2:15" ht="17.25" customHeight="1" x14ac:dyDescent="0.3">
      <c r="B35" s="499"/>
      <c r="C35" s="637"/>
      <c r="D35" s="637"/>
      <c r="E35" s="637"/>
      <c r="F35" s="637"/>
      <c r="G35" s="637"/>
      <c r="H35" s="637"/>
      <c r="I35" s="637"/>
      <c r="J35" s="637"/>
      <c r="K35" s="637"/>
      <c r="L35" s="637"/>
      <c r="M35" s="499"/>
      <c r="N35" s="525"/>
      <c r="O35" s="493"/>
    </row>
    <row r="36" spans="2:15" ht="17.25" customHeight="1" x14ac:dyDescent="0.3">
      <c r="B36" s="496"/>
      <c r="C36" s="638"/>
      <c r="D36" s="638"/>
      <c r="E36" s="638"/>
      <c r="F36" s="638"/>
      <c r="G36" s="638"/>
      <c r="H36" s="638"/>
      <c r="I36" s="638"/>
      <c r="J36" s="638"/>
      <c r="K36" s="638"/>
      <c r="L36" s="638"/>
      <c r="M36" s="496"/>
      <c r="N36" s="525"/>
      <c r="O36" s="493"/>
    </row>
    <row r="37" spans="2:15" ht="17.25" customHeight="1" x14ac:dyDescent="0.3">
      <c r="B37" s="499"/>
      <c r="C37" s="637"/>
      <c r="D37" s="637"/>
      <c r="E37" s="637"/>
      <c r="F37" s="637"/>
      <c r="G37" s="637"/>
      <c r="H37" s="637"/>
      <c r="I37" s="637"/>
      <c r="J37" s="637"/>
      <c r="K37" s="637"/>
      <c r="L37" s="637"/>
      <c r="M37" s="499"/>
      <c r="N37" s="525"/>
      <c r="O37" s="493"/>
    </row>
    <row r="38" spans="2:15" ht="17.25" customHeight="1" x14ac:dyDescent="0.3">
      <c r="B38" s="496"/>
      <c r="C38" s="638"/>
      <c r="D38" s="638"/>
      <c r="E38" s="638"/>
      <c r="F38" s="638"/>
      <c r="G38" s="638"/>
      <c r="H38" s="638"/>
      <c r="I38" s="638"/>
      <c r="J38" s="638"/>
      <c r="K38" s="638"/>
      <c r="L38" s="638"/>
      <c r="M38" s="496"/>
      <c r="N38" s="525"/>
      <c r="O38" s="493"/>
    </row>
    <row r="39" spans="2:15" ht="17.25" customHeight="1" x14ac:dyDescent="0.3">
      <c r="B39" s="499"/>
      <c r="C39" s="637"/>
      <c r="D39" s="637"/>
      <c r="E39" s="637"/>
      <c r="F39" s="637"/>
      <c r="G39" s="637"/>
      <c r="H39" s="637"/>
      <c r="I39" s="637"/>
      <c r="J39" s="637"/>
      <c r="K39" s="637"/>
      <c r="L39" s="637"/>
      <c r="M39" s="499"/>
      <c r="N39" s="525"/>
      <c r="O39" s="493"/>
    </row>
    <row r="40" spans="2:15" ht="17.25" customHeight="1" x14ac:dyDescent="0.3">
      <c r="B40" s="496"/>
      <c r="C40" s="638"/>
      <c r="D40" s="638"/>
      <c r="E40" s="638"/>
      <c r="F40" s="638"/>
      <c r="G40" s="638"/>
      <c r="H40" s="638"/>
      <c r="I40" s="638"/>
      <c r="J40" s="638"/>
      <c r="K40" s="638"/>
      <c r="L40" s="638"/>
      <c r="M40" s="496"/>
      <c r="N40" s="525"/>
      <c r="O40" s="493"/>
    </row>
    <row r="41" spans="2:15" ht="17.25" customHeight="1" x14ac:dyDescent="0.3">
      <c r="B41" s="499"/>
      <c r="C41" s="637"/>
      <c r="D41" s="637"/>
      <c r="E41" s="637"/>
      <c r="F41" s="637"/>
      <c r="G41" s="637"/>
      <c r="H41" s="637"/>
      <c r="I41" s="637"/>
      <c r="J41" s="637"/>
      <c r="K41" s="637"/>
      <c r="L41" s="637"/>
      <c r="M41" s="499"/>
      <c r="N41" s="525"/>
      <c r="O41" s="493"/>
    </row>
    <row r="42" spans="2:15" ht="17.25" customHeight="1" x14ac:dyDescent="0.3">
      <c r="B42" s="496"/>
      <c r="C42" s="638"/>
      <c r="D42" s="638"/>
      <c r="E42" s="638"/>
      <c r="F42" s="638"/>
      <c r="G42" s="638"/>
      <c r="H42" s="638"/>
      <c r="I42" s="638"/>
      <c r="J42" s="638"/>
      <c r="K42" s="638"/>
      <c r="L42" s="638"/>
      <c r="M42" s="497"/>
      <c r="N42" s="525"/>
      <c r="O42" s="493"/>
    </row>
    <row r="43" spans="2:15" ht="17.25" customHeight="1" x14ac:dyDescent="0.3">
      <c r="B43" s="499"/>
      <c r="C43" s="637"/>
      <c r="D43" s="637"/>
      <c r="E43" s="637"/>
      <c r="F43" s="637"/>
      <c r="G43" s="637"/>
      <c r="H43" s="637"/>
      <c r="I43" s="637"/>
      <c r="J43" s="637"/>
      <c r="K43" s="637"/>
      <c r="L43" s="637"/>
      <c r="M43" s="499"/>
      <c r="N43" s="525"/>
      <c r="O43" s="493"/>
    </row>
    <row r="44" spans="2:15" ht="17.25" customHeight="1" x14ac:dyDescent="0.3">
      <c r="B44" s="496"/>
      <c r="C44" s="638"/>
      <c r="D44" s="638"/>
      <c r="E44" s="638"/>
      <c r="F44" s="638"/>
      <c r="G44" s="638"/>
      <c r="H44" s="638"/>
      <c r="I44" s="638"/>
      <c r="J44" s="638"/>
      <c r="K44" s="638"/>
      <c r="L44" s="638"/>
      <c r="M44" s="496"/>
      <c r="N44" s="525"/>
      <c r="O44" s="493"/>
    </row>
    <row r="45" spans="2:15" ht="17.25" customHeight="1" x14ac:dyDescent="0.3">
      <c r="B45" s="499"/>
      <c r="C45" s="637"/>
      <c r="D45" s="637"/>
      <c r="E45" s="637"/>
      <c r="F45" s="637"/>
      <c r="G45" s="637"/>
      <c r="H45" s="637"/>
      <c r="I45" s="637"/>
      <c r="J45" s="637"/>
      <c r="K45" s="637"/>
      <c r="L45" s="637"/>
      <c r="M45" s="499"/>
      <c r="N45" s="525"/>
      <c r="O45" s="493"/>
    </row>
    <row r="46" spans="2:15" ht="17.25" customHeight="1" x14ac:dyDescent="0.3">
      <c r="B46" s="496"/>
      <c r="C46" s="638"/>
      <c r="D46" s="638"/>
      <c r="E46" s="638"/>
      <c r="F46" s="638"/>
      <c r="G46" s="638"/>
      <c r="H46" s="638"/>
      <c r="I46" s="638"/>
      <c r="J46" s="638"/>
      <c r="K46" s="638"/>
      <c r="L46" s="638"/>
      <c r="M46" s="496"/>
      <c r="N46" s="525"/>
      <c r="O46" s="493"/>
    </row>
    <row r="47" spans="2:15" ht="17.25" customHeight="1" x14ac:dyDescent="0.3">
      <c r="B47" s="499"/>
      <c r="C47" s="637"/>
      <c r="D47" s="637"/>
      <c r="E47" s="637"/>
      <c r="F47" s="637"/>
      <c r="G47" s="637"/>
      <c r="H47" s="637"/>
      <c r="I47" s="637"/>
      <c r="J47" s="637"/>
      <c r="K47" s="637"/>
      <c r="L47" s="637"/>
      <c r="M47" s="499"/>
      <c r="N47" s="525"/>
      <c r="O47" s="493"/>
    </row>
    <row r="48" spans="2:15" ht="17.25" customHeight="1" x14ac:dyDescent="0.3">
      <c r="B48" s="496"/>
      <c r="C48" s="638"/>
      <c r="D48" s="638"/>
      <c r="E48" s="638"/>
      <c r="F48" s="638"/>
      <c r="G48" s="638"/>
      <c r="H48" s="638"/>
      <c r="I48" s="638"/>
      <c r="J48" s="638"/>
      <c r="K48" s="638"/>
      <c r="L48" s="638"/>
      <c r="M48" s="496"/>
      <c r="N48" s="525"/>
      <c r="O48" s="493"/>
    </row>
    <row r="49" spans="2:15" ht="17.25" customHeight="1" x14ac:dyDescent="0.3">
      <c r="B49" s="499"/>
      <c r="C49" s="637"/>
      <c r="D49" s="637"/>
      <c r="E49" s="637"/>
      <c r="F49" s="637"/>
      <c r="G49" s="637"/>
      <c r="H49" s="637"/>
      <c r="I49" s="637"/>
      <c r="J49" s="637"/>
      <c r="K49" s="637"/>
      <c r="L49" s="637"/>
      <c r="M49" s="499"/>
      <c r="N49" s="525"/>
      <c r="O49" s="493"/>
    </row>
    <row r="50" spans="2:15" ht="17.25" customHeight="1" x14ac:dyDescent="0.3">
      <c r="B50" s="496"/>
      <c r="C50" s="638"/>
      <c r="D50" s="638"/>
      <c r="E50" s="638"/>
      <c r="F50" s="638"/>
      <c r="G50" s="638"/>
      <c r="H50" s="638"/>
      <c r="I50" s="638"/>
      <c r="J50" s="638"/>
      <c r="K50" s="638"/>
      <c r="L50" s="638"/>
      <c r="M50" s="496"/>
      <c r="N50" s="525"/>
      <c r="O50" s="493"/>
    </row>
    <row r="51" spans="2:15" ht="17.25" customHeight="1" x14ac:dyDescent="0.3">
      <c r="B51" s="499"/>
      <c r="C51" s="637"/>
      <c r="D51" s="637"/>
      <c r="E51" s="637"/>
      <c r="F51" s="637"/>
      <c r="G51" s="637"/>
      <c r="H51" s="637"/>
      <c r="I51" s="637"/>
      <c r="J51" s="637"/>
      <c r="K51" s="637"/>
      <c r="L51" s="637"/>
      <c r="M51" s="500"/>
      <c r="N51" s="525"/>
      <c r="O51" s="493"/>
    </row>
    <row r="52" spans="2:15" ht="17.25" customHeight="1" x14ac:dyDescent="0.3">
      <c r="B52" s="496"/>
      <c r="C52" s="638"/>
      <c r="D52" s="638"/>
      <c r="E52" s="638"/>
      <c r="F52" s="638"/>
      <c r="G52" s="638"/>
      <c r="H52" s="638"/>
      <c r="I52" s="638"/>
      <c r="J52" s="638"/>
      <c r="K52" s="638"/>
      <c r="L52" s="638"/>
      <c r="M52" s="496"/>
      <c r="N52" s="525"/>
      <c r="O52" s="493"/>
    </row>
    <row r="53" spans="2:15" ht="17.25" customHeight="1" x14ac:dyDescent="0.3">
      <c r="B53" s="499"/>
      <c r="C53" s="637"/>
      <c r="D53" s="637"/>
      <c r="E53" s="637"/>
      <c r="F53" s="637"/>
      <c r="G53" s="637"/>
      <c r="H53" s="637"/>
      <c r="I53" s="637"/>
      <c r="J53" s="637"/>
      <c r="K53" s="637"/>
      <c r="L53" s="637"/>
      <c r="M53" s="499"/>
      <c r="N53" s="525"/>
      <c r="O53" s="493"/>
    </row>
    <row r="54" spans="2:15" ht="17.25" customHeight="1" x14ac:dyDescent="0.3">
      <c r="B54" s="496"/>
      <c r="C54" s="638"/>
      <c r="D54" s="638"/>
      <c r="E54" s="638"/>
      <c r="F54" s="638"/>
      <c r="G54" s="638"/>
      <c r="H54" s="638"/>
      <c r="I54" s="638"/>
      <c r="J54" s="638"/>
      <c r="K54" s="638"/>
      <c r="L54" s="638"/>
      <c r="M54" s="496"/>
      <c r="N54" s="525"/>
      <c r="O54" s="493"/>
    </row>
    <row r="55" spans="2:15" ht="17.25" customHeight="1" x14ac:dyDescent="0.3">
      <c r="B55" s="499"/>
      <c r="C55" s="637"/>
      <c r="D55" s="637"/>
      <c r="E55" s="637"/>
      <c r="F55" s="637"/>
      <c r="G55" s="637"/>
      <c r="H55" s="637"/>
      <c r="I55" s="637"/>
      <c r="J55" s="637"/>
      <c r="K55" s="637"/>
      <c r="L55" s="637"/>
      <c r="M55" s="499"/>
      <c r="N55" s="525"/>
      <c r="O55" s="493"/>
    </row>
    <row r="56" spans="2:15" ht="17.25" customHeight="1" x14ac:dyDescent="0.3">
      <c r="B56" s="496"/>
      <c r="C56" s="638"/>
      <c r="D56" s="638"/>
      <c r="E56" s="638"/>
      <c r="F56" s="638"/>
      <c r="G56" s="638"/>
      <c r="H56" s="638"/>
      <c r="I56" s="638"/>
      <c r="J56" s="638"/>
      <c r="K56" s="638"/>
      <c r="L56" s="638"/>
      <c r="M56" s="496"/>
      <c r="N56" s="525"/>
      <c r="O56" s="493"/>
    </row>
    <row r="57" spans="2:15" ht="17.25" customHeight="1" x14ac:dyDescent="0.3">
      <c r="B57" s="499"/>
      <c r="C57" s="637"/>
      <c r="D57" s="637"/>
      <c r="E57" s="637"/>
      <c r="F57" s="637"/>
      <c r="G57" s="637"/>
      <c r="H57" s="637"/>
      <c r="I57" s="637"/>
      <c r="J57" s="637"/>
      <c r="K57" s="637"/>
      <c r="L57" s="637"/>
      <c r="M57" s="499"/>
      <c r="N57" s="525"/>
      <c r="O57" s="493"/>
    </row>
    <row r="58" spans="2:15" ht="17.25" customHeight="1" x14ac:dyDescent="0.3">
      <c r="B58" s="496"/>
      <c r="C58" s="638"/>
      <c r="D58" s="638"/>
      <c r="E58" s="638"/>
      <c r="F58" s="638"/>
      <c r="G58" s="638"/>
      <c r="H58" s="638"/>
      <c r="I58" s="638"/>
      <c r="J58" s="638"/>
      <c r="K58" s="638"/>
      <c r="L58" s="638"/>
      <c r="M58" s="496"/>
      <c r="N58" s="525"/>
      <c r="O58" s="493"/>
    </row>
    <row r="59" spans="2:15" ht="17.25" customHeight="1" x14ac:dyDescent="0.3">
      <c r="B59" s="499"/>
      <c r="C59" s="637"/>
      <c r="D59" s="637"/>
      <c r="E59" s="637"/>
      <c r="F59" s="637"/>
      <c r="G59" s="637"/>
      <c r="H59" s="637"/>
      <c r="I59" s="637"/>
      <c r="J59" s="637"/>
      <c r="K59" s="637"/>
      <c r="L59" s="637"/>
      <c r="M59" s="500"/>
      <c r="N59" s="525"/>
      <c r="O59" s="493"/>
    </row>
    <row r="60" spans="2:15" ht="17.25" customHeight="1" x14ac:dyDescent="0.3">
      <c r="B60" s="496"/>
      <c r="C60" s="638"/>
      <c r="D60" s="638"/>
      <c r="E60" s="638"/>
      <c r="F60" s="638"/>
      <c r="G60" s="638"/>
      <c r="H60" s="638"/>
      <c r="I60" s="638"/>
      <c r="J60" s="638"/>
      <c r="K60" s="638"/>
      <c r="L60" s="638"/>
      <c r="M60" s="496"/>
      <c r="N60" s="525"/>
      <c r="O60" s="493"/>
    </row>
    <row r="61" spans="2:15" ht="17.25" customHeight="1" x14ac:dyDescent="0.3">
      <c r="B61" s="499"/>
      <c r="C61" s="637"/>
      <c r="D61" s="637"/>
      <c r="E61" s="637"/>
      <c r="F61" s="637"/>
      <c r="G61" s="637"/>
      <c r="H61" s="637"/>
      <c r="I61" s="637"/>
      <c r="J61" s="637"/>
      <c r="K61" s="637"/>
      <c r="L61" s="637"/>
      <c r="M61" s="499"/>
      <c r="N61" s="525"/>
      <c r="O61" s="493"/>
    </row>
    <row r="62" spans="2:15" ht="17.25" customHeight="1" x14ac:dyDescent="0.3">
      <c r="B62" s="496"/>
      <c r="C62" s="638"/>
      <c r="D62" s="638"/>
      <c r="E62" s="638"/>
      <c r="F62" s="638"/>
      <c r="G62" s="638"/>
      <c r="H62" s="638"/>
      <c r="I62" s="638"/>
      <c r="J62" s="638"/>
      <c r="K62" s="638"/>
      <c r="L62" s="638"/>
      <c r="M62" s="496"/>
      <c r="N62" s="525"/>
      <c r="O62" s="493"/>
    </row>
    <row r="63" spans="2:15" ht="17.25" customHeight="1" x14ac:dyDescent="0.3">
      <c r="B63" s="499"/>
      <c r="C63" s="637"/>
      <c r="D63" s="637"/>
      <c r="E63" s="637"/>
      <c r="F63" s="637"/>
      <c r="G63" s="637"/>
      <c r="H63" s="637"/>
      <c r="I63" s="637"/>
      <c r="J63" s="637"/>
      <c r="K63" s="637"/>
      <c r="L63" s="637"/>
      <c r="M63" s="499"/>
      <c r="N63" s="525"/>
      <c r="O63" s="493"/>
    </row>
    <row r="64" spans="2:15" ht="17.25" customHeight="1" x14ac:dyDescent="0.3">
      <c r="B64" s="496"/>
      <c r="C64" s="638"/>
      <c r="D64" s="638"/>
      <c r="E64" s="638"/>
      <c r="F64" s="638"/>
      <c r="G64" s="638"/>
      <c r="H64" s="638"/>
      <c r="I64" s="638"/>
      <c r="J64" s="638"/>
      <c r="K64" s="638"/>
      <c r="L64" s="638"/>
      <c r="M64" s="496"/>
      <c r="N64" s="525"/>
      <c r="O64" s="493"/>
    </row>
    <row r="65" spans="2:15" ht="17.25" customHeight="1" x14ac:dyDescent="0.3">
      <c r="B65" s="499"/>
      <c r="C65" s="637"/>
      <c r="D65" s="637"/>
      <c r="E65" s="637"/>
      <c r="F65" s="637"/>
      <c r="G65" s="637"/>
      <c r="H65" s="637"/>
      <c r="I65" s="637"/>
      <c r="J65" s="637"/>
      <c r="K65" s="637"/>
      <c r="L65" s="637"/>
      <c r="M65" s="499"/>
      <c r="N65" s="525"/>
      <c r="O65" s="493"/>
    </row>
    <row r="66" spans="2:15" ht="17.25" customHeight="1" x14ac:dyDescent="0.3">
      <c r="B66" s="496"/>
      <c r="C66" s="638"/>
      <c r="D66" s="638"/>
      <c r="E66" s="638"/>
      <c r="F66" s="638"/>
      <c r="G66" s="638"/>
      <c r="H66" s="638"/>
      <c r="I66" s="638"/>
      <c r="J66" s="638"/>
      <c r="K66" s="638"/>
      <c r="L66" s="638"/>
      <c r="M66" s="496"/>
      <c r="N66" s="525"/>
      <c r="O66" s="493"/>
    </row>
    <row r="67" spans="2:15" ht="17.25" customHeight="1" x14ac:dyDescent="0.3">
      <c r="B67" s="499"/>
      <c r="C67" s="637"/>
      <c r="D67" s="637"/>
      <c r="E67" s="637"/>
      <c r="F67" s="637"/>
      <c r="G67" s="637"/>
      <c r="H67" s="637"/>
      <c r="I67" s="637"/>
      <c r="J67" s="637"/>
      <c r="K67" s="637"/>
      <c r="L67" s="637"/>
      <c r="M67" s="499"/>
      <c r="N67" s="525"/>
      <c r="O67" s="493"/>
    </row>
    <row r="68" spans="2:15" ht="17.25" customHeight="1" x14ac:dyDescent="0.3">
      <c r="B68" s="496"/>
      <c r="C68" s="638"/>
      <c r="D68" s="638"/>
      <c r="E68" s="638"/>
      <c r="F68" s="638"/>
      <c r="G68" s="638"/>
      <c r="H68" s="638"/>
      <c r="I68" s="638"/>
      <c r="J68" s="638"/>
      <c r="K68" s="638"/>
      <c r="L68" s="638"/>
      <c r="M68" s="497"/>
      <c r="N68" s="525"/>
      <c r="O68" s="493"/>
    </row>
    <row r="69" spans="2:15" ht="17.25" customHeight="1" x14ac:dyDescent="0.3">
      <c r="B69" s="499"/>
      <c r="C69" s="637"/>
      <c r="D69" s="637"/>
      <c r="E69" s="637"/>
      <c r="F69" s="637"/>
      <c r="G69" s="637"/>
      <c r="H69" s="637"/>
      <c r="I69" s="637"/>
      <c r="J69" s="637"/>
      <c r="K69" s="637"/>
      <c r="L69" s="637"/>
      <c r="M69" s="499"/>
      <c r="N69" s="525"/>
      <c r="O69" s="493"/>
    </row>
    <row r="70" spans="2:15" ht="17.25" customHeight="1" x14ac:dyDescent="0.3">
      <c r="B70" s="496"/>
      <c r="C70" s="638"/>
      <c r="D70" s="638"/>
      <c r="E70" s="638"/>
      <c r="F70" s="638"/>
      <c r="G70" s="638"/>
      <c r="H70" s="638"/>
      <c r="I70" s="638"/>
      <c r="J70" s="638"/>
      <c r="K70" s="638"/>
      <c r="L70" s="638"/>
      <c r="M70" s="496"/>
      <c r="N70" s="525"/>
      <c r="O70" s="493"/>
    </row>
    <row r="71" spans="2:15" ht="17.25" customHeight="1" x14ac:dyDescent="0.3">
      <c r="B71" s="499"/>
      <c r="C71" s="637"/>
      <c r="D71" s="637"/>
      <c r="E71" s="637"/>
      <c r="F71" s="637"/>
      <c r="G71" s="637"/>
      <c r="H71" s="637"/>
      <c r="I71" s="637"/>
      <c r="J71" s="637"/>
      <c r="K71" s="637"/>
      <c r="L71" s="637"/>
      <c r="M71" s="499"/>
      <c r="N71" s="525"/>
      <c r="O71" s="493"/>
    </row>
    <row r="72" spans="2:15" ht="17.25" customHeight="1" x14ac:dyDescent="0.3">
      <c r="B72" s="496"/>
      <c r="C72" s="638"/>
      <c r="D72" s="638"/>
      <c r="E72" s="638"/>
      <c r="F72" s="638"/>
      <c r="G72" s="638"/>
      <c r="H72" s="638"/>
      <c r="I72" s="638"/>
      <c r="J72" s="638"/>
      <c r="K72" s="638"/>
      <c r="L72" s="638"/>
      <c r="M72" s="496"/>
      <c r="N72" s="525"/>
      <c r="O72" s="493"/>
    </row>
    <row r="73" spans="2:15" ht="17.25" customHeight="1" x14ac:dyDescent="0.3">
      <c r="B73" s="499"/>
      <c r="C73" s="637"/>
      <c r="D73" s="637"/>
      <c r="E73" s="637"/>
      <c r="F73" s="637"/>
      <c r="G73" s="637"/>
      <c r="H73" s="637"/>
      <c r="I73" s="637"/>
      <c r="J73" s="637"/>
      <c r="K73" s="637"/>
      <c r="L73" s="637"/>
      <c r="M73" s="499"/>
      <c r="N73" s="525"/>
      <c r="O73" s="493"/>
    </row>
    <row r="74" spans="2:15" ht="17.25" customHeight="1" x14ac:dyDescent="0.3">
      <c r="B74" s="496"/>
      <c r="C74" s="638"/>
      <c r="D74" s="638"/>
      <c r="E74" s="638"/>
      <c r="F74" s="638"/>
      <c r="G74" s="638"/>
      <c r="H74" s="638"/>
      <c r="I74" s="638"/>
      <c r="J74" s="638"/>
      <c r="K74" s="638"/>
      <c r="L74" s="638"/>
      <c r="M74" s="496"/>
      <c r="N74" s="525"/>
      <c r="O74" s="493"/>
    </row>
    <row r="75" spans="2:15" ht="17.25" customHeight="1" x14ac:dyDescent="0.3">
      <c r="B75" s="499"/>
      <c r="C75" s="637"/>
      <c r="D75" s="637"/>
      <c r="E75" s="637"/>
      <c r="F75" s="637"/>
      <c r="G75" s="637"/>
      <c r="H75" s="637"/>
      <c r="I75" s="637"/>
      <c r="J75" s="637"/>
      <c r="K75" s="637"/>
      <c r="L75" s="637"/>
      <c r="M75" s="499"/>
      <c r="N75" s="525"/>
      <c r="O75" s="493"/>
    </row>
    <row r="76" spans="2:15" ht="17.25" customHeight="1" x14ac:dyDescent="0.3">
      <c r="B76" s="496"/>
      <c r="C76" s="638"/>
      <c r="D76" s="638"/>
      <c r="E76" s="638"/>
      <c r="F76" s="638"/>
      <c r="G76" s="638"/>
      <c r="H76" s="638"/>
      <c r="I76" s="638"/>
      <c r="J76" s="638"/>
      <c r="K76" s="638"/>
      <c r="L76" s="638"/>
      <c r="M76" s="497"/>
      <c r="N76" s="525"/>
      <c r="O76" s="493"/>
    </row>
    <row r="77" spans="2:15" ht="17.25" customHeight="1" x14ac:dyDescent="0.3">
      <c r="B77" s="499"/>
      <c r="C77" s="637"/>
      <c r="D77" s="637"/>
      <c r="E77" s="637"/>
      <c r="F77" s="637"/>
      <c r="G77" s="637"/>
      <c r="H77" s="637"/>
      <c r="I77" s="637"/>
      <c r="J77" s="637"/>
      <c r="K77" s="637"/>
      <c r="L77" s="637"/>
      <c r="M77" s="499"/>
      <c r="N77" s="525"/>
      <c r="O77" s="493"/>
    </row>
    <row r="78" spans="2:15" ht="17.25" customHeight="1" x14ac:dyDescent="0.3">
      <c r="B78" s="496"/>
      <c r="C78" s="638"/>
      <c r="D78" s="638"/>
      <c r="E78" s="638"/>
      <c r="F78" s="638"/>
      <c r="G78" s="638"/>
      <c r="H78" s="638"/>
      <c r="I78" s="638"/>
      <c r="J78" s="638"/>
      <c r="K78" s="638"/>
      <c r="L78" s="638"/>
      <c r="M78" s="496"/>
      <c r="N78" s="525"/>
      <c r="O78" s="493"/>
    </row>
    <row r="79" spans="2:15" ht="17.25" customHeight="1" x14ac:dyDescent="0.3">
      <c r="B79" s="499"/>
      <c r="C79" s="637"/>
      <c r="D79" s="637"/>
      <c r="E79" s="637"/>
      <c r="F79" s="637"/>
      <c r="G79" s="637"/>
      <c r="H79" s="637"/>
      <c r="I79" s="637"/>
      <c r="J79" s="637"/>
      <c r="K79" s="637"/>
      <c r="L79" s="637"/>
      <c r="M79" s="499"/>
      <c r="N79" s="525"/>
      <c r="O79" s="493"/>
    </row>
    <row r="80" spans="2:15" ht="17.25" customHeight="1" x14ac:dyDescent="0.3">
      <c r="B80" s="496"/>
      <c r="C80" s="638"/>
      <c r="D80" s="638"/>
      <c r="E80" s="638"/>
      <c r="F80" s="638"/>
      <c r="G80" s="638"/>
      <c r="H80" s="638"/>
      <c r="I80" s="638"/>
      <c r="J80" s="638"/>
      <c r="K80" s="638"/>
      <c r="L80" s="638"/>
      <c r="M80" s="496"/>
      <c r="N80" s="525"/>
      <c r="O80" s="493"/>
    </row>
    <row r="81" spans="2:15" ht="17.25" customHeight="1" x14ac:dyDescent="0.3">
      <c r="B81" s="499"/>
      <c r="C81" s="637"/>
      <c r="D81" s="637"/>
      <c r="E81" s="637"/>
      <c r="F81" s="637"/>
      <c r="G81" s="637"/>
      <c r="H81" s="637"/>
      <c r="I81" s="637"/>
      <c r="J81" s="637"/>
      <c r="K81" s="637"/>
      <c r="L81" s="637"/>
      <c r="M81" s="499"/>
      <c r="N81" s="525"/>
      <c r="O81" s="493"/>
    </row>
    <row r="82" spans="2:15" ht="17.25" customHeight="1" x14ac:dyDescent="0.3">
      <c r="B82" s="496"/>
      <c r="C82" s="638"/>
      <c r="D82" s="638"/>
      <c r="E82" s="638"/>
      <c r="F82" s="638"/>
      <c r="G82" s="638"/>
      <c r="H82" s="638"/>
      <c r="I82" s="638"/>
      <c r="J82" s="638"/>
      <c r="K82" s="638"/>
      <c r="L82" s="638"/>
      <c r="M82" s="496"/>
      <c r="N82" s="525"/>
      <c r="O82" s="493"/>
    </row>
    <row r="83" spans="2:15" ht="17.25" customHeight="1" x14ac:dyDescent="0.3">
      <c r="B83" s="499"/>
      <c r="C83" s="637"/>
      <c r="D83" s="637"/>
      <c r="E83" s="637"/>
      <c r="F83" s="637"/>
      <c r="G83" s="637"/>
      <c r="H83" s="637"/>
      <c r="I83" s="637"/>
      <c r="J83" s="637"/>
      <c r="K83" s="637"/>
      <c r="L83" s="637"/>
      <c r="M83" s="499"/>
      <c r="N83" s="525"/>
      <c r="O83" s="493"/>
    </row>
    <row r="84" spans="2:15" ht="17.25" customHeight="1" x14ac:dyDescent="0.3">
      <c r="B84" s="496"/>
      <c r="C84" s="638"/>
      <c r="D84" s="638"/>
      <c r="E84" s="638"/>
      <c r="F84" s="638"/>
      <c r="G84" s="638"/>
      <c r="H84" s="638"/>
      <c r="I84" s="638"/>
      <c r="J84" s="638"/>
      <c r="K84" s="638"/>
      <c r="L84" s="638"/>
      <c r="M84" s="496"/>
      <c r="N84" s="525"/>
      <c r="O84" s="493"/>
    </row>
    <row r="85" spans="2:15" ht="17.25" customHeight="1" x14ac:dyDescent="0.3">
      <c r="B85" s="499"/>
      <c r="C85" s="637"/>
      <c r="D85" s="637"/>
      <c r="E85" s="637"/>
      <c r="F85" s="637"/>
      <c r="G85" s="637"/>
      <c r="H85" s="637"/>
      <c r="I85" s="637"/>
      <c r="J85" s="637"/>
      <c r="K85" s="637"/>
      <c r="L85" s="637"/>
      <c r="M85" s="500"/>
      <c r="N85" s="525"/>
      <c r="O85" s="493"/>
    </row>
    <row r="86" spans="2:15" ht="17.25" customHeight="1" x14ac:dyDescent="0.3">
      <c r="B86" s="496"/>
      <c r="C86" s="638"/>
      <c r="D86" s="638"/>
      <c r="E86" s="638"/>
      <c r="F86" s="638"/>
      <c r="G86" s="638"/>
      <c r="H86" s="638"/>
      <c r="I86" s="638"/>
      <c r="J86" s="638"/>
      <c r="K86" s="638"/>
      <c r="L86" s="638"/>
      <c r="M86" s="496"/>
      <c r="N86" s="525"/>
      <c r="O86" s="493"/>
    </row>
    <row r="87" spans="2:15" ht="17.25" customHeight="1" x14ac:dyDescent="0.3">
      <c r="B87" s="499"/>
      <c r="C87" s="637"/>
      <c r="D87" s="637"/>
      <c r="E87" s="637"/>
      <c r="F87" s="637"/>
      <c r="G87" s="637"/>
      <c r="H87" s="637"/>
      <c r="I87" s="637"/>
      <c r="J87" s="637"/>
      <c r="K87" s="637"/>
      <c r="L87" s="637"/>
      <c r="M87" s="499"/>
      <c r="N87" s="525"/>
      <c r="O87" s="493"/>
    </row>
    <row r="88" spans="2:15" ht="17.25" customHeight="1" x14ac:dyDescent="0.3">
      <c r="B88" s="496"/>
      <c r="C88" s="638"/>
      <c r="D88" s="638"/>
      <c r="E88" s="638"/>
      <c r="F88" s="638"/>
      <c r="G88" s="638"/>
      <c r="H88" s="638"/>
      <c r="I88" s="638"/>
      <c r="J88" s="638"/>
      <c r="K88" s="638"/>
      <c r="L88" s="638"/>
      <c r="M88" s="496"/>
      <c r="N88" s="525"/>
      <c r="O88" s="493"/>
    </row>
    <row r="89" spans="2:15" ht="17.25" customHeight="1" x14ac:dyDescent="0.3">
      <c r="B89" s="499"/>
      <c r="C89" s="637"/>
      <c r="D89" s="637"/>
      <c r="E89" s="637"/>
      <c r="F89" s="637"/>
      <c r="G89" s="637"/>
      <c r="H89" s="637"/>
      <c r="I89" s="637"/>
      <c r="J89" s="637"/>
      <c r="K89" s="637"/>
      <c r="L89" s="637"/>
      <c r="M89" s="499"/>
      <c r="N89" s="525"/>
      <c r="O89" s="493"/>
    </row>
    <row r="90" spans="2:15" ht="17.25" customHeight="1" x14ac:dyDescent="0.3">
      <c r="B90" s="496"/>
      <c r="C90" s="638"/>
      <c r="D90" s="638"/>
      <c r="E90" s="638"/>
      <c r="F90" s="638"/>
      <c r="G90" s="638"/>
      <c r="H90" s="638"/>
      <c r="I90" s="638"/>
      <c r="J90" s="638"/>
      <c r="K90" s="638"/>
      <c r="L90" s="638"/>
      <c r="M90" s="496"/>
      <c r="N90" s="525"/>
      <c r="O90" s="493"/>
    </row>
    <row r="91" spans="2:15" ht="17.25" customHeight="1" x14ac:dyDescent="0.3">
      <c r="B91" s="499"/>
      <c r="C91" s="637"/>
      <c r="D91" s="637"/>
      <c r="E91" s="637"/>
      <c r="F91" s="637"/>
      <c r="G91" s="637"/>
      <c r="H91" s="637"/>
      <c r="I91" s="637"/>
      <c r="J91" s="637"/>
      <c r="K91" s="637"/>
      <c r="L91" s="637"/>
      <c r="M91" s="499"/>
      <c r="N91" s="525"/>
      <c r="O91" s="493"/>
    </row>
    <row r="92" spans="2:15" ht="17.25" customHeight="1" x14ac:dyDescent="0.3">
      <c r="B92" s="496"/>
      <c r="C92" s="638"/>
      <c r="D92" s="638"/>
      <c r="E92" s="638"/>
      <c r="F92" s="638"/>
      <c r="G92" s="638"/>
      <c r="H92" s="638"/>
      <c r="I92" s="638"/>
      <c r="J92" s="638"/>
      <c r="K92" s="638"/>
      <c r="L92" s="638"/>
      <c r="M92" s="496"/>
      <c r="N92" s="525"/>
      <c r="O92" s="493"/>
    </row>
    <row r="93" spans="2:15" ht="17.25" customHeight="1" x14ac:dyDescent="0.3">
      <c r="B93" s="499"/>
      <c r="C93" s="637"/>
      <c r="D93" s="637"/>
      <c r="E93" s="637"/>
      <c r="F93" s="637"/>
      <c r="G93" s="637"/>
      <c r="H93" s="637"/>
      <c r="I93" s="637"/>
      <c r="J93" s="637"/>
      <c r="K93" s="637"/>
      <c r="L93" s="637"/>
      <c r="M93" s="500"/>
      <c r="N93" s="525"/>
      <c r="O93" s="493"/>
    </row>
    <row r="94" spans="2:15" ht="17.25" customHeight="1" x14ac:dyDescent="0.3">
      <c r="B94" s="496"/>
      <c r="C94" s="638"/>
      <c r="D94" s="638"/>
      <c r="E94" s="638"/>
      <c r="F94" s="638"/>
      <c r="G94" s="638"/>
      <c r="H94" s="638"/>
      <c r="I94" s="638"/>
      <c r="J94" s="638"/>
      <c r="K94" s="638"/>
      <c r="L94" s="638"/>
      <c r="M94" s="496"/>
      <c r="N94" s="525"/>
      <c r="O94" s="493"/>
    </row>
    <row r="95" spans="2:15" ht="18" customHeight="1" x14ac:dyDescent="0.3">
      <c r="N95" s="62"/>
    </row>
    <row r="96" spans="2:15" ht="18" customHeight="1" x14ac:dyDescent="0.3">
      <c r="N96" s="62"/>
    </row>
    <row r="97" spans="14:14" ht="18" customHeight="1" x14ac:dyDescent="0.3">
      <c r="N97" s="62"/>
    </row>
    <row r="98" spans="14:14" ht="18" customHeight="1" x14ac:dyDescent="0.3">
      <c r="N98" s="62"/>
    </row>
    <row r="99" spans="14:14" ht="18" customHeight="1" x14ac:dyDescent="0.3">
      <c r="N99" s="62"/>
    </row>
    <row r="100" spans="14:14" ht="18" customHeight="1" x14ac:dyDescent="0.3">
      <c r="N100" s="62"/>
    </row>
    <row r="101" spans="14:14" ht="18" customHeight="1" x14ac:dyDescent="0.3">
      <c r="N101" s="62"/>
    </row>
    <row r="102" spans="14:14" ht="18" customHeight="1" x14ac:dyDescent="0.3">
      <c r="N102" s="62"/>
    </row>
    <row r="103" spans="14:14" ht="18" customHeight="1" x14ac:dyDescent="0.3">
      <c r="N103" s="62"/>
    </row>
    <row r="104" spans="14:14" ht="18" customHeight="1" x14ac:dyDescent="0.3">
      <c r="N104" s="62"/>
    </row>
    <row r="105" spans="14:14" ht="18" customHeight="1" x14ac:dyDescent="0.3">
      <c r="N105" s="62"/>
    </row>
    <row r="106" spans="14:14" ht="18" customHeight="1" x14ac:dyDescent="0.3">
      <c r="N106" s="62"/>
    </row>
    <row r="107" spans="14:14" ht="18" customHeight="1" x14ac:dyDescent="0.3">
      <c r="N107" s="62"/>
    </row>
    <row r="108" spans="14:14" ht="18" customHeight="1" x14ac:dyDescent="0.3">
      <c r="N108" s="62"/>
    </row>
    <row r="109" spans="14:14" ht="18" customHeight="1" x14ac:dyDescent="0.3">
      <c r="N109" s="62"/>
    </row>
    <row r="110" spans="14:14" ht="18" customHeight="1" x14ac:dyDescent="0.3">
      <c r="N110" s="62"/>
    </row>
    <row r="111" spans="14:14" ht="18" customHeight="1" x14ac:dyDescent="0.3">
      <c r="N111" s="62"/>
    </row>
    <row r="112" spans="14:14"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8"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8" customHeight="1" x14ac:dyDescent="0.3">
      <c r="N283" s="62"/>
    </row>
    <row r="284" spans="14:14" ht="18" customHeight="1" x14ac:dyDescent="0.3">
      <c r="N284" s="62"/>
    </row>
    <row r="285" spans="14:14" ht="18" customHeight="1" x14ac:dyDescent="0.3">
      <c r="N285" s="62"/>
    </row>
    <row r="286" spans="14:14" ht="18" customHeight="1" x14ac:dyDescent="0.3">
      <c r="N286" s="62"/>
    </row>
    <row r="287" spans="14:14" ht="18" customHeight="1" x14ac:dyDescent="0.3">
      <c r="N287" s="62"/>
    </row>
    <row r="288" spans="14:14" ht="18" customHeight="1" x14ac:dyDescent="0.3">
      <c r="N288" s="62"/>
    </row>
    <row r="289" spans="14:14" ht="18" customHeight="1" x14ac:dyDescent="0.3">
      <c r="N289" s="62"/>
    </row>
    <row r="290" spans="14:14" ht="18" customHeight="1" x14ac:dyDescent="0.3">
      <c r="N290" s="62"/>
    </row>
    <row r="291" spans="14:14" ht="18" customHeight="1" x14ac:dyDescent="0.3">
      <c r="N291" s="62"/>
    </row>
    <row r="292" spans="14:14" ht="18" customHeight="1" x14ac:dyDescent="0.3">
      <c r="N292" s="62"/>
    </row>
    <row r="293" spans="14:14" ht="18" customHeight="1" x14ac:dyDescent="0.3">
      <c r="N293" s="62"/>
    </row>
    <row r="294" spans="14:14" ht="18" customHeight="1" x14ac:dyDescent="0.3">
      <c r="N294" s="62"/>
    </row>
    <row r="295" spans="14:14" ht="18" customHeight="1" x14ac:dyDescent="0.3">
      <c r="N295" s="62"/>
    </row>
    <row r="296" spans="14:14" ht="18" customHeight="1" x14ac:dyDescent="0.3">
      <c r="N296" s="62"/>
    </row>
    <row r="297" spans="14:14" ht="18" customHeight="1" x14ac:dyDescent="0.3">
      <c r="N297" s="62"/>
    </row>
    <row r="298" spans="14:14" ht="18" customHeight="1" x14ac:dyDescent="0.3">
      <c r="N298" s="62"/>
    </row>
    <row r="299" spans="14:14" ht="18" customHeight="1" x14ac:dyDescent="0.3">
      <c r="N299" s="62"/>
    </row>
    <row r="300" spans="14:14" ht="18" customHeight="1" x14ac:dyDescent="0.3">
      <c r="N300" s="62"/>
    </row>
  </sheetData>
  <mergeCells count="369">
    <mergeCell ref="C93:D93"/>
    <mergeCell ref="E93:F93"/>
    <mergeCell ref="G93:J93"/>
    <mergeCell ref="K93:L93"/>
    <mergeCell ref="C94:D94"/>
    <mergeCell ref="E94:F94"/>
    <mergeCell ref="G94:J94"/>
    <mergeCell ref="K94:L94"/>
    <mergeCell ref="C91:D91"/>
    <mergeCell ref="E91:F91"/>
    <mergeCell ref="G91:J91"/>
    <mergeCell ref="K91:L91"/>
    <mergeCell ref="C92:D92"/>
    <mergeCell ref="E92:F92"/>
    <mergeCell ref="G92:J92"/>
    <mergeCell ref="K92:L92"/>
    <mergeCell ref="C89:D89"/>
    <mergeCell ref="E89:F89"/>
    <mergeCell ref="G89:J89"/>
    <mergeCell ref="K89:L89"/>
    <mergeCell ref="C90:D90"/>
    <mergeCell ref="E90:F90"/>
    <mergeCell ref="G90:J90"/>
    <mergeCell ref="K90:L90"/>
    <mergeCell ref="C87:D87"/>
    <mergeCell ref="E87:F87"/>
    <mergeCell ref="G87:J87"/>
    <mergeCell ref="K87:L87"/>
    <mergeCell ref="C88:D88"/>
    <mergeCell ref="E88:F88"/>
    <mergeCell ref="G88:J88"/>
    <mergeCell ref="K88:L88"/>
    <mergeCell ref="C85:D85"/>
    <mergeCell ref="E85:F85"/>
    <mergeCell ref="G85:J85"/>
    <mergeCell ref="K85:L85"/>
    <mergeCell ref="C86:D86"/>
    <mergeCell ref="E86:F86"/>
    <mergeCell ref="G86:J86"/>
    <mergeCell ref="K86:L86"/>
    <mergeCell ref="C83:D83"/>
    <mergeCell ref="E83:F83"/>
    <mergeCell ref="G83:J83"/>
    <mergeCell ref="K83:L83"/>
    <mergeCell ref="C84:D84"/>
    <mergeCell ref="E84:F84"/>
    <mergeCell ref="G84:J84"/>
    <mergeCell ref="K84:L84"/>
    <mergeCell ref="C81:D81"/>
    <mergeCell ref="E81:F81"/>
    <mergeCell ref="G81:J81"/>
    <mergeCell ref="K81:L81"/>
    <mergeCell ref="C82:D82"/>
    <mergeCell ref="E82:F82"/>
    <mergeCell ref="G82:J82"/>
    <mergeCell ref="K82:L82"/>
    <mergeCell ref="C79:D79"/>
    <mergeCell ref="E79:F79"/>
    <mergeCell ref="G79:J79"/>
    <mergeCell ref="K79:L79"/>
    <mergeCell ref="C80:D80"/>
    <mergeCell ref="E80:F80"/>
    <mergeCell ref="G80:J80"/>
    <mergeCell ref="K80:L80"/>
    <mergeCell ref="C77:D77"/>
    <mergeCell ref="E77:F77"/>
    <mergeCell ref="G77:J77"/>
    <mergeCell ref="K77:L77"/>
    <mergeCell ref="C78:D78"/>
    <mergeCell ref="E78:F78"/>
    <mergeCell ref="G78:J78"/>
    <mergeCell ref="K78:L78"/>
    <mergeCell ref="C75:D75"/>
    <mergeCell ref="E75:F75"/>
    <mergeCell ref="G75:J75"/>
    <mergeCell ref="K75:L75"/>
    <mergeCell ref="C76:D76"/>
    <mergeCell ref="E76:F76"/>
    <mergeCell ref="G76:J76"/>
    <mergeCell ref="K76:L76"/>
    <mergeCell ref="C73:D73"/>
    <mergeCell ref="E73:F73"/>
    <mergeCell ref="G73:J73"/>
    <mergeCell ref="K73:L73"/>
    <mergeCell ref="C74:D74"/>
    <mergeCell ref="E74:F74"/>
    <mergeCell ref="G74:J74"/>
    <mergeCell ref="K74:L74"/>
    <mergeCell ref="C71:D71"/>
    <mergeCell ref="E71:F71"/>
    <mergeCell ref="G71:J71"/>
    <mergeCell ref="K71:L71"/>
    <mergeCell ref="C72:D72"/>
    <mergeCell ref="E72:F72"/>
    <mergeCell ref="G72:J72"/>
    <mergeCell ref="K72:L72"/>
    <mergeCell ref="C69:D69"/>
    <mergeCell ref="E69:F69"/>
    <mergeCell ref="G69:J69"/>
    <mergeCell ref="K69:L69"/>
    <mergeCell ref="C70:D70"/>
    <mergeCell ref="E70:F70"/>
    <mergeCell ref="G70:J70"/>
    <mergeCell ref="K70:L70"/>
    <mergeCell ref="C67:D67"/>
    <mergeCell ref="E67:F67"/>
    <mergeCell ref="G67:J67"/>
    <mergeCell ref="K67:L67"/>
    <mergeCell ref="C68:D68"/>
    <mergeCell ref="E68:F68"/>
    <mergeCell ref="G68:J68"/>
    <mergeCell ref="K68:L68"/>
    <mergeCell ref="C65:D65"/>
    <mergeCell ref="E65:F65"/>
    <mergeCell ref="G65:J65"/>
    <mergeCell ref="K65:L65"/>
    <mergeCell ref="C66:D66"/>
    <mergeCell ref="E66:F66"/>
    <mergeCell ref="G66:J66"/>
    <mergeCell ref="K66:L66"/>
    <mergeCell ref="C63:D63"/>
    <mergeCell ref="E63:F63"/>
    <mergeCell ref="G63:J63"/>
    <mergeCell ref="K63:L63"/>
    <mergeCell ref="C64:D64"/>
    <mergeCell ref="E64:F64"/>
    <mergeCell ref="G64:J64"/>
    <mergeCell ref="K64:L64"/>
    <mergeCell ref="C61:D61"/>
    <mergeCell ref="E61:F61"/>
    <mergeCell ref="G61:J61"/>
    <mergeCell ref="K61:L61"/>
    <mergeCell ref="C62:D62"/>
    <mergeCell ref="E62:F62"/>
    <mergeCell ref="G62:J62"/>
    <mergeCell ref="K62:L62"/>
    <mergeCell ref="C59:D59"/>
    <mergeCell ref="E59:F59"/>
    <mergeCell ref="G59:J59"/>
    <mergeCell ref="K59:L59"/>
    <mergeCell ref="C60:D60"/>
    <mergeCell ref="E60:F60"/>
    <mergeCell ref="G60:J60"/>
    <mergeCell ref="K60:L60"/>
    <mergeCell ref="C57:D57"/>
    <mergeCell ref="E57:F57"/>
    <mergeCell ref="G57:J57"/>
    <mergeCell ref="K57:L57"/>
    <mergeCell ref="C58:D58"/>
    <mergeCell ref="E58:F58"/>
    <mergeCell ref="G58:J58"/>
    <mergeCell ref="K58:L58"/>
    <mergeCell ref="C55:D55"/>
    <mergeCell ref="E55:F55"/>
    <mergeCell ref="G55:J55"/>
    <mergeCell ref="K55:L55"/>
    <mergeCell ref="C56:D56"/>
    <mergeCell ref="E56:F56"/>
    <mergeCell ref="G56:J56"/>
    <mergeCell ref="K56:L56"/>
    <mergeCell ref="C53:D53"/>
    <mergeCell ref="E53:F53"/>
    <mergeCell ref="G53:J53"/>
    <mergeCell ref="K53:L53"/>
    <mergeCell ref="C54:D54"/>
    <mergeCell ref="E54:F54"/>
    <mergeCell ref="G54:J54"/>
    <mergeCell ref="K54:L54"/>
    <mergeCell ref="C51:D51"/>
    <mergeCell ref="E51:F51"/>
    <mergeCell ref="G51:J51"/>
    <mergeCell ref="K51:L51"/>
    <mergeCell ref="C52:D52"/>
    <mergeCell ref="E52:F52"/>
    <mergeCell ref="G52:J52"/>
    <mergeCell ref="K52:L52"/>
    <mergeCell ref="C49:D49"/>
    <mergeCell ref="E49:F49"/>
    <mergeCell ref="G49:J49"/>
    <mergeCell ref="K49:L49"/>
    <mergeCell ref="C50:D50"/>
    <mergeCell ref="E50:F50"/>
    <mergeCell ref="G50:J50"/>
    <mergeCell ref="K50:L50"/>
    <mergeCell ref="C47:D47"/>
    <mergeCell ref="E47:F47"/>
    <mergeCell ref="G47:J47"/>
    <mergeCell ref="K47:L47"/>
    <mergeCell ref="C48:D48"/>
    <mergeCell ref="E48:F48"/>
    <mergeCell ref="G48:J48"/>
    <mergeCell ref="K48:L48"/>
    <mergeCell ref="C45:D45"/>
    <mergeCell ref="E45:F45"/>
    <mergeCell ref="G45:J45"/>
    <mergeCell ref="K45:L45"/>
    <mergeCell ref="C46:D46"/>
    <mergeCell ref="E46:F46"/>
    <mergeCell ref="G46:J46"/>
    <mergeCell ref="K46:L46"/>
    <mergeCell ref="C43:D43"/>
    <mergeCell ref="E43:F43"/>
    <mergeCell ref="G43:J43"/>
    <mergeCell ref="K43:L43"/>
    <mergeCell ref="C44:D44"/>
    <mergeCell ref="E44:F44"/>
    <mergeCell ref="G44:J44"/>
    <mergeCell ref="K44:L44"/>
    <mergeCell ref="C41:D41"/>
    <mergeCell ref="E41:F41"/>
    <mergeCell ref="G41:J41"/>
    <mergeCell ref="K41:L41"/>
    <mergeCell ref="C42:D42"/>
    <mergeCell ref="E42:F42"/>
    <mergeCell ref="G42:J42"/>
    <mergeCell ref="K42:L42"/>
    <mergeCell ref="C39:D39"/>
    <mergeCell ref="E39:F39"/>
    <mergeCell ref="G39:J39"/>
    <mergeCell ref="K39:L39"/>
    <mergeCell ref="C40:D40"/>
    <mergeCell ref="E40:F40"/>
    <mergeCell ref="G40:J40"/>
    <mergeCell ref="K40:L40"/>
    <mergeCell ref="C37:D37"/>
    <mergeCell ref="E37:F37"/>
    <mergeCell ref="G37:J37"/>
    <mergeCell ref="K37:L37"/>
    <mergeCell ref="C38:D38"/>
    <mergeCell ref="E38:F38"/>
    <mergeCell ref="G38:J38"/>
    <mergeCell ref="K38:L38"/>
    <mergeCell ref="C35:D35"/>
    <mergeCell ref="E35:F35"/>
    <mergeCell ref="G35:J35"/>
    <mergeCell ref="K35:L35"/>
    <mergeCell ref="C36:D36"/>
    <mergeCell ref="E36:F36"/>
    <mergeCell ref="G36:J36"/>
    <mergeCell ref="K36:L36"/>
    <mergeCell ref="C33:D33"/>
    <mergeCell ref="E33:F33"/>
    <mergeCell ref="G33:J33"/>
    <mergeCell ref="K33:L33"/>
    <mergeCell ref="C34:D34"/>
    <mergeCell ref="E34:F34"/>
    <mergeCell ref="G34:J34"/>
    <mergeCell ref="K34:L34"/>
    <mergeCell ref="C31:D31"/>
    <mergeCell ref="E31:F31"/>
    <mergeCell ref="G31:J31"/>
    <mergeCell ref="K31:L31"/>
    <mergeCell ref="C32:D32"/>
    <mergeCell ref="E32:F32"/>
    <mergeCell ref="G32:J32"/>
    <mergeCell ref="K32:L32"/>
    <mergeCell ref="C29:D29"/>
    <mergeCell ref="E29:F29"/>
    <mergeCell ref="G29:J29"/>
    <mergeCell ref="K29:L29"/>
    <mergeCell ref="C30:D30"/>
    <mergeCell ref="E30:F30"/>
    <mergeCell ref="G30:J30"/>
    <mergeCell ref="K30:L30"/>
    <mergeCell ref="C27:D27"/>
    <mergeCell ref="E27:F27"/>
    <mergeCell ref="G27:J27"/>
    <mergeCell ref="K27:L27"/>
    <mergeCell ref="C28:D28"/>
    <mergeCell ref="E28:F28"/>
    <mergeCell ref="G28:J28"/>
    <mergeCell ref="K28:L28"/>
    <mergeCell ref="C25:D25"/>
    <mergeCell ref="E25:F25"/>
    <mergeCell ref="G25:J25"/>
    <mergeCell ref="K25:L25"/>
    <mergeCell ref="C26:D26"/>
    <mergeCell ref="E26:F26"/>
    <mergeCell ref="G26:J26"/>
    <mergeCell ref="K26:L26"/>
    <mergeCell ref="C23:D23"/>
    <mergeCell ref="E23:F23"/>
    <mergeCell ref="G23:J23"/>
    <mergeCell ref="K23:L23"/>
    <mergeCell ref="C24:D24"/>
    <mergeCell ref="E24:F24"/>
    <mergeCell ref="G24:J24"/>
    <mergeCell ref="K24:L24"/>
    <mergeCell ref="C21:D21"/>
    <mergeCell ref="E21:F21"/>
    <mergeCell ref="G21:J21"/>
    <mergeCell ref="K21:L21"/>
    <mergeCell ref="C22:D22"/>
    <mergeCell ref="E22:F22"/>
    <mergeCell ref="G22:J22"/>
    <mergeCell ref="K22:L22"/>
    <mergeCell ref="C19:D19"/>
    <mergeCell ref="E19:F19"/>
    <mergeCell ref="G19:J19"/>
    <mergeCell ref="K19:L19"/>
    <mergeCell ref="C20:D20"/>
    <mergeCell ref="E20:F20"/>
    <mergeCell ref="G20:J20"/>
    <mergeCell ref="K20:L20"/>
    <mergeCell ref="C17:D17"/>
    <mergeCell ref="E17:F17"/>
    <mergeCell ref="G17:J17"/>
    <mergeCell ref="K17:L17"/>
    <mergeCell ref="C18:D18"/>
    <mergeCell ref="E18:F18"/>
    <mergeCell ref="G18:J18"/>
    <mergeCell ref="K18:L18"/>
    <mergeCell ref="C15:D15"/>
    <mergeCell ref="E15:F15"/>
    <mergeCell ref="G15:J15"/>
    <mergeCell ref="K15:L15"/>
    <mergeCell ref="C16:D16"/>
    <mergeCell ref="E16:F16"/>
    <mergeCell ref="G16:J16"/>
    <mergeCell ref="K16:L16"/>
    <mergeCell ref="C13:D13"/>
    <mergeCell ref="E13:F13"/>
    <mergeCell ref="G13:J13"/>
    <mergeCell ref="K13:L13"/>
    <mergeCell ref="C14:D14"/>
    <mergeCell ref="E14:F14"/>
    <mergeCell ref="G14:J14"/>
    <mergeCell ref="K14:L14"/>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C4:J500">
    <cfRule type="expression" dxfId="50" priority="1">
      <formula>$N4&lt;&gt;""</formula>
    </cfRule>
  </conditionalFormatting>
  <conditionalFormatting sqref="M4:N500">
    <cfRule type="expression" dxfId="49" priority="2">
      <formula>$N4&lt;&gt;""</formula>
    </cfRule>
  </conditionalFormatting>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4B49-9811-44C9-93AA-3D39D8E55FAE}">
  <sheetPr>
    <tabColor rgb="FF2F3A4A"/>
  </sheetPr>
  <dimension ref="A1:AP209"/>
  <sheetViews>
    <sheetView showGridLines="0" zoomScale="90" zoomScaleNormal="90" workbookViewId="0">
      <selection activeCell="A127" sqref="A127:D127"/>
    </sheetView>
  </sheetViews>
  <sheetFormatPr defaultColWidth="8.5546875" defaultRowHeight="14.4" x14ac:dyDescent="0.3"/>
  <cols>
    <col min="1" max="1" width="32.5546875"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135">
        <v>46235</v>
      </c>
      <c r="B3" s="113" t="s">
        <v>49</v>
      </c>
      <c r="C3" s="112" t="s">
        <v>176</v>
      </c>
      <c r="D3" s="111" t="s">
        <v>177</v>
      </c>
      <c r="E3" s="111" t="s">
        <v>178</v>
      </c>
      <c r="F3" s="862" t="s">
        <v>179</v>
      </c>
      <c r="G3" s="111" t="s">
        <v>180</v>
      </c>
      <c r="H3" s="111" t="s">
        <v>181</v>
      </c>
      <c r="I3" s="111" t="s">
        <v>182</v>
      </c>
      <c r="J3" s="128"/>
      <c r="K3" s="128"/>
      <c r="L3" s="128"/>
      <c r="M3" s="128"/>
      <c r="AA3" t="s">
        <v>31</v>
      </c>
      <c r="AB3" t="s">
        <v>1423</v>
      </c>
      <c r="AD3" s="900">
        <v>180</v>
      </c>
      <c r="AH3" s="900">
        <v>400</v>
      </c>
      <c r="AL3" s="900">
        <v>600</v>
      </c>
      <c r="AO3" s="900">
        <v>100</v>
      </c>
      <c r="AP3" s="65">
        <v>600</v>
      </c>
    </row>
    <row r="4" spans="1:42" ht="21" customHeight="1" x14ac:dyDescent="0.3">
      <c r="A4" s="110"/>
      <c r="B4" s="127"/>
      <c r="C4" s="126"/>
      <c r="D4" s="129"/>
      <c r="E4" s="131" t="s">
        <v>184</v>
      </c>
      <c r="F4" s="877" t="str">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
      </c>
      <c r="G4" s="130" t="str">
        <f>IFERROR(ROUNDUP(D4/F4,0),"")</f>
        <v/>
      </c>
      <c r="H4" s="105"/>
      <c r="I4" s="129" t="str">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
      </c>
      <c r="J4" s="128"/>
      <c r="K4" s="128"/>
      <c r="L4" s="128"/>
      <c r="M4" s="128"/>
      <c r="AA4" t="s">
        <v>185</v>
      </c>
      <c r="AB4" t="s">
        <v>1423</v>
      </c>
      <c r="AH4" s="900">
        <v>600</v>
      </c>
      <c r="AO4" s="900">
        <v>125</v>
      </c>
    </row>
    <row r="5" spans="1:42" ht="21" customHeight="1" x14ac:dyDescent="0.3">
      <c r="A5" s="110"/>
      <c r="B5" s="127"/>
      <c r="C5" s="126"/>
      <c r="D5" s="129"/>
      <c r="E5" s="131" t="s">
        <v>184</v>
      </c>
      <c r="F5" s="877"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30" t="str">
        <f>IFERROR(ROUNDUP(D5/F5,0),"")</f>
        <v/>
      </c>
      <c r="H5" s="105"/>
      <c r="I5" s="129"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J5" s="128"/>
      <c r="K5" s="128"/>
      <c r="L5" s="128"/>
      <c r="M5" s="128"/>
      <c r="AA5" t="s">
        <v>183</v>
      </c>
      <c r="AB5" t="s">
        <v>1423</v>
      </c>
      <c r="AO5" s="900">
        <v>180</v>
      </c>
    </row>
    <row r="6" spans="1:42" ht="21" customHeight="1" x14ac:dyDescent="0.3">
      <c r="A6" s="110"/>
      <c r="B6" s="127"/>
      <c r="C6" s="126"/>
      <c r="D6" s="129"/>
      <c r="E6" s="131" t="s">
        <v>184</v>
      </c>
      <c r="F6" s="877"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30" t="str">
        <f>IFERROR(ROUNDUP(D6/F6,0),"")</f>
        <v/>
      </c>
      <c r="H6" s="105"/>
      <c r="I6" s="129"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J6" s="128"/>
      <c r="K6" s="128"/>
      <c r="L6" s="128"/>
      <c r="M6" s="128"/>
      <c r="AA6" t="s">
        <v>499</v>
      </c>
      <c r="AB6" t="s">
        <v>1423</v>
      </c>
      <c r="AO6" s="900">
        <v>200</v>
      </c>
    </row>
    <row r="7" spans="1:42" ht="21" customHeight="1" x14ac:dyDescent="0.3">
      <c r="A7" s="110"/>
      <c r="B7" s="127"/>
      <c r="C7" s="126"/>
      <c r="D7" s="129"/>
      <c r="E7" s="131" t="s">
        <v>184</v>
      </c>
      <c r="F7" s="877"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30" t="str">
        <f>IFERROR(ROUNDUP(D7/F7,0),"")</f>
        <v/>
      </c>
      <c r="H7" s="105"/>
      <c r="I7" s="129"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J7" s="128"/>
      <c r="K7" s="128"/>
      <c r="L7" s="128"/>
      <c r="M7" s="128"/>
      <c r="AA7" t="s">
        <v>254</v>
      </c>
      <c r="AB7" t="s">
        <v>1424</v>
      </c>
      <c r="AO7" s="900">
        <v>400</v>
      </c>
    </row>
    <row r="8" spans="1:42" ht="21" customHeight="1" x14ac:dyDescent="0.3">
      <c r="A8" s="817"/>
      <c r="B8" s="829"/>
      <c r="C8" s="830"/>
      <c r="D8" s="831"/>
      <c r="E8" s="832" t="s">
        <v>184</v>
      </c>
      <c r="F8" s="878"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33" t="str">
        <f>IFERROR(ROUNDUP(D8/F8,0),"")</f>
        <v/>
      </c>
      <c r="H8" s="823"/>
      <c r="I8" s="831"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J8" s="128"/>
      <c r="K8" s="128"/>
      <c r="L8" s="128"/>
      <c r="M8" s="128"/>
      <c r="AA8" t="s">
        <v>1104</v>
      </c>
      <c r="AB8" t="s">
        <v>1424</v>
      </c>
      <c r="AO8" s="900">
        <v>500</v>
      </c>
    </row>
    <row r="9" spans="1:42" ht="15" customHeight="1" x14ac:dyDescent="0.3">
      <c r="A9" s="899"/>
      <c r="B9" s="846" t="s">
        <v>186</v>
      </c>
      <c r="C9" s="851"/>
      <c r="D9" s="848">
        <f>SUM(D2:D8)</f>
        <v>0</v>
      </c>
      <c r="E9" s="852"/>
      <c r="F9" s="857" t="s">
        <v>1400</v>
      </c>
      <c r="G9" s="850">
        <f>SUM(G2:G8)</f>
        <v>0</v>
      </c>
      <c r="H9" s="848">
        <f>SUM(H2:H8)</f>
        <v>0</v>
      </c>
      <c r="I9" s="848">
        <f>SUM(I2:I8)</f>
        <v>0</v>
      </c>
      <c r="J9" s="133">
        <f>D9</f>
        <v>0</v>
      </c>
      <c r="K9" s="134">
        <f>G9</f>
        <v>0</v>
      </c>
      <c r="L9" s="133">
        <f>H9</f>
        <v>0</v>
      </c>
      <c r="M9" s="133">
        <f>I9</f>
        <v>0</v>
      </c>
      <c r="N9" s="587" t="str" cm="1">
        <f t="array" ref="N9">IF(H9=0,"",SUMPRODUCT(IFERROR(INT(H4:H8/F4:F8),0)))</f>
        <v/>
      </c>
      <c r="O9" s="770" t="str">
        <f>IF(N9="","",MAX(0,G9-N9))</f>
        <v/>
      </c>
      <c r="AA9" t="s">
        <v>58</v>
      </c>
      <c r="AB9" t="s">
        <v>1423</v>
      </c>
      <c r="AO9" s="900">
        <v>600</v>
      </c>
    </row>
    <row r="10" spans="1:42" ht="6" customHeight="1" x14ac:dyDescent="0.3">
      <c r="A10" s="128"/>
      <c r="B10" s="128"/>
      <c r="C10" s="132"/>
      <c r="D10" s="128"/>
      <c r="E10" s="128"/>
      <c r="F10" s="128"/>
      <c r="G10" s="128"/>
      <c r="H10" s="128"/>
      <c r="I10" s="128"/>
      <c r="J10" s="128"/>
      <c r="K10" s="128"/>
      <c r="L10" s="128"/>
      <c r="M10" s="128"/>
      <c r="AA10" t="s">
        <v>496</v>
      </c>
      <c r="AB10" t="s">
        <v>1423</v>
      </c>
    </row>
    <row r="11" spans="1:42" ht="15" customHeight="1" x14ac:dyDescent="0.3">
      <c r="A11" s="75">
        <v>46237</v>
      </c>
      <c r="B11" s="113" t="s">
        <v>49</v>
      </c>
      <c r="C11" s="112" t="s">
        <v>176</v>
      </c>
      <c r="D11" s="111" t="s">
        <v>177</v>
      </c>
      <c r="E11" s="111" t="s">
        <v>178</v>
      </c>
      <c r="F11" s="860" t="s">
        <v>179</v>
      </c>
      <c r="G11" s="111" t="s">
        <v>180</v>
      </c>
      <c r="H11" s="111" t="s">
        <v>181</v>
      </c>
      <c r="I11" s="111" t="s">
        <v>182</v>
      </c>
      <c r="AA11" t="s">
        <v>37</v>
      </c>
      <c r="AB11" t="s">
        <v>1423</v>
      </c>
    </row>
    <row r="12" spans="1:42" ht="21" customHeight="1" x14ac:dyDescent="0.3">
      <c r="A12" s="110"/>
      <c r="B12" s="109"/>
      <c r="C12" s="108"/>
      <c r="D12" s="104"/>
      <c r="E12" s="107" t="s">
        <v>184</v>
      </c>
      <c r="F12" s="871" t="str">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
      </c>
      <c r="G12" s="106" t="str">
        <f>IFERROR(ROUNDUP(D12/F12,0),"")</f>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2"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2"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0</v>
      </c>
      <c r="E17" s="849"/>
      <c r="F17" s="856" t="s">
        <v>1400</v>
      </c>
      <c r="G17" s="850">
        <f>SUM(G10:G16)</f>
        <v>0</v>
      </c>
      <c r="H17" s="848">
        <f>SUM(H10:H16)</f>
        <v>0</v>
      </c>
      <c r="I17" s="848">
        <f>SUM(I10:I16)</f>
        <v>0</v>
      </c>
      <c r="J17" s="63">
        <f>D17</f>
        <v>0</v>
      </c>
      <c r="K17" s="93">
        <f>G17</f>
        <v>0</v>
      </c>
      <c r="L17" s="63">
        <f>H17</f>
        <v>0</v>
      </c>
      <c r="M17" s="63">
        <f>I17</f>
        <v>0</v>
      </c>
      <c r="N17" s="587" t="str" cm="1">
        <f t="array" ref="N17">IF(H17=0,"",SUMPRODUCT(IFERROR(INT(H12:H16/F12:F16),0)))</f>
        <v/>
      </c>
      <c r="O17" s="770" t="str">
        <f>IF(N17="","",MAX(0,G17-N17))</f>
        <v/>
      </c>
      <c r="AA17" t="s">
        <v>236</v>
      </c>
      <c r="AB17" t="s">
        <v>1425</v>
      </c>
    </row>
    <row r="18" spans="1:28" ht="6" customHeight="1" x14ac:dyDescent="0.3">
      <c r="C18" s="65"/>
      <c r="AA18" t="s">
        <v>593</v>
      </c>
      <c r="AB18" t="s">
        <v>1426</v>
      </c>
    </row>
    <row r="19" spans="1:28" ht="15" customHeight="1" x14ac:dyDescent="0.3">
      <c r="A19" s="75">
        <v>46238</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c r="C20" s="108"/>
      <c r="D20" s="104"/>
      <c r="E20" s="107" t="s">
        <v>184</v>
      </c>
      <c r="F20" s="871"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06" t="str">
        <f>IFERROR(ROUNDUP(D20/F20,0),"")</f>
        <v/>
      </c>
      <c r="H20" s="105"/>
      <c r="I20" s="104"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AA20" t="s">
        <v>189</v>
      </c>
      <c r="AB20" t="s">
        <v>1425</v>
      </c>
    </row>
    <row r="21" spans="1:28" ht="21" customHeight="1" x14ac:dyDescent="0.3">
      <c r="A21" s="110"/>
      <c r="B21" s="109"/>
      <c r="C21" s="108"/>
      <c r="D21" s="104"/>
      <c r="E21" s="107" t="s">
        <v>184</v>
      </c>
      <c r="F21" s="871"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106" t="str">
        <f>IFERROR(ROUNDUP(D21/F21,0),"")</f>
        <v/>
      </c>
      <c r="H21" s="105"/>
      <c r="I21" s="104"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0</v>
      </c>
      <c r="E25" s="849"/>
      <c r="F25" s="856" t="s">
        <v>1400</v>
      </c>
      <c r="G25" s="850">
        <f>SUM(G18:G24)</f>
        <v>0</v>
      </c>
      <c r="H25" s="848">
        <f>SUM(H18:H24)</f>
        <v>0</v>
      </c>
      <c r="I25" s="848">
        <f>SUM(I18:I24)</f>
        <v>0</v>
      </c>
      <c r="J25" s="63">
        <f>D25</f>
        <v>0</v>
      </c>
      <c r="K25" s="93">
        <f>G25</f>
        <v>0</v>
      </c>
      <c r="L25" s="63">
        <f>H25</f>
        <v>0</v>
      </c>
      <c r="M25" s="63">
        <f>I25</f>
        <v>0</v>
      </c>
      <c r="N25" s="587" t="str" cm="1">
        <f t="array" ref="N25">IF(H25=0,"",SUMPRODUCT(IFERROR(INT(H20:H24/F20:F24),0)))</f>
        <v/>
      </c>
      <c r="O25" s="770" t="str">
        <f>IF(N25="","",MAX(0,G25-N25))</f>
        <v/>
      </c>
      <c r="AA25" t="s">
        <v>1159</v>
      </c>
      <c r="AB25" t="s">
        <v>1423</v>
      </c>
    </row>
    <row r="26" spans="1:28" ht="6" customHeight="1" x14ac:dyDescent="0.3">
      <c r="C26" s="65"/>
      <c r="AA26" t="s">
        <v>287</v>
      </c>
      <c r="AB26" t="s">
        <v>1427</v>
      </c>
    </row>
    <row r="27" spans="1:28" ht="15" customHeight="1" x14ac:dyDescent="0.3">
      <c r="A27" s="75">
        <v>46239</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c r="C28" s="108"/>
      <c r="D28" s="104"/>
      <c r="E28" s="107" t="s">
        <v>184</v>
      </c>
      <c r="F28" s="871" t="str">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
      </c>
      <c r="G28" s="106" t="str">
        <f>IFERROR(ROUNDUP(D28/F28,0),"")</f>
        <v/>
      </c>
      <c r="H28" s="105"/>
      <c r="I28" s="104" t="str">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0</v>
      </c>
      <c r="E33" s="849"/>
      <c r="F33" s="856" t="s">
        <v>1400</v>
      </c>
      <c r="G33" s="850">
        <f>SUM(G26:G32)</f>
        <v>0</v>
      </c>
      <c r="H33" s="848">
        <f>SUM(H26:H32)</f>
        <v>0</v>
      </c>
      <c r="I33" s="848">
        <f>SUM(I26:I32)</f>
        <v>0</v>
      </c>
      <c r="J33" s="63">
        <f>D33</f>
        <v>0</v>
      </c>
      <c r="K33" s="93">
        <f>G33</f>
        <v>0</v>
      </c>
      <c r="L33" s="63">
        <f>H33</f>
        <v>0</v>
      </c>
      <c r="M33" s="63">
        <f>I33</f>
        <v>0</v>
      </c>
      <c r="N33" s="587" t="str" cm="1">
        <f t="array" ref="N33">IF(H33=0,"",SUMPRODUCT(IFERROR(INT(H28:H32/F28:F32),0)))</f>
        <v/>
      </c>
      <c r="O33" s="770" t="str">
        <f>IF(N33="","",MAX(0,G33-N33))</f>
        <v/>
      </c>
      <c r="AA33" t="s">
        <v>471</v>
      </c>
      <c r="AB33" t="s">
        <v>1428</v>
      </c>
    </row>
    <row r="34" spans="1:28" ht="6" customHeight="1" x14ac:dyDescent="0.3">
      <c r="C34" s="65"/>
      <c r="AA34" t="s">
        <v>292</v>
      </c>
      <c r="AB34" t="s">
        <v>1428</v>
      </c>
    </row>
    <row r="35" spans="1:28" ht="15" customHeight="1" x14ac:dyDescent="0.3">
      <c r="A35" s="75">
        <v>46240</v>
      </c>
      <c r="B35" s="113" t="s">
        <v>49</v>
      </c>
      <c r="C35" s="112" t="s">
        <v>176</v>
      </c>
      <c r="D35" s="111" t="s">
        <v>177</v>
      </c>
      <c r="E35" s="111" t="s">
        <v>178</v>
      </c>
      <c r="F35" s="860" t="s">
        <v>179</v>
      </c>
      <c r="G35" s="111" t="s">
        <v>180</v>
      </c>
      <c r="H35" s="111" t="s">
        <v>181</v>
      </c>
      <c r="I35" s="111" t="s">
        <v>182</v>
      </c>
      <c r="AA35" t="s">
        <v>1193</v>
      </c>
      <c r="AB35" t="s">
        <v>1428</v>
      </c>
    </row>
    <row r="36" spans="1:28" ht="21" customHeight="1" x14ac:dyDescent="0.3">
      <c r="A36" s="110"/>
      <c r="B36" s="109"/>
      <c r="C36" s="108"/>
      <c r="D36" s="104"/>
      <c r="E36" s="107" t="s">
        <v>184</v>
      </c>
      <c r="F36" s="871"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106" t="str">
        <f>IFERROR(ROUNDUP(D36/F36,0),"")</f>
        <v/>
      </c>
      <c r="H36" s="105"/>
      <c r="I36" s="104"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AA36" t="s">
        <v>294</v>
      </c>
      <c r="AB36" t="s">
        <v>1428</v>
      </c>
    </row>
    <row r="37" spans="1:28" ht="21" customHeight="1" x14ac:dyDescent="0.3">
      <c r="A37" s="110"/>
      <c r="B37" s="109"/>
      <c r="C37" s="108"/>
      <c r="D37" s="104"/>
      <c r="E37" s="107" t="s">
        <v>184</v>
      </c>
      <c r="F37" s="871"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06" t="str">
        <f>IFERROR(ROUNDUP(D37/F37,0),"")</f>
        <v/>
      </c>
      <c r="H37" s="105"/>
      <c r="I37" s="104"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AA37" t="s">
        <v>591</v>
      </c>
      <c r="AB37" t="s">
        <v>1428</v>
      </c>
    </row>
    <row r="38" spans="1:28" ht="21" customHeight="1" x14ac:dyDescent="0.3">
      <c r="A38" s="110"/>
      <c r="B38" s="109"/>
      <c r="C38" s="108"/>
      <c r="D38" s="104"/>
      <c r="E38" s="107" t="s">
        <v>184</v>
      </c>
      <c r="F38" s="871"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06" t="str">
        <f>IFERROR(ROUNDUP(D38/F38,0),"")</f>
        <v/>
      </c>
      <c r="H38" s="105"/>
      <c r="I38" s="104"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AA38" t="s">
        <v>590</v>
      </c>
      <c r="AB38" t="s">
        <v>1428</v>
      </c>
    </row>
    <row r="39" spans="1:28" ht="21" customHeight="1" x14ac:dyDescent="0.3">
      <c r="A39" s="110"/>
      <c r="B39" s="109"/>
      <c r="C39" s="108"/>
      <c r="D39" s="104"/>
      <c r="E39" s="107" t="s">
        <v>184</v>
      </c>
      <c r="F39" s="871"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06" t="str">
        <f>IFERROR(ROUNDUP(D39/F39,0),"")</f>
        <v/>
      </c>
      <c r="H39" s="105"/>
      <c r="I39" s="104"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AA39" t="s">
        <v>592</v>
      </c>
      <c r="AB39" t="s">
        <v>1428</v>
      </c>
    </row>
    <row r="40" spans="1:28" ht="21" customHeight="1" x14ac:dyDescent="0.3">
      <c r="A40" s="817"/>
      <c r="B40" s="818"/>
      <c r="C40" s="819"/>
      <c r="D40" s="820"/>
      <c r="E40" s="821" t="s">
        <v>184</v>
      </c>
      <c r="F40" s="872"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22" t="str">
        <f>IFERROR(ROUNDUP(D40/F40,0),"")</f>
        <v/>
      </c>
      <c r="H40" s="823"/>
      <c r="I40" s="820"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AA40" t="s">
        <v>473</v>
      </c>
      <c r="AB40" t="s">
        <v>1428</v>
      </c>
    </row>
    <row r="41" spans="1:28" ht="15" customHeight="1" x14ac:dyDescent="0.3">
      <c r="A41" s="899"/>
      <c r="B41" s="846" t="s">
        <v>186</v>
      </c>
      <c r="C41" s="847"/>
      <c r="D41" s="848">
        <f>SUM(D34:D40)</f>
        <v>0</v>
      </c>
      <c r="E41" s="849"/>
      <c r="F41" s="856" t="s">
        <v>1400</v>
      </c>
      <c r="G41" s="850">
        <f>SUM(G34:G40)</f>
        <v>0</v>
      </c>
      <c r="H41" s="848">
        <f>SUM(H34:H40)</f>
        <v>0</v>
      </c>
      <c r="I41" s="848">
        <f>SUM(I34:I40)</f>
        <v>0</v>
      </c>
      <c r="J41" s="63">
        <f>D41</f>
        <v>0</v>
      </c>
      <c r="K41" s="93">
        <f>G41</f>
        <v>0</v>
      </c>
      <c r="L41" s="63">
        <f>H41</f>
        <v>0</v>
      </c>
      <c r="M41" s="63">
        <f>I41</f>
        <v>0</v>
      </c>
      <c r="N41" s="587" t="str" cm="1">
        <f t="array" ref="N41">IF(H41=0,"",SUMPRODUCT(IFERROR(INT(H36:H40/F36:F40),0)))</f>
        <v/>
      </c>
      <c r="O41" s="770" t="str">
        <f>IF(N41="","",MAX(0,G41-N41))</f>
        <v/>
      </c>
      <c r="AA41" t="s">
        <v>296</v>
      </c>
      <c r="AB41" t="s">
        <v>1428</v>
      </c>
    </row>
    <row r="42" spans="1:28" ht="6" customHeight="1" x14ac:dyDescent="0.3">
      <c r="C42" s="65"/>
      <c r="AA42" t="s">
        <v>472</v>
      </c>
      <c r="AB42" t="s">
        <v>1428</v>
      </c>
    </row>
    <row r="43" spans="1:28" ht="15" customHeight="1" x14ac:dyDescent="0.3">
      <c r="A43" s="75">
        <v>46241</v>
      </c>
      <c r="B43" s="113" t="s">
        <v>49</v>
      </c>
      <c r="C43" s="112" t="s">
        <v>176</v>
      </c>
      <c r="D43" s="111" t="s">
        <v>177</v>
      </c>
      <c r="E43" s="111" t="s">
        <v>178</v>
      </c>
      <c r="F43" s="860" t="s">
        <v>179</v>
      </c>
      <c r="G43" s="111" t="s">
        <v>180</v>
      </c>
      <c r="H43" s="111" t="s">
        <v>181</v>
      </c>
      <c r="I43" s="111" t="s">
        <v>182</v>
      </c>
      <c r="AA43" t="s">
        <v>293</v>
      </c>
      <c r="AB43" t="s">
        <v>1428</v>
      </c>
    </row>
    <row r="44" spans="1:28" ht="21" customHeight="1" x14ac:dyDescent="0.3">
      <c r="A44" s="110"/>
      <c r="B44" s="109"/>
      <c r="C44" s="108"/>
      <c r="D44" s="104"/>
      <c r="E44" s="107" t="s">
        <v>184</v>
      </c>
      <c r="F44" s="871"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06" t="str">
        <f>IFERROR(ROUNDUP(D44/F44,0),"")</f>
        <v/>
      </c>
      <c r="H44" s="105"/>
      <c r="I44" s="104"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AA44" t="s">
        <v>101</v>
      </c>
      <c r="AB44" t="s">
        <v>1428</v>
      </c>
    </row>
    <row r="45" spans="1:28" ht="21" customHeight="1" x14ac:dyDescent="0.3">
      <c r="A45" s="110"/>
      <c r="B45" s="109"/>
      <c r="C45" s="108"/>
      <c r="D45" s="104"/>
      <c r="E45" s="107" t="s">
        <v>184</v>
      </c>
      <c r="F45" s="871"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106" t="str">
        <f>IFERROR(ROUNDUP(D45/F45,0),"")</f>
        <v/>
      </c>
      <c r="H45" s="105"/>
      <c r="I45" s="104"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AA45" t="s">
        <v>474</v>
      </c>
      <c r="AB45" t="s">
        <v>1428</v>
      </c>
    </row>
    <row r="46" spans="1:28" ht="21" customHeight="1" x14ac:dyDescent="0.3">
      <c r="A46" s="110"/>
      <c r="B46" s="109"/>
      <c r="C46" s="108"/>
      <c r="D46" s="104"/>
      <c r="E46" s="107" t="s">
        <v>184</v>
      </c>
      <c r="F46" s="871"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106" t="str">
        <f>IFERROR(ROUNDUP(D46/F46,0),"")</f>
        <v/>
      </c>
      <c r="H46" s="105"/>
      <c r="I46" s="104"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AA46" t="s">
        <v>295</v>
      </c>
      <c r="AB46" t="s">
        <v>1428</v>
      </c>
    </row>
    <row r="47" spans="1:28" ht="21" customHeight="1" x14ac:dyDescent="0.3">
      <c r="A47" s="110"/>
      <c r="B47" s="109"/>
      <c r="C47" s="108"/>
      <c r="D47" s="104"/>
      <c r="E47" s="107" t="s">
        <v>184</v>
      </c>
      <c r="F47" s="871"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06" t="str">
        <f>IFERROR(ROUNDUP(D47/F47,0),"")</f>
        <v/>
      </c>
      <c r="H47" s="105"/>
      <c r="I47" s="104"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AA47" t="s">
        <v>97</v>
      </c>
      <c r="AB47" t="s">
        <v>1428</v>
      </c>
    </row>
    <row r="48" spans="1:28" ht="21" customHeight="1" x14ac:dyDescent="0.3">
      <c r="A48" s="817"/>
      <c r="B48" s="818"/>
      <c r="C48" s="819"/>
      <c r="D48" s="820"/>
      <c r="E48" s="821" t="s">
        <v>184</v>
      </c>
      <c r="F48" s="872"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822" t="str">
        <f>IFERROR(ROUNDUP(D48/F48,0),"")</f>
        <v/>
      </c>
      <c r="H48" s="823"/>
      <c r="I48" s="820"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AA48" t="s">
        <v>475</v>
      </c>
      <c r="AB48" t="s">
        <v>1428</v>
      </c>
    </row>
    <row r="49" spans="1:28" ht="15" customHeight="1" x14ac:dyDescent="0.3">
      <c r="A49" s="899"/>
      <c r="B49" s="846" t="s">
        <v>186</v>
      </c>
      <c r="C49" s="847"/>
      <c r="D49" s="848">
        <f>SUM(D42:D48)</f>
        <v>0</v>
      </c>
      <c r="E49" s="849"/>
      <c r="F49" s="856" t="s">
        <v>1400</v>
      </c>
      <c r="G49" s="850">
        <f>SUM(G42:G48)</f>
        <v>0</v>
      </c>
      <c r="H49" s="848">
        <f>SUM(H42:H48)</f>
        <v>0</v>
      </c>
      <c r="I49" s="848">
        <f>SUM(I42:I48)</f>
        <v>0</v>
      </c>
      <c r="J49" s="63">
        <f>D49</f>
        <v>0</v>
      </c>
      <c r="K49" s="93">
        <f>G49</f>
        <v>0</v>
      </c>
      <c r="L49" s="63">
        <f>H49</f>
        <v>0</v>
      </c>
      <c r="M49" s="63">
        <f>I49</f>
        <v>0</v>
      </c>
      <c r="N49" s="587" t="str" cm="1">
        <f t="array" ref="N49">IF(H49=0,"",SUMPRODUCT(IFERROR(INT(H44:H48/F44:F48),0)))</f>
        <v/>
      </c>
      <c r="O49" s="770" t="str">
        <f>IF(N49="","",MAX(0,G49-N49))</f>
        <v/>
      </c>
      <c r="AA49" t="s">
        <v>491</v>
      </c>
      <c r="AB49" t="s">
        <v>1425</v>
      </c>
    </row>
    <row r="50" spans="1:28" ht="6" customHeight="1" x14ac:dyDescent="0.3">
      <c r="C50" s="65"/>
      <c r="AA50" t="s">
        <v>1162</v>
      </c>
      <c r="AB50" t="s">
        <v>1424</v>
      </c>
    </row>
    <row r="51" spans="1:28" ht="15" customHeight="1" x14ac:dyDescent="0.3">
      <c r="A51" s="135">
        <v>46242</v>
      </c>
      <c r="B51" s="113" t="s">
        <v>49</v>
      </c>
      <c r="C51" s="112" t="s">
        <v>176</v>
      </c>
      <c r="D51" s="111" t="s">
        <v>177</v>
      </c>
      <c r="E51" s="111" t="s">
        <v>178</v>
      </c>
      <c r="F51" s="862" t="s">
        <v>179</v>
      </c>
      <c r="G51" s="111" t="s">
        <v>180</v>
      </c>
      <c r="H51" s="111" t="s">
        <v>181</v>
      </c>
      <c r="I51" s="111" t="s">
        <v>182</v>
      </c>
      <c r="J51" s="128"/>
      <c r="K51" s="128"/>
      <c r="L51" s="128"/>
      <c r="M51" s="128"/>
      <c r="AA51" t="s">
        <v>39</v>
      </c>
      <c r="AB51" t="s">
        <v>1423</v>
      </c>
    </row>
    <row r="52" spans="1:28" ht="21" customHeight="1" x14ac:dyDescent="0.3">
      <c r="A52" s="110"/>
      <c r="B52" s="127"/>
      <c r="C52" s="126"/>
      <c r="D52" s="129"/>
      <c r="E52" s="131" t="s">
        <v>184</v>
      </c>
      <c r="F52" s="877"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30" t="str">
        <f>IFERROR(ROUNDUP(D52/F52,0),"")</f>
        <v/>
      </c>
      <c r="H52" s="105"/>
      <c r="I52" s="129"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J52" s="128"/>
      <c r="K52" s="128"/>
      <c r="L52" s="128"/>
      <c r="M52" s="128"/>
      <c r="AA52" t="s">
        <v>240</v>
      </c>
      <c r="AB52" t="s">
        <v>1425</v>
      </c>
    </row>
    <row r="53" spans="1:28" ht="21" customHeight="1" x14ac:dyDescent="0.3">
      <c r="A53" s="110"/>
      <c r="B53" s="127"/>
      <c r="C53" s="126"/>
      <c r="D53" s="129"/>
      <c r="E53" s="131" t="s">
        <v>184</v>
      </c>
      <c r="F53" s="877"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30" t="str">
        <f>IFERROR(ROUNDUP(D53/F53,0),"")</f>
        <v/>
      </c>
      <c r="H53" s="105"/>
      <c r="I53" s="129"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J53" s="128"/>
      <c r="K53" s="128"/>
      <c r="L53" s="128"/>
      <c r="M53" s="128"/>
      <c r="AA53" t="s">
        <v>596</v>
      </c>
      <c r="AB53" t="s">
        <v>1425</v>
      </c>
    </row>
    <row r="54" spans="1:28" ht="21" customHeight="1" x14ac:dyDescent="0.3">
      <c r="A54" s="110"/>
      <c r="B54" s="127"/>
      <c r="C54" s="126"/>
      <c r="D54" s="129"/>
      <c r="E54" s="131" t="s">
        <v>184</v>
      </c>
      <c r="F54" s="877"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30" t="str">
        <f>IFERROR(ROUNDUP(D54/F54,0),"")</f>
        <v/>
      </c>
      <c r="H54" s="105"/>
      <c r="I54" s="129"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J54" s="128"/>
      <c r="K54" s="128"/>
      <c r="L54" s="128"/>
      <c r="M54" s="128"/>
      <c r="AA54" t="s">
        <v>33</v>
      </c>
      <c r="AB54" t="s">
        <v>1425</v>
      </c>
    </row>
    <row r="55" spans="1:28" ht="21" customHeight="1" x14ac:dyDescent="0.3">
      <c r="A55" s="110"/>
      <c r="B55" s="127"/>
      <c r="C55" s="126"/>
      <c r="D55" s="129"/>
      <c r="E55" s="131" t="s">
        <v>184</v>
      </c>
      <c r="F55" s="877"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30" t="str">
        <f>IFERROR(ROUNDUP(D55/F55,0),"")</f>
        <v/>
      </c>
      <c r="H55" s="105"/>
      <c r="I55" s="129"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J55" s="128"/>
      <c r="K55" s="128"/>
      <c r="L55" s="128"/>
      <c r="M55" s="128"/>
      <c r="AA55" t="s">
        <v>571</v>
      </c>
      <c r="AB55" t="s">
        <v>1425</v>
      </c>
    </row>
    <row r="56" spans="1:28" ht="21" customHeight="1" x14ac:dyDescent="0.3">
      <c r="A56" s="817"/>
      <c r="B56" s="829"/>
      <c r="C56" s="830"/>
      <c r="D56" s="831"/>
      <c r="E56" s="832" t="s">
        <v>184</v>
      </c>
      <c r="F56" s="878"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33" t="str">
        <f>IFERROR(ROUNDUP(D56/F56,0),"")</f>
        <v/>
      </c>
      <c r="H56" s="823"/>
      <c r="I56" s="831"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J56" s="128"/>
      <c r="K56" s="128"/>
      <c r="L56" s="128"/>
      <c r="M56" s="128"/>
      <c r="AA56" t="s">
        <v>280</v>
      </c>
      <c r="AB56" t="s">
        <v>1423</v>
      </c>
    </row>
    <row r="57" spans="1:28" ht="15" customHeight="1" x14ac:dyDescent="0.3">
      <c r="A57" s="899"/>
      <c r="B57" s="846" t="s">
        <v>186</v>
      </c>
      <c r="C57" s="851"/>
      <c r="D57" s="848">
        <f>SUM(D50:D56)</f>
        <v>0</v>
      </c>
      <c r="E57" s="852"/>
      <c r="F57" s="857" t="s">
        <v>1400</v>
      </c>
      <c r="G57" s="850">
        <f>SUM(G50:G56)</f>
        <v>0</v>
      </c>
      <c r="H57" s="848">
        <f>SUM(H50:H56)</f>
        <v>0</v>
      </c>
      <c r="I57" s="848">
        <f>SUM(I50:I56)</f>
        <v>0</v>
      </c>
      <c r="J57" s="133">
        <f>D57</f>
        <v>0</v>
      </c>
      <c r="K57" s="134">
        <f>G57</f>
        <v>0</v>
      </c>
      <c r="L57" s="133">
        <f>H57</f>
        <v>0</v>
      </c>
      <c r="M57" s="133">
        <f>I57</f>
        <v>0</v>
      </c>
      <c r="N57" s="587" t="str" cm="1">
        <f t="array" ref="N57">IF(H57=0,"",SUMPRODUCT(IFERROR(INT(H52:H56/F52:F56),0)))</f>
        <v/>
      </c>
      <c r="O57" s="770" t="str">
        <f>IF(N57="","",MAX(0,G57-N57))</f>
        <v/>
      </c>
      <c r="AA57" t="s">
        <v>595</v>
      </c>
      <c r="AB57" t="s">
        <v>1425</v>
      </c>
    </row>
    <row r="58" spans="1:28" ht="6" customHeight="1" x14ac:dyDescent="0.3">
      <c r="A58" s="128"/>
      <c r="B58" s="128"/>
      <c r="C58" s="132"/>
      <c r="D58" s="128"/>
      <c r="E58" s="128"/>
      <c r="F58" s="128"/>
      <c r="G58" s="128"/>
      <c r="H58" s="128"/>
      <c r="I58" s="128"/>
      <c r="J58" s="128"/>
      <c r="K58" s="128"/>
      <c r="L58" s="128"/>
      <c r="M58" s="128"/>
      <c r="AA58" t="s">
        <v>483</v>
      </c>
      <c r="AB58" t="s">
        <v>1422</v>
      </c>
    </row>
    <row r="59" spans="1:28" ht="15" customHeight="1" x14ac:dyDescent="0.3">
      <c r="A59" s="75">
        <v>46244</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c r="C60" s="108"/>
      <c r="D60" s="104"/>
      <c r="E60" s="107" t="s">
        <v>184</v>
      </c>
      <c r="F60" s="871" t="str">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
      </c>
      <c r="G60" s="106" t="str">
        <f>IFERROR(ROUNDUP(D60/F60,0),"")</f>
        <v/>
      </c>
      <c r="H60" s="105"/>
      <c r="I60" s="104" t="str">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
      </c>
      <c r="AA60" t="s">
        <v>577</v>
      </c>
      <c r="AB60" t="s">
        <v>1422</v>
      </c>
    </row>
    <row r="61" spans="1:28" ht="21" customHeight="1" x14ac:dyDescent="0.3">
      <c r="A61" s="11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17"/>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0</v>
      </c>
      <c r="E65" s="849"/>
      <c r="F65" s="856" t="s">
        <v>1400</v>
      </c>
      <c r="G65" s="850">
        <f>SUM(G58:G64)</f>
        <v>0</v>
      </c>
      <c r="H65" s="848">
        <f>SUM(H58:H64)</f>
        <v>0</v>
      </c>
      <c r="I65" s="848">
        <f>SUM(I58:I64)</f>
        <v>0</v>
      </c>
      <c r="J65" s="63">
        <f>D65</f>
        <v>0</v>
      </c>
      <c r="K65" s="93">
        <f>G65</f>
        <v>0</v>
      </c>
      <c r="L65" s="63">
        <f>H65</f>
        <v>0</v>
      </c>
      <c r="M65" s="63">
        <f>I65</f>
        <v>0</v>
      </c>
      <c r="N65" s="587" t="str" cm="1">
        <f t="array" ref="N65">IF(H65=0,"",SUMPRODUCT(IFERROR(INT(H60:H64/F60:F64),0)))</f>
        <v/>
      </c>
      <c r="O65" s="770" t="str">
        <f>IF(N65="","",MAX(0,G65-N65))</f>
        <v/>
      </c>
      <c r="AA65" t="s">
        <v>114</v>
      </c>
      <c r="AB65" t="s">
        <v>1422</v>
      </c>
    </row>
    <row r="66" spans="1:28" ht="6" customHeight="1" x14ac:dyDescent="0.3">
      <c r="C66" s="65"/>
      <c r="AA66" t="s">
        <v>487</v>
      </c>
      <c r="AB66" t="s">
        <v>1422</v>
      </c>
    </row>
    <row r="67" spans="1:28" ht="15" customHeight="1" x14ac:dyDescent="0.3">
      <c r="A67" s="75">
        <v>46245</v>
      </c>
      <c r="B67" s="113" t="s">
        <v>49</v>
      </c>
      <c r="C67" s="112" t="s">
        <v>176</v>
      </c>
      <c r="D67" s="111" t="s">
        <v>177</v>
      </c>
      <c r="E67" s="111" t="s">
        <v>178</v>
      </c>
      <c r="F67" s="860" t="s">
        <v>179</v>
      </c>
      <c r="G67" s="111" t="s">
        <v>180</v>
      </c>
      <c r="H67" s="111" t="s">
        <v>181</v>
      </c>
      <c r="I67" s="111" t="s">
        <v>182</v>
      </c>
      <c r="AA67" t="s">
        <v>488</v>
      </c>
      <c r="AB67" t="s">
        <v>1422</v>
      </c>
    </row>
    <row r="68" spans="1:28" ht="21" customHeight="1" x14ac:dyDescent="0.3">
      <c r="A68" s="110"/>
      <c r="B68" s="109"/>
      <c r="C68" s="108"/>
      <c r="D68" s="104"/>
      <c r="E68" s="107" t="s">
        <v>184</v>
      </c>
      <c r="F68" s="871"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06" t="str">
        <f>IFERROR(ROUNDUP(D68/F68,0),"")</f>
        <v/>
      </c>
      <c r="H68" s="105"/>
      <c r="I68" s="104"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AA68" t="s">
        <v>477</v>
      </c>
      <c r="AB68" t="s">
        <v>1422</v>
      </c>
    </row>
    <row r="69" spans="1:28" ht="21" customHeight="1" x14ac:dyDescent="0.3">
      <c r="A69" s="110"/>
      <c r="B69" s="109"/>
      <c r="C69" s="108"/>
      <c r="D69" s="104"/>
      <c r="E69" s="107" t="s">
        <v>184</v>
      </c>
      <c r="F69" s="871"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06" t="str">
        <f>IFERROR(ROUNDUP(D69/F69,0),"")</f>
        <v/>
      </c>
      <c r="H69" s="105"/>
      <c r="I69" s="104"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AA69" t="s">
        <v>1189</v>
      </c>
      <c r="AB69" t="s">
        <v>1422</v>
      </c>
    </row>
    <row r="70" spans="1:28" ht="21" customHeight="1" x14ac:dyDescent="0.3">
      <c r="A70" s="11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IFERROR(ROUNDUP(D70/F70,0),"")</f>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IFERROR(ROUNDUP(D71/F71,0),"")</f>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817"/>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IFERROR(ROUNDUP(D72/F72,0),"")</f>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15" customHeight="1" x14ac:dyDescent="0.3">
      <c r="A73" s="899"/>
      <c r="B73" s="846" t="s">
        <v>186</v>
      </c>
      <c r="C73" s="847"/>
      <c r="D73" s="848">
        <f>SUM(D66:D72)</f>
        <v>0</v>
      </c>
      <c r="E73" s="849"/>
      <c r="F73" s="856" t="s">
        <v>1400</v>
      </c>
      <c r="G73" s="850">
        <f>SUM(G66:G72)</f>
        <v>0</v>
      </c>
      <c r="H73" s="848">
        <f>SUM(H66:H72)</f>
        <v>0</v>
      </c>
      <c r="I73" s="848">
        <f>SUM(I66:I72)</f>
        <v>0</v>
      </c>
      <c r="J73" s="63">
        <f>D73</f>
        <v>0</v>
      </c>
      <c r="K73" s="93">
        <f>G73</f>
        <v>0</v>
      </c>
      <c r="L73" s="63">
        <f>H73</f>
        <v>0</v>
      </c>
      <c r="M73" s="63">
        <f>I73</f>
        <v>0</v>
      </c>
      <c r="N73" s="587" t="str" cm="1">
        <f t="array" ref="N73">IF(H73=0,"",SUMPRODUCT(IFERROR(INT(H68:H72/F68:F72),0)))</f>
        <v/>
      </c>
      <c r="O73" s="770" t="str">
        <f>IF(N73="","",MAX(0,G73-N73))</f>
        <v/>
      </c>
      <c r="AA73" t="s">
        <v>1191</v>
      </c>
      <c r="AB73" t="s">
        <v>1422</v>
      </c>
    </row>
    <row r="74" spans="1:28" ht="6" customHeight="1" x14ac:dyDescent="0.3">
      <c r="C74" s="65"/>
      <c r="AA74" t="s">
        <v>481</v>
      </c>
      <c r="AB74" t="s">
        <v>1422</v>
      </c>
    </row>
    <row r="75" spans="1:28" ht="15" customHeight="1" x14ac:dyDescent="0.3">
      <c r="A75" s="75">
        <v>46246</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10"/>
      <c r="B76" s="109"/>
      <c r="C76" s="108"/>
      <c r="D76" s="104"/>
      <c r="E76" s="107" t="s">
        <v>184</v>
      </c>
      <c r="F76" s="871" t="str">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
      </c>
      <c r="G76" s="106" t="str">
        <f>IFERROR(ROUNDUP(D76/F76,0),"")</f>
        <v/>
      </c>
      <c r="H76" s="105"/>
      <c r="I76" s="104" t="str">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
      </c>
      <c r="AA76" t="s">
        <v>1192</v>
      </c>
      <c r="AB76" t="s">
        <v>1422</v>
      </c>
    </row>
    <row r="77" spans="1:28" ht="21" customHeight="1" x14ac:dyDescent="0.3">
      <c r="A77" s="110"/>
      <c r="B77" s="109"/>
      <c r="C77" s="108"/>
      <c r="D77" s="104"/>
      <c r="E77" s="107" t="s">
        <v>184</v>
      </c>
      <c r="F77" s="871" t="str">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
      </c>
      <c r="G77" s="106" t="str">
        <f>IFERROR(ROUNDUP(D77/F77,0),"")</f>
        <v/>
      </c>
      <c r="H77" s="105"/>
      <c r="I77" s="104" t="str">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
      </c>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IFERROR(ROUNDUP(D78/F78,0),"")</f>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IFERROR(ROUNDUP(D79/F79,0),"")</f>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817"/>
      <c r="B80" s="818"/>
      <c r="C80" s="819"/>
      <c r="D80" s="820"/>
      <c r="E80" s="821" t="s">
        <v>184</v>
      </c>
      <c r="F80" s="872"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822" t="str">
        <f>IFERROR(ROUNDUP(D80/F80,0),"")</f>
        <v/>
      </c>
      <c r="H80" s="823"/>
      <c r="I80" s="820"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15" customHeight="1" x14ac:dyDescent="0.3">
      <c r="A81" s="899"/>
      <c r="B81" s="846" t="s">
        <v>186</v>
      </c>
      <c r="C81" s="847"/>
      <c r="D81" s="848">
        <f>SUM(D74:D80)</f>
        <v>0</v>
      </c>
      <c r="E81" s="849"/>
      <c r="F81" s="856" t="s">
        <v>1400</v>
      </c>
      <c r="G81" s="850">
        <f>SUM(G74:G80)</f>
        <v>0</v>
      </c>
      <c r="H81" s="848">
        <f>SUM(H74:H80)</f>
        <v>0</v>
      </c>
      <c r="I81" s="848">
        <f>SUM(I74:I80)</f>
        <v>0</v>
      </c>
      <c r="J81" s="63">
        <f>D81</f>
        <v>0</v>
      </c>
      <c r="K81" s="93">
        <f>G81</f>
        <v>0</v>
      </c>
      <c r="L81" s="63">
        <f>H81</f>
        <v>0</v>
      </c>
      <c r="M81" s="63">
        <f>I81</f>
        <v>0</v>
      </c>
      <c r="N81" s="587" t="str" cm="1">
        <f t="array" ref="N81">IF(H81=0,"",SUMPRODUCT(IFERROR(INT(H76:H80/F76:F80),0)))</f>
        <v/>
      </c>
      <c r="O81" s="770" t="str">
        <f>IF(N81="","",MAX(0,G81-N81))</f>
        <v/>
      </c>
      <c r="AA81" t="s">
        <v>486</v>
      </c>
      <c r="AB81" t="s">
        <v>1422</v>
      </c>
    </row>
    <row r="82" spans="1:28" ht="6" customHeight="1" x14ac:dyDescent="0.3">
      <c r="C82" s="65"/>
      <c r="AA82" t="s">
        <v>485</v>
      </c>
      <c r="AB82" t="s">
        <v>1422</v>
      </c>
    </row>
    <row r="83" spans="1:28" ht="15" customHeight="1" x14ac:dyDescent="0.3">
      <c r="A83" s="75">
        <v>46247</v>
      </c>
      <c r="B83" s="113" t="s">
        <v>49</v>
      </c>
      <c r="C83" s="112" t="s">
        <v>176</v>
      </c>
      <c r="D83" s="111" t="s">
        <v>177</v>
      </c>
      <c r="E83" s="111" t="s">
        <v>178</v>
      </c>
      <c r="F83" s="860" t="s">
        <v>179</v>
      </c>
      <c r="G83" s="111" t="s">
        <v>180</v>
      </c>
      <c r="H83" s="111" t="s">
        <v>181</v>
      </c>
      <c r="I83" s="111" t="s">
        <v>182</v>
      </c>
      <c r="AA83" t="s">
        <v>583</v>
      </c>
      <c r="AB83" t="s">
        <v>1422</v>
      </c>
    </row>
    <row r="84" spans="1:28" ht="21" customHeight="1" x14ac:dyDescent="0.3">
      <c r="A84" s="110"/>
      <c r="B84" s="109"/>
      <c r="C84" s="108"/>
      <c r="D84" s="104"/>
      <c r="E84" s="107" t="s">
        <v>184</v>
      </c>
      <c r="F84" s="871" t="str">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
      </c>
      <c r="G84" s="106" t="str">
        <f>IFERROR(ROUNDUP(D84/F84,0),"")</f>
        <v/>
      </c>
      <c r="H84" s="105"/>
      <c r="I84" s="104" t="str">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
      </c>
      <c r="AA84" t="s">
        <v>584</v>
      </c>
      <c r="AB84" t="s">
        <v>1422</v>
      </c>
    </row>
    <row r="85" spans="1:28" ht="21" customHeight="1" x14ac:dyDescent="0.3">
      <c r="A85" s="110"/>
      <c r="B85" s="109"/>
      <c r="C85" s="108"/>
      <c r="D85" s="104"/>
      <c r="E85" s="107" t="s">
        <v>184</v>
      </c>
      <c r="F85" s="871" t="str">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
      </c>
      <c r="G85" s="106" t="str">
        <f>IFERROR(ROUNDUP(D85/F85,0),"")</f>
        <v/>
      </c>
      <c r="H85" s="105"/>
      <c r="I85" s="104"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AA85" t="s">
        <v>579</v>
      </c>
      <c r="AB85" t="s">
        <v>1422</v>
      </c>
    </row>
    <row r="86" spans="1:28" ht="21" customHeight="1" x14ac:dyDescent="0.3">
      <c r="A86" s="110"/>
      <c r="B86" s="109"/>
      <c r="C86" s="108"/>
      <c r="D86" s="104"/>
      <c r="E86" s="107" t="s">
        <v>184</v>
      </c>
      <c r="F86" s="871"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06" t="str">
        <f>IFERROR(ROUNDUP(D86/F86,0),"")</f>
        <v/>
      </c>
      <c r="H86" s="105"/>
      <c r="I86" s="104"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AA86" t="s">
        <v>484</v>
      </c>
      <c r="AB86" t="s">
        <v>1422</v>
      </c>
    </row>
    <row r="87" spans="1:28" ht="21" customHeight="1" x14ac:dyDescent="0.3">
      <c r="A87" s="110"/>
      <c r="B87" s="109"/>
      <c r="C87" s="108"/>
      <c r="D87" s="104"/>
      <c r="E87" s="107" t="s">
        <v>184</v>
      </c>
      <c r="F87" s="871"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06" t="str">
        <f>IFERROR(ROUNDUP(D87/F87,0),"")</f>
        <v/>
      </c>
      <c r="H87" s="105"/>
      <c r="I87" s="104"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AA87" t="s">
        <v>580</v>
      </c>
      <c r="AB87" t="s">
        <v>1422</v>
      </c>
    </row>
    <row r="88" spans="1:28" ht="21" customHeight="1" x14ac:dyDescent="0.3">
      <c r="A88" s="817"/>
      <c r="B88" s="818"/>
      <c r="C88" s="819"/>
      <c r="D88" s="820"/>
      <c r="E88" s="821" t="s">
        <v>184</v>
      </c>
      <c r="F88" s="872"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822" t="str">
        <f>IFERROR(ROUNDUP(D88/F88,0),"")</f>
        <v/>
      </c>
      <c r="H88" s="823"/>
      <c r="I88" s="820"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AA88" t="s">
        <v>585</v>
      </c>
      <c r="AB88" t="s">
        <v>1422</v>
      </c>
    </row>
    <row r="89" spans="1:28" ht="15" customHeight="1" x14ac:dyDescent="0.3">
      <c r="A89" s="899"/>
      <c r="B89" s="846" t="s">
        <v>186</v>
      </c>
      <c r="C89" s="847"/>
      <c r="D89" s="848">
        <f>SUM(D82:D88)</f>
        <v>0</v>
      </c>
      <c r="E89" s="849"/>
      <c r="F89" s="856" t="s">
        <v>1400</v>
      </c>
      <c r="G89" s="850">
        <f>SUM(G82:G88)</f>
        <v>0</v>
      </c>
      <c r="H89" s="848">
        <f>SUM(H82:H88)</f>
        <v>0</v>
      </c>
      <c r="I89" s="848">
        <f>SUM(I82:I88)</f>
        <v>0</v>
      </c>
      <c r="J89" s="63">
        <f>D89</f>
        <v>0</v>
      </c>
      <c r="K89" s="93">
        <f>G89</f>
        <v>0</v>
      </c>
      <c r="L89" s="63">
        <f>H89</f>
        <v>0</v>
      </c>
      <c r="M89" s="63">
        <f>I89</f>
        <v>0</v>
      </c>
      <c r="N89" s="587" t="str" cm="1">
        <f t="array" ref="N89">IF(H89=0,"",SUMPRODUCT(IFERROR(INT(H84:H88/F84:F88),0)))</f>
        <v/>
      </c>
      <c r="O89" s="770" t="str">
        <f>IF(N89="","",MAX(0,G89-N89))</f>
        <v/>
      </c>
      <c r="AA89" t="s">
        <v>586</v>
      </c>
      <c r="AB89" t="s">
        <v>1422</v>
      </c>
    </row>
    <row r="90" spans="1:28" ht="6" customHeight="1" x14ac:dyDescent="0.3">
      <c r="C90" s="65"/>
      <c r="AA90" t="s">
        <v>194</v>
      </c>
      <c r="AB90" t="s">
        <v>1422</v>
      </c>
    </row>
    <row r="91" spans="1:28" ht="15" customHeight="1" x14ac:dyDescent="0.3">
      <c r="A91" s="75">
        <v>46248</v>
      </c>
      <c r="B91" s="113" t="s">
        <v>49</v>
      </c>
      <c r="C91" s="112" t="s">
        <v>176</v>
      </c>
      <c r="D91" s="111" t="s">
        <v>177</v>
      </c>
      <c r="E91" s="111" t="s">
        <v>178</v>
      </c>
      <c r="F91" s="860" t="s">
        <v>179</v>
      </c>
      <c r="G91" s="111" t="s">
        <v>180</v>
      </c>
      <c r="H91" s="111" t="s">
        <v>181</v>
      </c>
      <c r="I91" s="111" t="s">
        <v>182</v>
      </c>
      <c r="AA91" t="s">
        <v>35</v>
      </c>
      <c r="AB91" t="s">
        <v>1425</v>
      </c>
    </row>
    <row r="92" spans="1:28" ht="21" customHeight="1" x14ac:dyDescent="0.3">
      <c r="A92" s="110"/>
      <c r="B92" s="109"/>
      <c r="C92" s="108"/>
      <c r="D92" s="104"/>
      <c r="E92" s="107" t="s">
        <v>184</v>
      </c>
      <c r="F92" s="871" t="str">
        <f>IF($B92="","",IF(SUMIFS(CONFIG_PALETES!$C:$C,CONFIG_PALETES!$A:$A,TRIM($B92),CONFIG_PALETES!$B:$B,$C92&amp;" ml")&gt;0,SUMIFS(CONFIG_PALETES!$C:$C,CONFIG_PALETES!$A:$A,TRIM($B92),CONFIG_PALETES!$B:$B,$C92&amp;" ml"),IF(SUMIFS(CONFIG_PALETES!$C:$C,CONFIG_PALETES!$A:$A,"GERAL",CONFIG_PALETES!$B:$B,$C92&amp;" ml")&gt;0,SUMIFS(CONFIG_PALETES!$C:$C,CONFIG_PALETES!$A:$A,"GERAL",CONFIG_PALETES!$B:$B,$C92&amp;" ml"),"")))</f>
        <v/>
      </c>
      <c r="G92" s="106" t="str">
        <f>IFERROR(ROUNDUP(D92/F92,0),"")</f>
        <v/>
      </c>
      <c r="H92" s="105"/>
      <c r="I92" s="104" t="str">
        <f>IF(H92="","",H92*IF(SUMIFS(CONFIG_PALETES!$D:$D,CONFIG_PALETES!$A:$A,IF(ISNUMBER(SEARCH("ESPUMA",$B92)),"ESPUMA",IF(OR(ISNUMBER(SEARCH("OLEO DE COCO",$B92)),ISNUMBER(SEARCH("ÓLEO DE COCO",$B92)),ISNUMBER(SEARCH("COPRA",$B92))),"ÓLEO DE COCO",IF(ISNUMBER(SEARCH("CORANTE",$B92)),"CORANTE",TRIM($B92)))),CONFIG_PALETES!$B:$B,$C92&amp;" ml")&gt;0,SUMIFS(CONFIG_PALETES!$D:$D,CONFIG_PALETES!$A:$A,IF(ISNUMBER(SEARCH("ESPUMA",$B92)),"ESPUMA",IF(OR(ISNUMBER(SEARCH("OLEO DE COCO",$B92)),ISNUMBER(SEARCH("ÓLEO DE COCO",$B92)),ISNUMBER(SEARCH("COPRA",$B92))),"ÓLEO DE COCO",IF(ISNUMBER(SEARCH("CORANTE",$B92)),"CORANTE",TRIM($B92)))),CONFIG_PALETES!$B:$B,$C92&amp;" ml"),IF(SUMIFS(CONFIG_PALETES!$D:$D,CONFIG_PALETES!$A:$A,"GERAL",CONFIG_PALETES!$B:$B,$C92&amp;" ml")&gt;0,SUMIFS(CONFIG_PALETES!$D:$D,CONFIG_PALETES!$A:$A,"GERAL",CONFIG_PALETES!$B:$B,$C92&amp;" ml"),12)))</f>
        <v/>
      </c>
      <c r="AA92" t="s">
        <v>597</v>
      </c>
      <c r="AB92" t="s">
        <v>1425</v>
      </c>
    </row>
    <row r="93" spans="1:28" ht="21" customHeight="1" x14ac:dyDescent="0.3">
      <c r="A93" s="110"/>
      <c r="B93" s="109"/>
      <c r="C93" s="108"/>
      <c r="D93" s="104"/>
      <c r="E93" s="107" t="s">
        <v>184</v>
      </c>
      <c r="F93" s="871" t="str">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
      </c>
      <c r="G93" s="106" t="str">
        <f>IFERROR(ROUNDUP(D93/F93,0),"")</f>
        <v/>
      </c>
      <c r="H93" s="105"/>
      <c r="I93" s="104" t="str">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
      </c>
      <c r="AA93" t="s">
        <v>196</v>
      </c>
      <c r="AB93" t="s">
        <v>1429</v>
      </c>
    </row>
    <row r="94" spans="1:28" ht="21" customHeight="1" x14ac:dyDescent="0.3">
      <c r="A94" s="110"/>
      <c r="B94" s="109"/>
      <c r="C94" s="108"/>
      <c r="D94" s="104"/>
      <c r="E94" s="107" t="s">
        <v>184</v>
      </c>
      <c r="F94" s="871" t="str">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
      </c>
      <c r="G94" s="106" t="str">
        <f>IFERROR(ROUNDUP(D94/F94,0),"")</f>
        <v/>
      </c>
      <c r="H94" s="105"/>
      <c r="I94" s="104" t="str">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
      </c>
      <c r="AA94" t="s">
        <v>298</v>
      </c>
      <c r="AB94" t="s">
        <v>1422</v>
      </c>
    </row>
    <row r="95" spans="1:28" ht="21" customHeight="1" x14ac:dyDescent="0.3">
      <c r="A95" s="110"/>
      <c r="B95" s="109"/>
      <c r="C95" s="108"/>
      <c r="D95" s="104"/>
      <c r="E95" s="107" t="s">
        <v>184</v>
      </c>
      <c r="F95" s="871"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06" t="str">
        <f>IFERROR(ROUNDUP(D95/F95,0),"")</f>
        <v/>
      </c>
      <c r="H95" s="105"/>
      <c r="I95" s="104"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AA95" t="s">
        <v>191</v>
      </c>
      <c r="AB95" t="s">
        <v>1422</v>
      </c>
    </row>
    <row r="96" spans="1:28" ht="21" customHeight="1" x14ac:dyDescent="0.3">
      <c r="A96" s="817"/>
      <c r="B96" s="818"/>
      <c r="C96" s="819"/>
      <c r="D96" s="820"/>
      <c r="E96" s="821" t="s">
        <v>184</v>
      </c>
      <c r="F96" s="872"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822" t="str">
        <f>IFERROR(ROUNDUP(D96/F96,0),"")</f>
        <v/>
      </c>
      <c r="H96" s="823"/>
      <c r="I96" s="820"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AA96" t="s">
        <v>190</v>
      </c>
      <c r="AB96" t="s">
        <v>1422</v>
      </c>
    </row>
    <row r="97" spans="1:28" ht="15" customHeight="1" x14ac:dyDescent="0.3">
      <c r="A97" s="899"/>
      <c r="B97" s="846" t="s">
        <v>186</v>
      </c>
      <c r="C97" s="847"/>
      <c r="D97" s="848">
        <f>SUM(D90:D96)</f>
        <v>0</v>
      </c>
      <c r="E97" s="849"/>
      <c r="F97" s="856" t="s">
        <v>1400</v>
      </c>
      <c r="G97" s="850">
        <f>SUM(G90:G96)</f>
        <v>0</v>
      </c>
      <c r="H97" s="848">
        <f>SUM(H90:H96)</f>
        <v>0</v>
      </c>
      <c r="I97" s="848">
        <f>SUM(I90:I96)</f>
        <v>0</v>
      </c>
      <c r="J97" s="63">
        <f>D97</f>
        <v>0</v>
      </c>
      <c r="K97" s="93">
        <f>G97</f>
        <v>0</v>
      </c>
      <c r="L97" s="63">
        <f>H97</f>
        <v>0</v>
      </c>
      <c r="M97" s="63">
        <f>I97</f>
        <v>0</v>
      </c>
      <c r="N97" s="587" t="str" cm="1">
        <f t="array" ref="N97">IF(H97=0,"",SUMPRODUCT(IFERROR(INT(H92:H96/F92:F96),0)))</f>
        <v/>
      </c>
      <c r="O97" s="770" t="str">
        <f>IF(N97="","",MAX(0,G97-N97))</f>
        <v/>
      </c>
      <c r="AA97" t="s">
        <v>594</v>
      </c>
      <c r="AB97" t="s">
        <v>1424</v>
      </c>
    </row>
    <row r="98" spans="1:28" ht="6" customHeight="1" x14ac:dyDescent="0.3">
      <c r="C98" s="65"/>
      <c r="AA98" t="s">
        <v>1061</v>
      </c>
      <c r="AB98" t="s">
        <v>1429</v>
      </c>
    </row>
    <row r="99" spans="1:28" ht="15" customHeight="1" x14ac:dyDescent="0.3">
      <c r="A99" s="135">
        <v>46249</v>
      </c>
      <c r="B99" s="113" t="s">
        <v>49</v>
      </c>
      <c r="C99" s="112" t="s">
        <v>176</v>
      </c>
      <c r="D99" s="111" t="s">
        <v>177</v>
      </c>
      <c r="E99" s="111" t="s">
        <v>178</v>
      </c>
      <c r="F99" s="862" t="s">
        <v>179</v>
      </c>
      <c r="G99" s="111" t="s">
        <v>180</v>
      </c>
      <c r="H99" s="111" t="s">
        <v>181</v>
      </c>
      <c r="I99" s="111" t="s">
        <v>182</v>
      </c>
      <c r="J99" s="128"/>
      <c r="K99" s="128"/>
      <c r="L99" s="128"/>
      <c r="M99" s="128"/>
      <c r="AA99" t="s">
        <v>149</v>
      </c>
      <c r="AB99" t="s">
        <v>1425</v>
      </c>
    </row>
    <row r="100" spans="1:28" ht="21" customHeight="1" x14ac:dyDescent="0.3">
      <c r="A100" s="110"/>
      <c r="B100" s="127"/>
      <c r="C100" s="126"/>
      <c r="D100" s="129"/>
      <c r="E100" s="131" t="s">
        <v>184</v>
      </c>
      <c r="F100" s="877"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30" t="str">
        <f>IFERROR(ROUNDUP(D100/F100,0),"")</f>
        <v/>
      </c>
      <c r="H100" s="105"/>
      <c r="I100" s="129"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J100" s="128"/>
      <c r="K100" s="128"/>
      <c r="L100" s="128"/>
      <c r="M100" s="128"/>
      <c r="AA100" t="s">
        <v>29</v>
      </c>
      <c r="AB100" t="s">
        <v>1425</v>
      </c>
    </row>
    <row r="101" spans="1:28" ht="21" customHeight="1" x14ac:dyDescent="0.3">
      <c r="A101" s="110"/>
      <c r="B101" s="127"/>
      <c r="C101" s="126"/>
      <c r="D101" s="129"/>
      <c r="E101" s="131" t="s">
        <v>184</v>
      </c>
      <c r="F101" s="877"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30" t="str">
        <f>IFERROR(ROUNDUP(D101/F101,0),"")</f>
        <v/>
      </c>
      <c r="H101" s="105"/>
      <c r="I101" s="129"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J101" s="128"/>
      <c r="K101" s="128"/>
      <c r="L101" s="128"/>
      <c r="M101" s="128"/>
      <c r="AA101" t="s">
        <v>62</v>
      </c>
      <c r="AB101" t="s">
        <v>1423</v>
      </c>
    </row>
    <row r="102" spans="1:28" ht="21" customHeight="1" x14ac:dyDescent="0.3">
      <c r="A102" s="110"/>
      <c r="B102" s="127"/>
      <c r="C102" s="126"/>
      <c r="D102" s="129"/>
      <c r="E102" s="131" t="s">
        <v>184</v>
      </c>
      <c r="F102" s="877"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130" t="str">
        <f>IFERROR(ROUNDUP(D102/F102,0),"")</f>
        <v/>
      </c>
      <c r="H102" s="105"/>
      <c r="I102" s="129"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J102" s="128"/>
      <c r="K102" s="128"/>
      <c r="L102" s="128"/>
      <c r="M102" s="128"/>
      <c r="AA102" t="s">
        <v>649</v>
      </c>
      <c r="AB102" t="s">
        <v>1423</v>
      </c>
    </row>
    <row r="103" spans="1:28" ht="21" customHeight="1" x14ac:dyDescent="0.3">
      <c r="A103" s="110"/>
      <c r="B103" s="127"/>
      <c r="C103" s="126"/>
      <c r="D103" s="129"/>
      <c r="E103" s="131" t="s">
        <v>184</v>
      </c>
      <c r="F103" s="877"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30" t="str">
        <f>IFERROR(ROUNDUP(D103/F103,0),"")</f>
        <v/>
      </c>
      <c r="H103" s="105"/>
      <c r="I103" s="129"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J103" s="128"/>
      <c r="K103" s="128"/>
      <c r="L103" s="128"/>
      <c r="M103" s="128"/>
      <c r="AA103" t="s">
        <v>188</v>
      </c>
      <c r="AB103" t="s">
        <v>1423</v>
      </c>
    </row>
    <row r="104" spans="1:28" ht="21" customHeight="1" x14ac:dyDescent="0.3">
      <c r="A104" s="817"/>
      <c r="B104" s="829"/>
      <c r="C104" s="830"/>
      <c r="D104" s="831"/>
      <c r="E104" s="832" t="s">
        <v>184</v>
      </c>
      <c r="F104" s="878"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833" t="str">
        <f>IFERROR(ROUNDUP(D104/F104,0),"")</f>
        <v/>
      </c>
      <c r="H104" s="823"/>
      <c r="I104" s="831"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J104" s="128"/>
      <c r="K104" s="128"/>
      <c r="L104" s="128"/>
      <c r="M104" s="128"/>
      <c r="AA104" t="s">
        <v>1164</v>
      </c>
      <c r="AB104" t="s">
        <v>1423</v>
      </c>
    </row>
    <row r="105" spans="1:28" ht="15" customHeight="1" x14ac:dyDescent="0.3">
      <c r="A105" s="899"/>
      <c r="B105" s="846" t="s">
        <v>186</v>
      </c>
      <c r="C105" s="851"/>
      <c r="D105" s="848">
        <f>SUM(D98:D104)</f>
        <v>0</v>
      </c>
      <c r="E105" s="852"/>
      <c r="F105" s="857" t="s">
        <v>1400</v>
      </c>
      <c r="G105" s="850">
        <f>SUM(G98:G104)</f>
        <v>0</v>
      </c>
      <c r="H105" s="848">
        <f>SUM(H98:H104)</f>
        <v>0</v>
      </c>
      <c r="I105" s="848">
        <f>SUM(I98:I104)</f>
        <v>0</v>
      </c>
      <c r="J105" s="133">
        <f>D105</f>
        <v>0</v>
      </c>
      <c r="K105" s="134">
        <f>G105</f>
        <v>0</v>
      </c>
      <c r="L105" s="133">
        <f>H105</f>
        <v>0</v>
      </c>
      <c r="M105" s="133">
        <f>I105</f>
        <v>0</v>
      </c>
      <c r="N105" s="587" t="str" cm="1">
        <f t="array" ref="N105">IF(H105=0,"",SUMPRODUCT(IFERROR(INT(H100:H104/F100:F104),0)))</f>
        <v/>
      </c>
      <c r="O105" s="770" t="str">
        <f>IF(N105="","",MAX(0,G105-N105))</f>
        <v/>
      </c>
      <c r="AA105" t="s">
        <v>131</v>
      </c>
      <c r="AB105" t="s">
        <v>1423</v>
      </c>
    </row>
    <row r="106" spans="1:28" ht="6" customHeight="1" x14ac:dyDescent="0.3">
      <c r="A106" s="128"/>
      <c r="B106" s="128"/>
      <c r="C106" s="132"/>
      <c r="D106" s="128"/>
      <c r="E106" s="128"/>
      <c r="F106" s="128"/>
      <c r="G106" s="128"/>
      <c r="H106" s="128"/>
      <c r="I106" s="128"/>
      <c r="J106" s="128"/>
      <c r="K106" s="128"/>
      <c r="L106" s="128"/>
      <c r="M106" s="128"/>
      <c r="AA106" t="s">
        <v>1225</v>
      </c>
      <c r="AB106" t="s">
        <v>1426</v>
      </c>
    </row>
    <row r="107" spans="1:28" ht="15" customHeight="1" x14ac:dyDescent="0.3">
      <c r="A107" s="75">
        <v>46251</v>
      </c>
      <c r="B107" s="113" t="s">
        <v>49</v>
      </c>
      <c r="C107" s="112" t="s">
        <v>176</v>
      </c>
      <c r="D107" s="111" t="s">
        <v>177</v>
      </c>
      <c r="E107" s="111" t="s">
        <v>178</v>
      </c>
      <c r="F107" s="860" t="s">
        <v>179</v>
      </c>
      <c r="G107" s="111" t="s">
        <v>180</v>
      </c>
      <c r="H107" s="111" t="s">
        <v>181</v>
      </c>
      <c r="I107" s="111" t="s">
        <v>182</v>
      </c>
      <c r="AA107" t="s">
        <v>198</v>
      </c>
      <c r="AB107" t="s">
        <v>1425</v>
      </c>
    </row>
    <row r="108" spans="1:28" ht="21" customHeight="1" x14ac:dyDescent="0.3">
      <c r="A108" s="110"/>
      <c r="B108" s="109"/>
      <c r="C108" s="108"/>
      <c r="D108" s="104"/>
      <c r="E108" s="107" t="s">
        <v>184</v>
      </c>
      <c r="F108" s="871"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106" t="str">
        <f>IFERROR(ROUNDUP(D108/F108,0),"")</f>
        <v/>
      </c>
      <c r="H108" s="105"/>
      <c r="I108" s="104"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110"/>
      <c r="B110" s="109"/>
      <c r="C110" s="108"/>
      <c r="D110" s="104"/>
      <c r="E110" s="107" t="s">
        <v>184</v>
      </c>
      <c r="F110" s="871"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106" t="str">
        <f>IFERROR(ROUNDUP(D110/F110,0),"")</f>
        <v/>
      </c>
      <c r="H110" s="105"/>
      <c r="I110" s="104"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21" customHeight="1" x14ac:dyDescent="0.3">
      <c r="A111" s="11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817"/>
      <c r="B112" s="818"/>
      <c r="C112" s="819"/>
      <c r="D112" s="820"/>
      <c r="E112" s="821" t="s">
        <v>184</v>
      </c>
      <c r="F112" s="872"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822" t="str">
        <f>IFERROR(ROUNDUP(D112/F112,0),"")</f>
        <v/>
      </c>
      <c r="H112" s="823"/>
      <c r="I112" s="820"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15" customHeight="1" x14ac:dyDescent="0.3">
      <c r="A113" s="899"/>
      <c r="B113" s="846" t="s">
        <v>186</v>
      </c>
      <c r="C113" s="847"/>
      <c r="D113" s="848">
        <f>SUM(D106:D112)</f>
        <v>0</v>
      </c>
      <c r="E113" s="849"/>
      <c r="F113" s="856" t="s">
        <v>1400</v>
      </c>
      <c r="G113" s="850">
        <f>SUM(G106:G112)</f>
        <v>0</v>
      </c>
      <c r="H113" s="848">
        <f>SUM(H106:H112)</f>
        <v>0</v>
      </c>
      <c r="I113" s="848">
        <f>SUM(I106:I112)</f>
        <v>0</v>
      </c>
      <c r="J113" s="63">
        <f>D113</f>
        <v>0</v>
      </c>
      <c r="K113" s="93">
        <f>G113</f>
        <v>0</v>
      </c>
      <c r="L113" s="63">
        <f>H113</f>
        <v>0</v>
      </c>
      <c r="M113" s="63">
        <f>I113</f>
        <v>0</v>
      </c>
      <c r="N113" s="587" t="str" cm="1">
        <f t="array" ref="N113">IF(H113=0,"",SUMPRODUCT(IFERROR(INT(H108:H112/F108:F112),0)))</f>
        <v/>
      </c>
      <c r="O113" s="770" t="str">
        <f>IF(N113="","",MAX(0,G113-N113))</f>
        <v/>
      </c>
      <c r="AA113" t="s">
        <v>494</v>
      </c>
      <c r="AB113" t="s">
        <v>1426</v>
      </c>
    </row>
    <row r="114" spans="1:28" ht="6" customHeight="1" x14ac:dyDescent="0.3">
      <c r="C114" s="65"/>
      <c r="AA114" t="s">
        <v>404</v>
      </c>
      <c r="AB114" t="s">
        <v>1422</v>
      </c>
    </row>
    <row r="115" spans="1:28" ht="15" customHeight="1" x14ac:dyDescent="0.3">
      <c r="A115" s="75">
        <v>46252</v>
      </c>
      <c r="B115" s="113" t="s">
        <v>49</v>
      </c>
      <c r="C115" s="112" t="s">
        <v>176</v>
      </c>
      <c r="D115" s="111" t="s">
        <v>177</v>
      </c>
      <c r="E115" s="111" t="s">
        <v>178</v>
      </c>
      <c r="F115" s="860" t="s">
        <v>179</v>
      </c>
      <c r="G115" s="111" t="s">
        <v>180</v>
      </c>
      <c r="H115" s="111" t="s">
        <v>181</v>
      </c>
      <c r="I115" s="111" t="s">
        <v>182</v>
      </c>
      <c r="AA115" t="s">
        <v>493</v>
      </c>
      <c r="AB115" t="s">
        <v>1431</v>
      </c>
    </row>
    <row r="116" spans="1:28" ht="21" customHeight="1" x14ac:dyDescent="0.3">
      <c r="A116" s="110"/>
      <c r="B116" s="109"/>
      <c r="C116" s="108"/>
      <c r="D116" s="104"/>
      <c r="E116" s="107" t="s">
        <v>184</v>
      </c>
      <c r="F116" s="871"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06" t="str">
        <f>IFERROR(ROUNDUP(D116/F116,0),"")</f>
        <v/>
      </c>
      <c r="H116" s="105"/>
      <c r="I116" s="104"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AA116" t="s">
        <v>400</v>
      </c>
      <c r="AB116" t="s">
        <v>1430</v>
      </c>
    </row>
    <row r="117" spans="1:28" ht="21" customHeight="1" x14ac:dyDescent="0.3">
      <c r="A117" s="110"/>
      <c r="B117" s="109"/>
      <c r="C117" s="108"/>
      <c r="D117" s="104"/>
      <c r="E117" s="107" t="s">
        <v>184</v>
      </c>
      <c r="F117" s="871"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106" t="str">
        <f>IFERROR(ROUNDUP(D117/F117,0),"")</f>
        <v/>
      </c>
      <c r="H117" s="105"/>
      <c r="I117" s="104"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AA117" t="s">
        <v>492</v>
      </c>
      <c r="AB117" t="s">
        <v>1435</v>
      </c>
    </row>
    <row r="118" spans="1:28" ht="21" customHeight="1" x14ac:dyDescent="0.3">
      <c r="A118" s="11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IFERROR(ROUNDUP(D118/F118,0),"")</f>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1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IFERROR(ROUNDUP(D119/F119,0),"")</f>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817"/>
      <c r="B120" s="818"/>
      <c r="C120" s="819"/>
      <c r="D120" s="820"/>
      <c r="E120" s="821" t="s">
        <v>184</v>
      </c>
      <c r="F120" s="872"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22" t="str">
        <f>IFERROR(ROUNDUP(D120/F120,0),"")</f>
        <v/>
      </c>
      <c r="H120" s="823"/>
      <c r="I120" s="820"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15" customHeight="1" x14ac:dyDescent="0.3">
      <c r="A121" s="899"/>
      <c r="B121" s="846" t="s">
        <v>186</v>
      </c>
      <c r="C121" s="847"/>
      <c r="D121" s="848">
        <f>SUM(D114:D120)</f>
        <v>0</v>
      </c>
      <c r="E121" s="849"/>
      <c r="F121" s="856" t="s">
        <v>1400</v>
      </c>
      <c r="G121" s="850">
        <f>SUM(G114:G120)</f>
        <v>0</v>
      </c>
      <c r="H121" s="848">
        <f>SUM(H114:H120)</f>
        <v>0</v>
      </c>
      <c r="I121" s="848">
        <f>SUM(I114:I120)</f>
        <v>0</v>
      </c>
      <c r="J121" s="63">
        <f>D121</f>
        <v>0</v>
      </c>
      <c r="K121" s="93">
        <f>G121</f>
        <v>0</v>
      </c>
      <c r="L121" s="63">
        <f>H121</f>
        <v>0</v>
      </c>
      <c r="M121" s="63">
        <f>I121</f>
        <v>0</v>
      </c>
      <c r="N121" s="587" t="str" cm="1">
        <f t="array" ref="N121">IF(H121=0,"",SUMPRODUCT(IFERROR(INT(H116:H120/F116:F120),0)))</f>
        <v/>
      </c>
      <c r="O121" s="770" t="str">
        <f>IF(N121="","",MAX(0,G121-N121))</f>
        <v/>
      </c>
      <c r="AA121" t="s">
        <v>285</v>
      </c>
      <c r="AB121" t="s">
        <v>1426</v>
      </c>
    </row>
    <row r="122" spans="1:28" ht="6" customHeight="1" x14ac:dyDescent="0.3">
      <c r="C122" s="65"/>
      <c r="AA122" t="s">
        <v>103</v>
      </c>
      <c r="AB122" t="s">
        <v>1425</v>
      </c>
    </row>
    <row r="123" spans="1:28" ht="15" customHeight="1" x14ac:dyDescent="0.3">
      <c r="A123" s="75">
        <v>46253</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10"/>
      <c r="B124" s="109"/>
      <c r="C124" s="108"/>
      <c r="D124" s="104"/>
      <c r="E124" s="107" t="s">
        <v>184</v>
      </c>
      <c r="F124" s="871"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106" t="str">
        <f>IFERROR(ROUNDUP(D124/F124,0),"")</f>
        <v/>
      </c>
      <c r="H124" s="105"/>
      <c r="I124" s="104"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IFERROR(ROUNDUP(D125/F125,0),"")</f>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AA125" t="s">
        <v>135</v>
      </c>
      <c r="AB125" t="s">
        <v>1425</v>
      </c>
    </row>
    <row r="126" spans="1:28" ht="21" customHeight="1" x14ac:dyDescent="0.3">
      <c r="A126" s="110"/>
      <c r="B126" s="109"/>
      <c r="C126" s="108"/>
      <c r="D126" s="104"/>
      <c r="E126" s="107" t="s">
        <v>184</v>
      </c>
      <c r="F126" s="871"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106" t="str">
        <f>IFERROR(ROUNDUP(D126/F126,0),"")</f>
        <v/>
      </c>
      <c r="H126" s="105"/>
      <c r="I126" s="104"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817"/>
      <c r="B128" s="818"/>
      <c r="C128" s="819"/>
      <c r="D128" s="820"/>
      <c r="E128" s="821" t="s">
        <v>184</v>
      </c>
      <c r="F128" s="872"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822" t="str">
        <f>IFERROR(ROUNDUP(D128/F128,0),"")</f>
        <v/>
      </c>
      <c r="H128" s="823"/>
      <c r="I128" s="820"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15" customHeight="1" x14ac:dyDescent="0.3">
      <c r="A129" s="899"/>
      <c r="B129" s="846" t="s">
        <v>186</v>
      </c>
      <c r="C129" s="847"/>
      <c r="D129" s="848">
        <f>SUM(D122:D128)</f>
        <v>0</v>
      </c>
      <c r="E129" s="849"/>
      <c r="F129" s="856" t="s">
        <v>1400</v>
      </c>
      <c r="G129" s="850">
        <f>SUM(G122:G128)</f>
        <v>0</v>
      </c>
      <c r="H129" s="848">
        <f>SUM(H122:H128)</f>
        <v>0</v>
      </c>
      <c r="I129" s="848">
        <f>SUM(I122:I128)</f>
        <v>0</v>
      </c>
      <c r="J129" s="63">
        <f>D129</f>
        <v>0</v>
      </c>
      <c r="K129" s="93">
        <f>G129</f>
        <v>0</v>
      </c>
      <c r="L129" s="63">
        <f>H129</f>
        <v>0</v>
      </c>
      <c r="M129" s="63">
        <f>I129</f>
        <v>0</v>
      </c>
      <c r="N129" s="587" t="str" cm="1">
        <f t="array" ref="N129">IF(H129=0,"",SUMPRODUCT(IFERROR(INT(H124:H128/F124:F128),0)))</f>
        <v/>
      </c>
      <c r="O129" s="770" t="str">
        <f>IF(N129="","",MAX(0,G129-N129))</f>
        <v/>
      </c>
      <c r="AA129" t="s">
        <v>72</v>
      </c>
      <c r="AB129" t="s">
        <v>1432</v>
      </c>
    </row>
    <row r="130" spans="1:28" ht="6" customHeight="1" x14ac:dyDescent="0.3">
      <c r="C130" s="65"/>
      <c r="AA130" t="s">
        <v>395</v>
      </c>
      <c r="AB130" t="s">
        <v>1423</v>
      </c>
    </row>
    <row r="131" spans="1:28" ht="15" customHeight="1" x14ac:dyDescent="0.3">
      <c r="A131" s="75">
        <v>46254</v>
      </c>
      <c r="B131" s="113" t="s">
        <v>49</v>
      </c>
      <c r="C131" s="112" t="s">
        <v>176</v>
      </c>
      <c r="D131" s="111" t="s">
        <v>177</v>
      </c>
      <c r="E131" s="111" t="s">
        <v>178</v>
      </c>
      <c r="F131" s="860" t="s">
        <v>179</v>
      </c>
      <c r="G131" s="111" t="s">
        <v>180</v>
      </c>
      <c r="H131" s="111" t="s">
        <v>181</v>
      </c>
      <c r="I131" s="111" t="s">
        <v>182</v>
      </c>
      <c r="AA131" t="s">
        <v>25</v>
      </c>
      <c r="AB131" t="s">
        <v>1433</v>
      </c>
    </row>
    <row r="132" spans="1:28" ht="21" customHeight="1" x14ac:dyDescent="0.3">
      <c r="A132" s="110"/>
      <c r="B132" s="109"/>
      <c r="C132" s="108"/>
      <c r="D132" s="104"/>
      <c r="E132" s="107" t="s">
        <v>184</v>
      </c>
      <c r="F132" s="871"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06" t="str">
        <f>IFERROR(ROUNDUP(D132/F132,0),"")</f>
        <v/>
      </c>
      <c r="H132" s="105"/>
      <c r="I132" s="104"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AA132" t="s">
        <v>398</v>
      </c>
      <c r="AB132" t="s">
        <v>1424</v>
      </c>
    </row>
    <row r="133" spans="1:28" ht="21" customHeight="1" x14ac:dyDescent="0.3">
      <c r="A133" s="110"/>
      <c r="B133" s="109"/>
      <c r="C133" s="108"/>
      <c r="D133" s="104"/>
      <c r="E133" s="107" t="s">
        <v>184</v>
      </c>
      <c r="F133" s="871"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06" t="str">
        <f>IFERROR(ROUNDUP(D133/F133,0),"")</f>
        <v/>
      </c>
      <c r="H133" s="105"/>
      <c r="I133" s="104"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AA133" t="s">
        <v>396</v>
      </c>
      <c r="AB133" t="s">
        <v>1432</v>
      </c>
    </row>
    <row r="134" spans="1:28" ht="21" customHeight="1" x14ac:dyDescent="0.3">
      <c r="A134" s="110"/>
      <c r="B134" s="109"/>
      <c r="C134" s="108"/>
      <c r="D134" s="104"/>
      <c r="E134" s="107" t="s">
        <v>184</v>
      </c>
      <c r="F134" s="871"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06" t="str">
        <f>IFERROR(ROUNDUP(D134/F134,0),"")</f>
        <v/>
      </c>
      <c r="H134" s="105"/>
      <c r="I134" s="104"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AA134" t="s">
        <v>490</v>
      </c>
      <c r="AB134" t="s">
        <v>1425</v>
      </c>
    </row>
    <row r="135" spans="1:28" ht="21" customHeight="1" x14ac:dyDescent="0.3">
      <c r="A135" s="110"/>
      <c r="B135" s="109"/>
      <c r="C135" s="108"/>
      <c r="D135" s="104"/>
      <c r="E135" s="107" t="s">
        <v>184</v>
      </c>
      <c r="F135" s="871"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106" t="str">
        <f>IFERROR(ROUNDUP(D135/F135,0),"")</f>
        <v/>
      </c>
      <c r="H135" s="105"/>
      <c r="I135" s="104"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AA135" t="s">
        <v>1082</v>
      </c>
      <c r="AB135" t="s">
        <v>1424</v>
      </c>
    </row>
    <row r="136" spans="1:28" ht="21" customHeight="1" x14ac:dyDescent="0.3">
      <c r="A136" s="817"/>
      <c r="B136" s="818"/>
      <c r="C136" s="819"/>
      <c r="D136" s="820"/>
      <c r="E136" s="821" t="s">
        <v>184</v>
      </c>
      <c r="F136" s="872"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822" t="str">
        <f>IFERROR(ROUNDUP(D136/F136,0),"")</f>
        <v/>
      </c>
      <c r="H136" s="823"/>
      <c r="I136" s="820"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AA136" t="s">
        <v>598</v>
      </c>
      <c r="AB136" t="s">
        <v>1432</v>
      </c>
    </row>
    <row r="137" spans="1:28" ht="15" customHeight="1" x14ac:dyDescent="0.3">
      <c r="A137" s="899"/>
      <c r="B137" s="846" t="s">
        <v>186</v>
      </c>
      <c r="C137" s="847"/>
      <c r="D137" s="848">
        <f>SUM(D130:D136)</f>
        <v>0</v>
      </c>
      <c r="E137" s="849"/>
      <c r="F137" s="856" t="s">
        <v>1400</v>
      </c>
      <c r="G137" s="850">
        <f>SUM(G130:G136)</f>
        <v>0</v>
      </c>
      <c r="H137" s="848">
        <f>SUM(H130:H136)</f>
        <v>0</v>
      </c>
      <c r="I137" s="848">
        <f>SUM(I130:I136)</f>
        <v>0</v>
      </c>
      <c r="J137" s="63">
        <f>D137</f>
        <v>0</v>
      </c>
      <c r="K137" s="93">
        <f>G137</f>
        <v>0</v>
      </c>
      <c r="L137" s="63">
        <f>H137</f>
        <v>0</v>
      </c>
      <c r="M137" s="63">
        <f>I137</f>
        <v>0</v>
      </c>
      <c r="N137" s="587" t="str" cm="1">
        <f t="array" ref="N137">IF(H137=0,"",SUMPRODUCT(IFERROR(INT(H132:H136/F132:F136),0)))</f>
        <v/>
      </c>
      <c r="O137" s="770" t="str">
        <f>IF(N137="","",MAX(0,G137-N137))</f>
        <v/>
      </c>
      <c r="AA137" t="s">
        <v>397</v>
      </c>
      <c r="AB137" t="s">
        <v>1424</v>
      </c>
    </row>
    <row r="138" spans="1:28" ht="6" customHeight="1" x14ac:dyDescent="0.3">
      <c r="C138" s="65"/>
      <c r="AA138" t="s">
        <v>163</v>
      </c>
      <c r="AB138" t="s">
        <v>1423</v>
      </c>
    </row>
    <row r="139" spans="1:28" ht="15" customHeight="1" x14ac:dyDescent="0.3">
      <c r="A139" s="75">
        <v>46255</v>
      </c>
      <c r="B139" s="113" t="s">
        <v>49</v>
      </c>
      <c r="C139" s="112" t="s">
        <v>176</v>
      </c>
      <c r="D139" s="111" t="s">
        <v>177</v>
      </c>
      <c r="E139" s="111" t="s">
        <v>178</v>
      </c>
      <c r="F139" s="860" t="s">
        <v>179</v>
      </c>
      <c r="G139" s="111" t="s">
        <v>180</v>
      </c>
      <c r="H139" s="111" t="s">
        <v>181</v>
      </c>
      <c r="I139" s="111" t="s">
        <v>182</v>
      </c>
      <c r="AA139" t="s">
        <v>1361</v>
      </c>
      <c r="AB139" t="s">
        <v>1436</v>
      </c>
    </row>
    <row r="140" spans="1:28" ht="21" customHeight="1" x14ac:dyDescent="0.3">
      <c r="A140" s="110"/>
      <c r="B140" s="109"/>
      <c r="C140" s="108"/>
      <c r="D140" s="104"/>
      <c r="E140" s="107" t="s">
        <v>184</v>
      </c>
      <c r="F140" s="871"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06" t="str">
        <f>IFERROR(ROUNDUP(D140/F140,0),"")</f>
        <v/>
      </c>
      <c r="H140" s="105"/>
      <c r="I140" s="104"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row>
    <row r="141" spans="1:28" ht="21" customHeight="1" x14ac:dyDescent="0.3">
      <c r="A141" s="110"/>
      <c r="B141" s="109"/>
      <c r="C141" s="108"/>
      <c r="D141" s="104"/>
      <c r="E141" s="107" t="s">
        <v>184</v>
      </c>
      <c r="F141" s="871"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06" t="str">
        <f>IFERROR(ROUNDUP(D141/F141,0),"")</f>
        <v/>
      </c>
      <c r="H141" s="105"/>
      <c r="I141" s="104"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row>
    <row r="142" spans="1:28" ht="21" customHeight="1" x14ac:dyDescent="0.3">
      <c r="A142" s="110"/>
      <c r="B142" s="109"/>
      <c r="C142" s="108"/>
      <c r="D142" s="104"/>
      <c r="E142" s="107" t="s">
        <v>184</v>
      </c>
      <c r="F142" s="871"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06" t="str">
        <f>IFERROR(ROUNDUP(D142/F142,0),"")</f>
        <v/>
      </c>
      <c r="H142" s="105"/>
      <c r="I142" s="104"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IFERROR(ROUNDUP(D143/F143,0),"")</f>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row>
    <row r="144" spans="1:28" ht="21" customHeight="1" x14ac:dyDescent="0.3">
      <c r="A144" s="817"/>
      <c r="B144" s="818"/>
      <c r="C144" s="819"/>
      <c r="D144" s="820"/>
      <c r="E144" s="821" t="s">
        <v>184</v>
      </c>
      <c r="F144" s="872"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22" t="str">
        <f>IFERROR(ROUNDUP(D144/F144,0),"")</f>
        <v/>
      </c>
      <c r="H144" s="823"/>
      <c r="I144" s="820"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5" ht="15" customHeight="1" x14ac:dyDescent="0.3">
      <c r="A145" s="899"/>
      <c r="B145" s="846" t="s">
        <v>186</v>
      </c>
      <c r="C145" s="847"/>
      <c r="D145" s="848">
        <f>SUM(D138:D144)</f>
        <v>0</v>
      </c>
      <c r="E145" s="849"/>
      <c r="F145" s="856" t="s">
        <v>1400</v>
      </c>
      <c r="G145" s="850">
        <f>SUM(G138:G144)</f>
        <v>0</v>
      </c>
      <c r="H145" s="848">
        <f>SUM(H138:H144)</f>
        <v>0</v>
      </c>
      <c r="I145" s="848">
        <f>SUM(I138:I144)</f>
        <v>0</v>
      </c>
      <c r="J145" s="63">
        <f>D145</f>
        <v>0</v>
      </c>
      <c r="K145" s="93">
        <f>G145</f>
        <v>0</v>
      </c>
      <c r="L145" s="63">
        <f>H145</f>
        <v>0</v>
      </c>
      <c r="M145" s="63">
        <f>I145</f>
        <v>0</v>
      </c>
      <c r="N145" s="587" t="str" cm="1">
        <f t="array" ref="N145">IF(H145=0,"",SUMPRODUCT(IFERROR(INT(H140:H144/F140:F144),0)))</f>
        <v/>
      </c>
      <c r="O145" s="770" t="str">
        <f>IF(N145="","",MAX(0,G145-N145))</f>
        <v/>
      </c>
    </row>
    <row r="146" spans="1:15" ht="6" customHeight="1" x14ac:dyDescent="0.3">
      <c r="C146" s="65"/>
    </row>
    <row r="147" spans="1:15" ht="15" customHeight="1" x14ac:dyDescent="0.3">
      <c r="A147" s="135">
        <v>46256</v>
      </c>
      <c r="B147" s="113" t="s">
        <v>49</v>
      </c>
      <c r="C147" s="112" t="s">
        <v>176</v>
      </c>
      <c r="D147" s="111" t="s">
        <v>177</v>
      </c>
      <c r="E147" s="111" t="s">
        <v>178</v>
      </c>
      <c r="F147" s="862" t="s">
        <v>179</v>
      </c>
      <c r="G147" s="111" t="s">
        <v>180</v>
      </c>
      <c r="H147" s="111" t="s">
        <v>181</v>
      </c>
      <c r="I147" s="111" t="s">
        <v>182</v>
      </c>
      <c r="J147" s="128"/>
      <c r="K147" s="128"/>
      <c r="L147" s="128"/>
      <c r="M147" s="128"/>
    </row>
    <row r="148" spans="1:15" ht="21" customHeight="1" x14ac:dyDescent="0.3">
      <c r="A148" s="110"/>
      <c r="B148" s="127"/>
      <c r="C148" s="126"/>
      <c r="D148" s="129"/>
      <c r="E148" s="131" t="s">
        <v>184</v>
      </c>
      <c r="F148" s="877"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30" t="str">
        <f>IFERROR(ROUNDUP(D148/F148,0),"")</f>
        <v/>
      </c>
      <c r="H148" s="105"/>
      <c r="I148" s="129"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c r="J148" s="128"/>
      <c r="K148" s="128"/>
      <c r="L148" s="128"/>
      <c r="M148" s="128"/>
    </row>
    <row r="149" spans="1:15" ht="21" customHeight="1" x14ac:dyDescent="0.3">
      <c r="A149" s="110"/>
      <c r="B149" s="127"/>
      <c r="C149" s="126"/>
      <c r="D149" s="129"/>
      <c r="E149" s="131" t="s">
        <v>184</v>
      </c>
      <c r="F149" s="877"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130" t="str">
        <f>IFERROR(ROUNDUP(D149/F149,0),"")</f>
        <v/>
      </c>
      <c r="H149" s="105"/>
      <c r="I149" s="129"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c r="J149" s="128"/>
      <c r="K149" s="128"/>
      <c r="L149" s="128"/>
      <c r="M149" s="128"/>
    </row>
    <row r="150" spans="1:15" ht="21" customHeight="1" x14ac:dyDescent="0.3">
      <c r="A150" s="110"/>
      <c r="B150" s="127"/>
      <c r="C150" s="126"/>
      <c r="D150" s="129"/>
      <c r="E150" s="131" t="s">
        <v>184</v>
      </c>
      <c r="F150" s="877"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30" t="str">
        <f>IFERROR(ROUNDUP(D150/F150,0),"")</f>
        <v/>
      </c>
      <c r="H150" s="105"/>
      <c r="I150" s="129"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c r="J150" s="128"/>
      <c r="K150" s="128"/>
      <c r="L150" s="128"/>
      <c r="M150" s="128"/>
    </row>
    <row r="151" spans="1:15" ht="21" customHeight="1" x14ac:dyDescent="0.3">
      <c r="A151" s="110"/>
      <c r="B151" s="127"/>
      <c r="C151" s="126"/>
      <c r="D151" s="129"/>
      <c r="E151" s="131" t="s">
        <v>184</v>
      </c>
      <c r="F151" s="877"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30" t="str">
        <f>IFERROR(ROUNDUP(D151/F151,0),"")</f>
        <v/>
      </c>
      <c r="H151" s="105"/>
      <c r="I151" s="129"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c r="J151" s="128"/>
      <c r="K151" s="128"/>
      <c r="L151" s="128"/>
      <c r="M151" s="128"/>
    </row>
    <row r="152" spans="1:15" ht="21" customHeight="1" x14ac:dyDescent="0.3">
      <c r="A152" s="817"/>
      <c r="B152" s="829"/>
      <c r="C152" s="830"/>
      <c r="D152" s="831"/>
      <c r="E152" s="832" t="s">
        <v>184</v>
      </c>
      <c r="F152" s="878"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833" t="str">
        <f>IFERROR(ROUNDUP(D152/F152,0),"")</f>
        <v/>
      </c>
      <c r="H152" s="823"/>
      <c r="I152" s="831"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c r="J152" s="128"/>
      <c r="K152" s="128"/>
      <c r="L152" s="128"/>
      <c r="M152" s="128"/>
    </row>
    <row r="153" spans="1:15" ht="15" customHeight="1" x14ac:dyDescent="0.3">
      <c r="A153" s="899"/>
      <c r="B153" s="846" t="s">
        <v>186</v>
      </c>
      <c r="C153" s="851"/>
      <c r="D153" s="848">
        <f>SUM(D146:D152)</f>
        <v>0</v>
      </c>
      <c r="E153" s="852"/>
      <c r="F153" s="857" t="s">
        <v>1400</v>
      </c>
      <c r="G153" s="850">
        <f>SUM(G146:G152)</f>
        <v>0</v>
      </c>
      <c r="H153" s="848">
        <f>SUM(H146:H152)</f>
        <v>0</v>
      </c>
      <c r="I153" s="848">
        <f>SUM(I146:I152)</f>
        <v>0</v>
      </c>
      <c r="J153" s="133">
        <f>D153</f>
        <v>0</v>
      </c>
      <c r="K153" s="134">
        <f>G153</f>
        <v>0</v>
      </c>
      <c r="L153" s="133">
        <f>H153</f>
        <v>0</v>
      </c>
      <c r="M153" s="133">
        <f>I153</f>
        <v>0</v>
      </c>
      <c r="N153" s="587" t="str" cm="1">
        <f t="array" ref="N153">IF(H153=0,"",SUMPRODUCT(IFERROR(INT(H148:H152/F148:F152),0)))</f>
        <v/>
      </c>
      <c r="O153" s="770" t="str">
        <f>IF(N153="","",MAX(0,G153-N153))</f>
        <v/>
      </c>
    </row>
    <row r="154" spans="1:15" ht="6" customHeight="1" x14ac:dyDescent="0.3">
      <c r="A154" s="128"/>
      <c r="B154" s="128"/>
      <c r="C154" s="132"/>
      <c r="D154" s="128"/>
      <c r="E154" s="128"/>
      <c r="F154" s="128"/>
      <c r="G154" s="128"/>
      <c r="H154" s="128"/>
      <c r="I154" s="128"/>
      <c r="J154" s="128"/>
      <c r="K154" s="128"/>
      <c r="L154" s="128"/>
      <c r="M154" s="128"/>
    </row>
    <row r="155" spans="1:15" ht="15" customHeight="1" x14ac:dyDescent="0.3">
      <c r="A155" s="75">
        <v>46258</v>
      </c>
      <c r="B155" s="113" t="s">
        <v>49</v>
      </c>
      <c r="C155" s="112" t="s">
        <v>176</v>
      </c>
      <c r="D155" s="111" t="s">
        <v>177</v>
      </c>
      <c r="E155" s="111" t="s">
        <v>178</v>
      </c>
      <c r="F155" s="860" t="s">
        <v>179</v>
      </c>
      <c r="G155" s="111" t="s">
        <v>180</v>
      </c>
      <c r="H155" s="111" t="s">
        <v>181</v>
      </c>
      <c r="I155" s="111" t="s">
        <v>182</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IFERROR(ROUNDUP(D156/F156,0),"")</f>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IFERROR(ROUNDUP(D157/F157,0),"")</f>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IFERROR(ROUNDUP(D158/F158,0),"")</f>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11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IFERROR(ROUNDUP(D159/F159,0),"")</f>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817"/>
      <c r="B160" s="818"/>
      <c r="C160" s="819"/>
      <c r="D160" s="820"/>
      <c r="E160" s="821" t="s">
        <v>184</v>
      </c>
      <c r="F160" s="872"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822" t="str">
        <f>IFERROR(ROUNDUP(D160/F160,0),"")</f>
        <v/>
      </c>
      <c r="H160" s="823"/>
      <c r="I160" s="820"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15" customHeight="1" x14ac:dyDescent="0.3">
      <c r="A161" s="899"/>
      <c r="B161" s="846" t="s">
        <v>186</v>
      </c>
      <c r="C161" s="847"/>
      <c r="D161" s="848">
        <f>SUM(D154:D160)</f>
        <v>0</v>
      </c>
      <c r="E161" s="849"/>
      <c r="F161" s="856" t="s">
        <v>1400</v>
      </c>
      <c r="G161" s="850">
        <f>SUM(G154:G160)</f>
        <v>0</v>
      </c>
      <c r="H161" s="848">
        <f>SUM(H154:H160)</f>
        <v>0</v>
      </c>
      <c r="I161" s="848">
        <f>SUM(I154:I160)</f>
        <v>0</v>
      </c>
      <c r="J161" s="63">
        <f>D161</f>
        <v>0</v>
      </c>
      <c r="K161" s="93">
        <f>G161</f>
        <v>0</v>
      </c>
      <c r="L161" s="63">
        <f>H161</f>
        <v>0</v>
      </c>
      <c r="M161" s="63">
        <f>I161</f>
        <v>0</v>
      </c>
      <c r="N161" s="587" t="str" cm="1">
        <f t="array" ref="N161">IF(H161=0,"",SUMPRODUCT(IFERROR(INT(H156:H160/F156:F160),0)))</f>
        <v/>
      </c>
      <c r="O161" s="770" t="str">
        <f>IF(N161="","",MAX(0,G161-N161))</f>
        <v/>
      </c>
    </row>
    <row r="162" spans="1:15" ht="6" customHeight="1" x14ac:dyDescent="0.3">
      <c r="C162" s="65"/>
    </row>
    <row r="163" spans="1:15" ht="15" customHeight="1" x14ac:dyDescent="0.3">
      <c r="A163" s="75">
        <v>46259</v>
      </c>
      <c r="B163" s="113" t="s">
        <v>49</v>
      </c>
      <c r="C163" s="112" t="s">
        <v>176</v>
      </c>
      <c r="D163" s="111" t="s">
        <v>177</v>
      </c>
      <c r="E163" s="111" t="s">
        <v>178</v>
      </c>
      <c r="F163" s="860" t="s">
        <v>179</v>
      </c>
      <c r="G163" s="111" t="s">
        <v>180</v>
      </c>
      <c r="H163" s="111" t="s">
        <v>181</v>
      </c>
      <c r="I163" s="111" t="s">
        <v>182</v>
      </c>
    </row>
    <row r="164" spans="1:15" ht="21" customHeight="1" x14ac:dyDescent="0.3">
      <c r="A164" s="110"/>
      <c r="B164" s="109"/>
      <c r="C164" s="108"/>
      <c r="D164" s="104"/>
      <c r="E164" s="107" t="s">
        <v>184</v>
      </c>
      <c r="F164" s="871"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106" t="str">
        <f>IFERROR(ROUNDUP(D164/F164,0),"")</f>
        <v/>
      </c>
      <c r="H164" s="105"/>
      <c r="I164" s="104"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row>
    <row r="165" spans="1:15" ht="21" customHeight="1" x14ac:dyDescent="0.3">
      <c r="A165" s="110"/>
      <c r="B165" s="109"/>
      <c r="C165" s="108"/>
      <c r="D165" s="104"/>
      <c r="E165" s="107" t="s">
        <v>184</v>
      </c>
      <c r="F165" s="871" t="str">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
      </c>
      <c r="G165" s="106" t="str">
        <f>IFERROR(ROUNDUP(D165/F165,0),"")</f>
        <v/>
      </c>
      <c r="H165" s="105"/>
      <c r="I165" s="104"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row>
    <row r="166" spans="1:15"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IFERROR(ROUNDUP(D166/F166,0),"")</f>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5"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IFERROR(ROUNDUP(D167/F167,0),"")</f>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5" ht="21" customHeight="1" x14ac:dyDescent="0.3">
      <c r="A168" s="817"/>
      <c r="B168" s="818"/>
      <c r="C168" s="819"/>
      <c r="D168" s="820"/>
      <c r="E168" s="821" t="s">
        <v>184</v>
      </c>
      <c r="F168" s="872"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822" t="str">
        <f>IFERROR(ROUNDUP(D168/F168,0),"")</f>
        <v/>
      </c>
      <c r="H168" s="823"/>
      <c r="I168" s="820"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15" customHeight="1" x14ac:dyDescent="0.3">
      <c r="A169" s="899"/>
      <c r="B169" s="846" t="s">
        <v>186</v>
      </c>
      <c r="C169" s="847"/>
      <c r="D169" s="848">
        <f>SUM(D162:D168)</f>
        <v>0</v>
      </c>
      <c r="E169" s="849"/>
      <c r="F169" s="856" t="s">
        <v>1400</v>
      </c>
      <c r="G169" s="850">
        <f>SUM(G162:G168)</f>
        <v>0</v>
      </c>
      <c r="H169" s="848">
        <f>SUM(H162:H168)</f>
        <v>0</v>
      </c>
      <c r="I169" s="848">
        <f>SUM(I162:I168)</f>
        <v>0</v>
      </c>
      <c r="J169" s="63">
        <f>D169</f>
        <v>0</v>
      </c>
      <c r="K169" s="93">
        <f>G169</f>
        <v>0</v>
      </c>
      <c r="L169" s="63">
        <f>H169</f>
        <v>0</v>
      </c>
      <c r="M169" s="63">
        <f>I169</f>
        <v>0</v>
      </c>
      <c r="N169" s="587" t="str" cm="1">
        <f t="array" ref="N169">IF(H169=0,"",SUMPRODUCT(IFERROR(INT(H164:H168/F164:F168),0)))</f>
        <v/>
      </c>
      <c r="O169" s="770" t="str">
        <f>IF(N169="","",MAX(0,G169-N169))</f>
        <v/>
      </c>
    </row>
    <row r="170" spans="1:15" ht="6" customHeight="1" x14ac:dyDescent="0.3">
      <c r="C170" s="65"/>
    </row>
    <row r="171" spans="1:15" ht="14.25" customHeight="1" x14ac:dyDescent="0.3">
      <c r="A171" s="75">
        <v>46260</v>
      </c>
      <c r="B171" s="113" t="s">
        <v>49</v>
      </c>
      <c r="C171" s="112" t="s">
        <v>176</v>
      </c>
      <c r="D171" s="111" t="s">
        <v>177</v>
      </c>
      <c r="E171" s="111" t="s">
        <v>178</v>
      </c>
      <c r="F171" s="860" t="s">
        <v>179</v>
      </c>
      <c r="G171" s="111" t="s">
        <v>180</v>
      </c>
      <c r="H171" s="111" t="s">
        <v>181</v>
      </c>
      <c r="I171" s="111" t="s">
        <v>182</v>
      </c>
    </row>
    <row r="172" spans="1:15" ht="21" customHeight="1" x14ac:dyDescent="0.3">
      <c r="A172" s="110"/>
      <c r="B172" s="109"/>
      <c r="C172" s="108"/>
      <c r="D172" s="104"/>
      <c r="E172" s="107" t="s">
        <v>184</v>
      </c>
      <c r="F172" s="871"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106" t="str">
        <f>IFERROR(ROUNDUP(D172/F172,0),"")</f>
        <v/>
      </c>
      <c r="H172" s="105"/>
      <c r="I172" s="104"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21" customHeight="1" x14ac:dyDescent="0.3">
      <c r="A173" s="110"/>
      <c r="B173" s="109"/>
      <c r="C173" s="108"/>
      <c r="D173" s="104"/>
      <c r="E173" s="107" t="s">
        <v>184</v>
      </c>
      <c r="F173" s="871" t="str">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
      </c>
      <c r="G173" s="106" t="str">
        <f>IFERROR(ROUNDUP(D173/F173,0),"")</f>
        <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c r="C174" s="108"/>
      <c r="D174" s="104"/>
      <c r="E174" s="107" t="s">
        <v>184</v>
      </c>
      <c r="F174" s="871" t="str">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
      </c>
      <c r="G174" s="106" t="str">
        <f>IFERROR(ROUNDUP(D174/F174,0),"")</f>
        <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817"/>
      <c r="B176" s="818"/>
      <c r="C176" s="819"/>
      <c r="D176" s="820"/>
      <c r="E176" s="821" t="s">
        <v>184</v>
      </c>
      <c r="F176" s="872"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822" t="str">
        <f>IFERROR(ROUNDUP(D176/F176,0),"")</f>
        <v/>
      </c>
      <c r="H176" s="823"/>
      <c r="I176" s="820"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14.25" customHeight="1" x14ac:dyDescent="0.3">
      <c r="A177" s="899"/>
      <c r="B177" s="846" t="s">
        <v>186</v>
      </c>
      <c r="C177" s="847"/>
      <c r="D177" s="848">
        <f>SUM(D170:D176)</f>
        <v>0</v>
      </c>
      <c r="E177" s="849"/>
      <c r="F177" s="856" t="s">
        <v>1400</v>
      </c>
      <c r="G177" s="850">
        <f>SUM(G170:G176)</f>
        <v>0</v>
      </c>
      <c r="H177" s="848">
        <f>SUM(H170:H176)</f>
        <v>0</v>
      </c>
      <c r="I177" s="848">
        <f>SUM(I170:I176)</f>
        <v>0</v>
      </c>
      <c r="J177" s="63">
        <f>D177</f>
        <v>0</v>
      </c>
      <c r="K177" s="93">
        <f>G177</f>
        <v>0</v>
      </c>
      <c r="L177" s="63">
        <f>H177</f>
        <v>0</v>
      </c>
      <c r="M177" s="63">
        <f>I177</f>
        <v>0</v>
      </c>
      <c r="N177" s="587" t="str" cm="1">
        <f t="array" ref="N177">IF(H177=0,"",SUMPRODUCT(IFERROR(INT(H172:H176/F172:F176),0)))</f>
        <v/>
      </c>
      <c r="O177" s="770" t="str">
        <f>IF(N177="","",MAX(0,G177-N177))</f>
        <v/>
      </c>
    </row>
    <row r="178" spans="1:15" ht="14.25" customHeight="1" x14ac:dyDescent="0.3">
      <c r="C178" s="65"/>
    </row>
    <row r="179" spans="1:15" ht="14.25" customHeight="1" x14ac:dyDescent="0.3">
      <c r="A179" s="75">
        <v>46261</v>
      </c>
      <c r="B179" s="113" t="s">
        <v>49</v>
      </c>
      <c r="C179" s="112" t="s">
        <v>176</v>
      </c>
      <c r="D179" s="111" t="s">
        <v>177</v>
      </c>
      <c r="E179" s="111" t="s">
        <v>178</v>
      </c>
      <c r="F179" s="860" t="s">
        <v>179</v>
      </c>
      <c r="G179" s="111" t="s">
        <v>180</v>
      </c>
      <c r="H179" s="111" t="s">
        <v>181</v>
      </c>
      <c r="I179" s="111" t="s">
        <v>182</v>
      </c>
    </row>
    <row r="180" spans="1:15" ht="21" customHeight="1" x14ac:dyDescent="0.3">
      <c r="A180" s="110"/>
      <c r="B180" s="109"/>
      <c r="C180" s="108"/>
      <c r="D180" s="104"/>
      <c r="E180" s="107" t="s">
        <v>184</v>
      </c>
      <c r="F180" s="871"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106" t="str">
        <f>IFERROR(ROUNDUP(D180/F180,0),"")</f>
        <v/>
      </c>
      <c r="H180" s="105"/>
      <c r="I180" s="104"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row>
    <row r="181" spans="1:15" ht="21" customHeight="1" x14ac:dyDescent="0.3">
      <c r="A181" s="110"/>
      <c r="B181" s="109"/>
      <c r="C181" s="108"/>
      <c r="D181" s="104"/>
      <c r="E181" s="107" t="s">
        <v>184</v>
      </c>
      <c r="F181" s="871" t="str">
        <f>IF($B181="","",IF(SUMIFS(CONFIG_PALETES!$C:$C,CONFIG_PALETES!$A:$A,TRIM($B181),CONFIG_PALETES!$B:$B,$C181&amp;" ml")&gt;0,SUMIFS(CONFIG_PALETES!$C:$C,CONFIG_PALETES!$A:$A,TRIM($B181),CONFIG_PALETES!$B:$B,$C181&amp;" ml"),IF(SUMIFS(CONFIG_PALETES!$C:$C,CONFIG_PALETES!$A:$A,"GERAL",CONFIG_PALETES!$B:$B,$C181&amp;" ml")&gt;0,SUMIFS(CONFIG_PALETES!$C:$C,CONFIG_PALETES!$A:$A,"GERAL",CONFIG_PALETES!$B:$B,$C181&amp;" ml"),"")))</f>
        <v/>
      </c>
      <c r="G181" s="106" t="str">
        <f>IFERROR(ROUNDUP(D181/F181,0),"")</f>
        <v/>
      </c>
      <c r="H181" s="105"/>
      <c r="I181" s="104" t="str">
        <f>IF(H181="","",H181*IF(SUMIFS(CONFIG_PALETES!$D:$D,CONFIG_PALETES!$A:$A,IF(ISNUMBER(SEARCH("ESPUMA",$B181)),"ESPUMA",IF(OR(ISNUMBER(SEARCH("OLEO DE COCO",$B181)),ISNUMBER(SEARCH("ÓLEO DE COCO",$B181)),ISNUMBER(SEARCH("COPRA",$B181))),"ÓLEO DE COCO",IF(ISNUMBER(SEARCH("CORANTE",$B181)),"CORANTE",TRIM($B181)))),CONFIG_PALETES!$B:$B,$C181&amp;" ml")&gt;0,SUMIFS(CONFIG_PALETES!$D:$D,CONFIG_PALETES!$A:$A,IF(ISNUMBER(SEARCH("ESPUMA",$B181)),"ESPUMA",IF(OR(ISNUMBER(SEARCH("OLEO DE COCO",$B181)),ISNUMBER(SEARCH("ÓLEO DE COCO",$B181)),ISNUMBER(SEARCH("COPRA",$B181))),"ÓLEO DE COCO",IF(ISNUMBER(SEARCH("CORANTE",$B181)),"CORANTE",TRIM($B181)))),CONFIG_PALETES!$B:$B,$C181&amp;" ml"),IF(SUMIFS(CONFIG_PALETES!$D:$D,CONFIG_PALETES!$A:$A,"GERAL",CONFIG_PALETES!$B:$B,$C181&amp;" ml")&gt;0,SUMIFS(CONFIG_PALETES!$D:$D,CONFIG_PALETES!$A:$A,"GERAL",CONFIG_PALETES!$B:$B,$C181&amp;" ml"),12)))</f>
        <v/>
      </c>
    </row>
    <row r="182" spans="1:15" ht="21" customHeight="1" x14ac:dyDescent="0.3">
      <c r="A182" s="110"/>
      <c r="B182" s="109"/>
      <c r="C182" s="108"/>
      <c r="D182" s="104"/>
      <c r="E182" s="107" t="s">
        <v>184</v>
      </c>
      <c r="F182" s="871" t="str">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
      </c>
      <c r="G182" s="106" t="str">
        <f>IFERROR(ROUNDUP(D182/F182,0),"")</f>
        <v/>
      </c>
      <c r="H182" s="105"/>
      <c r="I182" s="104" t="str">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
      </c>
    </row>
    <row r="183" spans="1:15" ht="21" customHeight="1" x14ac:dyDescent="0.3">
      <c r="A183" s="110"/>
      <c r="B183" s="109"/>
      <c r="C183" s="108"/>
      <c r="D183" s="104"/>
      <c r="E183" s="107" t="s">
        <v>184</v>
      </c>
      <c r="F183" s="871" t="str">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
      </c>
      <c r="G183" s="106" t="str">
        <f>IFERROR(ROUNDUP(D183/F183,0),"")</f>
        <v/>
      </c>
      <c r="H183" s="105"/>
      <c r="I183" s="104"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row>
    <row r="184" spans="1:15" ht="21" customHeight="1" x14ac:dyDescent="0.3">
      <c r="A184" s="817"/>
      <c r="B184" s="818"/>
      <c r="C184" s="819"/>
      <c r="D184" s="820"/>
      <c r="E184" s="821" t="s">
        <v>184</v>
      </c>
      <c r="F184" s="872"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822" t="str">
        <f>IFERROR(ROUNDUP(D184/F184,0),"")</f>
        <v/>
      </c>
      <c r="H184" s="823"/>
      <c r="I184" s="820"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row>
    <row r="185" spans="1:15" ht="14.25" customHeight="1" x14ac:dyDescent="0.3">
      <c r="A185" s="899"/>
      <c r="B185" s="846" t="s">
        <v>186</v>
      </c>
      <c r="C185" s="847"/>
      <c r="D185" s="848">
        <f>SUM(D178:D184)</f>
        <v>0</v>
      </c>
      <c r="E185" s="849"/>
      <c r="F185" s="856" t="s">
        <v>1400</v>
      </c>
      <c r="G185" s="850">
        <f>SUM(G178:G184)</f>
        <v>0</v>
      </c>
      <c r="H185" s="848">
        <f>SUM(H178:H184)</f>
        <v>0</v>
      </c>
      <c r="I185" s="848">
        <f>SUM(I178:I184)</f>
        <v>0</v>
      </c>
      <c r="J185" s="63">
        <f>D185</f>
        <v>0</v>
      </c>
      <c r="K185" s="93">
        <f>G185</f>
        <v>0</v>
      </c>
      <c r="L185" s="63">
        <f>H185</f>
        <v>0</v>
      </c>
      <c r="M185" s="63">
        <f>I185</f>
        <v>0</v>
      </c>
      <c r="N185" s="587" t="str" cm="1">
        <f t="array" ref="N185">IF(H185=0,"",SUMPRODUCT(IFERROR(INT(H180:H184/F180:F184),0)))</f>
        <v/>
      </c>
      <c r="O185" s="770" t="str">
        <f>IF(N185="","",MAX(0,G185-N185))</f>
        <v/>
      </c>
    </row>
    <row r="186" spans="1:15" ht="14.25" customHeight="1" x14ac:dyDescent="0.3">
      <c r="C186" s="65"/>
    </row>
    <row r="187" spans="1:15" ht="14.25" customHeight="1" x14ac:dyDescent="0.3">
      <c r="A187" s="75">
        <v>46262</v>
      </c>
      <c r="B187" s="113" t="s">
        <v>49</v>
      </c>
      <c r="C187" s="112" t="s">
        <v>176</v>
      </c>
      <c r="D187" s="111" t="s">
        <v>177</v>
      </c>
      <c r="E187" s="111" t="s">
        <v>178</v>
      </c>
      <c r="F187" s="860" t="s">
        <v>179</v>
      </c>
      <c r="G187" s="111" t="s">
        <v>180</v>
      </c>
      <c r="H187" s="111" t="s">
        <v>181</v>
      </c>
      <c r="I187" s="111" t="s">
        <v>182</v>
      </c>
    </row>
    <row r="188" spans="1:15" ht="21" customHeight="1" x14ac:dyDescent="0.3">
      <c r="A188" s="11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IFERROR(ROUNDUP(D188/F188,0),"")</f>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21" customHeight="1" x14ac:dyDescent="0.3">
      <c r="A189" s="110"/>
      <c r="B189" s="109"/>
      <c r="C189" s="108"/>
      <c r="D189" s="104"/>
      <c r="E189" s="107" t="s">
        <v>184</v>
      </c>
      <c r="F189" s="871"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106" t="str">
        <f>IFERROR(ROUNDUP(D189/F189,0),"")</f>
        <v/>
      </c>
      <c r="H189" s="105"/>
      <c r="I189" s="104"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5" ht="21" customHeight="1" x14ac:dyDescent="0.3">
      <c r="A190" s="110"/>
      <c r="B190" s="109"/>
      <c r="C190" s="108"/>
      <c r="D190" s="104"/>
      <c r="E190" s="107" t="s">
        <v>184</v>
      </c>
      <c r="F190" s="871" t="str">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
      </c>
      <c r="G190" s="106" t="str">
        <f>IFERROR(ROUNDUP(D190/F190,0),"")</f>
        <v/>
      </c>
      <c r="H190" s="105"/>
      <c r="I190" s="104" t="str">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
      </c>
    </row>
    <row r="191" spans="1:15" ht="21" customHeight="1" x14ac:dyDescent="0.3">
      <c r="A191" s="110"/>
      <c r="B191" s="109"/>
      <c r="C191" s="108"/>
      <c r="D191" s="104"/>
      <c r="E191" s="107" t="s">
        <v>184</v>
      </c>
      <c r="F191" s="871"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06" t="str">
        <f>IFERROR(ROUNDUP(D191/F191,0),"")</f>
        <v/>
      </c>
      <c r="H191" s="105"/>
      <c r="I191" s="104"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row>
    <row r="192" spans="1:15" ht="21" customHeight="1" x14ac:dyDescent="0.3">
      <c r="A192" s="817"/>
      <c r="B192" s="818"/>
      <c r="C192" s="819"/>
      <c r="D192" s="820"/>
      <c r="E192" s="821" t="s">
        <v>184</v>
      </c>
      <c r="F192" s="872"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822" t="str">
        <f>IFERROR(ROUNDUP(D192/F192,0),"")</f>
        <v/>
      </c>
      <c r="H192" s="823"/>
      <c r="I192" s="820"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row>
    <row r="193" spans="1:15" ht="14.25" customHeight="1" x14ac:dyDescent="0.3">
      <c r="A193" s="899"/>
      <c r="B193" s="846" t="s">
        <v>186</v>
      </c>
      <c r="C193" s="847"/>
      <c r="D193" s="848">
        <f>SUM(D186:D192)</f>
        <v>0</v>
      </c>
      <c r="E193" s="849"/>
      <c r="F193" s="856" t="s">
        <v>1400</v>
      </c>
      <c r="G193" s="850">
        <f>SUM(G186:G192)</f>
        <v>0</v>
      </c>
      <c r="H193" s="848">
        <f>SUM(H186:H192)</f>
        <v>0</v>
      </c>
      <c r="I193" s="848">
        <f>SUM(I186:I192)</f>
        <v>0</v>
      </c>
      <c r="J193" s="63">
        <f>D193</f>
        <v>0</v>
      </c>
      <c r="K193" s="93">
        <f>G193</f>
        <v>0</v>
      </c>
      <c r="L193" s="63">
        <f>H193</f>
        <v>0</v>
      </c>
      <c r="M193" s="63">
        <f>I193</f>
        <v>0</v>
      </c>
      <c r="N193" s="587" t="str" cm="1">
        <f t="array" ref="N193">IF(H193=0,"",SUMPRODUCT(IFERROR(INT(H188:H192/F188:F192),0)))</f>
        <v/>
      </c>
      <c r="O193" s="770" t="str">
        <f>IF(N193="","",MAX(0,G193-N193))</f>
        <v/>
      </c>
    </row>
    <row r="194" spans="1:15" ht="14.25" customHeight="1" x14ac:dyDescent="0.3">
      <c r="C194" s="65"/>
    </row>
    <row r="195" spans="1:15" ht="14.25" customHeight="1" x14ac:dyDescent="0.3">
      <c r="A195" s="135">
        <v>46263</v>
      </c>
      <c r="B195" s="113" t="s">
        <v>49</v>
      </c>
      <c r="C195" s="112" t="s">
        <v>176</v>
      </c>
      <c r="D195" s="111" t="s">
        <v>177</v>
      </c>
      <c r="E195" s="111" t="s">
        <v>178</v>
      </c>
      <c r="F195" s="862" t="s">
        <v>179</v>
      </c>
      <c r="G195" s="111" t="s">
        <v>180</v>
      </c>
      <c r="H195" s="111" t="s">
        <v>181</v>
      </c>
      <c r="I195" s="111" t="s">
        <v>182</v>
      </c>
      <c r="J195" s="128"/>
      <c r="K195" s="128"/>
      <c r="L195" s="128"/>
      <c r="M195" s="128"/>
    </row>
    <row r="196" spans="1:15" ht="21" customHeight="1" x14ac:dyDescent="0.3">
      <c r="A196" s="110"/>
      <c r="B196" s="127"/>
      <c r="C196" s="126"/>
      <c r="D196" s="129"/>
      <c r="E196" s="131" t="s">
        <v>184</v>
      </c>
      <c r="F196" s="877"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30" t="str">
        <f>IFERROR(ROUNDUP(D196/F196,0),"")</f>
        <v/>
      </c>
      <c r="H196" s="105"/>
      <c r="I196" s="129"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c r="J196" s="128"/>
      <c r="K196" s="128"/>
      <c r="L196" s="128"/>
      <c r="M196" s="128"/>
    </row>
    <row r="197" spans="1:15" ht="21" customHeight="1" x14ac:dyDescent="0.3">
      <c r="A197" s="110"/>
      <c r="B197" s="127"/>
      <c r="C197" s="126"/>
      <c r="D197" s="129"/>
      <c r="E197" s="131" t="s">
        <v>184</v>
      </c>
      <c r="F197" s="877"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30" t="str">
        <f>IFERROR(ROUNDUP(D197/F197,0),"")</f>
        <v/>
      </c>
      <c r="H197" s="105"/>
      <c r="I197" s="129"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c r="J197" s="128"/>
      <c r="K197" s="128"/>
      <c r="L197" s="128"/>
      <c r="M197" s="128"/>
    </row>
    <row r="198" spans="1:15" ht="21" customHeight="1" x14ac:dyDescent="0.3">
      <c r="A198" s="110"/>
      <c r="B198" s="127"/>
      <c r="C198" s="126"/>
      <c r="D198" s="129"/>
      <c r="E198" s="131" t="s">
        <v>184</v>
      </c>
      <c r="F198" s="877"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130" t="str">
        <f>IFERROR(ROUNDUP(D198/F198,0),"")</f>
        <v/>
      </c>
      <c r="H198" s="105"/>
      <c r="I198" s="129"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c r="J198" s="128"/>
      <c r="K198" s="128"/>
      <c r="L198" s="128"/>
      <c r="M198" s="128"/>
    </row>
    <row r="199" spans="1:15" ht="21" customHeight="1" x14ac:dyDescent="0.3">
      <c r="A199" s="110"/>
      <c r="B199" s="127"/>
      <c r="C199" s="126"/>
      <c r="D199" s="129"/>
      <c r="E199" s="131" t="s">
        <v>184</v>
      </c>
      <c r="F199" s="877"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30" t="str">
        <f>IFERROR(ROUNDUP(D199/F199,0),"")</f>
        <v/>
      </c>
      <c r="H199" s="105"/>
      <c r="I199" s="129"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c r="J199" s="128"/>
      <c r="K199" s="128"/>
      <c r="L199" s="128"/>
      <c r="M199" s="128"/>
    </row>
    <row r="200" spans="1:15" ht="21" customHeight="1" x14ac:dyDescent="0.3">
      <c r="A200" s="817"/>
      <c r="B200" s="829"/>
      <c r="C200" s="830"/>
      <c r="D200" s="831"/>
      <c r="E200" s="832" t="s">
        <v>184</v>
      </c>
      <c r="F200" s="878"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833" t="str">
        <f>IFERROR(ROUNDUP(D200/F200,0),"")</f>
        <v/>
      </c>
      <c r="H200" s="823"/>
      <c r="I200" s="831"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c r="J200" s="128"/>
      <c r="K200" s="128"/>
      <c r="L200" s="128"/>
      <c r="M200" s="128"/>
    </row>
    <row r="201" spans="1:15" ht="14.25" customHeight="1" x14ac:dyDescent="0.3">
      <c r="A201" s="899"/>
      <c r="B201" s="846" t="s">
        <v>186</v>
      </c>
      <c r="C201" s="851"/>
      <c r="D201" s="848">
        <f>SUM(D194:D200)</f>
        <v>0</v>
      </c>
      <c r="E201" s="852"/>
      <c r="F201" s="857" t="s">
        <v>1400</v>
      </c>
      <c r="G201" s="850">
        <f>SUM(G194:G200)</f>
        <v>0</v>
      </c>
      <c r="H201" s="848">
        <f>SUM(H194:H200)</f>
        <v>0</v>
      </c>
      <c r="I201" s="848">
        <f>SUM(I194:I200)</f>
        <v>0</v>
      </c>
      <c r="J201" s="133">
        <f>D201</f>
        <v>0</v>
      </c>
      <c r="K201" s="134">
        <f>G201</f>
        <v>0</v>
      </c>
      <c r="L201" s="133">
        <f>H201</f>
        <v>0</v>
      </c>
      <c r="M201" s="133">
        <f>I201</f>
        <v>0</v>
      </c>
      <c r="N201" s="587" t="str" cm="1">
        <f t="array" ref="N201">IF(H201=0,"",SUMPRODUCT(IFERROR(INT(H196:H200/F196:F200),0)))</f>
        <v/>
      </c>
      <c r="O201" s="770" t="str">
        <f>IF(N201="","",MAX(0,G201-N201))</f>
        <v/>
      </c>
    </row>
    <row r="202" spans="1:15" ht="14.25" customHeight="1" x14ac:dyDescent="0.3">
      <c r="A202" s="128"/>
      <c r="B202" s="128"/>
      <c r="C202" s="132"/>
      <c r="D202" s="128"/>
      <c r="E202" s="128"/>
      <c r="F202" s="128"/>
      <c r="G202" s="128"/>
      <c r="H202" s="128"/>
      <c r="I202" s="128"/>
      <c r="J202" s="128"/>
      <c r="K202" s="128"/>
      <c r="L202" s="128"/>
      <c r="M202" s="128"/>
    </row>
    <row r="203" spans="1:15" ht="14.25" customHeight="1" x14ac:dyDescent="0.3">
      <c r="A203" s="75">
        <v>46265</v>
      </c>
      <c r="B203" s="113" t="s">
        <v>49</v>
      </c>
      <c r="C203" s="112" t="s">
        <v>176</v>
      </c>
      <c r="D203" s="111" t="s">
        <v>177</v>
      </c>
      <c r="E203" s="111" t="s">
        <v>178</v>
      </c>
      <c r="F203" s="860" t="s">
        <v>179</v>
      </c>
      <c r="G203" s="111" t="s">
        <v>180</v>
      </c>
      <c r="H203" s="111" t="s">
        <v>181</v>
      </c>
      <c r="I203" s="111" t="s">
        <v>182</v>
      </c>
    </row>
    <row r="204" spans="1:15" ht="21" customHeight="1" x14ac:dyDescent="0.3">
      <c r="A204" s="110"/>
      <c r="B204" s="109"/>
      <c r="C204" s="108"/>
      <c r="D204" s="104"/>
      <c r="E204" s="107" t="s">
        <v>184</v>
      </c>
      <c r="F204" s="871"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106" t="str">
        <f>IFERROR(ROUNDUP(D204/F204,0),"")</f>
        <v/>
      </c>
      <c r="H204" s="105"/>
      <c r="I204" s="104"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21" customHeight="1" x14ac:dyDescent="0.3">
      <c r="A205" s="110"/>
      <c r="B205" s="109"/>
      <c r="C205" s="108"/>
      <c r="D205" s="104"/>
      <c r="E205" s="107" t="s">
        <v>184</v>
      </c>
      <c r="F205" s="871" t="str">
        <f>IF($B205="","",IF(SUMIFS(CONFIG_PALETES!$C:$C,CONFIG_PALETES!$A:$A,TRIM($B205),CONFIG_PALETES!$B:$B,$C205&amp;" ml")&gt;0,SUMIFS(CONFIG_PALETES!$C:$C,CONFIG_PALETES!$A:$A,TRIM($B205),CONFIG_PALETES!$B:$B,$C205&amp;" ml"),IF(SUMIFS(CONFIG_PALETES!$C:$C,CONFIG_PALETES!$A:$A,"GERAL",CONFIG_PALETES!$B:$B,$C205&amp;" ml")&gt;0,SUMIFS(CONFIG_PALETES!$C:$C,CONFIG_PALETES!$A:$A,"GERAL",CONFIG_PALETES!$B:$B,$C205&amp;" ml"),"")))</f>
        <v/>
      </c>
      <c r="G205" s="106" t="str">
        <f>IFERROR(ROUNDUP(D205/F205,0),"")</f>
        <v/>
      </c>
      <c r="H205" s="105"/>
      <c r="I205" s="104" t="str">
        <f>IF(H205="","",H205*IF(SUMIFS(CONFIG_PALETES!$D:$D,CONFIG_PALETES!$A:$A,IF(ISNUMBER(SEARCH("ESPUMA",$B205)),"ESPUMA",IF(OR(ISNUMBER(SEARCH("OLEO DE COCO",$B205)),ISNUMBER(SEARCH("ÓLEO DE COCO",$B205)),ISNUMBER(SEARCH("COPRA",$B205))),"ÓLEO DE COCO",IF(ISNUMBER(SEARCH("CORANTE",$B205)),"CORANTE",TRIM($B205)))),CONFIG_PALETES!$B:$B,$C205&amp;" ml")&gt;0,SUMIFS(CONFIG_PALETES!$D:$D,CONFIG_PALETES!$A:$A,IF(ISNUMBER(SEARCH("ESPUMA",$B205)),"ESPUMA",IF(OR(ISNUMBER(SEARCH("OLEO DE COCO",$B205)),ISNUMBER(SEARCH("ÓLEO DE COCO",$B205)),ISNUMBER(SEARCH("COPRA",$B205))),"ÓLEO DE COCO",IF(ISNUMBER(SEARCH("CORANTE",$B205)),"CORANTE",TRIM($B205)))),CONFIG_PALETES!$B:$B,$C205&amp;" ml"),IF(SUMIFS(CONFIG_PALETES!$D:$D,CONFIG_PALETES!$A:$A,"GERAL",CONFIG_PALETES!$B:$B,$C205&amp;" ml")&gt;0,SUMIFS(CONFIG_PALETES!$D:$D,CONFIG_PALETES!$A:$A,"GERAL",CONFIG_PALETES!$B:$B,$C205&amp;" ml"),12)))</f>
        <v/>
      </c>
    </row>
    <row r="206" spans="1:15" ht="21" customHeight="1" x14ac:dyDescent="0.3">
      <c r="A206" s="110"/>
      <c r="B206" s="109"/>
      <c r="C206" s="108"/>
      <c r="D206" s="104"/>
      <c r="E206" s="107" t="s">
        <v>184</v>
      </c>
      <c r="F206" s="871" t="str">
        <f>IF($B206="","",IF(SUMIFS(CONFIG_PALETES!$C:$C,CONFIG_PALETES!$A:$A,TRIM($B206),CONFIG_PALETES!$B:$B,$C206&amp;" ml")&gt;0,SUMIFS(CONFIG_PALETES!$C:$C,CONFIG_PALETES!$A:$A,TRIM($B206),CONFIG_PALETES!$B:$B,$C206&amp;" ml"),IF(SUMIFS(CONFIG_PALETES!$C:$C,CONFIG_PALETES!$A:$A,"GERAL",CONFIG_PALETES!$B:$B,$C206&amp;" ml")&gt;0,SUMIFS(CONFIG_PALETES!$C:$C,CONFIG_PALETES!$A:$A,"GERAL",CONFIG_PALETES!$B:$B,$C206&amp;" ml"),"")))</f>
        <v/>
      </c>
      <c r="G206" s="106" t="str">
        <f>IFERROR(ROUNDUP(D206/F206,0),"")</f>
        <v/>
      </c>
      <c r="H206" s="105"/>
      <c r="I206" s="104" t="str">
        <f>IF(H206="","",H206*IF(SUMIFS(CONFIG_PALETES!$D:$D,CONFIG_PALETES!$A:$A,IF(ISNUMBER(SEARCH("ESPUMA",$B206)),"ESPUMA",IF(OR(ISNUMBER(SEARCH("OLEO DE COCO",$B206)),ISNUMBER(SEARCH("ÓLEO DE COCO",$B206)),ISNUMBER(SEARCH("COPRA",$B206))),"ÓLEO DE COCO",IF(ISNUMBER(SEARCH("CORANTE",$B206)),"CORANTE",TRIM($B206)))),CONFIG_PALETES!$B:$B,$C206&amp;" ml")&gt;0,SUMIFS(CONFIG_PALETES!$D:$D,CONFIG_PALETES!$A:$A,IF(ISNUMBER(SEARCH("ESPUMA",$B206)),"ESPUMA",IF(OR(ISNUMBER(SEARCH("OLEO DE COCO",$B206)),ISNUMBER(SEARCH("ÓLEO DE COCO",$B206)),ISNUMBER(SEARCH("COPRA",$B206))),"ÓLEO DE COCO",IF(ISNUMBER(SEARCH("CORANTE",$B206)),"CORANTE",TRIM($B206)))),CONFIG_PALETES!$B:$B,$C206&amp;" ml"),IF(SUMIFS(CONFIG_PALETES!$D:$D,CONFIG_PALETES!$A:$A,"GERAL",CONFIG_PALETES!$B:$B,$C206&amp;" ml")&gt;0,SUMIFS(CONFIG_PALETES!$D:$D,CONFIG_PALETES!$A:$A,"GERAL",CONFIG_PALETES!$B:$B,$C206&amp;" ml"),12)))</f>
        <v/>
      </c>
    </row>
    <row r="207" spans="1:15" ht="21" customHeight="1" x14ac:dyDescent="0.3">
      <c r="A207" s="110"/>
      <c r="B207" s="109"/>
      <c r="C207" s="108"/>
      <c r="D207" s="104"/>
      <c r="E207" s="107" t="s">
        <v>184</v>
      </c>
      <c r="F207" s="871" t="str">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
      </c>
      <c r="G207" s="106" t="str">
        <f>IFERROR(ROUNDUP(D207/F207,0),"")</f>
        <v/>
      </c>
      <c r="H207" s="105"/>
      <c r="I207" s="104" t="str">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
      </c>
    </row>
    <row r="208" spans="1:15" ht="21" customHeight="1" x14ac:dyDescent="0.3">
      <c r="A208" s="817"/>
      <c r="B208" s="818"/>
      <c r="C208" s="819"/>
      <c r="D208" s="820"/>
      <c r="E208" s="821" t="s">
        <v>184</v>
      </c>
      <c r="F208" s="872" t="str">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
      </c>
      <c r="G208" s="822" t="str">
        <f>IFERROR(ROUNDUP(D208/F208,0),"")</f>
        <v/>
      </c>
      <c r="H208" s="823"/>
      <c r="I208" s="820" t="str">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
      </c>
    </row>
    <row r="209" spans="1:15" ht="14.25" customHeight="1" x14ac:dyDescent="0.3">
      <c r="A209" s="899"/>
      <c r="B209" s="846" t="s">
        <v>186</v>
      </c>
      <c r="C209" s="847"/>
      <c r="D209" s="848">
        <f>SUM(D202:D208)</f>
        <v>0</v>
      </c>
      <c r="E209" s="849"/>
      <c r="F209" s="856" t="s">
        <v>1400</v>
      </c>
      <c r="G209" s="850">
        <f>SUM(G202:G208)</f>
        <v>0</v>
      </c>
      <c r="H209" s="848">
        <f>SUM(H202:H208)</f>
        <v>0</v>
      </c>
      <c r="I209" s="848">
        <f>SUM(I202:I208)</f>
        <v>0</v>
      </c>
      <c r="J209" s="63">
        <f>D209</f>
        <v>0</v>
      </c>
      <c r="K209" s="93">
        <f>G209</f>
        <v>0</v>
      </c>
      <c r="L209" s="63">
        <f>H209</f>
        <v>0</v>
      </c>
      <c r="M209" s="63">
        <f>I209</f>
        <v>0</v>
      </c>
      <c r="N209" s="587" t="str" cm="1">
        <f t="array" ref="N209">IF(H209=0,"",SUMPRODUCT(IFERROR(INT(H204:H208/F204:F208),0)))</f>
        <v/>
      </c>
      <c r="O209" s="770" t="str">
        <f>IF(N209="","",MAX(0,G209-N209))</f>
        <v/>
      </c>
    </row>
  </sheetData>
  <mergeCells count="3">
    <mergeCell ref="A1:I1"/>
    <mergeCell ref="A2:F2"/>
    <mergeCell ref="G2:I2"/>
  </mergeCells>
  <dataValidations count="131">
    <dataValidation type="list" allowBlank="1" errorTitle="Embalagem inválida" error="Escolha uma embalagem compatível com o produto." promptTitle="Selecione a embalagem" prompt="As opções mudam conforme o produto escolhido." sqref="C1:C3 C9:C11 C17:C19 C25:C27 C33:C35 C41:C43 C49:C51 C57:C59 C65:C67 C73:C75 C81:C83 C89:C91 C97:C99 C105:C107 C113:C115 C121:C123 C129:C131 C137:C139 C145:C147 C153:C155 C161:C163 C169:C171 C177:C179 C185:C187 C193:C195 C201:C203 C209:C1169" xr:uid="{00000000-0002-0000-19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01D98841-599C-41FD-9D8D-EEB93F5AE55F}">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7C18324A-F372-42F7-9C40-50A1AB5B603D}">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B003F7D8-97CC-4E65-A5BE-7C467BB205F9}">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A0F780C6-56F2-4FF3-8CBA-9FEFF72938BC}">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F8996855-7E6B-40EC-8B60-0F5BB720FA44}">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12" xr:uid="{F284FB1A-8060-4D1E-B728-B2726BF40218}">
      <formula1>INDIRECT(IF(OR(ISNUMBER(SEARCH("ICEBERG ICE",UPPER(TRIM($B12)))),ISNUMBER(SEARCH("ICE ICEBERG",UPPER(TRIM($B12)))),ISNUMBER(SEARCH("GELINHO ICEBERG",UPPER(TRIM($B12))))),"$AJ$2:$AJ$2",IF(ISNUMBER(SEARCH("ESPUMA",$B12)),"$AI$2:$AI$2",IF(ISNUMBER(SEARCH("CORANTE",$B12)),"$AN$2:$AN$2",IFERROR(INDEX($AB$2:$AB$139,MATCH(UPPER(TRIM($B12)),$AA$2:$AA$139,0)),"$AO$2:$AO$9")))))</formula1>
    </dataValidation>
    <dataValidation type="list" allowBlank="1" errorTitle="Embalagem inválida" error="Escolha uma embalagem compatível com o produto." promptTitle="Selecione a embalagem" prompt="As opções mudam conforme o produto digitado." sqref="C13" xr:uid="{BBCCB68C-EFBD-481A-907E-5817B2CCE0FB}">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C4CA5A06-2F15-482C-9994-8B546FACAB37}">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2B8ED4B8-6948-4FDD-B1C6-2948A31405B3}">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F0BE6700-3691-444E-A344-F017B160457B}">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20" xr:uid="{FD2EFFD4-63D5-4BE5-B6A5-16579875A848}">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E2EABA11-970C-4082-ADD6-DA65094622E1}">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A91EC1AA-7A70-4845-B144-8AEBFEED7513}">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F64DFF01-B450-4559-A121-996FF8B507BB}">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475D2592-A506-4F26-9F21-00540922EF42}">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8" xr:uid="{54F7BDFF-771A-46D6-870A-A590AE8107B9}">
      <formula1>INDIRECT(IF(OR(ISNUMBER(SEARCH("ICEBERG ICE",UPPER(TRIM($B28)))),ISNUMBER(SEARCH("ICE ICEBERG",UPPER(TRIM($B28)))),ISNUMBER(SEARCH("GELINHO ICEBERG",UPPER(TRIM($B28))))),"$AJ$2:$AJ$2",IF(ISNUMBER(SEARCH("ESPUMA",$B28)),"$AI$2:$AI$2",IF(ISNUMBER(SEARCH("CORANTE",$B28)),"$AN$2:$AN$2",IFERROR(INDEX($AB$2:$AB$139,MATCH(UPPER(TRIM($B28)),$AA$2:$AA$139,0)),"$AO$2:$AO$9")))))</formula1>
    </dataValidation>
    <dataValidation type="list" allowBlank="1" errorTitle="Embalagem inválida" error="Escolha uma embalagem compatível com o produto." promptTitle="Selecione a embalagem" prompt="As opções mudam conforme o produto digitado." sqref="C29" xr:uid="{AEA876C3-11A0-4AAB-8332-87F48CAC7C42}">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64D4FA1F-357D-496F-9585-9F51C2CC5841}">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A769C458-0E2F-4469-8965-59C494DBD4CE}">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A56F6C75-7824-4A9C-A46F-D3CF403629F3}">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6" xr:uid="{CDA7876C-60D2-4D7C-9B2D-00D573235E2D}">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37" xr:uid="{DE2D50FE-7957-498E-97EC-EFC0640CD740}">
      <formula1>INDIRECT(IF(OR(ISNUMBER(SEARCH("ICEBERG ICE",UPPER(TRIM($B37)))),ISNUMBER(SEARCH("ICE ICEBERG",UPPER(TRIM($B37)))),ISNUMBER(SEARCH("GELINHO ICEBERG",UPPER(TRIM($B37))))),"$AJ$2:$AJ$2",IF(ISNUMBER(SEARCH("ESPUMA",$B37)),"$AI$2:$AI$2",IF(ISNUMBER(SEARCH("CORANTE",$B37)),"$AN$2:$AN$2",IFERROR(INDEX($AB$2:$AB$139,MATCH(UPPER(TRIM($B37)),$AA$2:$AA$139,0)),"$AO$2:$AO$9")))))</formula1>
    </dataValidation>
    <dataValidation type="list" allowBlank="1" errorTitle="Embalagem inválida" error="Escolha uma embalagem compatível com o produto." promptTitle="Selecione a embalagem" prompt="As opções mudam conforme o produto digitado." sqref="C38" xr:uid="{352BBD38-8FAC-4679-A177-FE169DBB8816}">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1C454540-925A-4BDC-AC45-F452286CC4D9}">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0" xr:uid="{62FDF263-0FA6-491C-A568-F7DF1971D64A}">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4" xr:uid="{246C52DE-1045-4E1A-8FF7-0E40E2847B0D}">
      <formula1>INDIRECT(IF(OR(ISNUMBER(SEARCH("ICEBERG ICE",UPPER(TRIM($B44)))),ISNUMBER(SEARCH("ICE ICEBERG",UPPER(TRIM($B44)))),ISNUMBER(SEARCH("GELINHO ICEBERG",UPPER(TRIM($B44))))),"$AJ$2:$AJ$2",IF(ISNUMBER(SEARCH("ESPUMA",$B44)),"$AI$2:$AI$2",IF(ISNUMBER(SEARCH("CORANTE",$B44)),"$AN$2:$AN$2",IFERROR(INDEX($AB$2:$AB$139,MATCH(UPPER(TRIM($B44)),$AA$2:$AA$139,0)),"$AO$2:$AO$9")))))</formula1>
    </dataValidation>
    <dataValidation type="list" allowBlank="1" errorTitle="Embalagem inválida" error="Escolha uma embalagem compatível com o produto." promptTitle="Selecione a embalagem" prompt="As opções mudam conforme o produto digitado." sqref="C45" xr:uid="{7DE04A72-8FCF-4E9D-A65C-1D4522E1607D}">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401E8D92-2939-4725-8910-BBB1AB43A2C9}">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47" xr:uid="{0883BF29-F272-4F59-B728-CB1D2C3D468C}">
      <formula1>INDIRECT(IF(OR(ISNUMBER(SEARCH("ICEBERG ICE",UPPER(TRIM($B47)))),ISNUMBER(SEARCH("ICE ICEBERG",UPPER(TRIM($B47)))),ISNUMBER(SEARCH("GELINHO ICEBERG",UPPER(TRIM($B47))))),"$AJ$2:$AJ$2",IF(ISNUMBER(SEARCH("ESPUMA",$B47)),"$AI$2:$AI$2",IF(ISNUMBER(SEARCH("CORANTE",$B47)),"$AN$2:$AN$2",IFERROR(INDEX($AB$2:$AB$139,MATCH(UPPER(TRIM($B47)),$AA$2:$AA$139,0)),"$AO$2:$AO$9")))))</formula1>
    </dataValidation>
    <dataValidation type="list" allowBlank="1" errorTitle="Embalagem inválida" error="Escolha uma embalagem compatível com o produto." promptTitle="Selecione a embalagem" prompt="As opções mudam conforme o produto digitado." sqref="C48" xr:uid="{5F651683-EEA9-4567-B173-C21D0272328E}">
      <formula1>INDIRECT(IF(OR(ISNUMBER(SEARCH("ICEBERG ICE",UPPER(TRIM($B48)))),ISNUMBER(SEARCH("ICE ICEBERG",UPPER(TRIM($B48)))),ISNUMBER(SEARCH("GELINHO ICEBERG",UPPER(TRIM($B48))))),"$AJ$2:$AJ$2",IF(ISNUMBER(SEARCH("ESPUMA",$B48)),"$AI$2:$AI$2",IF(ISNUMBER(SEARCH("CORANTE",$B48)),"$AN$2:$AN$2",IFERROR(INDEX($AB$2:$AB$139,MATCH(UPPER(TRIM($B48)),$AA$2:$AA$139,0)),"$AO$2:$AO$9")))))</formula1>
    </dataValidation>
    <dataValidation type="list" allowBlank="1" errorTitle="Embalagem inválida" error="Escolha uma embalagem compatível com o produto." promptTitle="Selecione a embalagem" prompt="As opções mudam conforme o produto digitado." sqref="C52" xr:uid="{C06920DD-C363-405F-A541-0EC70981E14E}">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010BBA6A-8F9C-4F3F-A3CF-5FA6E180590E}">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FD70DF66-0ACA-4482-B3D4-174F39EF8E8C}">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CDA9668C-AD27-430F-9CF1-EB25ADCA9986}">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3E59D475-1794-41F1-8F23-6B0951D4F50B}">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60" xr:uid="{4DD6EA66-E9C2-4A99-827C-F868101AE158}">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642717FD-56D1-4B86-899A-BC418E662631}">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DDF57F3A-758C-4FFD-94C9-EB9A61AC6A69}">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10AAF7AE-329E-4E1F-AAE7-5E0467825C7A}">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F86BE8AA-68D6-4406-92B5-97566FCC1BD6}">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8" xr:uid="{BECFF83C-3BD5-4B8C-A897-DA4C12128B5F}">
      <formula1>INDIRECT(IF(OR(ISNUMBER(SEARCH("ICEBERG ICE",UPPER(TRIM($B68)))),ISNUMBER(SEARCH("ICE ICEBERG",UPPER(TRIM($B68)))),ISNUMBER(SEARCH("GELINHO ICEBERG",UPPER(TRIM($B68))))),"$AJ$2:$AJ$2",IF(ISNUMBER(SEARCH("ESPUMA",$B68)),"$AI$2:$AI$2",IF(ISNUMBER(SEARCH("CORANTE",$B68)),"$AN$2:$AN$2",IFERROR(INDEX($AB$2:$AB$139,MATCH(UPPER(TRIM($B68)),$AA$2:$AA$139,0)),"$AO$2:$AO$9")))))</formula1>
    </dataValidation>
    <dataValidation type="list" allowBlank="1" errorTitle="Embalagem inválida" error="Escolha uma embalagem compatível com o produto." promptTitle="Selecione a embalagem" prompt="As opções mudam conforme o produto digitado." sqref="C69" xr:uid="{A9C5DEFF-37BA-4BEE-9798-181012CE0EF2}">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9AC19514-0726-47E4-9F60-32F192A514A8}">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29CA62B8-D095-402A-ADAA-6B7454024094}">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D31FE06C-7BC3-4D34-99A0-585E3D475254}">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6" xr:uid="{55CA0249-A352-4D98-ACE1-F7769A1E932B}">
      <formula1>INDIRECT(IF(OR(ISNUMBER(SEARCH("ICEBERG ICE",UPPER(TRIM($B76)))),ISNUMBER(SEARCH("ICE ICEBERG",UPPER(TRIM($B76)))),ISNUMBER(SEARCH("GELINHO ICEBERG",UPPER(TRIM($B76))))),"$AJ$2:$AJ$2",IF(ISNUMBER(SEARCH("ESPUMA",$B76)),"$AI$2:$AI$2",IF(ISNUMBER(SEARCH("CORANTE",$B76)),"$AN$2:$AN$2",IFERROR(INDEX($AB$2:$AB$139,MATCH(UPPER(TRIM($B76)),$AA$2:$AA$139,0)),"$AO$2:$AO$9")))))</formula1>
    </dataValidation>
    <dataValidation type="list" allowBlank="1" errorTitle="Embalagem inválida" error="Escolha uma embalagem compatível com o produto." promptTitle="Selecione a embalagem" prompt="As opções mudam conforme o produto digitado." sqref="C77" xr:uid="{EF914732-F28A-4387-BF33-AB8317D94C8E}">
      <formula1>INDIRECT(IF(OR(ISNUMBER(SEARCH("ICEBERG ICE",UPPER(TRIM($B77)))),ISNUMBER(SEARCH("ICE ICEBERG",UPPER(TRIM($B77)))),ISNUMBER(SEARCH("GELINHO ICEBERG",UPPER(TRIM($B77))))),"$AJ$2:$AJ$2",IF(ISNUMBER(SEARCH("ESPUMA",$B77)),"$AI$2:$AI$2",IF(ISNUMBER(SEARCH("CORANTE",$B77)),"$AN$2:$AN$2",IFERROR(INDEX($AB$2:$AB$139,MATCH(UPPER(TRIM($B77)),$AA$2:$AA$139,0)),"$AO$2:$AO$9")))))</formula1>
    </dataValidation>
    <dataValidation type="list" allowBlank="1" errorTitle="Embalagem inválida" error="Escolha uma embalagem compatível com o produto." promptTitle="Selecione a embalagem" prompt="As opções mudam conforme o produto digitado." sqref="C78" xr:uid="{3D34DF86-E110-4D29-9488-A29A2ECA29D6}">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5CE3D47B-EE7D-459D-B146-F736210D365D}">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1D915375-18CD-4911-BE7D-52BF90EB2588}">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4" xr:uid="{40EE1957-15E0-4FA3-B0FB-CB71B9B6F3ED}">
      <formula1>INDIRECT(IF(OR(ISNUMBER(SEARCH("ICEBERG ICE",UPPER(TRIM($B84)))),ISNUMBER(SEARCH("ICE ICEBERG",UPPER(TRIM($B84)))),ISNUMBER(SEARCH("GELINHO ICEBERG",UPPER(TRIM($B84))))),"$AJ$2:$AJ$2",IF(ISNUMBER(SEARCH("ESPUMA",$B84)),"$AI$2:$AI$2",IF(ISNUMBER(SEARCH("CORANTE",$B84)),"$AN$2:$AN$2",IFERROR(INDEX($AB$2:$AB$139,MATCH(UPPER(TRIM($B84)),$AA$2:$AA$139,0)),"$AO$2:$AO$9")))))</formula1>
    </dataValidation>
    <dataValidation type="list" allowBlank="1" errorTitle="Embalagem inválida" error="Escolha uma embalagem compatível com o produto." promptTitle="Selecione a embalagem" prompt="As opções mudam conforme o produto digitado." sqref="C85" xr:uid="{D88B9632-E008-44DC-9386-40EF30F526D6}">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DF0A99E3-C0C6-4D9C-991D-F653D8431FFF}">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DADEB8E7-512D-466C-BE2F-220D0FFD126F}">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024830B8-DCB3-43EB-8A61-BFD9880AD1B0}">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92" xr:uid="{2E2D2445-F766-47C2-828D-B8C504FFA85D}">
      <formula1>INDIRECT(IF(OR(ISNUMBER(SEARCH("ICEBERG ICE",UPPER(TRIM($B92)))),ISNUMBER(SEARCH("ICE ICEBERG",UPPER(TRIM($B92)))),ISNUMBER(SEARCH("GELINHO ICEBERG",UPPER(TRIM($B92))))),"$AJ$2:$AJ$2",IF(ISNUMBER(SEARCH("ESPUMA",$B92)),"$AI$2:$AI$2",IF(ISNUMBER(SEARCH("CORANTE",$B92)),"$AN$2:$AN$2",IFERROR(INDEX($AB$2:$AB$139,MATCH(UPPER(TRIM($B92)),$AA$2:$AA$139,0)),"$AO$2:$AO$9")))))</formula1>
    </dataValidation>
    <dataValidation type="list" allowBlank="1" errorTitle="Embalagem inválida" error="Escolha uma embalagem compatível com o produto." promptTitle="Selecione a embalagem" prompt="As opções mudam conforme o produto digitado." sqref="C93" xr:uid="{89439D7D-70C9-432B-A610-F8F96C300EDD}">
      <formula1>INDIRECT(IF(OR(ISNUMBER(SEARCH("ICEBERG ICE",UPPER(TRIM($B93)))),ISNUMBER(SEARCH("ICE ICEBERG",UPPER(TRIM($B93)))),ISNUMBER(SEARCH("GELINHO ICEBERG",UPPER(TRIM($B93))))),"$AJ$2:$AJ$2",IF(ISNUMBER(SEARCH("ESPUMA",$B93)),"$AI$2:$AI$2",IF(ISNUMBER(SEARCH("CORANTE",$B93)),"$AN$2:$AN$2",IFERROR(INDEX($AB$2:$AB$139,MATCH(UPPER(TRIM($B93)),$AA$2:$AA$139,0)),"$AO$2:$AO$9")))))</formula1>
    </dataValidation>
    <dataValidation type="list" allowBlank="1" errorTitle="Embalagem inválida" error="Escolha uma embalagem compatível com o produto." promptTitle="Selecione a embalagem" prompt="As opções mudam conforme o produto digitado." sqref="C94" xr:uid="{D57E7973-2080-44F0-BBF5-9A3E5D600EEB}">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01D175E6-D69C-4317-BF70-23D43BE44BAE}">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516A2FF8-2F99-4DD3-9157-285568621869}">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100" xr:uid="{3519214D-65B2-48C5-B4FE-C28FF65AE66B}">
      <formula1>INDIRECT(IF(OR(ISNUMBER(SEARCH("ICEBERG ICE",UPPER(TRIM($B100)))),ISNUMBER(SEARCH("ICE ICEBERG",UPPER(TRIM($B100)))),ISNUMBER(SEARCH("GELINHO ICEBERG",UPPER(TRIM($B100))))),"$AJ$2:$AJ$2",IF(ISNUMBER(SEARCH("ESPUMA",$B100)),"$AI$2:$AI$2",IF(ISNUMBER(SEARCH("CORANTE",$B100)),"$AN$2:$AN$2",IFERROR(INDEX($AB$2:$AB$139,MATCH(UPPER(TRIM($B100)),$AA$2:$AA$139,0)),"$AO$2:$AO$9")))))</formula1>
    </dataValidation>
    <dataValidation type="list" allowBlank="1" errorTitle="Embalagem inválida" error="Escolha uma embalagem compatível com o produto." promptTitle="Selecione a embalagem" prompt="As opções mudam conforme o produto digitado." sqref="C101" xr:uid="{C1F3EFCE-BDB3-48CE-A699-EF51A34AB9C0}">
      <formula1>INDIRECT(IF(OR(ISNUMBER(SEARCH("ICEBERG ICE",UPPER(TRIM($B101)))),ISNUMBER(SEARCH("ICE ICEBERG",UPPER(TRIM($B101)))),ISNUMBER(SEARCH("GELINHO ICEBERG",UPPER(TRIM($B101))))),"$AJ$2:$AJ$2",IF(ISNUMBER(SEARCH("ESPUMA",$B101)),"$AI$2:$AI$2",IF(ISNUMBER(SEARCH("CORANTE",$B101)),"$AN$2:$AN$2",IFERROR(INDEX($AB$2:$AB$139,MATCH(UPPER(TRIM($B101)),$AA$2:$AA$139,0)),"$AO$2:$AO$9")))))</formula1>
    </dataValidation>
    <dataValidation type="list" allowBlank="1" errorTitle="Embalagem inválida" error="Escolha uma embalagem compatível com o produto." promptTitle="Selecione a embalagem" prompt="As opções mudam conforme o produto digitado." sqref="C102" xr:uid="{3A32C451-262B-45A6-AB80-1A7FB7C32C5C}">
      <formula1>INDIRECT(IF(OR(ISNUMBER(SEARCH("ICEBERG ICE",UPPER(TRIM($B102)))),ISNUMBER(SEARCH("ICE ICEBERG",UPPER(TRIM($B102)))),ISNUMBER(SEARCH("GELINHO ICEBERG",UPPER(TRIM($B102))))),"$AJ$2:$AJ$2",IF(ISNUMBER(SEARCH("ESPUMA",$B102)),"$AI$2:$AI$2",IF(ISNUMBER(SEARCH("CORANTE",$B102)),"$AN$2:$AN$2",IFERROR(INDEX($AB$2:$AB$139,MATCH(UPPER(TRIM($B102)),$AA$2:$AA$139,0)),"$AO$2:$AO$9")))))</formula1>
    </dataValidation>
    <dataValidation type="list" allowBlank="1" errorTitle="Embalagem inválida" error="Escolha uma embalagem compatível com o produto." promptTitle="Selecione a embalagem" prompt="As opções mudam conforme o produto digitado." sqref="C103" xr:uid="{A050C471-9ABA-4B02-A22A-A84853ED19A7}">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8DEF81A4-DF11-4105-B05C-1D44ADA6574B}">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8" xr:uid="{8FD9D247-F6F1-49BB-81E2-E708F991BD2E}">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09" xr:uid="{261C4383-9901-44BF-B421-EF8B859B5C5B}">
      <formula1>INDIRECT(IF(OR(ISNUMBER(SEARCH("ICEBERG ICE",UPPER(TRIM($B109)))),ISNUMBER(SEARCH("ICE ICEBERG",UPPER(TRIM($B109)))),ISNUMBER(SEARCH("GELINHO ICEBERG",UPPER(TRIM($B109))))),"$AJ$2:$AJ$2",IF(ISNUMBER(SEARCH("ESPUMA",$B109)),"$AI$2:$AI$2",IF(ISNUMBER(SEARCH("CORANTE",$B109)),"$AN$2:$AN$2",IFERROR(INDEX($AB$2:$AB$139,MATCH(UPPER(TRIM($B109)),$AA$2:$AA$139,0)),"$AO$2:$AO$9")))))</formula1>
    </dataValidation>
    <dataValidation type="list" allowBlank="1" errorTitle="Embalagem inválida" error="Escolha uma embalagem compatível com o produto." promptTitle="Selecione a embalagem" prompt="As opções mudam conforme o produto digitado." sqref="C110" xr:uid="{14B810C3-F812-4F7E-9358-CC3FE74D184F}">
      <formula1>INDIRECT(IF(OR(ISNUMBER(SEARCH("ICEBERG ICE",UPPER(TRIM($B110)))),ISNUMBER(SEARCH("ICE ICEBERG",UPPER(TRIM($B110)))),ISNUMBER(SEARCH("GELINHO ICEBERG",UPPER(TRIM($B110))))),"$AJ$2:$AJ$2",IF(ISNUMBER(SEARCH("ESPUMA",$B110)),"$AI$2:$AI$2",IF(ISNUMBER(SEARCH("CORANTE",$B110)),"$AN$2:$AN$2",IFERROR(INDEX($AB$2:$AB$139,MATCH(UPPER(TRIM($B110)),$AA$2:$AA$139,0)),"$AO$2:$AO$9")))))</formula1>
    </dataValidation>
    <dataValidation type="list" allowBlank="1" errorTitle="Embalagem inválida" error="Escolha uma embalagem compatível com o produto." promptTitle="Selecione a embalagem" prompt="As opções mudam conforme o produto digitado." sqref="C111" xr:uid="{164CDAB5-A420-4643-8F7C-AAB6CB7A1EFC}">
      <formula1>INDIRECT(IF(OR(ISNUMBER(SEARCH("ICEBERG ICE",UPPER(TRIM($B111)))),ISNUMBER(SEARCH("ICE ICEBERG",UPPER(TRIM($B111)))),ISNUMBER(SEARCH("GELINHO ICEBERG",UPPER(TRIM($B111))))),"$AJ$2:$AJ$2",IF(ISNUMBER(SEARCH("ESPUMA",$B111)),"$AI$2:$AI$2",IF(ISNUMBER(SEARCH("CORANTE",$B111)),"$AN$2:$AN$2",IFERROR(INDEX($AB$2:$AB$139,MATCH(UPPER(TRIM($B111)),$AA$2:$AA$139,0)),"$AO$2:$AO$9")))))</formula1>
    </dataValidation>
    <dataValidation type="list" allowBlank="1" errorTitle="Embalagem inválida" error="Escolha uma embalagem compatível com o produto." promptTitle="Selecione a embalagem" prompt="As opções mudam conforme o produto digitado." sqref="C112" xr:uid="{F72D4C87-28B0-4A1A-8C78-18FB98D85DE6}">
      <formula1>INDIRECT(IF(OR(ISNUMBER(SEARCH("ICEBERG ICE",UPPER(TRIM($B112)))),ISNUMBER(SEARCH("ICE ICEBERG",UPPER(TRIM($B112)))),ISNUMBER(SEARCH("GELINHO ICEBERG",UPPER(TRIM($B112))))),"$AJ$2:$AJ$2",IF(ISNUMBER(SEARCH("ESPUMA",$B112)),"$AI$2:$AI$2",IF(ISNUMBER(SEARCH("CORANTE",$B112)),"$AN$2:$AN$2",IFERROR(INDEX($AB$2:$AB$139,MATCH(UPPER(TRIM($B112)),$AA$2:$AA$139,0)),"$AO$2:$AO$9")))))</formula1>
    </dataValidation>
    <dataValidation type="list" allowBlank="1" errorTitle="Embalagem inválida" error="Escolha uma embalagem compatível com o produto." promptTitle="Selecione a embalagem" prompt="As opções mudam conforme o produto digitado." sqref="C116" xr:uid="{6F018EEA-7285-4827-ABFE-A1E36BAA6CD7}">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17" xr:uid="{3385970F-EC42-47C7-B220-D893DD907C68}">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18" xr:uid="{B186BECB-1056-44F9-81C5-423EF0A9B4F0}">
      <formula1>INDIRECT(IF(OR(ISNUMBER(SEARCH("ICEBERG ICE",UPPER(TRIM($B118)))),ISNUMBER(SEARCH("ICE ICEBERG",UPPER(TRIM($B118)))),ISNUMBER(SEARCH("GELINHO ICEBERG",UPPER(TRIM($B118))))),"$AJ$2:$AJ$2",IF(ISNUMBER(SEARCH("ESPUMA",$B118)),"$AI$2:$AI$2",IF(ISNUMBER(SEARCH("CORANTE",$B118)),"$AN$2:$AN$2",IFERROR(INDEX($AB$2:$AB$139,MATCH(UPPER(TRIM($B118)),$AA$2:$AA$139,0)),"$AO$2:$AO$9")))))</formula1>
    </dataValidation>
    <dataValidation type="list" allowBlank="1" errorTitle="Embalagem inválida" error="Escolha uma embalagem compatível com o produto." promptTitle="Selecione a embalagem" prompt="As opções mudam conforme o produto digitado." sqref="C119" xr:uid="{AEE8010E-6D60-4637-B696-BAF75F686200}">
      <formula1>INDIRECT(IF(OR(ISNUMBER(SEARCH("ICEBERG ICE",UPPER(TRIM($B119)))),ISNUMBER(SEARCH("ICE ICEBERG",UPPER(TRIM($B119)))),ISNUMBER(SEARCH("GELINHO ICEBERG",UPPER(TRIM($B119))))),"$AJ$2:$AJ$2",IF(ISNUMBER(SEARCH("ESPUMA",$B119)),"$AI$2:$AI$2",IF(ISNUMBER(SEARCH("CORANTE",$B119)),"$AN$2:$AN$2",IFERROR(INDEX($AB$2:$AB$139,MATCH(UPPER(TRIM($B119)),$AA$2:$AA$139,0)),"$AO$2:$AO$9")))))</formula1>
    </dataValidation>
    <dataValidation type="list" allowBlank="1" errorTitle="Embalagem inválida" error="Escolha uma embalagem compatível com o produto." promptTitle="Selecione a embalagem" prompt="As opções mudam conforme o produto digitado." sqref="C120" xr:uid="{F6414FB1-4AE7-4DC0-B455-1621175A01DE}">
      <formula1>INDIRECT(IF(OR(ISNUMBER(SEARCH("ICEBERG ICE",UPPER(TRIM($B120)))),ISNUMBER(SEARCH("ICE ICEBERG",UPPER(TRIM($B120)))),ISNUMBER(SEARCH("GELINHO ICEBERG",UPPER(TRIM($B120))))),"$AJ$2:$AJ$2",IF(ISNUMBER(SEARCH("ESPUMA",$B120)),"$AI$2:$AI$2",IF(ISNUMBER(SEARCH("CORANTE",$B120)),"$AN$2:$AN$2",IFERROR(INDEX($AB$2:$AB$139,MATCH(UPPER(TRIM($B120)),$AA$2:$AA$139,0)),"$AO$2:$AO$9")))))</formula1>
    </dataValidation>
    <dataValidation type="list" allowBlank="1" errorTitle="Embalagem inválida" error="Escolha uma embalagem compatível com o produto." promptTitle="Selecione a embalagem" prompt="As opções mudam conforme o produto digitado." sqref="C124" xr:uid="{1ADA239B-487D-4A29-A364-1DC91723E047}">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25" xr:uid="{8FF96960-ABDC-4DE5-BFAC-C2C40E63EF33}">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2EB56B66-26E6-4FC3-9042-2F721AA56838}">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27" xr:uid="{1AAECDA0-3EC1-465F-B4F2-5C0E5652484A}">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FF0F2400-8B89-4F95-A161-1B238A27E91E}">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32" xr:uid="{A3BAF191-7C1A-4F8B-80EB-DF37B80D8B30}">
      <formula1>INDIRECT(IF(OR(ISNUMBER(SEARCH("ICEBERG ICE",UPPER(TRIM($B132)))),ISNUMBER(SEARCH("ICE ICEBERG",UPPER(TRIM($B132)))),ISNUMBER(SEARCH("GELINHO ICEBERG",UPPER(TRIM($B132))))),"$AJ$2:$AJ$2",IF(ISNUMBER(SEARCH("ESPUMA",$B132)),"$AI$2:$AI$2",IF(ISNUMBER(SEARCH("CORANTE",$B132)),"$AN$2:$AN$2",IFERROR(INDEX($AB$2:$AB$139,MATCH(UPPER(TRIM($B132)),$AA$2:$AA$139,0)),"$AO$2:$AO$9")))))</formula1>
    </dataValidation>
    <dataValidation type="list" allowBlank="1" errorTitle="Embalagem inválida" error="Escolha uma embalagem compatível com o produto." promptTitle="Selecione a embalagem" prompt="As opções mudam conforme o produto digitado." sqref="C133" xr:uid="{2EF55FCE-77E3-45ED-B5AD-8559EAC61EF8}">
      <formula1>INDIRECT(IF(OR(ISNUMBER(SEARCH("ICEBERG ICE",UPPER(TRIM($B133)))),ISNUMBER(SEARCH("ICE ICEBERG",UPPER(TRIM($B133)))),ISNUMBER(SEARCH("GELINHO ICEBERG",UPPER(TRIM($B133))))),"$AJ$2:$AJ$2",IF(ISNUMBER(SEARCH("ESPUMA",$B133)),"$AI$2:$AI$2",IF(ISNUMBER(SEARCH("CORANTE",$B133)),"$AN$2:$AN$2",IFERROR(INDEX($AB$2:$AB$139,MATCH(UPPER(TRIM($B133)),$AA$2:$AA$139,0)),"$AO$2:$AO$9")))))</formula1>
    </dataValidation>
    <dataValidation type="list" allowBlank="1" errorTitle="Embalagem inválida" error="Escolha uma embalagem compatível com o produto." promptTitle="Selecione a embalagem" prompt="As opções mudam conforme o produto digitado." sqref="C134" xr:uid="{07615AC8-C470-4E70-AFAF-582038A8FF78}">
      <formula1>INDIRECT(IF(OR(ISNUMBER(SEARCH("ICEBERG ICE",UPPER(TRIM($B134)))),ISNUMBER(SEARCH("ICE ICEBERG",UPPER(TRIM($B134)))),ISNUMBER(SEARCH("GELINHO ICEBERG",UPPER(TRIM($B134))))),"$AJ$2:$AJ$2",IF(ISNUMBER(SEARCH("ESPUMA",$B134)),"$AI$2:$AI$2",IF(ISNUMBER(SEARCH("CORANTE",$B134)),"$AN$2:$AN$2",IFERROR(INDEX($AB$2:$AB$139,MATCH(UPPER(TRIM($B134)),$AA$2:$AA$139,0)),"$AO$2:$AO$9")))))</formula1>
    </dataValidation>
    <dataValidation type="list" allowBlank="1" errorTitle="Embalagem inválida" error="Escolha uma embalagem compatível com o produto." promptTitle="Selecione a embalagem" prompt="As opções mudam conforme o produto digitado." sqref="C135" xr:uid="{63419293-0FE7-45EB-9276-FA5EBF2F0F13}">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6" xr:uid="{973F1EFE-6149-41DA-BFB3-3E8CAB1DDCBD}">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40" xr:uid="{74A73756-82FA-42CB-B339-21AF4BCB2DC8}">
      <formula1>INDIRECT(IF(OR(ISNUMBER(SEARCH("ICEBERG ICE",UPPER(TRIM($B140)))),ISNUMBER(SEARCH("ICE ICEBERG",UPPER(TRIM($B140)))),ISNUMBER(SEARCH("GELINHO ICEBERG",UPPER(TRIM($B140))))),"$AJ$2:$AJ$2",IF(ISNUMBER(SEARCH("ESPUMA",$B140)),"$AI$2:$AI$2",IF(ISNUMBER(SEARCH("CORANTE",$B140)),"$AN$2:$AN$2",IFERROR(INDEX($AB$2:$AB$139,MATCH(UPPER(TRIM($B140)),$AA$2:$AA$139,0)),"$AO$2:$AO$9")))))</formula1>
    </dataValidation>
    <dataValidation type="list" allowBlank="1" errorTitle="Embalagem inválida" error="Escolha uma embalagem compatível com o produto." promptTitle="Selecione a embalagem" prompt="As opções mudam conforme o produto digitado." sqref="C141" xr:uid="{22BFE207-716F-4FE9-87BB-838F383A2BA0}">
      <formula1>INDIRECT(IF(OR(ISNUMBER(SEARCH("ICEBERG ICE",UPPER(TRIM($B141)))),ISNUMBER(SEARCH("ICE ICEBERG",UPPER(TRIM($B141)))),ISNUMBER(SEARCH("GELINHO ICEBERG",UPPER(TRIM($B141))))),"$AJ$2:$AJ$2",IF(ISNUMBER(SEARCH("ESPUMA",$B141)),"$AI$2:$AI$2",IF(ISNUMBER(SEARCH("CORANTE",$B141)),"$AN$2:$AN$2",IFERROR(INDEX($AB$2:$AB$139,MATCH(UPPER(TRIM($B141)),$AA$2:$AA$139,0)),"$AO$2:$AO$9")))))</formula1>
    </dataValidation>
    <dataValidation type="list" allowBlank="1" errorTitle="Embalagem inválida" error="Escolha uma embalagem compatível com o produto." promptTitle="Selecione a embalagem" prompt="As opções mudam conforme o produto digitado." sqref="C142" xr:uid="{CC68AB53-CC3B-4461-B089-869A89EA66C5}">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879CFB55-50F8-4BB7-8767-6894A72FB281}">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EE589278-AD31-4C5F-942B-AF49C9EB855D}">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8" xr:uid="{73E6D29C-2DBE-4772-BA83-CD9013AEDF48}">
      <formula1>INDIRECT(IF(OR(ISNUMBER(SEARCH("ICEBERG ICE",UPPER(TRIM($B148)))),ISNUMBER(SEARCH("ICE ICEBERG",UPPER(TRIM($B148)))),ISNUMBER(SEARCH("GELINHO ICEBERG",UPPER(TRIM($B148))))),"$AJ$2:$AJ$2",IF(ISNUMBER(SEARCH("ESPUMA",$B148)),"$AI$2:$AI$2",IF(ISNUMBER(SEARCH("CORANTE",$B148)),"$AN$2:$AN$2",IFERROR(INDEX($AB$2:$AB$139,MATCH(UPPER(TRIM($B148)),$AA$2:$AA$139,0)),"$AO$2:$AO$9")))))</formula1>
    </dataValidation>
    <dataValidation type="list" allowBlank="1" errorTitle="Embalagem inválida" error="Escolha uma embalagem compatível com o produto." promptTitle="Selecione a embalagem" prompt="As opções mudam conforme o produto digitado." sqref="C149" xr:uid="{066F3D38-45F3-413D-8416-67C0B06371DF}">
      <formula1>INDIRECT(IF(OR(ISNUMBER(SEARCH("ICEBERG ICE",UPPER(TRIM($B149)))),ISNUMBER(SEARCH("ICE ICEBERG",UPPER(TRIM($B149)))),ISNUMBER(SEARCH("GELINHO ICEBERG",UPPER(TRIM($B149))))),"$AJ$2:$AJ$2",IF(ISNUMBER(SEARCH("ESPUMA",$B149)),"$AI$2:$AI$2",IF(ISNUMBER(SEARCH("CORANTE",$B149)),"$AN$2:$AN$2",IFERROR(INDEX($AB$2:$AB$139,MATCH(UPPER(TRIM($B149)),$AA$2:$AA$139,0)),"$AO$2:$AO$9")))))</formula1>
    </dataValidation>
    <dataValidation type="list" allowBlank="1" errorTitle="Embalagem inválida" error="Escolha uma embalagem compatível com o produto." promptTitle="Selecione a embalagem" prompt="As opções mudam conforme o produto digitado." sqref="C150" xr:uid="{76416AE5-2FF9-4D42-86B1-D29A61CFFFFD}">
      <formula1>INDIRECT(IF(OR(ISNUMBER(SEARCH("ICEBERG ICE",UPPER(TRIM($B150)))),ISNUMBER(SEARCH("ICE ICEBERG",UPPER(TRIM($B150)))),ISNUMBER(SEARCH("GELINHO ICEBERG",UPPER(TRIM($B150))))),"$AJ$2:$AJ$2",IF(ISNUMBER(SEARCH("ESPUMA",$B150)),"$AI$2:$AI$2",IF(ISNUMBER(SEARCH("CORANTE",$B150)),"$AN$2:$AN$2",IFERROR(INDEX($AB$2:$AB$139,MATCH(UPPER(TRIM($B150)),$AA$2:$AA$139,0)),"$AO$2:$AO$9")))))</formula1>
    </dataValidation>
    <dataValidation type="list" allowBlank="1" errorTitle="Embalagem inválida" error="Escolha uma embalagem compatível com o produto." promptTitle="Selecione a embalagem" prompt="As opções mudam conforme o produto digitado." sqref="C151" xr:uid="{367D2AE0-FB47-4336-8B59-2C73D3F96DE9}">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16A488B0-3493-4318-AF27-AEFF9E0023C1}">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6" xr:uid="{1CF2A0B4-3382-43D6-B86E-389FF3F7664B}">
      <formula1>INDIRECT(IF(OR(ISNUMBER(SEARCH("ICEBERG ICE",UPPER(TRIM($B156)))),ISNUMBER(SEARCH("ICE ICEBERG",UPPER(TRIM($B156)))),ISNUMBER(SEARCH("GELINHO ICEBERG",UPPER(TRIM($B156))))),"$AJ$2:$AJ$2",IF(ISNUMBER(SEARCH("ESPUMA",$B156)),"$AI$2:$AI$2",IF(ISNUMBER(SEARCH("CORANTE",$B156)),"$AN$2:$AN$2",IFERROR(INDEX($AB$2:$AB$139,MATCH(UPPER(TRIM($B156)),$AA$2:$AA$139,0)),"$AO$2:$AO$9")))))</formula1>
    </dataValidation>
    <dataValidation type="list" allowBlank="1" errorTitle="Embalagem inválida" error="Escolha uma embalagem compatível com o produto." promptTitle="Selecione a embalagem" prompt="As opções mudam conforme o produto digitado." sqref="C157" xr:uid="{254868CD-A57F-4728-B192-B971AFEA8EE5}">
      <formula1>INDIRECT(IF(OR(ISNUMBER(SEARCH("ICEBERG ICE",UPPER(TRIM($B157)))),ISNUMBER(SEARCH("ICE ICEBERG",UPPER(TRIM($B157)))),ISNUMBER(SEARCH("GELINHO ICEBERG",UPPER(TRIM($B157))))),"$AJ$2:$AJ$2",IF(ISNUMBER(SEARCH("ESPUMA",$B157)),"$AI$2:$AI$2",IF(ISNUMBER(SEARCH("CORANTE",$B157)),"$AN$2:$AN$2",IFERROR(INDEX($AB$2:$AB$139,MATCH(UPPER(TRIM($B157)),$AA$2:$AA$139,0)),"$AO$2:$AO$9")))))</formula1>
    </dataValidation>
    <dataValidation type="list" allowBlank="1" errorTitle="Embalagem inválida" error="Escolha uma embalagem compatível com o produto." promptTitle="Selecione a embalagem" prompt="As opções mudam conforme o produto digitado." sqref="C158" xr:uid="{976C33C6-D137-4235-9539-0CD93E776CCC}">
      <formula1>INDIRECT(IF(OR(ISNUMBER(SEARCH("ICEBERG ICE",UPPER(TRIM($B158)))),ISNUMBER(SEARCH("ICE ICEBERG",UPPER(TRIM($B158)))),ISNUMBER(SEARCH("GELINHO ICEBERG",UPPER(TRIM($B158))))),"$AJ$2:$AJ$2",IF(ISNUMBER(SEARCH("ESPUMA",$B158)),"$AI$2:$AI$2",IF(ISNUMBER(SEARCH("CORANTE",$B158)),"$AN$2:$AN$2",IFERROR(INDEX($AB$2:$AB$139,MATCH(UPPER(TRIM($B158)),$AA$2:$AA$139,0)),"$AO$2:$AO$9")))))</formula1>
    </dataValidation>
    <dataValidation type="list" allowBlank="1" errorTitle="Embalagem inválida" error="Escolha uma embalagem compatível com o produto." promptTitle="Selecione a embalagem" prompt="As opções mudam conforme o produto digitado." sqref="C159" xr:uid="{DDA61B2A-F696-45C2-A138-67B8DACA16DB}">
      <formula1>INDIRECT(IF(OR(ISNUMBER(SEARCH("ICEBERG ICE",UPPER(TRIM($B159)))),ISNUMBER(SEARCH("ICE ICEBERG",UPPER(TRIM($B159)))),ISNUMBER(SEARCH("GELINHO ICEBERG",UPPER(TRIM($B159))))),"$AJ$2:$AJ$2",IF(ISNUMBER(SEARCH("ESPUMA",$B159)),"$AI$2:$AI$2",IF(ISNUMBER(SEARCH("CORANTE",$B159)),"$AN$2:$AN$2",IFERROR(INDEX($AB$2:$AB$139,MATCH(UPPER(TRIM($B159)),$AA$2:$AA$139,0)),"$AO$2:$AO$9")))))</formula1>
    </dataValidation>
    <dataValidation type="list" allowBlank="1" errorTitle="Embalagem inválida" error="Escolha uma embalagem compatível com o produto." promptTitle="Selecione a embalagem" prompt="As opções mudam conforme o produto digitado." sqref="C160" xr:uid="{BDAA26BA-A857-4F0B-8DD9-DCA03C2628C9}">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4" xr:uid="{251ADA94-53DF-44D7-882B-EEF3CE4DFDE1}">
      <formula1>INDIRECT(IF(OR(ISNUMBER(SEARCH("ICEBERG ICE",UPPER(TRIM($B164)))),ISNUMBER(SEARCH("ICE ICEBERG",UPPER(TRIM($B164)))),ISNUMBER(SEARCH("GELINHO ICEBERG",UPPER(TRIM($B164))))),"$AJ$2:$AJ$2",IF(ISNUMBER(SEARCH("ESPUMA",$B164)),"$AI$2:$AI$2",IF(ISNUMBER(SEARCH("CORANTE",$B164)),"$AN$2:$AN$2",IFERROR(INDEX($AB$2:$AB$139,MATCH(UPPER(TRIM($B164)),$AA$2:$AA$139,0)),"$AO$2:$AO$9")))))</formula1>
    </dataValidation>
    <dataValidation type="list" allowBlank="1" errorTitle="Embalagem inválida" error="Escolha uma embalagem compatível com o produto." promptTitle="Selecione a embalagem" prompt="As opções mudam conforme o produto digitado." sqref="C165" xr:uid="{7581529E-922F-4110-A02D-3AE9B9B8D053}">
      <formula1>INDIRECT(IF(OR(ISNUMBER(SEARCH("ICEBERG ICE",UPPER(TRIM($B165)))),ISNUMBER(SEARCH("ICE ICEBERG",UPPER(TRIM($B165)))),ISNUMBER(SEARCH("GELINHO ICEBERG",UPPER(TRIM($B165))))),"$AJ$2:$AJ$2",IF(ISNUMBER(SEARCH("ESPUMA",$B165)),"$AI$2:$AI$2",IF(ISNUMBER(SEARCH("CORANTE",$B165)),"$AN$2:$AN$2",IFERROR(INDEX($AB$2:$AB$139,MATCH(UPPER(TRIM($B165)),$AA$2:$AA$139,0)),"$AO$2:$AO$9")))))</formula1>
    </dataValidation>
    <dataValidation type="list" allowBlank="1" errorTitle="Embalagem inválida" error="Escolha uma embalagem compatível com o produto." promptTitle="Selecione a embalagem" prompt="As opções mudam conforme o produto digitado." sqref="C166" xr:uid="{91EDA6AB-C99A-4EE3-88EB-E4C2C1B14CE1}">
      <formula1>INDIRECT(IF(OR(ISNUMBER(SEARCH("ICEBERG ICE",UPPER(TRIM($B166)))),ISNUMBER(SEARCH("ICE ICEBERG",UPPER(TRIM($B166)))),ISNUMBER(SEARCH("GELINHO ICEBERG",UPPER(TRIM($B166))))),"$AJ$2:$AJ$2",IF(ISNUMBER(SEARCH("ESPUMA",$B166)),"$AI$2:$AI$2",IF(ISNUMBER(SEARCH("CORANTE",$B166)),"$AN$2:$AN$2",IFERROR(INDEX($AB$2:$AB$139,MATCH(UPPER(TRIM($B166)),$AA$2:$AA$139,0)),"$AO$2:$AO$9")))))</formula1>
    </dataValidation>
    <dataValidation type="list" allowBlank="1" errorTitle="Embalagem inválida" error="Escolha uma embalagem compatível com o produto." promptTitle="Selecione a embalagem" prompt="As opções mudam conforme o produto digitado." sqref="C167" xr:uid="{B54348BB-186F-4669-AE0B-23CE01B7FA4A}">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10D0B604-FD76-4794-86F6-2E0664C7A521}">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72" xr:uid="{397E0340-9FEC-401F-9643-6C48F82CB284}">
      <formula1>INDIRECT(IF(OR(ISNUMBER(SEARCH("ICEBERG ICE",UPPER(TRIM($B172)))),ISNUMBER(SEARCH("ICE ICEBERG",UPPER(TRIM($B172)))),ISNUMBER(SEARCH("GELINHO ICEBERG",UPPER(TRIM($B172))))),"$AJ$2:$AJ$2",IF(ISNUMBER(SEARCH("ESPUMA",$B172)),"$AI$2:$AI$2",IF(ISNUMBER(SEARCH("CORANTE",$B172)),"$AN$2:$AN$2",IFERROR(INDEX($AB$2:$AB$139,MATCH(UPPER(TRIM($B172)),$AA$2:$AA$139,0)),"$AO$2:$AO$9")))))</formula1>
    </dataValidation>
    <dataValidation type="list" allowBlank="1" errorTitle="Embalagem inválida" error="Escolha uma embalagem compatível com o produto." promptTitle="Selecione a embalagem" prompt="As opções mudam conforme o produto digitado." sqref="C173" xr:uid="{24C1FA96-5229-4E65-8E44-1AA728FBA310}">
      <formula1>INDIRECT(IF(OR(ISNUMBER(SEARCH("ICEBERG ICE",UPPER(TRIM($B173)))),ISNUMBER(SEARCH("ICE ICEBERG",UPPER(TRIM($B173)))),ISNUMBER(SEARCH("GELINHO ICEBERG",UPPER(TRIM($B173))))),"$AJ$2:$AJ$2",IF(ISNUMBER(SEARCH("ESPUMA",$B173)),"$AI$2:$AI$2",IF(ISNUMBER(SEARCH("CORANTE",$B173)),"$AN$2:$AN$2",IFERROR(INDEX($AB$2:$AB$139,MATCH(UPPER(TRIM($B173)),$AA$2:$AA$139,0)),"$AO$2:$AO$9")))))</formula1>
    </dataValidation>
    <dataValidation type="list" allowBlank="1" errorTitle="Embalagem inválida" error="Escolha uma embalagem compatível com o produto." promptTitle="Selecione a embalagem" prompt="As opções mudam conforme o produto digitado." sqref="C174" xr:uid="{CBBF228C-ED0A-4A97-807E-8BEF9BE219A8}">
      <formula1>INDIRECT(IF(OR(ISNUMBER(SEARCH("ICEBERG ICE",UPPER(TRIM($B174)))),ISNUMBER(SEARCH("ICE ICEBERG",UPPER(TRIM($B174)))),ISNUMBER(SEARCH("GELINHO ICEBERG",UPPER(TRIM($B174))))),"$AJ$2:$AJ$2",IF(ISNUMBER(SEARCH("ESPUMA",$B174)),"$AI$2:$AI$2",IF(ISNUMBER(SEARCH("CORANTE",$B174)),"$AN$2:$AN$2",IFERROR(INDEX($AB$2:$AB$139,MATCH(UPPER(TRIM($B174)),$AA$2:$AA$139,0)),"$AO$2:$AO$9")))))</formula1>
    </dataValidation>
    <dataValidation type="list" allowBlank="1" errorTitle="Embalagem inválida" error="Escolha uma embalagem compatível com o produto." promptTitle="Selecione a embalagem" prompt="As opções mudam conforme o produto digitado." sqref="C175" xr:uid="{C223BA73-357B-4627-B5E1-A65E0673C81D}">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9C165B1B-2A9A-4041-93AF-604F16FA5FA3}">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80" xr:uid="{C4F3C568-4937-42BA-916E-509C28D1B270}">
      <formula1>INDIRECT(IF(OR(ISNUMBER(SEARCH("ICEBERG ICE",UPPER(TRIM($B180)))),ISNUMBER(SEARCH("ICE ICEBERG",UPPER(TRIM($B180)))),ISNUMBER(SEARCH("GELINHO ICEBERG",UPPER(TRIM($B180))))),"$AJ$2:$AJ$2",IF(ISNUMBER(SEARCH("ESPUMA",$B180)),"$AI$2:$AI$2",IF(ISNUMBER(SEARCH("CORANTE",$B180)),"$AN$2:$AN$2",IFERROR(INDEX($AB$2:$AB$139,MATCH(UPPER(TRIM($B180)),$AA$2:$AA$139,0)),"$AO$2:$AO$9")))))</formula1>
    </dataValidation>
    <dataValidation type="list" allowBlank="1" errorTitle="Embalagem inválida" error="Escolha uma embalagem compatível com o produto." promptTitle="Selecione a embalagem" prompt="As opções mudam conforme o produto digitado." sqref="C181" xr:uid="{458B3E9C-04AD-43FB-8DF3-9F7764AB3295}">
      <formula1>INDIRECT(IF(OR(ISNUMBER(SEARCH("ICEBERG ICE",UPPER(TRIM($B181)))),ISNUMBER(SEARCH("ICE ICEBERG",UPPER(TRIM($B181)))),ISNUMBER(SEARCH("GELINHO ICEBERG",UPPER(TRIM($B181))))),"$AJ$2:$AJ$2",IF(ISNUMBER(SEARCH("ESPUMA",$B181)),"$AI$2:$AI$2",IF(ISNUMBER(SEARCH("CORANTE",$B181)),"$AN$2:$AN$2",IFERROR(INDEX($AB$2:$AB$139,MATCH(UPPER(TRIM($B181)),$AA$2:$AA$139,0)),"$AO$2:$AO$9")))))</formula1>
    </dataValidation>
    <dataValidation type="list" allowBlank="1" errorTitle="Embalagem inválida" error="Escolha uma embalagem compatível com o produto." promptTitle="Selecione a embalagem" prompt="As opções mudam conforme o produto digitado." sqref="C182" xr:uid="{36445C93-E7A4-4048-8CA4-B476F59D3335}">
      <formula1>INDIRECT(IF(OR(ISNUMBER(SEARCH("ICEBERG ICE",UPPER(TRIM($B182)))),ISNUMBER(SEARCH("ICE ICEBERG",UPPER(TRIM($B182)))),ISNUMBER(SEARCH("GELINHO ICEBERG",UPPER(TRIM($B182))))),"$AJ$2:$AJ$2",IF(ISNUMBER(SEARCH("ESPUMA",$B182)),"$AI$2:$AI$2",IF(ISNUMBER(SEARCH("CORANTE",$B182)),"$AN$2:$AN$2",IFERROR(INDEX($AB$2:$AB$139,MATCH(UPPER(TRIM($B182)),$AA$2:$AA$139,0)),"$AO$2:$AO$9")))))</formula1>
    </dataValidation>
    <dataValidation type="list" allowBlank="1" errorTitle="Embalagem inválida" error="Escolha uma embalagem compatível com o produto." promptTitle="Selecione a embalagem" prompt="As opções mudam conforme o produto digitado." sqref="C183" xr:uid="{157F264F-9F82-4BED-B9AC-2DCEEA5CF467}">
      <formula1>INDIRECT(IF(OR(ISNUMBER(SEARCH("ICEBERG ICE",UPPER(TRIM($B183)))),ISNUMBER(SEARCH("ICE ICEBERG",UPPER(TRIM($B183)))),ISNUMBER(SEARCH("GELINHO ICEBERG",UPPER(TRIM($B183))))),"$AJ$2:$AJ$2",IF(ISNUMBER(SEARCH("ESPUMA",$B183)),"$AI$2:$AI$2",IF(ISNUMBER(SEARCH("CORANTE",$B183)),"$AN$2:$AN$2",IFERROR(INDEX($AB$2:$AB$139,MATCH(UPPER(TRIM($B183)),$AA$2:$AA$139,0)),"$AO$2:$AO$9")))))</formula1>
    </dataValidation>
    <dataValidation type="list" allowBlank="1" errorTitle="Embalagem inválida" error="Escolha uma embalagem compatível com o produto." promptTitle="Selecione a embalagem" prompt="As opções mudam conforme o produto digitado." sqref="C184" xr:uid="{0C151563-8DAC-4164-A48A-850AA9CA6CC4}">
      <formula1>INDIRECT(IF(OR(ISNUMBER(SEARCH("ICEBERG ICE",UPPER(TRIM($B184)))),ISNUMBER(SEARCH("ICE ICEBERG",UPPER(TRIM($B184)))),ISNUMBER(SEARCH("GELINHO ICEBERG",UPPER(TRIM($B184))))),"$AJ$2:$AJ$2",IF(ISNUMBER(SEARCH("ESPUMA",$B184)),"$AI$2:$AI$2",IF(ISNUMBER(SEARCH("CORANTE",$B184)),"$AN$2:$AN$2",IFERROR(INDEX($AB$2:$AB$139,MATCH(UPPER(TRIM($B184)),$AA$2:$AA$139,0)),"$AO$2:$AO$9")))))</formula1>
    </dataValidation>
    <dataValidation type="list" allowBlank="1" errorTitle="Embalagem inválida" error="Escolha uma embalagem compatível com o produto." promptTitle="Selecione a embalagem" prompt="As opções mudam conforme o produto digitado." sqref="C188" xr:uid="{74E09DA8-4AD4-4EF7-AC50-684EF3CEFA7D}">
      <formula1>INDIRECT(IF(OR(ISNUMBER(SEARCH("ICEBERG ICE",UPPER(TRIM($B188)))),ISNUMBER(SEARCH("ICE ICEBERG",UPPER(TRIM($B188)))),ISNUMBER(SEARCH("GELINHO ICEBERG",UPPER(TRIM($B188))))),"$AJ$2:$AJ$2",IF(ISNUMBER(SEARCH("ESPUMA",$B188)),"$AI$2:$AI$2",IF(ISNUMBER(SEARCH("CORANTE",$B188)),"$AN$2:$AN$2",IFERROR(INDEX($AB$2:$AB$139,MATCH(UPPER(TRIM($B188)),$AA$2:$AA$139,0)),"$AO$2:$AO$9")))))</formula1>
    </dataValidation>
    <dataValidation type="list" allowBlank="1" errorTitle="Embalagem inválida" error="Escolha uma embalagem compatível com o produto." promptTitle="Selecione a embalagem" prompt="As opções mudam conforme o produto digitado." sqref="C189" xr:uid="{6CCE2D20-3CF2-4A4D-B972-4D8DFE3F8548}">
      <formula1>INDIRECT(IF(OR(ISNUMBER(SEARCH("ICEBERG ICE",UPPER(TRIM($B189)))),ISNUMBER(SEARCH("ICE ICEBERG",UPPER(TRIM($B189)))),ISNUMBER(SEARCH("GELINHO ICEBERG",UPPER(TRIM($B189))))),"$AJ$2:$AJ$2",IF(ISNUMBER(SEARCH("ESPUMA",$B189)),"$AI$2:$AI$2",IF(ISNUMBER(SEARCH("CORANTE",$B189)),"$AN$2:$AN$2",IFERROR(INDEX($AB$2:$AB$139,MATCH(UPPER(TRIM($B189)),$AA$2:$AA$139,0)),"$AO$2:$AO$9")))))</formula1>
    </dataValidation>
    <dataValidation type="list" allowBlank="1" errorTitle="Embalagem inválida" error="Escolha uma embalagem compatível com o produto." promptTitle="Selecione a embalagem" prompt="As opções mudam conforme o produto digitado." sqref="C190" xr:uid="{6DCEC591-9CB9-4DA5-868B-6471232AB5EA}">
      <formula1>INDIRECT(IF(OR(ISNUMBER(SEARCH("ICEBERG ICE",UPPER(TRIM($B190)))),ISNUMBER(SEARCH("ICE ICEBERG",UPPER(TRIM($B190)))),ISNUMBER(SEARCH("GELINHO ICEBERG",UPPER(TRIM($B190))))),"$AJ$2:$AJ$2",IF(ISNUMBER(SEARCH("ESPUMA",$B190)),"$AI$2:$AI$2",IF(ISNUMBER(SEARCH("CORANTE",$B190)),"$AN$2:$AN$2",IFERROR(INDEX($AB$2:$AB$139,MATCH(UPPER(TRIM($B190)),$AA$2:$AA$139,0)),"$AO$2:$AO$9")))))</formula1>
    </dataValidation>
    <dataValidation type="list" allowBlank="1" errorTitle="Embalagem inválida" error="Escolha uma embalagem compatível com o produto." promptTitle="Selecione a embalagem" prompt="As opções mudam conforme o produto digitado." sqref="C191" xr:uid="{99D07DE8-24F7-458A-A772-5A828FD9047A}">
      <formula1>INDIRECT(IF(OR(ISNUMBER(SEARCH("ICEBERG ICE",UPPER(TRIM($B191)))),ISNUMBER(SEARCH("ICE ICEBERG",UPPER(TRIM($B191)))),ISNUMBER(SEARCH("GELINHO ICEBERG",UPPER(TRIM($B191))))),"$AJ$2:$AJ$2",IF(ISNUMBER(SEARCH("ESPUMA",$B191)),"$AI$2:$AI$2",IF(ISNUMBER(SEARCH("CORANTE",$B191)),"$AN$2:$AN$2",IFERROR(INDEX($AB$2:$AB$139,MATCH(UPPER(TRIM($B191)),$AA$2:$AA$139,0)),"$AO$2:$AO$9")))))</formula1>
    </dataValidation>
    <dataValidation type="list" allowBlank="1" errorTitle="Embalagem inválida" error="Escolha uma embalagem compatível com o produto." promptTitle="Selecione a embalagem" prompt="As opções mudam conforme o produto digitado." sqref="C192" xr:uid="{F71D6854-5715-44C5-92F8-9F8AD40A1220}">
      <formula1>INDIRECT(IF(OR(ISNUMBER(SEARCH("ICEBERG ICE",UPPER(TRIM($B192)))),ISNUMBER(SEARCH("ICE ICEBERG",UPPER(TRIM($B192)))),ISNUMBER(SEARCH("GELINHO ICEBERG",UPPER(TRIM($B192))))),"$AJ$2:$AJ$2",IF(ISNUMBER(SEARCH("ESPUMA",$B192)),"$AI$2:$AI$2",IF(ISNUMBER(SEARCH("CORANTE",$B192)),"$AN$2:$AN$2",IFERROR(INDEX($AB$2:$AB$139,MATCH(UPPER(TRIM($B192)),$AA$2:$AA$139,0)),"$AO$2:$AO$9")))))</formula1>
    </dataValidation>
    <dataValidation type="list" allowBlank="1" errorTitle="Embalagem inválida" error="Escolha uma embalagem compatível com o produto." promptTitle="Selecione a embalagem" prompt="As opções mudam conforme o produto digitado." sqref="C196" xr:uid="{47CA237E-6665-498B-88DC-1ECD371CEF08}">
      <formula1>INDIRECT(IF(OR(ISNUMBER(SEARCH("ICEBERG ICE",UPPER(TRIM($B196)))),ISNUMBER(SEARCH("ICE ICEBERG",UPPER(TRIM($B196)))),ISNUMBER(SEARCH("GELINHO ICEBERG",UPPER(TRIM($B196))))),"$AJ$2:$AJ$2",IF(ISNUMBER(SEARCH("ESPUMA",$B196)),"$AI$2:$AI$2",IF(ISNUMBER(SEARCH("CORANTE",$B196)),"$AN$2:$AN$2",IFERROR(INDEX($AB$2:$AB$139,MATCH(UPPER(TRIM($B196)),$AA$2:$AA$139,0)),"$AO$2:$AO$9")))))</formula1>
    </dataValidation>
    <dataValidation type="list" allowBlank="1" errorTitle="Embalagem inválida" error="Escolha uma embalagem compatível com o produto." promptTitle="Selecione a embalagem" prompt="As opções mudam conforme o produto digitado." sqref="C197" xr:uid="{4D79D42D-4DB9-4FB8-A204-8164C7ECC0A6}">
      <formula1>INDIRECT(IF(OR(ISNUMBER(SEARCH("ICEBERG ICE",UPPER(TRIM($B197)))),ISNUMBER(SEARCH("ICE ICEBERG",UPPER(TRIM($B197)))),ISNUMBER(SEARCH("GELINHO ICEBERG",UPPER(TRIM($B197))))),"$AJ$2:$AJ$2",IF(ISNUMBER(SEARCH("ESPUMA",$B197)),"$AI$2:$AI$2",IF(ISNUMBER(SEARCH("CORANTE",$B197)),"$AN$2:$AN$2",IFERROR(INDEX($AB$2:$AB$139,MATCH(UPPER(TRIM($B197)),$AA$2:$AA$139,0)),"$AO$2:$AO$9")))))</formula1>
    </dataValidation>
    <dataValidation type="list" allowBlank="1" errorTitle="Embalagem inválida" error="Escolha uma embalagem compatível com o produto." promptTitle="Selecione a embalagem" prompt="As opções mudam conforme o produto digitado." sqref="C198" xr:uid="{E5D652E8-7E6E-4335-99EA-9907CC04C826}">
      <formula1>INDIRECT(IF(OR(ISNUMBER(SEARCH("ICEBERG ICE",UPPER(TRIM($B198)))),ISNUMBER(SEARCH("ICE ICEBERG",UPPER(TRIM($B198)))),ISNUMBER(SEARCH("GELINHO ICEBERG",UPPER(TRIM($B198))))),"$AJ$2:$AJ$2",IF(ISNUMBER(SEARCH("ESPUMA",$B198)),"$AI$2:$AI$2",IF(ISNUMBER(SEARCH("CORANTE",$B198)),"$AN$2:$AN$2",IFERROR(INDEX($AB$2:$AB$139,MATCH(UPPER(TRIM($B198)),$AA$2:$AA$139,0)),"$AO$2:$AO$9")))))</formula1>
    </dataValidation>
    <dataValidation type="list" allowBlank="1" errorTitle="Embalagem inválida" error="Escolha uma embalagem compatível com o produto." promptTitle="Selecione a embalagem" prompt="As opções mudam conforme o produto digitado." sqref="C199" xr:uid="{702BFD06-5B4F-4B4B-9E02-BBEDDD91E7DB}">
      <formula1>INDIRECT(IF(OR(ISNUMBER(SEARCH("ICEBERG ICE",UPPER(TRIM($B199)))),ISNUMBER(SEARCH("ICE ICEBERG",UPPER(TRIM($B199)))),ISNUMBER(SEARCH("GELINHO ICEBERG",UPPER(TRIM($B199))))),"$AJ$2:$AJ$2",IF(ISNUMBER(SEARCH("ESPUMA",$B199)),"$AI$2:$AI$2",IF(ISNUMBER(SEARCH("CORANTE",$B199)),"$AN$2:$AN$2",IFERROR(INDEX($AB$2:$AB$139,MATCH(UPPER(TRIM($B199)),$AA$2:$AA$139,0)),"$AO$2:$AO$9")))))</formula1>
    </dataValidation>
    <dataValidation type="list" allowBlank="1" errorTitle="Embalagem inválida" error="Escolha uma embalagem compatível com o produto." promptTitle="Selecione a embalagem" prompt="As opções mudam conforme o produto digitado." sqref="C200" xr:uid="{736C282C-BD4F-4346-A077-0D764D60D16D}">
      <formula1>INDIRECT(IF(OR(ISNUMBER(SEARCH("ICEBERG ICE",UPPER(TRIM($B200)))),ISNUMBER(SEARCH("ICE ICEBERG",UPPER(TRIM($B200)))),ISNUMBER(SEARCH("GELINHO ICEBERG",UPPER(TRIM($B200))))),"$AJ$2:$AJ$2",IF(ISNUMBER(SEARCH("ESPUMA",$B200)),"$AI$2:$AI$2",IF(ISNUMBER(SEARCH("CORANTE",$B200)),"$AN$2:$AN$2",IFERROR(INDEX($AB$2:$AB$139,MATCH(UPPER(TRIM($B200)),$AA$2:$AA$139,0)),"$AO$2:$AO$9")))))</formula1>
    </dataValidation>
    <dataValidation type="list" allowBlank="1" errorTitle="Embalagem inválida" error="Escolha uma embalagem compatível com o produto." promptTitle="Selecione a embalagem" prompt="As opções mudam conforme o produto digitado." sqref="C204" xr:uid="{BB7F6B42-62A8-482B-8E09-3E8EF287A76E}">
      <formula1>INDIRECT(IF(OR(ISNUMBER(SEARCH("ICEBERG ICE",UPPER(TRIM($B204)))),ISNUMBER(SEARCH("ICE ICEBERG",UPPER(TRIM($B204)))),ISNUMBER(SEARCH("GELINHO ICEBERG",UPPER(TRIM($B204))))),"$AJ$2:$AJ$2",IF(ISNUMBER(SEARCH("ESPUMA",$B204)),"$AI$2:$AI$2",IF(ISNUMBER(SEARCH("CORANTE",$B204)),"$AN$2:$AN$2",IFERROR(INDEX($AB$2:$AB$139,MATCH(UPPER(TRIM($B204)),$AA$2:$AA$139,0)),"$AO$2:$AO$9")))))</formula1>
    </dataValidation>
    <dataValidation type="list" allowBlank="1" errorTitle="Embalagem inválida" error="Escolha uma embalagem compatível com o produto." promptTitle="Selecione a embalagem" prompt="As opções mudam conforme o produto digitado." sqref="C205" xr:uid="{E220A8B0-C65A-47E8-A573-6A719ADF16C0}">
      <formula1>INDIRECT(IF(OR(ISNUMBER(SEARCH("ICEBERG ICE",UPPER(TRIM($B205)))),ISNUMBER(SEARCH("ICE ICEBERG",UPPER(TRIM($B205)))),ISNUMBER(SEARCH("GELINHO ICEBERG",UPPER(TRIM($B205))))),"$AJ$2:$AJ$2",IF(ISNUMBER(SEARCH("ESPUMA",$B205)),"$AI$2:$AI$2",IF(ISNUMBER(SEARCH("CORANTE",$B205)),"$AN$2:$AN$2",IFERROR(INDEX($AB$2:$AB$139,MATCH(UPPER(TRIM($B205)),$AA$2:$AA$139,0)),"$AO$2:$AO$9")))))</formula1>
    </dataValidation>
    <dataValidation type="list" allowBlank="1" errorTitle="Embalagem inválida" error="Escolha uma embalagem compatível com o produto." promptTitle="Selecione a embalagem" prompt="As opções mudam conforme o produto digitado." sqref="C206" xr:uid="{97536A29-431C-439D-B4E2-C995AF8B239B}">
      <formula1>INDIRECT(IF(OR(ISNUMBER(SEARCH("ICEBERG ICE",UPPER(TRIM($B206)))),ISNUMBER(SEARCH("ICE ICEBERG",UPPER(TRIM($B206)))),ISNUMBER(SEARCH("GELINHO ICEBERG",UPPER(TRIM($B206))))),"$AJ$2:$AJ$2",IF(ISNUMBER(SEARCH("ESPUMA",$B206)),"$AI$2:$AI$2",IF(ISNUMBER(SEARCH("CORANTE",$B206)),"$AN$2:$AN$2",IFERROR(INDEX($AB$2:$AB$139,MATCH(UPPER(TRIM($B206)),$AA$2:$AA$139,0)),"$AO$2:$AO$9")))))</formula1>
    </dataValidation>
    <dataValidation type="list" allowBlank="1" errorTitle="Embalagem inválida" error="Escolha uma embalagem compatível com o produto." promptTitle="Selecione a embalagem" prompt="As opções mudam conforme o produto digitado." sqref="C207" xr:uid="{23F31CF2-34D0-4D67-9D85-8583B9109D8F}">
      <formula1>INDIRECT(IF(OR(ISNUMBER(SEARCH("ICEBERG ICE",UPPER(TRIM($B207)))),ISNUMBER(SEARCH("ICE ICEBERG",UPPER(TRIM($B207)))),ISNUMBER(SEARCH("GELINHO ICEBERG",UPPER(TRIM($B207))))),"$AJ$2:$AJ$2",IF(ISNUMBER(SEARCH("ESPUMA",$B207)),"$AI$2:$AI$2",IF(ISNUMBER(SEARCH("CORANTE",$B207)),"$AN$2:$AN$2",IFERROR(INDEX($AB$2:$AB$139,MATCH(UPPER(TRIM($B207)),$AA$2:$AA$139,0)),"$AO$2:$AO$9")))))</formula1>
    </dataValidation>
    <dataValidation type="list" allowBlank="1" errorTitle="Embalagem inválida" error="Escolha uma embalagem compatível com o produto." promptTitle="Selecione a embalagem" prompt="As opções mudam conforme o produto digitado." sqref="C208" xr:uid="{2FFB6FF4-CB4E-4E84-97B7-EB194A28EAFB}">
      <formula1>INDIRECT(IF(OR(ISNUMBER(SEARCH("ICEBERG ICE",UPPER(TRIM($B208)))),ISNUMBER(SEARCH("ICE ICEBERG",UPPER(TRIM($B208)))),ISNUMBER(SEARCH("GELINHO ICEBERG",UPPER(TRIM($B208))))),"$AJ$2:$AJ$2",IF(ISNUMBER(SEARCH("ESPUMA",$B208)),"$AI$2:$AI$2",IF(ISNUMBER(SEARCH("CORANTE",$B208)),"$AN$2:$AN$2",IFERROR(INDEX($AB$2:$AB$139,MATCH(UPPER(TRIM($B208)),$AA$2:$AA$139,0)),"$AO$2:$AO$9")))))</formula1>
    </dataValidation>
  </dataValidation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FFA9-642C-4434-A296-BC9D1304A7DE}">
  <sheetPr>
    <tabColor rgb="FF0F766E"/>
  </sheetPr>
  <dimension ref="A1:Y59"/>
  <sheetViews>
    <sheetView showGridLines="0"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612</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SUM(C9:C34)</f>
        <v>0</v>
      </c>
      <c r="C4" s="424"/>
      <c r="D4" s="435">
        <f>SUM(D9:D34)</f>
        <v>0</v>
      </c>
      <c r="E4" s="424"/>
      <c r="F4" s="435">
        <f>IFERROR(SUM(C9:C34)/COUNTIF(C9:C34,"&gt;0"),0)</f>
        <v>0</v>
      </c>
      <c r="G4" s="424"/>
      <c r="H4" s="435">
        <f>IFERROR(MAX(C9:C34),0)</f>
        <v>0</v>
      </c>
      <c r="I4" s="424"/>
      <c r="J4" s="436">
        <f>IFERROR(B4/D4,0)</f>
        <v>0</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46235</v>
      </c>
      <c r="B9" s="414" t="str">
        <f>IF(D9&gt;0,COUNTIF($D$9:D9,"&gt;0"),"")</f>
        <v/>
      </c>
      <c r="C9" s="888">
        <f>'SEMANA AGOSTO'!$M$9</f>
        <v>0</v>
      </c>
      <c r="D9" s="888">
        <f>IF(C9&gt;0,CONFIG!$B$3,0)</f>
        <v>0</v>
      </c>
      <c r="E9" s="889">
        <f t="shared" ref="E9:E34" si="0">IF(C9&gt;0,C9-D9,0)</f>
        <v>0</v>
      </c>
      <c r="F9" s="459" t="s">
        <v>512</v>
      </c>
      <c r="G9" s="424"/>
      <c r="H9" s="424"/>
      <c r="I9" s="424"/>
      <c r="J9" s="424"/>
      <c r="K9" s="424"/>
      <c r="L9" s="424"/>
      <c r="M9" s="424"/>
      <c r="N9" s="424"/>
      <c r="O9" s="424"/>
      <c r="P9" s="93" t="str">
        <f t="shared" ref="P9:P34" si="1">B9</f>
        <v/>
      </c>
      <c r="Q9" s="1" t="e">
        <f t="shared" ref="Q9:Q34" si="2">IF(AND($C9&gt;0,$C9&lt;$D9),$C9,NA())</f>
        <v>#N/A</v>
      </c>
      <c r="R9" s="1" t="e">
        <f t="shared" ref="R9:R34" si="3">IF(AND($C9&gt;0,$C9=$D9),$C9,NA())</f>
        <v>#N/A</v>
      </c>
      <c r="S9" s="1" t="e">
        <f t="shared" ref="S9:S34" si="4">IF(AND($C9&gt;0,$C9&gt;$D9),$C9,NA())</f>
        <v>#N/A</v>
      </c>
      <c r="X9" s="63">
        <f t="shared" ref="X9:X29" si="5">IF(COUNTIF($F9,"*Feriado*")&gt;0,NA(),$C9)</f>
        <v>0</v>
      </c>
      <c r="Y9" s="63">
        <f t="shared" ref="Y9:Y29" si="6">IF(COUNTIF($F9,"*Feriado*")&gt;0,NA(),$D9)</f>
        <v>0</v>
      </c>
    </row>
    <row r="10" spans="1:25" x14ac:dyDescent="0.3">
      <c r="A10" s="412">
        <v>46237</v>
      </c>
      <c r="B10" s="414" t="str">
        <f>IF(D10&gt;0,COUNTIF($D$9:D10,"&gt;0"),"")</f>
        <v/>
      </c>
      <c r="C10" s="888">
        <f>'SEMANA AGOSTO'!$M$17</f>
        <v>0</v>
      </c>
      <c r="D10" s="888">
        <f>IF(C10&gt;0,CONFIG!$B$3,0)</f>
        <v>0</v>
      </c>
      <c r="E10" s="889">
        <f t="shared" si="0"/>
        <v>0</v>
      </c>
      <c r="F10" s="444"/>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x14ac:dyDescent="0.3">
      <c r="A11" s="412">
        <v>46238</v>
      </c>
      <c r="B11" s="414" t="str">
        <f>IF(D11&gt;0,COUNTIF($D$9:D11,"&gt;0"),"")</f>
        <v/>
      </c>
      <c r="C11" s="888">
        <f>'SEMANA AGOSTO'!$M$25</f>
        <v>0</v>
      </c>
      <c r="D11" s="888">
        <f>IF(C11&gt;0,CONFIG!$B$3,0)</f>
        <v>0</v>
      </c>
      <c r="E11" s="889">
        <f t="shared" si="0"/>
        <v>0</v>
      </c>
      <c r="F11" s="444"/>
      <c r="G11" s="424"/>
      <c r="H11" s="424"/>
      <c r="I11" s="424"/>
      <c r="J11" s="424"/>
      <c r="K11" s="424"/>
      <c r="L11" s="424"/>
      <c r="M11" s="424"/>
      <c r="N11" s="424"/>
      <c r="O11" s="424"/>
      <c r="P11" s="93" t="str">
        <f t="shared" si="1"/>
        <v/>
      </c>
      <c r="Q11" s="1" t="e">
        <f t="shared" si="2"/>
        <v>#N/A</v>
      </c>
      <c r="R11" s="1" t="e">
        <f t="shared" si="3"/>
        <v>#N/A</v>
      </c>
      <c r="S11" s="1" t="e">
        <f t="shared" si="4"/>
        <v>#N/A</v>
      </c>
      <c r="X11" s="63">
        <f t="shared" si="5"/>
        <v>0</v>
      </c>
      <c r="Y11" s="63">
        <f t="shared" si="6"/>
        <v>0</v>
      </c>
    </row>
    <row r="12" spans="1:25" x14ac:dyDescent="0.3">
      <c r="A12" s="412">
        <v>46239</v>
      </c>
      <c r="B12" s="414" t="str">
        <f>IF(D12&gt;0,COUNTIF($D$9:D12,"&gt;0"),"")</f>
        <v/>
      </c>
      <c r="C12" s="888">
        <f>'SEMANA AGOSTO'!$M$33</f>
        <v>0</v>
      </c>
      <c r="D12" s="888">
        <f>IF(C12&gt;0,CONFIG!$B$3,0)</f>
        <v>0</v>
      </c>
      <c r="E12" s="889">
        <f t="shared" si="0"/>
        <v>0</v>
      </c>
      <c r="F12" s="444"/>
      <c r="G12" s="424"/>
      <c r="H12" s="424"/>
      <c r="I12" s="424"/>
      <c r="J12" s="424"/>
      <c r="K12" s="424"/>
      <c r="L12" s="424"/>
      <c r="M12" s="424"/>
      <c r="N12" s="424"/>
      <c r="O12" s="424"/>
      <c r="P12" s="93" t="str">
        <f t="shared" si="1"/>
        <v/>
      </c>
      <c r="Q12" s="1" t="e">
        <f t="shared" si="2"/>
        <v>#N/A</v>
      </c>
      <c r="R12" s="1" t="e">
        <f t="shared" si="3"/>
        <v>#N/A</v>
      </c>
      <c r="S12" s="1" t="e">
        <f t="shared" si="4"/>
        <v>#N/A</v>
      </c>
      <c r="X12" s="63">
        <f t="shared" si="5"/>
        <v>0</v>
      </c>
      <c r="Y12" s="63">
        <f t="shared" si="6"/>
        <v>0</v>
      </c>
    </row>
    <row r="13" spans="1:25" x14ac:dyDescent="0.3">
      <c r="A13" s="412">
        <v>46240</v>
      </c>
      <c r="B13" s="414" t="str">
        <f>IF(D13&gt;0,COUNTIF($D$9:D13,"&gt;0"),"")</f>
        <v/>
      </c>
      <c r="C13" s="888">
        <f>'SEMANA AGOSTO'!$M$41</f>
        <v>0</v>
      </c>
      <c r="D13" s="888">
        <f>IF(C13&gt;0,CONFIG!$B$3,0)</f>
        <v>0</v>
      </c>
      <c r="E13" s="889">
        <f t="shared" si="0"/>
        <v>0</v>
      </c>
      <c r="F13" s="444"/>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12">
        <v>46241</v>
      </c>
      <c r="B14" s="414" t="str">
        <f>IF(D14&gt;0,COUNTIF($D$9:D14,"&gt;0"),"")</f>
        <v/>
      </c>
      <c r="C14" s="888">
        <f>'SEMANA AGOSTO'!$M$49</f>
        <v>0</v>
      </c>
      <c r="D14" s="888">
        <f>IF(C14&gt;0,CONFIG!$B$3,0)</f>
        <v>0</v>
      </c>
      <c r="E14" s="889">
        <f t="shared" si="0"/>
        <v>0</v>
      </c>
      <c r="F14" s="444"/>
      <c r="G14" s="424"/>
      <c r="H14" s="424"/>
      <c r="I14" s="424"/>
      <c r="J14" s="424"/>
      <c r="K14" s="424"/>
      <c r="L14" s="424"/>
      <c r="M14" s="424"/>
      <c r="N14" s="424"/>
      <c r="O14" s="424"/>
      <c r="P14" s="93" t="str">
        <f t="shared" si="1"/>
        <v/>
      </c>
      <c r="Q14" s="1" t="e">
        <f t="shared" si="2"/>
        <v>#N/A</v>
      </c>
      <c r="R14" s="1" t="e">
        <f t="shared" si="3"/>
        <v>#N/A</v>
      </c>
      <c r="S14" s="1" t="e">
        <f t="shared" si="4"/>
        <v>#N/A</v>
      </c>
      <c r="X14" s="63">
        <f t="shared" si="5"/>
        <v>0</v>
      </c>
      <c r="Y14" s="63">
        <f t="shared" si="6"/>
        <v>0</v>
      </c>
    </row>
    <row r="15" spans="1:25" x14ac:dyDescent="0.3">
      <c r="A15" s="412">
        <v>46242</v>
      </c>
      <c r="B15" s="414" t="str">
        <f>IF(D15&gt;0,COUNTIF($D$9:D15,"&gt;0"),"")</f>
        <v/>
      </c>
      <c r="C15" s="888">
        <f>'SEMANA AGOSTO'!$M$57</f>
        <v>0</v>
      </c>
      <c r="D15" s="888">
        <f>IF(C15&gt;0,CONFIG!$B$3,0)</f>
        <v>0</v>
      </c>
      <c r="E15" s="889">
        <f t="shared" si="0"/>
        <v>0</v>
      </c>
      <c r="F15" s="459" t="s">
        <v>512</v>
      </c>
      <c r="G15" s="424"/>
      <c r="H15" s="424"/>
      <c r="I15" s="424"/>
      <c r="J15" s="424"/>
      <c r="K15" s="424"/>
      <c r="L15" s="424"/>
      <c r="M15" s="424"/>
      <c r="N15" s="424"/>
      <c r="O15" s="424"/>
      <c r="P15" s="93" t="str">
        <f t="shared" si="1"/>
        <v/>
      </c>
      <c r="Q15" s="1" t="e">
        <f t="shared" si="2"/>
        <v>#N/A</v>
      </c>
      <c r="R15" s="1" t="e">
        <f t="shared" si="3"/>
        <v>#N/A</v>
      </c>
      <c r="S15" s="1" t="e">
        <f t="shared" si="4"/>
        <v>#N/A</v>
      </c>
      <c r="X15" s="63">
        <f t="shared" si="5"/>
        <v>0</v>
      </c>
      <c r="Y15" s="63">
        <f t="shared" si="6"/>
        <v>0</v>
      </c>
    </row>
    <row r="16" spans="1:25" x14ac:dyDescent="0.3">
      <c r="A16" s="412">
        <v>46244</v>
      </c>
      <c r="B16" s="414" t="str">
        <f>IF(D16&gt;0,COUNTIF($D$9:D16,"&gt;0"),"")</f>
        <v/>
      </c>
      <c r="C16" s="888">
        <f>'SEMANA AGOSTO'!$M$65</f>
        <v>0</v>
      </c>
      <c r="D16" s="888">
        <f>IF(C16&gt;0,CONFIG!$B$3,0)</f>
        <v>0</v>
      </c>
      <c r="E16" s="889">
        <f t="shared" si="0"/>
        <v>0</v>
      </c>
      <c r="F16" s="444"/>
      <c r="G16" s="424"/>
      <c r="H16" s="424"/>
      <c r="I16" s="424"/>
      <c r="J16" s="424"/>
      <c r="K16" s="424"/>
      <c r="L16" s="424"/>
      <c r="M16" s="424"/>
      <c r="N16" s="424"/>
      <c r="O16" s="424"/>
      <c r="P16" s="93" t="str">
        <f t="shared" si="1"/>
        <v/>
      </c>
      <c r="Q16" s="1" t="e">
        <f t="shared" si="2"/>
        <v>#N/A</v>
      </c>
      <c r="R16" s="1" t="e">
        <f t="shared" si="3"/>
        <v>#N/A</v>
      </c>
      <c r="S16" s="1" t="e">
        <f t="shared" si="4"/>
        <v>#N/A</v>
      </c>
      <c r="X16" s="63">
        <f t="shared" si="5"/>
        <v>0</v>
      </c>
      <c r="Y16" s="63">
        <f t="shared" si="6"/>
        <v>0</v>
      </c>
    </row>
    <row r="17" spans="1:25" x14ac:dyDescent="0.3">
      <c r="A17" s="412">
        <v>46245</v>
      </c>
      <c r="B17" s="414" t="str">
        <f>IF(D17&gt;0,COUNTIF($D$9:D17,"&gt;0"),"")</f>
        <v/>
      </c>
      <c r="C17" s="888">
        <f>'SEMANA AGOSTO'!$M$73</f>
        <v>0</v>
      </c>
      <c r="D17" s="888">
        <f>IF(C17&gt;0,CONFIG!$B$3,0)</f>
        <v>0</v>
      </c>
      <c r="E17" s="889">
        <f t="shared" si="0"/>
        <v>0</v>
      </c>
      <c r="F17" s="444"/>
      <c r="G17" s="424"/>
      <c r="H17" s="424"/>
      <c r="I17" s="424"/>
      <c r="J17" s="424"/>
      <c r="K17" s="424"/>
      <c r="L17" s="424"/>
      <c r="M17" s="424"/>
      <c r="N17" s="424"/>
      <c r="O17" s="424"/>
      <c r="P17" s="93" t="str">
        <f t="shared" si="1"/>
        <v/>
      </c>
      <c r="Q17" s="1" t="e">
        <f t="shared" si="2"/>
        <v>#N/A</v>
      </c>
      <c r="R17" s="1" t="e">
        <f t="shared" si="3"/>
        <v>#N/A</v>
      </c>
      <c r="S17" s="1" t="e">
        <f t="shared" si="4"/>
        <v>#N/A</v>
      </c>
      <c r="X17" s="63">
        <f t="shared" si="5"/>
        <v>0</v>
      </c>
      <c r="Y17" s="63">
        <f t="shared" si="6"/>
        <v>0</v>
      </c>
    </row>
    <row r="18" spans="1:25" x14ac:dyDescent="0.3">
      <c r="A18" s="412">
        <v>46246</v>
      </c>
      <c r="B18" s="414" t="str">
        <f>IF(D18&gt;0,COUNTIF($D$9:D18,"&gt;0"),"")</f>
        <v/>
      </c>
      <c r="C18" s="888">
        <f>'SEMANA AGOSTO'!$M$81</f>
        <v>0</v>
      </c>
      <c r="D18" s="888">
        <f>IF(C18&gt;0,CONFIG!$B$3,0)</f>
        <v>0</v>
      </c>
      <c r="E18" s="889">
        <f t="shared" si="0"/>
        <v>0</v>
      </c>
      <c r="F18" s="444"/>
      <c r="G18" s="424"/>
      <c r="H18" s="424"/>
      <c r="I18" s="424"/>
      <c r="J18" s="424"/>
      <c r="K18" s="424"/>
      <c r="L18" s="424"/>
      <c r="M18" s="424"/>
      <c r="N18" s="424"/>
      <c r="O18" s="424"/>
      <c r="P18" s="93" t="str">
        <f t="shared" si="1"/>
        <v/>
      </c>
      <c r="Q18" s="1" t="e">
        <f t="shared" si="2"/>
        <v>#N/A</v>
      </c>
      <c r="R18" s="1" t="e">
        <f t="shared" si="3"/>
        <v>#N/A</v>
      </c>
      <c r="S18" s="1" t="e">
        <f t="shared" si="4"/>
        <v>#N/A</v>
      </c>
      <c r="X18" s="63">
        <f t="shared" si="5"/>
        <v>0</v>
      </c>
      <c r="Y18" s="63">
        <f t="shared" si="6"/>
        <v>0</v>
      </c>
    </row>
    <row r="19" spans="1:25" x14ac:dyDescent="0.3">
      <c r="A19" s="412">
        <v>46247</v>
      </c>
      <c r="B19" s="414" t="str">
        <f>IF(D19&gt;0,COUNTIF($D$9:D19,"&gt;0"),"")</f>
        <v/>
      </c>
      <c r="C19" s="888">
        <f>'SEMANA AGOSTO'!$M$89</f>
        <v>0</v>
      </c>
      <c r="D19" s="888">
        <f>IF(C19&gt;0,CONFIG!$B$3,0)</f>
        <v>0</v>
      </c>
      <c r="E19" s="889">
        <f t="shared" si="0"/>
        <v>0</v>
      </c>
      <c r="F19" s="444"/>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12">
        <v>46248</v>
      </c>
      <c r="B20" s="414" t="str">
        <f>IF(D20&gt;0,COUNTIF($D$9:D20,"&gt;0"),"")</f>
        <v/>
      </c>
      <c r="C20" s="888">
        <f>'SEMANA AGOSTO'!$M$97</f>
        <v>0</v>
      </c>
      <c r="D20" s="888">
        <f>IF(C20&gt;0,CONFIG!$B$3,0)</f>
        <v>0</v>
      </c>
      <c r="E20" s="889">
        <f t="shared" si="0"/>
        <v>0</v>
      </c>
      <c r="F20" s="444"/>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12">
        <v>46249</v>
      </c>
      <c r="B21" s="414" t="str">
        <f>IF(D21&gt;0,COUNTIF($D$9:D21,"&gt;0"),"")</f>
        <v/>
      </c>
      <c r="C21" s="888">
        <f>'SEMANA AGOSTO'!$M$105</f>
        <v>0</v>
      </c>
      <c r="D21" s="888">
        <f>IF(C21&gt;0,CONFIG!$B$3,0)</f>
        <v>0</v>
      </c>
      <c r="E21" s="889">
        <f t="shared" si="0"/>
        <v>0</v>
      </c>
      <c r="F21" s="459" t="s">
        <v>512</v>
      </c>
      <c r="G21" s="424"/>
      <c r="H21" s="424"/>
      <c r="I21" s="424"/>
      <c r="J21" s="424"/>
      <c r="K21" s="424"/>
      <c r="L21" s="424"/>
      <c r="M21" s="424"/>
      <c r="N21" s="424"/>
      <c r="O21" s="424"/>
      <c r="P21" s="93" t="str">
        <f t="shared" si="1"/>
        <v/>
      </c>
      <c r="Q21" s="1" t="e">
        <f t="shared" si="2"/>
        <v>#N/A</v>
      </c>
      <c r="R21" s="1" t="e">
        <f t="shared" si="3"/>
        <v>#N/A</v>
      </c>
      <c r="S21" s="1" t="e">
        <f t="shared" si="4"/>
        <v>#N/A</v>
      </c>
      <c r="X21" s="63">
        <f t="shared" si="5"/>
        <v>0</v>
      </c>
      <c r="Y21" s="63">
        <f t="shared" si="6"/>
        <v>0</v>
      </c>
    </row>
    <row r="22" spans="1:25" x14ac:dyDescent="0.3">
      <c r="A22" s="412">
        <v>46251</v>
      </c>
      <c r="B22" s="414" t="str">
        <f>IF(D22&gt;0,COUNTIF($D$9:D22,"&gt;0"),"")</f>
        <v/>
      </c>
      <c r="C22" s="888">
        <f>'SEMANA AGOSTO'!$M$113</f>
        <v>0</v>
      </c>
      <c r="D22" s="888">
        <f>IF(C22&gt;0,CONFIG!$B$3,0)</f>
        <v>0</v>
      </c>
      <c r="E22" s="889">
        <f t="shared" si="0"/>
        <v>0</v>
      </c>
      <c r="F22" s="444"/>
      <c r="G22" s="424"/>
      <c r="H22" s="424"/>
      <c r="I22" s="424"/>
      <c r="J22" s="424"/>
      <c r="K22" s="424"/>
      <c r="L22" s="424"/>
      <c r="M22" s="424"/>
      <c r="N22" s="424"/>
      <c r="O22" s="424"/>
      <c r="P22" s="93" t="str">
        <f t="shared" si="1"/>
        <v/>
      </c>
      <c r="Q22" s="1" t="e">
        <f t="shared" si="2"/>
        <v>#N/A</v>
      </c>
      <c r="R22" s="1" t="e">
        <f t="shared" si="3"/>
        <v>#N/A</v>
      </c>
      <c r="S22" s="1" t="e">
        <f t="shared" si="4"/>
        <v>#N/A</v>
      </c>
      <c r="X22" s="63">
        <f t="shared" si="5"/>
        <v>0</v>
      </c>
      <c r="Y22" s="63">
        <f t="shared" si="6"/>
        <v>0</v>
      </c>
    </row>
    <row r="23" spans="1:25" x14ac:dyDescent="0.3">
      <c r="A23" s="412">
        <v>46252</v>
      </c>
      <c r="B23" s="414" t="str">
        <f>IF(D23&gt;0,COUNTIF($D$9:D23,"&gt;0"),"")</f>
        <v/>
      </c>
      <c r="C23" s="888">
        <f>'SEMANA AGOSTO'!$M$121</f>
        <v>0</v>
      </c>
      <c r="D23" s="888">
        <f>IF(C23&gt;0,CONFIG!$B$3,0)</f>
        <v>0</v>
      </c>
      <c r="E23" s="889">
        <f t="shared" si="0"/>
        <v>0</v>
      </c>
      <c r="F23" s="444"/>
      <c r="G23" s="424"/>
      <c r="H23" s="424"/>
      <c r="I23" s="424"/>
      <c r="J23" s="424"/>
      <c r="K23" s="424"/>
      <c r="L23" s="424"/>
      <c r="M23" s="424"/>
      <c r="N23" s="424"/>
      <c r="O23" s="424"/>
      <c r="P23" s="93" t="str">
        <f t="shared" si="1"/>
        <v/>
      </c>
      <c r="Q23" s="1" t="e">
        <f t="shared" si="2"/>
        <v>#N/A</v>
      </c>
      <c r="R23" s="1" t="e">
        <f t="shared" si="3"/>
        <v>#N/A</v>
      </c>
      <c r="S23" s="1" t="e">
        <f t="shared" si="4"/>
        <v>#N/A</v>
      </c>
      <c r="X23" s="63">
        <f t="shared" si="5"/>
        <v>0</v>
      </c>
      <c r="Y23" s="63">
        <f t="shared" si="6"/>
        <v>0</v>
      </c>
    </row>
    <row r="24" spans="1:25" x14ac:dyDescent="0.3">
      <c r="A24" s="412">
        <v>46253</v>
      </c>
      <c r="B24" s="414" t="str">
        <f>IF(D24&gt;0,COUNTIF($D$9:D24,"&gt;0"),"")</f>
        <v/>
      </c>
      <c r="C24" s="888">
        <f>'SEMANA AGOSTO'!$M$129</f>
        <v>0</v>
      </c>
      <c r="D24" s="888">
        <f>IF(C24&gt;0,CONFIG!$B$3,0)</f>
        <v>0</v>
      </c>
      <c r="E24" s="889">
        <f t="shared" si="0"/>
        <v>0</v>
      </c>
      <c r="F24" s="444"/>
      <c r="G24" s="424"/>
      <c r="H24" s="424"/>
      <c r="I24" s="424"/>
      <c r="J24" s="424"/>
      <c r="K24" s="424"/>
      <c r="L24" s="424"/>
      <c r="M24" s="424"/>
      <c r="N24" s="424"/>
      <c r="O24" s="424"/>
      <c r="P24" s="93" t="str">
        <f t="shared" si="1"/>
        <v/>
      </c>
      <c r="Q24" s="1" t="e">
        <f t="shared" si="2"/>
        <v>#N/A</v>
      </c>
      <c r="R24" s="1" t="e">
        <f t="shared" si="3"/>
        <v>#N/A</v>
      </c>
      <c r="S24" s="1" t="e">
        <f t="shared" si="4"/>
        <v>#N/A</v>
      </c>
      <c r="X24" s="63">
        <f t="shared" si="5"/>
        <v>0</v>
      </c>
      <c r="Y24" s="63">
        <f t="shared" si="6"/>
        <v>0</v>
      </c>
    </row>
    <row r="25" spans="1:25" x14ac:dyDescent="0.3">
      <c r="A25" s="412">
        <v>46254</v>
      </c>
      <c r="B25" s="414" t="str">
        <f>IF(D25&gt;0,COUNTIF($D$9:D25,"&gt;0"),"")</f>
        <v/>
      </c>
      <c r="C25" s="888">
        <f>'SEMANA AGOSTO'!$M$137</f>
        <v>0</v>
      </c>
      <c r="D25" s="888">
        <f>IF(C25&gt;0,CONFIG!$B$3,0)</f>
        <v>0</v>
      </c>
      <c r="E25" s="889">
        <f t="shared" si="0"/>
        <v>0</v>
      </c>
      <c r="F25" s="444"/>
      <c r="G25" s="424"/>
      <c r="H25" s="424"/>
      <c r="I25" s="424"/>
      <c r="J25" s="424"/>
      <c r="K25" s="424"/>
      <c r="L25" s="424"/>
      <c r="M25" s="424"/>
      <c r="N25" s="424"/>
      <c r="O25" s="424"/>
      <c r="P25" s="93" t="str">
        <f t="shared" si="1"/>
        <v/>
      </c>
      <c r="Q25" s="1" t="e">
        <f t="shared" si="2"/>
        <v>#N/A</v>
      </c>
      <c r="R25" s="1" t="e">
        <f t="shared" si="3"/>
        <v>#N/A</v>
      </c>
      <c r="S25" s="1" t="e">
        <f t="shared" si="4"/>
        <v>#N/A</v>
      </c>
      <c r="X25" s="63">
        <f t="shared" si="5"/>
        <v>0</v>
      </c>
      <c r="Y25" s="63">
        <f t="shared" si="6"/>
        <v>0</v>
      </c>
    </row>
    <row r="26" spans="1:25" x14ac:dyDescent="0.3">
      <c r="A26" s="412">
        <v>46255</v>
      </c>
      <c r="B26" s="414" t="str">
        <f>IF(D26&gt;0,COUNTIF($D$9:D26,"&gt;0"),"")</f>
        <v/>
      </c>
      <c r="C26" s="888">
        <f>'SEMANA AGOSTO'!$M$145</f>
        <v>0</v>
      </c>
      <c r="D26" s="888">
        <f>IF(C26&gt;0,CONFIG!$B$3,0)</f>
        <v>0</v>
      </c>
      <c r="E26" s="889">
        <f t="shared" si="0"/>
        <v>0</v>
      </c>
      <c r="F26" s="444"/>
      <c r="G26" s="424"/>
      <c r="H26" s="424"/>
      <c r="I26" s="424"/>
      <c r="J26" s="424"/>
      <c r="K26" s="424"/>
      <c r="L26" s="424"/>
      <c r="M26" s="424"/>
      <c r="N26" s="424"/>
      <c r="O26" s="424"/>
      <c r="P26" s="93" t="str">
        <f t="shared" si="1"/>
        <v/>
      </c>
      <c r="Q26" s="1" t="e">
        <f t="shared" si="2"/>
        <v>#N/A</v>
      </c>
      <c r="R26" s="1" t="e">
        <f t="shared" si="3"/>
        <v>#N/A</v>
      </c>
      <c r="S26" s="1" t="e">
        <f t="shared" si="4"/>
        <v>#N/A</v>
      </c>
      <c r="X26" s="63">
        <f t="shared" si="5"/>
        <v>0</v>
      </c>
      <c r="Y26" s="63">
        <f t="shared" si="6"/>
        <v>0</v>
      </c>
    </row>
    <row r="27" spans="1:25" x14ac:dyDescent="0.3">
      <c r="A27" s="412">
        <v>46256</v>
      </c>
      <c r="B27" s="414" t="str">
        <f>IF(D27&gt;0,COUNTIF($D$9:D27,"&gt;0"),"")</f>
        <v/>
      </c>
      <c r="C27" s="888">
        <f>'SEMANA AGOSTO'!$M$153</f>
        <v>0</v>
      </c>
      <c r="D27" s="888">
        <f>IF(C27&gt;0,CONFIG!$B$3,0)</f>
        <v>0</v>
      </c>
      <c r="E27" s="889">
        <f t="shared" si="0"/>
        <v>0</v>
      </c>
      <c r="F27" s="459" t="s">
        <v>512</v>
      </c>
      <c r="G27" s="424"/>
      <c r="H27" s="424"/>
      <c r="I27" s="424"/>
      <c r="J27" s="424"/>
      <c r="K27" s="424"/>
      <c r="L27" s="424"/>
      <c r="M27" s="424"/>
      <c r="N27" s="424"/>
      <c r="O27" s="424"/>
      <c r="P27" s="93" t="str">
        <f t="shared" si="1"/>
        <v/>
      </c>
      <c r="Q27" s="1" t="e">
        <f t="shared" si="2"/>
        <v>#N/A</v>
      </c>
      <c r="R27" s="1" t="e">
        <f t="shared" si="3"/>
        <v>#N/A</v>
      </c>
      <c r="S27" s="1" t="e">
        <f t="shared" si="4"/>
        <v>#N/A</v>
      </c>
      <c r="X27" s="63">
        <f t="shared" si="5"/>
        <v>0</v>
      </c>
      <c r="Y27" s="63">
        <f t="shared" si="6"/>
        <v>0</v>
      </c>
    </row>
    <row r="28" spans="1:25" x14ac:dyDescent="0.3">
      <c r="A28" s="412">
        <v>46258</v>
      </c>
      <c r="B28" s="414" t="str">
        <f>IF(D28&gt;0,COUNTIF($D$9:D28,"&gt;0"),"")</f>
        <v/>
      </c>
      <c r="C28" s="888">
        <f>'SEMANA AGOSTO'!$M$161</f>
        <v>0</v>
      </c>
      <c r="D28" s="888">
        <f>IF(C28&gt;0,CONFIG!$B$3,0)</f>
        <v>0</v>
      </c>
      <c r="E28" s="889">
        <f t="shared" si="0"/>
        <v>0</v>
      </c>
      <c r="F28" s="444"/>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12">
        <v>46259</v>
      </c>
      <c r="B29" s="414" t="str">
        <f>IF(D29&gt;0,COUNTIF($D$9:D29,"&gt;0"),"")</f>
        <v/>
      </c>
      <c r="C29" s="888">
        <f>'SEMANA AGOSTO'!$M$169</f>
        <v>0</v>
      </c>
      <c r="D29" s="888">
        <f>IF(C29&gt;0,CONFIG!$B$3,0)</f>
        <v>0</v>
      </c>
      <c r="E29" s="889">
        <f t="shared" si="0"/>
        <v>0</v>
      </c>
      <c r="F29" s="444"/>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46260</v>
      </c>
      <c r="B30" s="414" t="str">
        <f>IF(D30&gt;0,COUNTIF($D$9:D30,"&gt;0"),"")</f>
        <v/>
      </c>
      <c r="C30" s="888">
        <f>'SEMANA AGOSTO'!$M$177</f>
        <v>0</v>
      </c>
      <c r="D30" s="888">
        <f>IF(C30&gt;0,CONFIG!$B$3,0)</f>
        <v>0</v>
      </c>
      <c r="E30" s="889">
        <f t="shared" si="0"/>
        <v>0</v>
      </c>
      <c r="F30" s="444"/>
      <c r="G30" s="424"/>
      <c r="H30" s="424"/>
      <c r="I30" s="424"/>
      <c r="J30" s="424"/>
      <c r="K30" s="424"/>
      <c r="L30" s="424"/>
      <c r="M30" s="424"/>
      <c r="N30" s="424"/>
      <c r="O30" s="424"/>
      <c r="P30" s="93" t="str">
        <f t="shared" si="1"/>
        <v/>
      </c>
      <c r="Q30" s="1" t="e">
        <f t="shared" si="2"/>
        <v>#N/A</v>
      </c>
      <c r="R30" s="1" t="e">
        <f t="shared" si="3"/>
        <v>#N/A</v>
      </c>
      <c r="S30" s="1" t="e">
        <f t="shared" si="4"/>
        <v>#N/A</v>
      </c>
    </row>
    <row r="31" spans="1:25" x14ac:dyDescent="0.3">
      <c r="A31" s="412">
        <v>46261</v>
      </c>
      <c r="B31" s="414" t="str">
        <f>IF(D31&gt;0,COUNTIF($D$9:D31,"&gt;0"),"")</f>
        <v/>
      </c>
      <c r="C31" s="888">
        <f>'SEMANA AGOSTO'!$M$185</f>
        <v>0</v>
      </c>
      <c r="D31" s="888">
        <f>IF(C31&gt;0,CONFIG!$B$3,0)</f>
        <v>0</v>
      </c>
      <c r="E31" s="889">
        <f t="shared" si="0"/>
        <v>0</v>
      </c>
      <c r="F31" s="444"/>
      <c r="G31" s="424"/>
      <c r="H31" s="424"/>
      <c r="I31" s="424"/>
      <c r="J31" s="424"/>
      <c r="K31" s="424"/>
      <c r="L31" s="424"/>
      <c r="M31" s="424"/>
      <c r="N31" s="424"/>
      <c r="O31" s="424"/>
      <c r="P31" s="93" t="str">
        <f t="shared" si="1"/>
        <v/>
      </c>
      <c r="Q31" s="1" t="e">
        <f t="shared" si="2"/>
        <v>#N/A</v>
      </c>
      <c r="R31" s="1" t="e">
        <f t="shared" si="3"/>
        <v>#N/A</v>
      </c>
      <c r="S31" s="1" t="e">
        <f t="shared" si="4"/>
        <v>#N/A</v>
      </c>
    </row>
    <row r="32" spans="1:25" x14ac:dyDescent="0.3">
      <c r="A32" s="412">
        <v>46262</v>
      </c>
      <c r="B32" s="414" t="str">
        <f>IF(D32&gt;0,COUNTIF($D$9:D32,"&gt;0"),"")</f>
        <v/>
      </c>
      <c r="C32" s="888">
        <f>'SEMANA AGOSTO'!$M$193</f>
        <v>0</v>
      </c>
      <c r="D32" s="888">
        <f>IF(C32&gt;0,CONFIG!$B$3,0)</f>
        <v>0</v>
      </c>
      <c r="E32" s="889">
        <f t="shared" si="0"/>
        <v>0</v>
      </c>
      <c r="F32" s="444"/>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46263</v>
      </c>
      <c r="B33" s="414" t="str">
        <f>IF(D33&gt;0,COUNTIF($D$9:D33,"&gt;0"),"")</f>
        <v/>
      </c>
      <c r="C33" s="888">
        <f>'SEMANA AGOSTO'!$M$201</f>
        <v>0</v>
      </c>
      <c r="D33" s="888">
        <f>IF(C33&gt;0,CONFIG!$B$3,0)</f>
        <v>0</v>
      </c>
      <c r="E33" s="889">
        <f t="shared" si="0"/>
        <v>0</v>
      </c>
      <c r="F33" s="459" t="s">
        <v>512</v>
      </c>
      <c r="G33" s="424"/>
      <c r="H33" s="424"/>
      <c r="I33" s="424"/>
      <c r="J33" s="424"/>
      <c r="K33" s="424"/>
      <c r="L33" s="424"/>
      <c r="M33" s="424"/>
      <c r="N33" s="424"/>
      <c r="O33" s="424"/>
      <c r="P33" s="93" t="str">
        <f t="shared" si="1"/>
        <v/>
      </c>
      <c r="Q33" s="1" t="e">
        <f t="shared" si="2"/>
        <v>#N/A</v>
      </c>
      <c r="R33" s="1" t="e">
        <f t="shared" si="3"/>
        <v>#N/A</v>
      </c>
      <c r="S33" s="1" t="e">
        <f t="shared" si="4"/>
        <v>#N/A</v>
      </c>
    </row>
    <row r="34" spans="1:19" x14ac:dyDescent="0.3">
      <c r="A34" s="412">
        <v>46265</v>
      </c>
      <c r="B34" s="414" t="str">
        <f>IF(D34&gt;0,COUNTIF($D$9:D34,"&gt;0"),"")</f>
        <v/>
      </c>
      <c r="C34" s="888">
        <f>'SEMANA AGOSTO'!$M$209</f>
        <v>0</v>
      </c>
      <c r="D34" s="888">
        <f>IF(C34&gt;0,CONFIG!$B$3,0)</f>
        <v>0</v>
      </c>
      <c r="E34" s="889">
        <f t="shared" si="0"/>
        <v>0</v>
      </c>
      <c r="F34" s="444"/>
      <c r="G34" s="424"/>
      <c r="H34" s="424"/>
      <c r="I34" s="424"/>
      <c r="J34" s="424"/>
      <c r="K34" s="424"/>
      <c r="L34" s="424"/>
      <c r="M34" s="424"/>
      <c r="N34" s="424"/>
      <c r="O34" s="424"/>
      <c r="P34" s="93" t="str">
        <f t="shared" si="1"/>
        <v/>
      </c>
      <c r="Q34" s="1" t="e">
        <f t="shared" si="2"/>
        <v>#N/A</v>
      </c>
      <c r="R34" s="1" t="e">
        <f t="shared" si="3"/>
        <v>#N/A</v>
      </c>
      <c r="S34" s="1" t="e">
        <f t="shared" si="4"/>
        <v>#N/A</v>
      </c>
    </row>
    <row r="35" spans="1:19" ht="14.25" customHeight="1" x14ac:dyDescent="0.3"/>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48" priority="1" operator="greaterThan">
      <formula>0</formula>
    </cfRule>
    <cfRule type="cellIs" dxfId="47" priority="2" operator="lessThan">
      <formula>0</formula>
    </cfRule>
    <cfRule type="cellIs" dxfId="46"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B0DC-FE58-4FDE-8FCB-11E4166AB110}">
  <sheetPr>
    <tabColor rgb="FFC96B0A"/>
  </sheetPr>
  <dimension ref="B1:O300"/>
  <sheetViews>
    <sheetView showGridLines="0" zoomScale="90" zoomScaleNormal="90" workbookViewId="0">
      <selection activeCell="A127" sqref="A127:D12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613</v>
      </c>
      <c r="C1" s="639"/>
      <c r="D1" s="639"/>
      <c r="E1" s="639"/>
      <c r="F1" s="639"/>
      <c r="G1" s="639"/>
      <c r="H1" s="639"/>
      <c r="I1" s="639"/>
      <c r="J1" s="639"/>
      <c r="K1" s="639"/>
      <c r="L1" s="639"/>
      <c r="M1" s="639"/>
      <c r="N1" s="639"/>
    </row>
    <row r="2" spans="2:15" ht="15" customHeight="1" x14ac:dyDescent="0.3">
      <c r="B2" s="676"/>
      <c r="C2" s="676"/>
      <c r="D2" s="676"/>
      <c r="E2" s="676"/>
      <c r="F2" s="676"/>
      <c r="G2" s="676"/>
      <c r="H2" s="676"/>
      <c r="I2" s="676"/>
      <c r="J2" s="676"/>
      <c r="K2" s="676"/>
      <c r="L2" s="676"/>
      <c r="M2" s="676"/>
      <c r="N2" s="676"/>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c r="C4" s="638"/>
      <c r="D4" s="638"/>
      <c r="E4" s="638"/>
      <c r="F4" s="638"/>
      <c r="G4" s="638"/>
      <c r="H4" s="638"/>
      <c r="I4" s="638"/>
      <c r="J4" s="638"/>
      <c r="K4" s="638"/>
      <c r="L4" s="638"/>
      <c r="M4" s="497"/>
      <c r="N4" s="533"/>
      <c r="O4" s="493"/>
    </row>
    <row r="5" spans="2:15" ht="17.25" customHeight="1" x14ac:dyDescent="0.3">
      <c r="B5" s="499"/>
      <c r="C5" s="637"/>
      <c r="D5" s="637"/>
      <c r="E5" s="637"/>
      <c r="F5" s="637"/>
      <c r="G5" s="637"/>
      <c r="H5" s="637"/>
      <c r="I5" s="637"/>
      <c r="J5" s="637"/>
      <c r="K5" s="637"/>
      <c r="L5" s="637"/>
      <c r="M5" s="499"/>
      <c r="N5" s="525"/>
      <c r="O5" s="493"/>
    </row>
    <row r="6" spans="2:15" ht="17.25" customHeight="1" x14ac:dyDescent="0.3">
      <c r="B6" s="496"/>
      <c r="C6" s="638"/>
      <c r="D6" s="638"/>
      <c r="E6" s="638"/>
      <c r="F6" s="638"/>
      <c r="G6" s="638"/>
      <c r="H6" s="638"/>
      <c r="I6" s="638"/>
      <c r="J6" s="638"/>
      <c r="K6" s="638"/>
      <c r="L6" s="638"/>
      <c r="M6" s="497"/>
      <c r="N6" s="525"/>
      <c r="O6" s="493"/>
    </row>
    <row r="7" spans="2:15" ht="17.25" customHeight="1" x14ac:dyDescent="0.3">
      <c r="B7" s="499"/>
      <c r="C7" s="637"/>
      <c r="D7" s="637"/>
      <c r="E7" s="637"/>
      <c r="F7" s="637"/>
      <c r="G7" s="637"/>
      <c r="H7" s="637"/>
      <c r="I7" s="637"/>
      <c r="J7" s="637"/>
      <c r="K7" s="637"/>
      <c r="L7" s="637"/>
      <c r="M7" s="500"/>
      <c r="N7" s="525"/>
      <c r="O7" s="493"/>
    </row>
    <row r="8" spans="2:15" ht="17.25" customHeight="1" x14ac:dyDescent="0.3">
      <c r="B8" s="496"/>
      <c r="C8" s="638"/>
      <c r="D8" s="638"/>
      <c r="E8" s="638"/>
      <c r="F8" s="638"/>
      <c r="G8" s="638"/>
      <c r="H8" s="638"/>
      <c r="I8" s="638"/>
      <c r="J8" s="638"/>
      <c r="K8" s="638"/>
      <c r="L8" s="638"/>
      <c r="M8" s="497"/>
      <c r="N8" s="525"/>
      <c r="O8" s="493"/>
    </row>
    <row r="9" spans="2:15" ht="17.25" customHeight="1" x14ac:dyDescent="0.3">
      <c r="B9" s="499"/>
      <c r="C9" s="637"/>
      <c r="D9" s="637"/>
      <c r="E9" s="637"/>
      <c r="F9" s="637"/>
      <c r="G9" s="637"/>
      <c r="H9" s="637"/>
      <c r="I9" s="637"/>
      <c r="J9" s="637"/>
      <c r="K9" s="637"/>
      <c r="L9" s="637"/>
      <c r="M9" s="499"/>
      <c r="N9" s="525"/>
      <c r="O9" s="493"/>
    </row>
    <row r="10" spans="2:15" ht="17.25" customHeight="1" x14ac:dyDescent="0.3">
      <c r="B10" s="496"/>
      <c r="C10" s="638"/>
      <c r="D10" s="638"/>
      <c r="E10" s="638"/>
      <c r="F10" s="638"/>
      <c r="G10" s="638"/>
      <c r="H10" s="638"/>
      <c r="I10" s="638"/>
      <c r="J10" s="638"/>
      <c r="K10" s="638"/>
      <c r="L10" s="638"/>
      <c r="M10" s="496"/>
      <c r="N10" s="525"/>
      <c r="O10" s="493"/>
    </row>
    <row r="11" spans="2:15" ht="17.25" customHeight="1" x14ac:dyDescent="0.3">
      <c r="B11" s="499"/>
      <c r="C11" s="637"/>
      <c r="D11" s="637"/>
      <c r="E11" s="637"/>
      <c r="F11" s="637"/>
      <c r="G11" s="637"/>
      <c r="H11" s="637"/>
      <c r="I11" s="637"/>
      <c r="J11" s="637"/>
      <c r="K11" s="637"/>
      <c r="L11" s="637"/>
      <c r="M11" s="499"/>
      <c r="N11" s="525"/>
      <c r="O11" s="493"/>
    </row>
    <row r="12" spans="2:15" ht="17.25" customHeight="1" x14ac:dyDescent="0.3">
      <c r="B12" s="496"/>
      <c r="C12" s="638"/>
      <c r="D12" s="638"/>
      <c r="E12" s="638"/>
      <c r="F12" s="638"/>
      <c r="G12" s="638"/>
      <c r="H12" s="638"/>
      <c r="I12" s="638"/>
      <c r="J12" s="638"/>
      <c r="K12" s="638"/>
      <c r="L12" s="638"/>
      <c r="M12" s="496"/>
      <c r="N12" s="525"/>
      <c r="O12" s="493"/>
    </row>
    <row r="13" spans="2:15" ht="17.25" customHeight="1" x14ac:dyDescent="0.3">
      <c r="B13" s="499"/>
      <c r="C13" s="637"/>
      <c r="D13" s="637"/>
      <c r="E13" s="637"/>
      <c r="F13" s="637"/>
      <c r="G13" s="637"/>
      <c r="H13" s="637"/>
      <c r="I13" s="637"/>
      <c r="J13" s="637"/>
      <c r="K13" s="637"/>
      <c r="L13" s="637"/>
      <c r="M13" s="499"/>
      <c r="N13" s="525"/>
      <c r="O13" s="493"/>
    </row>
    <row r="14" spans="2:15" ht="17.25" customHeight="1" x14ac:dyDescent="0.3">
      <c r="B14" s="496"/>
      <c r="C14" s="638"/>
      <c r="D14" s="638"/>
      <c r="E14" s="638"/>
      <c r="F14" s="638"/>
      <c r="G14" s="638"/>
      <c r="H14" s="638"/>
      <c r="I14" s="638"/>
      <c r="J14" s="638"/>
      <c r="K14" s="638"/>
      <c r="L14" s="638"/>
      <c r="M14" s="496"/>
      <c r="N14" s="525"/>
      <c r="O14" s="493"/>
    </row>
    <row r="15" spans="2:15" ht="17.25" customHeight="1" x14ac:dyDescent="0.3">
      <c r="B15" s="499"/>
      <c r="C15" s="637"/>
      <c r="D15" s="637"/>
      <c r="E15" s="637"/>
      <c r="F15" s="637"/>
      <c r="G15" s="637"/>
      <c r="H15" s="637"/>
      <c r="I15" s="637"/>
      <c r="J15" s="637"/>
      <c r="K15" s="637"/>
      <c r="L15" s="637"/>
      <c r="M15" s="499"/>
      <c r="N15" s="525"/>
      <c r="O15" s="493"/>
    </row>
    <row r="16" spans="2:15" ht="17.25" customHeight="1" x14ac:dyDescent="0.3">
      <c r="B16" s="496"/>
      <c r="C16" s="638"/>
      <c r="D16" s="638"/>
      <c r="E16" s="638"/>
      <c r="F16" s="638"/>
      <c r="G16" s="638"/>
      <c r="H16" s="638"/>
      <c r="I16" s="638"/>
      <c r="J16" s="638"/>
      <c r="K16" s="638"/>
      <c r="L16" s="638"/>
      <c r="M16" s="496"/>
      <c r="N16" s="525"/>
      <c r="O16" s="493"/>
    </row>
    <row r="17" spans="2:15" ht="17.25" customHeight="1" x14ac:dyDescent="0.3">
      <c r="B17" s="499"/>
      <c r="C17" s="637"/>
      <c r="D17" s="637"/>
      <c r="E17" s="637"/>
      <c r="F17" s="637"/>
      <c r="G17" s="637"/>
      <c r="H17" s="637"/>
      <c r="I17" s="637"/>
      <c r="J17" s="637"/>
      <c r="K17" s="637"/>
      <c r="L17" s="637"/>
      <c r="M17" s="500"/>
      <c r="N17" s="525"/>
      <c r="O17" s="493"/>
    </row>
    <row r="18" spans="2:15" ht="17.25" customHeight="1" x14ac:dyDescent="0.3">
      <c r="B18" s="496"/>
      <c r="C18" s="638"/>
      <c r="D18" s="638"/>
      <c r="E18" s="638"/>
      <c r="F18" s="638"/>
      <c r="G18" s="638"/>
      <c r="H18" s="638"/>
      <c r="I18" s="638"/>
      <c r="J18" s="638"/>
      <c r="K18" s="638"/>
      <c r="L18" s="638"/>
      <c r="M18" s="496"/>
      <c r="N18" s="525"/>
      <c r="O18" s="493"/>
    </row>
    <row r="19" spans="2:15" ht="17.25" customHeight="1" x14ac:dyDescent="0.3">
      <c r="B19" s="499"/>
      <c r="C19" s="637"/>
      <c r="D19" s="637"/>
      <c r="E19" s="637"/>
      <c r="F19" s="637"/>
      <c r="G19" s="637"/>
      <c r="H19" s="637"/>
      <c r="I19" s="637"/>
      <c r="J19" s="637"/>
      <c r="K19" s="637"/>
      <c r="L19" s="637"/>
      <c r="M19" s="499"/>
      <c r="N19" s="525"/>
      <c r="O19" s="493"/>
    </row>
    <row r="20" spans="2:15" ht="17.25" customHeight="1" x14ac:dyDescent="0.3">
      <c r="B20" s="496"/>
      <c r="C20" s="638"/>
      <c r="D20" s="638"/>
      <c r="E20" s="638"/>
      <c r="F20" s="638"/>
      <c r="G20" s="638"/>
      <c r="H20" s="638"/>
      <c r="I20" s="638"/>
      <c r="J20" s="638"/>
      <c r="K20" s="638"/>
      <c r="L20" s="638"/>
      <c r="M20" s="496"/>
      <c r="N20" s="525"/>
      <c r="O20" s="493"/>
    </row>
    <row r="21" spans="2:15" ht="17.25" customHeight="1" x14ac:dyDescent="0.3">
      <c r="B21" s="499"/>
      <c r="C21" s="637"/>
      <c r="D21" s="637"/>
      <c r="E21" s="637"/>
      <c r="F21" s="637"/>
      <c r="G21" s="637"/>
      <c r="H21" s="637"/>
      <c r="I21" s="637"/>
      <c r="J21" s="637"/>
      <c r="K21" s="637"/>
      <c r="L21" s="637"/>
      <c r="M21" s="499"/>
      <c r="N21" s="525"/>
      <c r="O21" s="493"/>
    </row>
    <row r="22" spans="2:15" ht="17.25" customHeight="1" x14ac:dyDescent="0.3">
      <c r="B22" s="496"/>
      <c r="C22" s="638"/>
      <c r="D22" s="638"/>
      <c r="E22" s="638"/>
      <c r="F22" s="638"/>
      <c r="G22" s="638"/>
      <c r="H22" s="638"/>
      <c r="I22" s="638"/>
      <c r="J22" s="638"/>
      <c r="K22" s="638"/>
      <c r="L22" s="638"/>
      <c r="M22" s="496"/>
      <c r="N22" s="525"/>
      <c r="O22" s="493"/>
    </row>
    <row r="23" spans="2:15" ht="17.25" customHeight="1" x14ac:dyDescent="0.3">
      <c r="B23" s="499"/>
      <c r="C23" s="637"/>
      <c r="D23" s="637"/>
      <c r="E23" s="637"/>
      <c r="F23" s="637"/>
      <c r="G23" s="637"/>
      <c r="H23" s="637"/>
      <c r="I23" s="637"/>
      <c r="J23" s="637"/>
      <c r="K23" s="637"/>
      <c r="L23" s="637"/>
      <c r="M23" s="499"/>
      <c r="N23" s="525"/>
      <c r="O23" s="493"/>
    </row>
    <row r="24" spans="2:15" ht="17.25" customHeight="1" x14ac:dyDescent="0.3">
      <c r="B24" s="496"/>
      <c r="C24" s="638"/>
      <c r="D24" s="638"/>
      <c r="E24" s="638"/>
      <c r="F24" s="638"/>
      <c r="G24" s="638"/>
      <c r="H24" s="638"/>
      <c r="I24" s="638"/>
      <c r="J24" s="638"/>
      <c r="K24" s="638"/>
      <c r="L24" s="638"/>
      <c r="M24" s="496"/>
      <c r="N24" s="525"/>
      <c r="O24" s="493"/>
    </row>
    <row r="25" spans="2:15" ht="17.25" customHeight="1" x14ac:dyDescent="0.3">
      <c r="B25" s="499"/>
      <c r="C25" s="637"/>
      <c r="D25" s="637"/>
      <c r="E25" s="637"/>
      <c r="F25" s="637"/>
      <c r="G25" s="637"/>
      <c r="H25" s="637"/>
      <c r="I25" s="637"/>
      <c r="J25" s="637"/>
      <c r="K25" s="637"/>
      <c r="L25" s="637"/>
      <c r="M25" s="500"/>
      <c r="N25" s="525"/>
      <c r="O25" s="493"/>
    </row>
    <row r="26" spans="2:15" ht="17.25" customHeight="1" x14ac:dyDescent="0.3">
      <c r="B26" s="496"/>
      <c r="C26" s="638"/>
      <c r="D26" s="638"/>
      <c r="E26" s="638"/>
      <c r="F26" s="638"/>
      <c r="G26" s="638"/>
      <c r="H26" s="638"/>
      <c r="I26" s="638"/>
      <c r="J26" s="638"/>
      <c r="K26" s="638"/>
      <c r="L26" s="638"/>
      <c r="M26" s="496"/>
      <c r="N26" s="525"/>
      <c r="O26" s="493"/>
    </row>
    <row r="27" spans="2:15" ht="17.25" customHeight="1" x14ac:dyDescent="0.3">
      <c r="B27" s="499"/>
      <c r="C27" s="637"/>
      <c r="D27" s="637"/>
      <c r="E27" s="637"/>
      <c r="F27" s="637"/>
      <c r="G27" s="637"/>
      <c r="H27" s="637"/>
      <c r="I27" s="637"/>
      <c r="J27" s="637"/>
      <c r="K27" s="637"/>
      <c r="L27" s="637"/>
      <c r="M27" s="499"/>
      <c r="N27" s="525"/>
      <c r="O27" s="493"/>
    </row>
    <row r="28" spans="2:15" ht="17.25" customHeight="1" x14ac:dyDescent="0.3">
      <c r="B28" s="496"/>
      <c r="C28" s="638"/>
      <c r="D28" s="638"/>
      <c r="E28" s="638"/>
      <c r="F28" s="638"/>
      <c r="G28" s="638"/>
      <c r="H28" s="638"/>
      <c r="I28" s="638"/>
      <c r="J28" s="638"/>
      <c r="K28" s="638"/>
      <c r="L28" s="638"/>
      <c r="M28" s="496"/>
      <c r="N28" s="525"/>
      <c r="O28" s="493"/>
    </row>
    <row r="29" spans="2:15" ht="17.25" customHeight="1" x14ac:dyDescent="0.3">
      <c r="B29" s="499"/>
      <c r="C29" s="637"/>
      <c r="D29" s="637"/>
      <c r="E29" s="637"/>
      <c r="F29" s="637"/>
      <c r="G29" s="637"/>
      <c r="H29" s="637"/>
      <c r="I29" s="637"/>
      <c r="J29" s="637"/>
      <c r="K29" s="637"/>
      <c r="L29" s="637"/>
      <c r="M29" s="499"/>
      <c r="N29" s="525"/>
      <c r="O29" s="493"/>
    </row>
    <row r="30" spans="2:15" ht="17.25" customHeight="1" x14ac:dyDescent="0.3">
      <c r="B30" s="496"/>
      <c r="C30" s="638"/>
      <c r="D30" s="638"/>
      <c r="E30" s="638"/>
      <c r="F30" s="638"/>
      <c r="G30" s="638"/>
      <c r="H30" s="638"/>
      <c r="I30" s="638"/>
      <c r="J30" s="638"/>
      <c r="K30" s="638"/>
      <c r="L30" s="638"/>
      <c r="M30" s="496"/>
      <c r="N30" s="525"/>
      <c r="O30" s="493"/>
    </row>
    <row r="31" spans="2:15" ht="17.25" customHeight="1" x14ac:dyDescent="0.3">
      <c r="B31" s="499"/>
      <c r="C31" s="637"/>
      <c r="D31" s="637"/>
      <c r="E31" s="637"/>
      <c r="F31" s="637"/>
      <c r="G31" s="637"/>
      <c r="H31" s="637"/>
      <c r="I31" s="637"/>
      <c r="J31" s="637"/>
      <c r="K31" s="637"/>
      <c r="L31" s="637"/>
      <c r="M31" s="499"/>
      <c r="N31" s="525"/>
      <c r="O31" s="493"/>
    </row>
    <row r="32" spans="2:15" ht="17.25" customHeight="1" x14ac:dyDescent="0.3">
      <c r="B32" s="496"/>
      <c r="C32" s="638"/>
      <c r="D32" s="638"/>
      <c r="E32" s="638"/>
      <c r="F32" s="638"/>
      <c r="G32" s="638"/>
      <c r="H32" s="638"/>
      <c r="I32" s="638"/>
      <c r="J32" s="638"/>
      <c r="K32" s="638"/>
      <c r="L32" s="638"/>
      <c r="M32" s="496"/>
      <c r="N32" s="525"/>
      <c r="O32" s="493"/>
    </row>
    <row r="33" spans="2:15" ht="17.25" customHeight="1" x14ac:dyDescent="0.3">
      <c r="B33" s="499"/>
      <c r="C33" s="637"/>
      <c r="D33" s="637"/>
      <c r="E33" s="637"/>
      <c r="F33" s="637"/>
      <c r="G33" s="637"/>
      <c r="H33" s="637"/>
      <c r="I33" s="637"/>
      <c r="J33" s="637"/>
      <c r="K33" s="637"/>
      <c r="L33" s="637"/>
      <c r="M33" s="499"/>
      <c r="N33" s="525"/>
      <c r="O33" s="493"/>
    </row>
    <row r="34" spans="2:15" ht="17.25" customHeight="1" x14ac:dyDescent="0.3">
      <c r="B34" s="496"/>
      <c r="C34" s="638"/>
      <c r="D34" s="638"/>
      <c r="E34" s="638"/>
      <c r="F34" s="638"/>
      <c r="G34" s="638"/>
      <c r="H34" s="638"/>
      <c r="I34" s="638"/>
      <c r="J34" s="638"/>
      <c r="K34" s="638"/>
      <c r="L34" s="638"/>
      <c r="M34" s="497"/>
      <c r="N34" s="525"/>
      <c r="O34" s="493"/>
    </row>
    <row r="35" spans="2:15" ht="17.25" customHeight="1" x14ac:dyDescent="0.3">
      <c r="B35" s="499"/>
      <c r="C35" s="637"/>
      <c r="D35" s="637"/>
      <c r="E35" s="637"/>
      <c r="F35" s="637"/>
      <c r="G35" s="637"/>
      <c r="H35" s="637"/>
      <c r="I35" s="637"/>
      <c r="J35" s="637"/>
      <c r="K35" s="637"/>
      <c r="L35" s="637"/>
      <c r="M35" s="499"/>
      <c r="N35" s="525"/>
      <c r="O35" s="493"/>
    </row>
    <row r="36" spans="2:15" ht="17.25" customHeight="1" x14ac:dyDescent="0.3">
      <c r="B36" s="496"/>
      <c r="C36" s="638"/>
      <c r="D36" s="638"/>
      <c r="E36" s="638"/>
      <c r="F36" s="638"/>
      <c r="G36" s="638"/>
      <c r="H36" s="638"/>
      <c r="I36" s="638"/>
      <c r="J36" s="638"/>
      <c r="K36" s="638"/>
      <c r="L36" s="638"/>
      <c r="M36" s="496"/>
      <c r="N36" s="525"/>
      <c r="O36" s="493"/>
    </row>
    <row r="37" spans="2:15" ht="17.25" customHeight="1" x14ac:dyDescent="0.3">
      <c r="B37" s="499"/>
      <c r="C37" s="637"/>
      <c r="D37" s="637"/>
      <c r="E37" s="637"/>
      <c r="F37" s="637"/>
      <c r="G37" s="637"/>
      <c r="H37" s="637"/>
      <c r="I37" s="637"/>
      <c r="J37" s="637"/>
      <c r="K37" s="637"/>
      <c r="L37" s="637"/>
      <c r="M37" s="499"/>
      <c r="N37" s="525"/>
      <c r="O37" s="493"/>
    </row>
    <row r="38" spans="2:15" ht="17.25" customHeight="1" x14ac:dyDescent="0.3">
      <c r="B38" s="496"/>
      <c r="C38" s="638"/>
      <c r="D38" s="638"/>
      <c r="E38" s="638"/>
      <c r="F38" s="638"/>
      <c r="G38" s="638"/>
      <c r="H38" s="638"/>
      <c r="I38" s="638"/>
      <c r="J38" s="638"/>
      <c r="K38" s="638"/>
      <c r="L38" s="638"/>
      <c r="M38" s="496"/>
      <c r="N38" s="525"/>
      <c r="O38" s="493"/>
    </row>
    <row r="39" spans="2:15" ht="17.25" customHeight="1" x14ac:dyDescent="0.3">
      <c r="B39" s="499"/>
      <c r="C39" s="637"/>
      <c r="D39" s="637"/>
      <c r="E39" s="637"/>
      <c r="F39" s="637"/>
      <c r="G39" s="637"/>
      <c r="H39" s="637"/>
      <c r="I39" s="637"/>
      <c r="J39" s="637"/>
      <c r="K39" s="637"/>
      <c r="L39" s="637"/>
      <c r="M39" s="499"/>
      <c r="N39" s="525"/>
      <c r="O39" s="493"/>
    </row>
    <row r="40" spans="2:15" ht="17.25" customHeight="1" x14ac:dyDescent="0.3">
      <c r="B40" s="496"/>
      <c r="C40" s="638"/>
      <c r="D40" s="638"/>
      <c r="E40" s="638"/>
      <c r="F40" s="638"/>
      <c r="G40" s="638"/>
      <c r="H40" s="638"/>
      <c r="I40" s="638"/>
      <c r="J40" s="638"/>
      <c r="K40" s="638"/>
      <c r="L40" s="638"/>
      <c r="M40" s="496"/>
      <c r="N40" s="525"/>
      <c r="O40" s="493"/>
    </row>
    <row r="41" spans="2:15" ht="17.25" customHeight="1" x14ac:dyDescent="0.3">
      <c r="B41" s="499"/>
      <c r="C41" s="637"/>
      <c r="D41" s="637"/>
      <c r="E41" s="637"/>
      <c r="F41" s="637"/>
      <c r="G41" s="637"/>
      <c r="H41" s="637"/>
      <c r="I41" s="637"/>
      <c r="J41" s="637"/>
      <c r="K41" s="637"/>
      <c r="L41" s="637"/>
      <c r="M41" s="499"/>
      <c r="N41" s="525"/>
      <c r="O41" s="493"/>
    </row>
    <row r="42" spans="2:15" ht="17.25" customHeight="1" x14ac:dyDescent="0.3">
      <c r="B42" s="496"/>
      <c r="C42" s="638"/>
      <c r="D42" s="638"/>
      <c r="E42" s="638"/>
      <c r="F42" s="638"/>
      <c r="G42" s="638"/>
      <c r="H42" s="638"/>
      <c r="I42" s="638"/>
      <c r="J42" s="638"/>
      <c r="K42" s="638"/>
      <c r="L42" s="638"/>
      <c r="M42" s="497"/>
      <c r="N42" s="525"/>
      <c r="O42" s="493"/>
    </row>
    <row r="43" spans="2:15" ht="17.25" customHeight="1" x14ac:dyDescent="0.3">
      <c r="B43" s="499"/>
      <c r="C43" s="637"/>
      <c r="D43" s="637"/>
      <c r="E43" s="637"/>
      <c r="F43" s="637"/>
      <c r="G43" s="637"/>
      <c r="H43" s="637"/>
      <c r="I43" s="637"/>
      <c r="J43" s="637"/>
      <c r="K43" s="637"/>
      <c r="L43" s="637"/>
      <c r="M43" s="499"/>
      <c r="N43" s="525"/>
      <c r="O43" s="493"/>
    </row>
    <row r="44" spans="2:15" ht="17.25" customHeight="1" x14ac:dyDescent="0.3">
      <c r="B44" s="496"/>
      <c r="C44" s="638"/>
      <c r="D44" s="638"/>
      <c r="E44" s="638"/>
      <c r="F44" s="638"/>
      <c r="G44" s="638"/>
      <c r="H44" s="638"/>
      <c r="I44" s="638"/>
      <c r="J44" s="638"/>
      <c r="K44" s="638"/>
      <c r="L44" s="638"/>
      <c r="M44" s="496"/>
      <c r="N44" s="525"/>
      <c r="O44" s="493"/>
    </row>
    <row r="45" spans="2:15" ht="17.25" customHeight="1" x14ac:dyDescent="0.3">
      <c r="B45" s="499"/>
      <c r="C45" s="637"/>
      <c r="D45" s="637"/>
      <c r="E45" s="637"/>
      <c r="F45" s="637"/>
      <c r="G45" s="637"/>
      <c r="H45" s="637"/>
      <c r="I45" s="637"/>
      <c r="J45" s="637"/>
      <c r="K45" s="637"/>
      <c r="L45" s="637"/>
      <c r="M45" s="499"/>
      <c r="N45" s="525"/>
      <c r="O45" s="493"/>
    </row>
    <row r="46" spans="2:15" ht="17.25" customHeight="1" x14ac:dyDescent="0.3">
      <c r="B46" s="496"/>
      <c r="C46" s="638"/>
      <c r="D46" s="638"/>
      <c r="E46" s="638"/>
      <c r="F46" s="638"/>
      <c r="G46" s="638"/>
      <c r="H46" s="638"/>
      <c r="I46" s="638"/>
      <c r="J46" s="638"/>
      <c r="K46" s="638"/>
      <c r="L46" s="638"/>
      <c r="M46" s="496"/>
      <c r="N46" s="525"/>
      <c r="O46" s="493"/>
    </row>
    <row r="47" spans="2:15" ht="17.25" customHeight="1" x14ac:dyDescent="0.3">
      <c r="B47" s="499"/>
      <c r="C47" s="637"/>
      <c r="D47" s="637"/>
      <c r="E47" s="637"/>
      <c r="F47" s="637"/>
      <c r="G47" s="637"/>
      <c r="H47" s="637"/>
      <c r="I47" s="637"/>
      <c r="J47" s="637"/>
      <c r="K47" s="637"/>
      <c r="L47" s="637"/>
      <c r="M47" s="499"/>
      <c r="N47" s="525"/>
      <c r="O47" s="493"/>
    </row>
    <row r="48" spans="2:15" ht="17.25" customHeight="1" x14ac:dyDescent="0.3">
      <c r="B48" s="496"/>
      <c r="C48" s="638"/>
      <c r="D48" s="638"/>
      <c r="E48" s="638"/>
      <c r="F48" s="638"/>
      <c r="G48" s="638"/>
      <c r="H48" s="638"/>
      <c r="I48" s="638"/>
      <c r="J48" s="638"/>
      <c r="K48" s="638"/>
      <c r="L48" s="638"/>
      <c r="M48" s="496"/>
      <c r="N48" s="525"/>
      <c r="O48" s="493"/>
    </row>
    <row r="49" spans="2:15" ht="17.25" customHeight="1" x14ac:dyDescent="0.3">
      <c r="B49" s="499"/>
      <c r="C49" s="637"/>
      <c r="D49" s="637"/>
      <c r="E49" s="637"/>
      <c r="F49" s="637"/>
      <c r="G49" s="637"/>
      <c r="H49" s="637"/>
      <c r="I49" s="637"/>
      <c r="J49" s="637"/>
      <c r="K49" s="637"/>
      <c r="L49" s="637"/>
      <c r="M49" s="499"/>
      <c r="N49" s="525"/>
      <c r="O49" s="493"/>
    </row>
    <row r="50" spans="2:15" ht="17.25" customHeight="1" x14ac:dyDescent="0.3">
      <c r="B50" s="496"/>
      <c r="C50" s="638"/>
      <c r="D50" s="638"/>
      <c r="E50" s="638"/>
      <c r="F50" s="638"/>
      <c r="G50" s="638"/>
      <c r="H50" s="638"/>
      <c r="I50" s="638"/>
      <c r="J50" s="638"/>
      <c r="K50" s="638"/>
      <c r="L50" s="638"/>
      <c r="M50" s="496"/>
      <c r="N50" s="525"/>
      <c r="O50" s="493"/>
    </row>
    <row r="51" spans="2:15" ht="17.25" customHeight="1" x14ac:dyDescent="0.3">
      <c r="B51" s="499"/>
      <c r="C51" s="637"/>
      <c r="D51" s="637"/>
      <c r="E51" s="637"/>
      <c r="F51" s="637"/>
      <c r="G51" s="637"/>
      <c r="H51" s="637"/>
      <c r="I51" s="637"/>
      <c r="J51" s="637"/>
      <c r="K51" s="637"/>
      <c r="L51" s="637"/>
      <c r="M51" s="500"/>
      <c r="N51" s="525"/>
      <c r="O51" s="493"/>
    </row>
    <row r="52" spans="2:15" ht="17.25" customHeight="1" x14ac:dyDescent="0.3">
      <c r="B52" s="496"/>
      <c r="C52" s="638"/>
      <c r="D52" s="638"/>
      <c r="E52" s="638"/>
      <c r="F52" s="638"/>
      <c r="G52" s="638"/>
      <c r="H52" s="638"/>
      <c r="I52" s="638"/>
      <c r="J52" s="638"/>
      <c r="K52" s="638"/>
      <c r="L52" s="638"/>
      <c r="M52" s="496"/>
      <c r="N52" s="525"/>
      <c r="O52" s="493"/>
    </row>
    <row r="53" spans="2:15" ht="17.25" customHeight="1" x14ac:dyDescent="0.3">
      <c r="B53" s="499"/>
      <c r="C53" s="637"/>
      <c r="D53" s="637"/>
      <c r="E53" s="637"/>
      <c r="F53" s="637"/>
      <c r="G53" s="637"/>
      <c r="H53" s="637"/>
      <c r="I53" s="637"/>
      <c r="J53" s="637"/>
      <c r="K53" s="637"/>
      <c r="L53" s="637"/>
      <c r="M53" s="499"/>
      <c r="N53" s="525"/>
      <c r="O53" s="493"/>
    </row>
    <row r="54" spans="2:15" ht="17.25" customHeight="1" x14ac:dyDescent="0.3">
      <c r="B54" s="496"/>
      <c r="C54" s="638"/>
      <c r="D54" s="638"/>
      <c r="E54" s="638"/>
      <c r="F54" s="638"/>
      <c r="G54" s="638"/>
      <c r="H54" s="638"/>
      <c r="I54" s="638"/>
      <c r="J54" s="638"/>
      <c r="K54" s="638"/>
      <c r="L54" s="638"/>
      <c r="M54" s="496"/>
      <c r="N54" s="525"/>
      <c r="O54" s="493"/>
    </row>
    <row r="55" spans="2:15" ht="17.25" customHeight="1" x14ac:dyDescent="0.3">
      <c r="B55" s="499"/>
      <c r="C55" s="637"/>
      <c r="D55" s="637"/>
      <c r="E55" s="637"/>
      <c r="F55" s="637"/>
      <c r="G55" s="637"/>
      <c r="H55" s="637"/>
      <c r="I55" s="637"/>
      <c r="J55" s="637"/>
      <c r="K55" s="637"/>
      <c r="L55" s="637"/>
      <c r="M55" s="499"/>
      <c r="N55" s="525"/>
      <c r="O55" s="493"/>
    </row>
    <row r="56" spans="2:15" ht="17.25" customHeight="1" x14ac:dyDescent="0.3">
      <c r="B56" s="496"/>
      <c r="C56" s="638"/>
      <c r="D56" s="638"/>
      <c r="E56" s="638"/>
      <c r="F56" s="638"/>
      <c r="G56" s="638"/>
      <c r="H56" s="638"/>
      <c r="I56" s="638"/>
      <c r="J56" s="638"/>
      <c r="K56" s="638"/>
      <c r="L56" s="638"/>
      <c r="M56" s="496"/>
      <c r="N56" s="525"/>
      <c r="O56" s="493"/>
    </row>
    <row r="57" spans="2:15" ht="17.25" customHeight="1" x14ac:dyDescent="0.3">
      <c r="B57" s="499"/>
      <c r="C57" s="637"/>
      <c r="D57" s="637"/>
      <c r="E57" s="637"/>
      <c r="F57" s="637"/>
      <c r="G57" s="637"/>
      <c r="H57" s="637"/>
      <c r="I57" s="637"/>
      <c r="J57" s="637"/>
      <c r="K57" s="637"/>
      <c r="L57" s="637"/>
      <c r="M57" s="499"/>
      <c r="N57" s="525"/>
      <c r="O57" s="493"/>
    </row>
    <row r="58" spans="2:15" ht="17.25" customHeight="1" x14ac:dyDescent="0.3">
      <c r="B58" s="496"/>
      <c r="C58" s="638"/>
      <c r="D58" s="638"/>
      <c r="E58" s="638"/>
      <c r="F58" s="638"/>
      <c r="G58" s="638"/>
      <c r="H58" s="638"/>
      <c r="I58" s="638"/>
      <c r="J58" s="638"/>
      <c r="K58" s="638"/>
      <c r="L58" s="638"/>
      <c r="M58" s="496"/>
      <c r="N58" s="525"/>
      <c r="O58" s="493"/>
    </row>
    <row r="59" spans="2:15" ht="17.25" customHeight="1" x14ac:dyDescent="0.3">
      <c r="B59" s="499"/>
      <c r="C59" s="637"/>
      <c r="D59" s="637"/>
      <c r="E59" s="637"/>
      <c r="F59" s="637"/>
      <c r="G59" s="637"/>
      <c r="H59" s="637"/>
      <c r="I59" s="637"/>
      <c r="J59" s="637"/>
      <c r="K59" s="637"/>
      <c r="L59" s="637"/>
      <c r="M59" s="500"/>
      <c r="N59" s="525"/>
      <c r="O59" s="493"/>
    </row>
    <row r="60" spans="2:15" ht="17.25" customHeight="1" x14ac:dyDescent="0.3">
      <c r="B60" s="496"/>
      <c r="C60" s="638"/>
      <c r="D60" s="638"/>
      <c r="E60" s="638"/>
      <c r="F60" s="638"/>
      <c r="G60" s="638"/>
      <c r="H60" s="638"/>
      <c r="I60" s="638"/>
      <c r="J60" s="638"/>
      <c r="K60" s="638"/>
      <c r="L60" s="638"/>
      <c r="M60" s="496"/>
      <c r="N60" s="525"/>
      <c r="O60" s="493"/>
    </row>
    <row r="61" spans="2:15" ht="17.25" customHeight="1" x14ac:dyDescent="0.3">
      <c r="B61" s="499"/>
      <c r="C61" s="637"/>
      <c r="D61" s="637"/>
      <c r="E61" s="637"/>
      <c r="F61" s="637"/>
      <c r="G61" s="637"/>
      <c r="H61" s="637"/>
      <c r="I61" s="637"/>
      <c r="J61" s="637"/>
      <c r="K61" s="637"/>
      <c r="L61" s="637"/>
      <c r="M61" s="499"/>
      <c r="N61" s="525"/>
      <c r="O61" s="493"/>
    </row>
    <row r="62" spans="2:15" ht="17.25" customHeight="1" x14ac:dyDescent="0.3">
      <c r="B62" s="496"/>
      <c r="C62" s="638"/>
      <c r="D62" s="638"/>
      <c r="E62" s="638"/>
      <c r="F62" s="638"/>
      <c r="G62" s="638"/>
      <c r="H62" s="638"/>
      <c r="I62" s="638"/>
      <c r="J62" s="638"/>
      <c r="K62" s="638"/>
      <c r="L62" s="638"/>
      <c r="M62" s="496"/>
      <c r="N62" s="525"/>
      <c r="O62" s="493"/>
    </row>
    <row r="63" spans="2:15" ht="17.25" customHeight="1" x14ac:dyDescent="0.3">
      <c r="B63" s="499"/>
      <c r="C63" s="637"/>
      <c r="D63" s="637"/>
      <c r="E63" s="637"/>
      <c r="F63" s="637"/>
      <c r="G63" s="637"/>
      <c r="H63" s="637"/>
      <c r="I63" s="637"/>
      <c r="J63" s="637"/>
      <c r="K63" s="637"/>
      <c r="L63" s="637"/>
      <c r="M63" s="499"/>
      <c r="N63" s="525"/>
      <c r="O63" s="493"/>
    </row>
    <row r="64" spans="2:15" ht="17.25" customHeight="1" x14ac:dyDescent="0.3">
      <c r="B64" s="496"/>
      <c r="C64" s="638"/>
      <c r="D64" s="638"/>
      <c r="E64" s="638"/>
      <c r="F64" s="638"/>
      <c r="G64" s="638"/>
      <c r="H64" s="638"/>
      <c r="I64" s="638"/>
      <c r="J64" s="638"/>
      <c r="K64" s="638"/>
      <c r="L64" s="638"/>
      <c r="M64" s="496"/>
      <c r="N64" s="525"/>
      <c r="O64" s="493"/>
    </row>
    <row r="65" spans="2:15" ht="17.25" customHeight="1" x14ac:dyDescent="0.3">
      <c r="B65" s="499"/>
      <c r="C65" s="637"/>
      <c r="D65" s="637"/>
      <c r="E65" s="637"/>
      <c r="F65" s="637"/>
      <c r="G65" s="637"/>
      <c r="H65" s="637"/>
      <c r="I65" s="637"/>
      <c r="J65" s="637"/>
      <c r="K65" s="637"/>
      <c r="L65" s="637"/>
      <c r="M65" s="499"/>
      <c r="N65" s="525"/>
      <c r="O65" s="493"/>
    </row>
    <row r="66" spans="2:15" ht="17.25" customHeight="1" x14ac:dyDescent="0.3">
      <c r="B66" s="496"/>
      <c r="C66" s="638"/>
      <c r="D66" s="638"/>
      <c r="E66" s="638"/>
      <c r="F66" s="638"/>
      <c r="G66" s="638"/>
      <c r="H66" s="638"/>
      <c r="I66" s="638"/>
      <c r="J66" s="638"/>
      <c r="K66" s="638"/>
      <c r="L66" s="638"/>
      <c r="M66" s="496"/>
      <c r="N66" s="525"/>
      <c r="O66" s="493"/>
    </row>
    <row r="67" spans="2:15" ht="17.25" customHeight="1" x14ac:dyDescent="0.3">
      <c r="B67" s="499"/>
      <c r="C67" s="637"/>
      <c r="D67" s="637"/>
      <c r="E67" s="637"/>
      <c r="F67" s="637"/>
      <c r="G67" s="637"/>
      <c r="H67" s="637"/>
      <c r="I67" s="637"/>
      <c r="J67" s="637"/>
      <c r="K67" s="637"/>
      <c r="L67" s="637"/>
      <c r="M67" s="499"/>
      <c r="N67" s="525"/>
      <c r="O67" s="493"/>
    </row>
    <row r="68" spans="2:15" ht="17.25" customHeight="1" x14ac:dyDescent="0.3">
      <c r="B68" s="496"/>
      <c r="C68" s="638"/>
      <c r="D68" s="638"/>
      <c r="E68" s="638"/>
      <c r="F68" s="638"/>
      <c r="G68" s="638"/>
      <c r="H68" s="638"/>
      <c r="I68" s="638"/>
      <c r="J68" s="638"/>
      <c r="K68" s="638"/>
      <c r="L68" s="638"/>
      <c r="M68" s="497"/>
      <c r="N68" s="525"/>
      <c r="O68" s="493"/>
    </row>
    <row r="69" spans="2:15" ht="17.25" customHeight="1" x14ac:dyDescent="0.3">
      <c r="B69" s="499"/>
      <c r="C69" s="637"/>
      <c r="D69" s="637"/>
      <c r="E69" s="637"/>
      <c r="F69" s="637"/>
      <c r="G69" s="637"/>
      <c r="H69" s="637"/>
      <c r="I69" s="637"/>
      <c r="J69" s="637"/>
      <c r="K69" s="637"/>
      <c r="L69" s="637"/>
      <c r="M69" s="499"/>
      <c r="N69" s="525"/>
      <c r="O69" s="493"/>
    </row>
    <row r="70" spans="2:15" ht="17.25" customHeight="1" x14ac:dyDescent="0.3">
      <c r="B70" s="496"/>
      <c r="C70" s="638"/>
      <c r="D70" s="638"/>
      <c r="E70" s="638"/>
      <c r="F70" s="638"/>
      <c r="G70" s="638"/>
      <c r="H70" s="638"/>
      <c r="I70" s="638"/>
      <c r="J70" s="638"/>
      <c r="K70" s="638"/>
      <c r="L70" s="638"/>
      <c r="M70" s="496"/>
      <c r="N70" s="525"/>
      <c r="O70" s="493"/>
    </row>
    <row r="71" spans="2:15" ht="17.25" customHeight="1" x14ac:dyDescent="0.3">
      <c r="B71" s="499"/>
      <c r="C71" s="637"/>
      <c r="D71" s="637"/>
      <c r="E71" s="637"/>
      <c r="F71" s="637"/>
      <c r="G71" s="637"/>
      <c r="H71" s="637"/>
      <c r="I71" s="637"/>
      <c r="J71" s="637"/>
      <c r="K71" s="637"/>
      <c r="L71" s="637"/>
      <c r="M71" s="499"/>
      <c r="N71" s="525"/>
      <c r="O71" s="493"/>
    </row>
    <row r="72" spans="2:15" ht="17.25" customHeight="1" x14ac:dyDescent="0.3">
      <c r="B72" s="496"/>
      <c r="C72" s="638"/>
      <c r="D72" s="638"/>
      <c r="E72" s="638"/>
      <c r="F72" s="638"/>
      <c r="G72" s="638"/>
      <c r="H72" s="638"/>
      <c r="I72" s="638"/>
      <c r="J72" s="638"/>
      <c r="K72" s="638"/>
      <c r="L72" s="638"/>
      <c r="M72" s="496"/>
      <c r="N72" s="525"/>
      <c r="O72" s="493"/>
    </row>
    <row r="73" spans="2:15" ht="17.25" customHeight="1" x14ac:dyDescent="0.3">
      <c r="B73" s="499"/>
      <c r="C73" s="637"/>
      <c r="D73" s="637"/>
      <c r="E73" s="637"/>
      <c r="F73" s="637"/>
      <c r="G73" s="637"/>
      <c r="H73" s="637"/>
      <c r="I73" s="637"/>
      <c r="J73" s="637"/>
      <c r="K73" s="637"/>
      <c r="L73" s="637"/>
      <c r="M73" s="499"/>
      <c r="N73" s="525"/>
      <c r="O73" s="493"/>
    </row>
    <row r="74" spans="2:15" ht="17.25" customHeight="1" x14ac:dyDescent="0.3">
      <c r="B74" s="496"/>
      <c r="C74" s="638"/>
      <c r="D74" s="638"/>
      <c r="E74" s="638"/>
      <c r="F74" s="638"/>
      <c r="G74" s="638"/>
      <c r="H74" s="638"/>
      <c r="I74" s="638"/>
      <c r="J74" s="638"/>
      <c r="K74" s="638"/>
      <c r="L74" s="638"/>
      <c r="M74" s="496"/>
      <c r="N74" s="525"/>
      <c r="O74" s="493"/>
    </row>
    <row r="75" spans="2:15" ht="17.25" customHeight="1" x14ac:dyDescent="0.3">
      <c r="B75" s="499"/>
      <c r="C75" s="637"/>
      <c r="D75" s="637"/>
      <c r="E75" s="637"/>
      <c r="F75" s="637"/>
      <c r="G75" s="637"/>
      <c r="H75" s="637"/>
      <c r="I75" s="637"/>
      <c r="J75" s="637"/>
      <c r="K75" s="637"/>
      <c r="L75" s="637"/>
      <c r="M75" s="499"/>
      <c r="N75" s="525"/>
      <c r="O75" s="493"/>
    </row>
    <row r="76" spans="2:15" ht="17.25" customHeight="1" x14ac:dyDescent="0.3">
      <c r="B76" s="496"/>
      <c r="C76" s="638"/>
      <c r="D76" s="638"/>
      <c r="E76" s="638"/>
      <c r="F76" s="638"/>
      <c r="G76" s="638"/>
      <c r="H76" s="638"/>
      <c r="I76" s="638"/>
      <c r="J76" s="638"/>
      <c r="K76" s="638"/>
      <c r="L76" s="638"/>
      <c r="M76" s="497"/>
      <c r="N76" s="525"/>
      <c r="O76" s="493"/>
    </row>
    <row r="77" spans="2:15" ht="17.25" customHeight="1" x14ac:dyDescent="0.3">
      <c r="B77" s="499"/>
      <c r="C77" s="637"/>
      <c r="D77" s="637"/>
      <c r="E77" s="637"/>
      <c r="F77" s="637"/>
      <c r="G77" s="637"/>
      <c r="H77" s="637"/>
      <c r="I77" s="637"/>
      <c r="J77" s="637"/>
      <c r="K77" s="637"/>
      <c r="L77" s="637"/>
      <c r="M77" s="499"/>
      <c r="N77" s="525"/>
      <c r="O77" s="493"/>
    </row>
    <row r="78" spans="2:15" ht="17.25" customHeight="1" x14ac:dyDescent="0.3">
      <c r="B78" s="496"/>
      <c r="C78" s="638"/>
      <c r="D78" s="638"/>
      <c r="E78" s="638"/>
      <c r="F78" s="638"/>
      <c r="G78" s="638"/>
      <c r="H78" s="638"/>
      <c r="I78" s="638"/>
      <c r="J78" s="638"/>
      <c r="K78" s="638"/>
      <c r="L78" s="638"/>
      <c r="M78" s="496"/>
      <c r="N78" s="525"/>
      <c r="O78" s="493"/>
    </row>
    <row r="79" spans="2:15" ht="17.25" customHeight="1" x14ac:dyDescent="0.3">
      <c r="B79" s="499"/>
      <c r="C79" s="637"/>
      <c r="D79" s="637"/>
      <c r="E79" s="637"/>
      <c r="F79" s="637"/>
      <c r="G79" s="637"/>
      <c r="H79" s="637"/>
      <c r="I79" s="637"/>
      <c r="J79" s="637"/>
      <c r="K79" s="637"/>
      <c r="L79" s="637"/>
      <c r="M79" s="499"/>
      <c r="N79" s="525"/>
      <c r="O79" s="493"/>
    </row>
    <row r="80" spans="2:15" ht="17.25" customHeight="1" x14ac:dyDescent="0.3">
      <c r="B80" s="496"/>
      <c r="C80" s="638"/>
      <c r="D80" s="638"/>
      <c r="E80" s="638"/>
      <c r="F80" s="638"/>
      <c r="G80" s="638"/>
      <c r="H80" s="638"/>
      <c r="I80" s="638"/>
      <c r="J80" s="638"/>
      <c r="K80" s="638"/>
      <c r="L80" s="638"/>
      <c r="M80" s="496"/>
      <c r="N80" s="525"/>
      <c r="O80" s="493"/>
    </row>
    <row r="81" spans="2:15" ht="17.25" customHeight="1" x14ac:dyDescent="0.3">
      <c r="B81" s="499"/>
      <c r="C81" s="637"/>
      <c r="D81" s="637"/>
      <c r="E81" s="637"/>
      <c r="F81" s="637"/>
      <c r="G81" s="637"/>
      <c r="H81" s="637"/>
      <c r="I81" s="637"/>
      <c r="J81" s="637"/>
      <c r="K81" s="637"/>
      <c r="L81" s="637"/>
      <c r="M81" s="499"/>
      <c r="N81" s="525"/>
      <c r="O81" s="493"/>
    </row>
    <row r="82" spans="2:15" ht="17.25" customHeight="1" x14ac:dyDescent="0.3">
      <c r="B82" s="496"/>
      <c r="C82" s="638"/>
      <c r="D82" s="638"/>
      <c r="E82" s="638"/>
      <c r="F82" s="638"/>
      <c r="G82" s="638"/>
      <c r="H82" s="638"/>
      <c r="I82" s="638"/>
      <c r="J82" s="638"/>
      <c r="K82" s="638"/>
      <c r="L82" s="638"/>
      <c r="M82" s="496"/>
      <c r="N82" s="525"/>
      <c r="O82" s="493"/>
    </row>
    <row r="83" spans="2:15" ht="17.25" customHeight="1" x14ac:dyDescent="0.3">
      <c r="B83" s="499"/>
      <c r="C83" s="637"/>
      <c r="D83" s="637"/>
      <c r="E83" s="637"/>
      <c r="F83" s="637"/>
      <c r="G83" s="637"/>
      <c r="H83" s="637"/>
      <c r="I83" s="637"/>
      <c r="J83" s="637"/>
      <c r="K83" s="637"/>
      <c r="L83" s="637"/>
      <c r="M83" s="499"/>
      <c r="N83" s="525"/>
      <c r="O83" s="493"/>
    </row>
    <row r="84" spans="2:15" ht="17.25" customHeight="1" x14ac:dyDescent="0.3">
      <c r="B84" s="496"/>
      <c r="C84" s="638"/>
      <c r="D84" s="638"/>
      <c r="E84" s="638"/>
      <c r="F84" s="638"/>
      <c r="G84" s="638"/>
      <c r="H84" s="638"/>
      <c r="I84" s="638"/>
      <c r="J84" s="638"/>
      <c r="K84" s="638"/>
      <c r="L84" s="638"/>
      <c r="M84" s="496"/>
      <c r="N84" s="525"/>
      <c r="O84" s="493"/>
    </row>
    <row r="85" spans="2:15" ht="17.25" customHeight="1" x14ac:dyDescent="0.3">
      <c r="B85" s="499"/>
      <c r="C85" s="637"/>
      <c r="D85" s="637"/>
      <c r="E85" s="637"/>
      <c r="F85" s="637"/>
      <c r="G85" s="637"/>
      <c r="H85" s="637"/>
      <c r="I85" s="637"/>
      <c r="J85" s="637"/>
      <c r="K85" s="637"/>
      <c r="L85" s="637"/>
      <c r="M85" s="500"/>
      <c r="N85" s="525"/>
      <c r="O85" s="493"/>
    </row>
    <row r="86" spans="2:15" ht="17.25" customHeight="1" x14ac:dyDescent="0.3">
      <c r="B86" s="496"/>
      <c r="C86" s="638"/>
      <c r="D86" s="638"/>
      <c r="E86" s="638"/>
      <c r="F86" s="638"/>
      <c r="G86" s="638"/>
      <c r="H86" s="638"/>
      <c r="I86" s="638"/>
      <c r="J86" s="638"/>
      <c r="K86" s="638"/>
      <c r="L86" s="638"/>
      <c r="M86" s="496"/>
      <c r="N86" s="525"/>
      <c r="O86" s="493"/>
    </row>
    <row r="87" spans="2:15" ht="17.25" customHeight="1" x14ac:dyDescent="0.3">
      <c r="B87" s="499"/>
      <c r="C87" s="637"/>
      <c r="D87" s="637"/>
      <c r="E87" s="637"/>
      <c r="F87" s="637"/>
      <c r="G87" s="637"/>
      <c r="H87" s="637"/>
      <c r="I87" s="637"/>
      <c r="J87" s="637"/>
      <c r="K87" s="637"/>
      <c r="L87" s="637"/>
      <c r="M87" s="499"/>
      <c r="N87" s="525"/>
      <c r="O87" s="493"/>
    </row>
    <row r="88" spans="2:15" ht="17.25" customHeight="1" x14ac:dyDescent="0.3">
      <c r="B88" s="496"/>
      <c r="C88" s="638"/>
      <c r="D88" s="638"/>
      <c r="E88" s="638"/>
      <c r="F88" s="638"/>
      <c r="G88" s="638"/>
      <c r="H88" s="638"/>
      <c r="I88" s="638"/>
      <c r="J88" s="638"/>
      <c r="K88" s="638"/>
      <c r="L88" s="638"/>
      <c r="M88" s="496"/>
      <c r="N88" s="525"/>
      <c r="O88" s="493"/>
    </row>
    <row r="89" spans="2:15" ht="17.25" customHeight="1" x14ac:dyDescent="0.3">
      <c r="B89" s="499"/>
      <c r="C89" s="637"/>
      <c r="D89" s="637"/>
      <c r="E89" s="637"/>
      <c r="F89" s="637"/>
      <c r="G89" s="637"/>
      <c r="H89" s="637"/>
      <c r="I89" s="637"/>
      <c r="J89" s="637"/>
      <c r="K89" s="637"/>
      <c r="L89" s="637"/>
      <c r="M89" s="499"/>
      <c r="N89" s="525"/>
      <c r="O89" s="493"/>
    </row>
    <row r="90" spans="2:15" ht="17.25" customHeight="1" x14ac:dyDescent="0.3">
      <c r="B90" s="496"/>
      <c r="C90" s="638"/>
      <c r="D90" s="638"/>
      <c r="E90" s="638"/>
      <c r="F90" s="638"/>
      <c r="G90" s="638"/>
      <c r="H90" s="638"/>
      <c r="I90" s="638"/>
      <c r="J90" s="638"/>
      <c r="K90" s="638"/>
      <c r="L90" s="638"/>
      <c r="M90" s="496"/>
      <c r="N90" s="525"/>
      <c r="O90" s="493"/>
    </row>
    <row r="91" spans="2:15" ht="17.25" customHeight="1" x14ac:dyDescent="0.3">
      <c r="B91" s="499"/>
      <c r="C91" s="637"/>
      <c r="D91" s="637"/>
      <c r="E91" s="637"/>
      <c r="F91" s="637"/>
      <c r="G91" s="637"/>
      <c r="H91" s="637"/>
      <c r="I91" s="637"/>
      <c r="J91" s="637"/>
      <c r="K91" s="637"/>
      <c r="L91" s="637"/>
      <c r="M91" s="499"/>
      <c r="N91" s="525"/>
      <c r="O91" s="493"/>
    </row>
    <row r="92" spans="2:15" ht="17.25" customHeight="1" x14ac:dyDescent="0.3">
      <c r="B92" s="496"/>
      <c r="C92" s="638"/>
      <c r="D92" s="638"/>
      <c r="E92" s="638"/>
      <c r="F92" s="638"/>
      <c r="G92" s="638"/>
      <c r="H92" s="638"/>
      <c r="I92" s="638"/>
      <c r="J92" s="638"/>
      <c r="K92" s="638"/>
      <c r="L92" s="638"/>
      <c r="M92" s="496"/>
      <c r="N92" s="525"/>
      <c r="O92" s="493"/>
    </row>
    <row r="93" spans="2:15" ht="17.25" customHeight="1" x14ac:dyDescent="0.3">
      <c r="B93" s="499"/>
      <c r="C93" s="637"/>
      <c r="D93" s="637"/>
      <c r="E93" s="637"/>
      <c r="F93" s="637"/>
      <c r="G93" s="637"/>
      <c r="H93" s="637"/>
      <c r="I93" s="637"/>
      <c r="J93" s="637"/>
      <c r="K93" s="637"/>
      <c r="L93" s="637"/>
      <c r="M93" s="500"/>
      <c r="N93" s="525"/>
      <c r="O93" s="493"/>
    </row>
    <row r="94" spans="2:15" ht="17.25" customHeight="1" x14ac:dyDescent="0.3">
      <c r="B94" s="496"/>
      <c r="C94" s="638"/>
      <c r="D94" s="638"/>
      <c r="E94" s="638"/>
      <c r="F94" s="638"/>
      <c r="G94" s="638"/>
      <c r="H94" s="638"/>
      <c r="I94" s="638"/>
      <c r="J94" s="638"/>
      <c r="K94" s="638"/>
      <c r="L94" s="638"/>
      <c r="M94" s="496"/>
      <c r="N94" s="525"/>
      <c r="O94" s="493"/>
    </row>
    <row r="95" spans="2:15" ht="18" customHeight="1" x14ac:dyDescent="0.3">
      <c r="N95" s="62"/>
    </row>
    <row r="96" spans="2:15" ht="18" customHeight="1" x14ac:dyDescent="0.3">
      <c r="N96" s="62"/>
    </row>
    <row r="97" spans="14:14" ht="18" customHeight="1" x14ac:dyDescent="0.3">
      <c r="N97" s="62"/>
    </row>
    <row r="98" spans="14:14" ht="18" customHeight="1" x14ac:dyDescent="0.3">
      <c r="N98" s="62"/>
    </row>
    <row r="99" spans="14:14" ht="18" customHeight="1" x14ac:dyDescent="0.3">
      <c r="N99" s="62"/>
    </row>
    <row r="100" spans="14:14" ht="18" customHeight="1" x14ac:dyDescent="0.3">
      <c r="N100" s="62"/>
    </row>
    <row r="101" spans="14:14" ht="18" customHeight="1" x14ac:dyDescent="0.3">
      <c r="N101" s="62"/>
    </row>
    <row r="102" spans="14:14" ht="18" customHeight="1" x14ac:dyDescent="0.3">
      <c r="N102" s="62"/>
    </row>
    <row r="103" spans="14:14" ht="18" customHeight="1" x14ac:dyDescent="0.3">
      <c r="N103" s="62"/>
    </row>
    <row r="104" spans="14:14" ht="18" customHeight="1" x14ac:dyDescent="0.3">
      <c r="N104" s="62"/>
    </row>
    <row r="105" spans="14:14" ht="18" customHeight="1" x14ac:dyDescent="0.3">
      <c r="N105" s="62"/>
    </row>
    <row r="106" spans="14:14" ht="18" customHeight="1" x14ac:dyDescent="0.3">
      <c r="N106" s="62"/>
    </row>
    <row r="107" spans="14:14" ht="18" customHeight="1" x14ac:dyDescent="0.3">
      <c r="N107" s="62"/>
    </row>
    <row r="108" spans="14:14" ht="18" customHeight="1" x14ac:dyDescent="0.3">
      <c r="N108" s="62"/>
    </row>
    <row r="109" spans="14:14" ht="18" customHeight="1" x14ac:dyDescent="0.3">
      <c r="N109" s="62"/>
    </row>
    <row r="110" spans="14:14" ht="18" customHeight="1" x14ac:dyDescent="0.3">
      <c r="N110" s="62"/>
    </row>
    <row r="111" spans="14:14" ht="18" customHeight="1" x14ac:dyDescent="0.3">
      <c r="N111" s="62"/>
    </row>
    <row r="112" spans="14:14"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8"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8" customHeight="1" x14ac:dyDescent="0.3">
      <c r="N283" s="62"/>
    </row>
    <row r="284" spans="14:14" ht="18" customHeight="1" x14ac:dyDescent="0.3">
      <c r="N284" s="62"/>
    </row>
    <row r="285" spans="14:14" ht="18" customHeight="1" x14ac:dyDescent="0.3">
      <c r="N285" s="62"/>
    </row>
    <row r="286" spans="14:14" ht="18" customHeight="1" x14ac:dyDescent="0.3">
      <c r="N286" s="62"/>
    </row>
    <row r="287" spans="14:14" ht="18" customHeight="1" x14ac:dyDescent="0.3">
      <c r="N287" s="62"/>
    </row>
    <row r="288" spans="14:14" ht="18" customHeight="1" x14ac:dyDescent="0.3">
      <c r="N288" s="62"/>
    </row>
    <row r="289" spans="14:14" ht="18" customHeight="1" x14ac:dyDescent="0.3">
      <c r="N289" s="62"/>
    </row>
    <row r="290" spans="14:14" ht="18" customHeight="1" x14ac:dyDescent="0.3">
      <c r="N290" s="62"/>
    </row>
    <row r="291" spans="14:14" ht="18" customHeight="1" x14ac:dyDescent="0.3">
      <c r="N291" s="62"/>
    </row>
    <row r="292" spans="14:14" ht="18" customHeight="1" x14ac:dyDescent="0.3">
      <c r="N292" s="62"/>
    </row>
    <row r="293" spans="14:14" ht="18" customHeight="1" x14ac:dyDescent="0.3">
      <c r="N293" s="62"/>
    </row>
    <row r="294" spans="14:14" ht="18" customHeight="1" x14ac:dyDescent="0.3">
      <c r="N294" s="62"/>
    </row>
    <row r="295" spans="14:14" ht="18" customHeight="1" x14ac:dyDescent="0.3">
      <c r="N295" s="62"/>
    </row>
    <row r="296" spans="14:14" ht="18" customHeight="1" x14ac:dyDescent="0.3">
      <c r="N296" s="62"/>
    </row>
    <row r="297" spans="14:14" ht="18" customHeight="1" x14ac:dyDescent="0.3">
      <c r="N297" s="62"/>
    </row>
    <row r="298" spans="14:14" ht="18" customHeight="1" x14ac:dyDescent="0.3">
      <c r="N298" s="62"/>
    </row>
    <row r="299" spans="14:14" ht="18" customHeight="1" x14ac:dyDescent="0.3">
      <c r="N299" s="62"/>
    </row>
    <row r="300" spans="14:14" ht="18" customHeight="1" x14ac:dyDescent="0.3">
      <c r="N300" s="62"/>
    </row>
  </sheetData>
  <mergeCells count="369">
    <mergeCell ref="C93:D93"/>
    <mergeCell ref="E93:F93"/>
    <mergeCell ref="G93:J93"/>
    <mergeCell ref="K93:L93"/>
    <mergeCell ref="C94:D94"/>
    <mergeCell ref="E94:F94"/>
    <mergeCell ref="G94:J94"/>
    <mergeCell ref="K94:L94"/>
    <mergeCell ref="C91:D91"/>
    <mergeCell ref="E91:F91"/>
    <mergeCell ref="G91:J91"/>
    <mergeCell ref="K91:L91"/>
    <mergeCell ref="C92:D92"/>
    <mergeCell ref="E92:F92"/>
    <mergeCell ref="G92:J92"/>
    <mergeCell ref="K92:L92"/>
    <mergeCell ref="C89:D89"/>
    <mergeCell ref="E89:F89"/>
    <mergeCell ref="G89:J89"/>
    <mergeCell ref="K89:L89"/>
    <mergeCell ref="C90:D90"/>
    <mergeCell ref="E90:F90"/>
    <mergeCell ref="G90:J90"/>
    <mergeCell ref="K90:L90"/>
    <mergeCell ref="C87:D87"/>
    <mergeCell ref="E87:F87"/>
    <mergeCell ref="G87:J87"/>
    <mergeCell ref="K87:L87"/>
    <mergeCell ref="C88:D88"/>
    <mergeCell ref="E88:F88"/>
    <mergeCell ref="G88:J88"/>
    <mergeCell ref="K88:L88"/>
    <mergeCell ref="C85:D85"/>
    <mergeCell ref="E85:F85"/>
    <mergeCell ref="G85:J85"/>
    <mergeCell ref="K85:L85"/>
    <mergeCell ref="C86:D86"/>
    <mergeCell ref="E86:F86"/>
    <mergeCell ref="G86:J86"/>
    <mergeCell ref="K86:L86"/>
    <mergeCell ref="C83:D83"/>
    <mergeCell ref="E83:F83"/>
    <mergeCell ref="G83:J83"/>
    <mergeCell ref="K83:L83"/>
    <mergeCell ref="C84:D84"/>
    <mergeCell ref="E84:F84"/>
    <mergeCell ref="G84:J84"/>
    <mergeCell ref="K84:L84"/>
    <mergeCell ref="C81:D81"/>
    <mergeCell ref="E81:F81"/>
    <mergeCell ref="G81:J81"/>
    <mergeCell ref="K81:L81"/>
    <mergeCell ref="C82:D82"/>
    <mergeCell ref="E82:F82"/>
    <mergeCell ref="G82:J82"/>
    <mergeCell ref="K82:L82"/>
    <mergeCell ref="C79:D79"/>
    <mergeCell ref="E79:F79"/>
    <mergeCell ref="G79:J79"/>
    <mergeCell ref="K79:L79"/>
    <mergeCell ref="C80:D80"/>
    <mergeCell ref="E80:F80"/>
    <mergeCell ref="G80:J80"/>
    <mergeCell ref="K80:L80"/>
    <mergeCell ref="C77:D77"/>
    <mergeCell ref="E77:F77"/>
    <mergeCell ref="G77:J77"/>
    <mergeCell ref="K77:L77"/>
    <mergeCell ref="C78:D78"/>
    <mergeCell ref="E78:F78"/>
    <mergeCell ref="G78:J78"/>
    <mergeCell ref="K78:L78"/>
    <mergeCell ref="C75:D75"/>
    <mergeCell ref="E75:F75"/>
    <mergeCell ref="G75:J75"/>
    <mergeCell ref="K75:L75"/>
    <mergeCell ref="C76:D76"/>
    <mergeCell ref="E76:F76"/>
    <mergeCell ref="G76:J76"/>
    <mergeCell ref="K76:L76"/>
    <mergeCell ref="C73:D73"/>
    <mergeCell ref="E73:F73"/>
    <mergeCell ref="G73:J73"/>
    <mergeCell ref="K73:L73"/>
    <mergeCell ref="C74:D74"/>
    <mergeCell ref="E74:F74"/>
    <mergeCell ref="G74:J74"/>
    <mergeCell ref="K74:L74"/>
    <mergeCell ref="C71:D71"/>
    <mergeCell ref="E71:F71"/>
    <mergeCell ref="G71:J71"/>
    <mergeCell ref="K71:L71"/>
    <mergeCell ref="C72:D72"/>
    <mergeCell ref="E72:F72"/>
    <mergeCell ref="G72:J72"/>
    <mergeCell ref="K72:L72"/>
    <mergeCell ref="C69:D69"/>
    <mergeCell ref="E69:F69"/>
    <mergeCell ref="G69:J69"/>
    <mergeCell ref="K69:L69"/>
    <mergeCell ref="C70:D70"/>
    <mergeCell ref="E70:F70"/>
    <mergeCell ref="G70:J70"/>
    <mergeCell ref="K70:L70"/>
    <mergeCell ref="C67:D67"/>
    <mergeCell ref="E67:F67"/>
    <mergeCell ref="G67:J67"/>
    <mergeCell ref="K67:L67"/>
    <mergeCell ref="C68:D68"/>
    <mergeCell ref="E68:F68"/>
    <mergeCell ref="G68:J68"/>
    <mergeCell ref="K68:L68"/>
    <mergeCell ref="C65:D65"/>
    <mergeCell ref="E65:F65"/>
    <mergeCell ref="G65:J65"/>
    <mergeCell ref="K65:L65"/>
    <mergeCell ref="C66:D66"/>
    <mergeCell ref="E66:F66"/>
    <mergeCell ref="G66:J66"/>
    <mergeCell ref="K66:L66"/>
    <mergeCell ref="C63:D63"/>
    <mergeCell ref="E63:F63"/>
    <mergeCell ref="G63:J63"/>
    <mergeCell ref="K63:L63"/>
    <mergeCell ref="C64:D64"/>
    <mergeCell ref="E64:F64"/>
    <mergeCell ref="G64:J64"/>
    <mergeCell ref="K64:L64"/>
    <mergeCell ref="C61:D61"/>
    <mergeCell ref="E61:F61"/>
    <mergeCell ref="G61:J61"/>
    <mergeCell ref="K61:L61"/>
    <mergeCell ref="C62:D62"/>
    <mergeCell ref="E62:F62"/>
    <mergeCell ref="G62:J62"/>
    <mergeCell ref="K62:L62"/>
    <mergeCell ref="C59:D59"/>
    <mergeCell ref="E59:F59"/>
    <mergeCell ref="G59:J59"/>
    <mergeCell ref="K59:L59"/>
    <mergeCell ref="C60:D60"/>
    <mergeCell ref="E60:F60"/>
    <mergeCell ref="G60:J60"/>
    <mergeCell ref="K60:L60"/>
    <mergeCell ref="C57:D57"/>
    <mergeCell ref="E57:F57"/>
    <mergeCell ref="G57:J57"/>
    <mergeCell ref="K57:L57"/>
    <mergeCell ref="C58:D58"/>
    <mergeCell ref="E58:F58"/>
    <mergeCell ref="G58:J58"/>
    <mergeCell ref="K58:L58"/>
    <mergeCell ref="C55:D55"/>
    <mergeCell ref="E55:F55"/>
    <mergeCell ref="G55:J55"/>
    <mergeCell ref="K55:L55"/>
    <mergeCell ref="C56:D56"/>
    <mergeCell ref="E56:F56"/>
    <mergeCell ref="G56:J56"/>
    <mergeCell ref="K56:L56"/>
    <mergeCell ref="C53:D53"/>
    <mergeCell ref="E53:F53"/>
    <mergeCell ref="G53:J53"/>
    <mergeCell ref="K53:L53"/>
    <mergeCell ref="C54:D54"/>
    <mergeCell ref="E54:F54"/>
    <mergeCell ref="G54:J54"/>
    <mergeCell ref="K54:L54"/>
    <mergeCell ref="C51:D51"/>
    <mergeCell ref="E51:F51"/>
    <mergeCell ref="G51:J51"/>
    <mergeCell ref="K51:L51"/>
    <mergeCell ref="C52:D52"/>
    <mergeCell ref="E52:F52"/>
    <mergeCell ref="G52:J52"/>
    <mergeCell ref="K52:L52"/>
    <mergeCell ref="C49:D49"/>
    <mergeCell ref="E49:F49"/>
    <mergeCell ref="G49:J49"/>
    <mergeCell ref="K49:L49"/>
    <mergeCell ref="C50:D50"/>
    <mergeCell ref="E50:F50"/>
    <mergeCell ref="G50:J50"/>
    <mergeCell ref="K50:L50"/>
    <mergeCell ref="C47:D47"/>
    <mergeCell ref="E47:F47"/>
    <mergeCell ref="G47:J47"/>
    <mergeCell ref="K47:L47"/>
    <mergeCell ref="C48:D48"/>
    <mergeCell ref="E48:F48"/>
    <mergeCell ref="G48:J48"/>
    <mergeCell ref="K48:L48"/>
    <mergeCell ref="C45:D45"/>
    <mergeCell ref="E45:F45"/>
    <mergeCell ref="G45:J45"/>
    <mergeCell ref="K45:L45"/>
    <mergeCell ref="C46:D46"/>
    <mergeCell ref="E46:F46"/>
    <mergeCell ref="G46:J46"/>
    <mergeCell ref="K46:L46"/>
    <mergeCell ref="C43:D43"/>
    <mergeCell ref="E43:F43"/>
    <mergeCell ref="G43:J43"/>
    <mergeCell ref="K43:L43"/>
    <mergeCell ref="C44:D44"/>
    <mergeCell ref="E44:F44"/>
    <mergeCell ref="G44:J44"/>
    <mergeCell ref="K44:L44"/>
    <mergeCell ref="C41:D41"/>
    <mergeCell ref="E41:F41"/>
    <mergeCell ref="G41:J41"/>
    <mergeCell ref="K41:L41"/>
    <mergeCell ref="C42:D42"/>
    <mergeCell ref="E42:F42"/>
    <mergeCell ref="G42:J42"/>
    <mergeCell ref="K42:L42"/>
    <mergeCell ref="C39:D39"/>
    <mergeCell ref="E39:F39"/>
    <mergeCell ref="G39:J39"/>
    <mergeCell ref="K39:L39"/>
    <mergeCell ref="C40:D40"/>
    <mergeCell ref="E40:F40"/>
    <mergeCell ref="G40:J40"/>
    <mergeCell ref="K40:L40"/>
    <mergeCell ref="C37:D37"/>
    <mergeCell ref="E37:F37"/>
    <mergeCell ref="G37:J37"/>
    <mergeCell ref="K37:L37"/>
    <mergeCell ref="C38:D38"/>
    <mergeCell ref="E38:F38"/>
    <mergeCell ref="G38:J38"/>
    <mergeCell ref="K38:L38"/>
    <mergeCell ref="C35:D35"/>
    <mergeCell ref="E35:F35"/>
    <mergeCell ref="G35:J35"/>
    <mergeCell ref="K35:L35"/>
    <mergeCell ref="C36:D36"/>
    <mergeCell ref="E36:F36"/>
    <mergeCell ref="G36:J36"/>
    <mergeCell ref="K36:L36"/>
    <mergeCell ref="C33:D33"/>
    <mergeCell ref="E33:F33"/>
    <mergeCell ref="G33:J33"/>
    <mergeCell ref="K33:L33"/>
    <mergeCell ref="C34:D34"/>
    <mergeCell ref="E34:F34"/>
    <mergeCell ref="G34:J34"/>
    <mergeCell ref="K34:L34"/>
    <mergeCell ref="C31:D31"/>
    <mergeCell ref="E31:F31"/>
    <mergeCell ref="G31:J31"/>
    <mergeCell ref="K31:L31"/>
    <mergeCell ref="C32:D32"/>
    <mergeCell ref="E32:F32"/>
    <mergeCell ref="G32:J32"/>
    <mergeCell ref="K32:L32"/>
    <mergeCell ref="C29:D29"/>
    <mergeCell ref="E29:F29"/>
    <mergeCell ref="G29:J29"/>
    <mergeCell ref="K29:L29"/>
    <mergeCell ref="C30:D30"/>
    <mergeCell ref="E30:F30"/>
    <mergeCell ref="G30:J30"/>
    <mergeCell ref="K30:L30"/>
    <mergeCell ref="C27:D27"/>
    <mergeCell ref="E27:F27"/>
    <mergeCell ref="G27:J27"/>
    <mergeCell ref="K27:L27"/>
    <mergeCell ref="C28:D28"/>
    <mergeCell ref="E28:F28"/>
    <mergeCell ref="G28:J28"/>
    <mergeCell ref="K28:L28"/>
    <mergeCell ref="C25:D25"/>
    <mergeCell ref="E25:F25"/>
    <mergeCell ref="G25:J25"/>
    <mergeCell ref="K25:L25"/>
    <mergeCell ref="C26:D26"/>
    <mergeCell ref="E26:F26"/>
    <mergeCell ref="G26:J26"/>
    <mergeCell ref="K26:L26"/>
    <mergeCell ref="C23:D23"/>
    <mergeCell ref="E23:F23"/>
    <mergeCell ref="G23:J23"/>
    <mergeCell ref="K23:L23"/>
    <mergeCell ref="C24:D24"/>
    <mergeCell ref="E24:F24"/>
    <mergeCell ref="G24:J24"/>
    <mergeCell ref="K24:L24"/>
    <mergeCell ref="C21:D21"/>
    <mergeCell ref="E21:F21"/>
    <mergeCell ref="G21:J21"/>
    <mergeCell ref="K21:L21"/>
    <mergeCell ref="C22:D22"/>
    <mergeCell ref="E22:F22"/>
    <mergeCell ref="G22:J22"/>
    <mergeCell ref="K22:L22"/>
    <mergeCell ref="C19:D19"/>
    <mergeCell ref="E19:F19"/>
    <mergeCell ref="G19:J19"/>
    <mergeCell ref="K19:L19"/>
    <mergeCell ref="C20:D20"/>
    <mergeCell ref="E20:F20"/>
    <mergeCell ref="G20:J20"/>
    <mergeCell ref="K20:L20"/>
    <mergeCell ref="C17:D17"/>
    <mergeCell ref="E17:F17"/>
    <mergeCell ref="G17:J17"/>
    <mergeCell ref="K17:L17"/>
    <mergeCell ref="C18:D18"/>
    <mergeCell ref="E18:F18"/>
    <mergeCell ref="G18:J18"/>
    <mergeCell ref="K18:L18"/>
    <mergeCell ref="C15:D15"/>
    <mergeCell ref="E15:F15"/>
    <mergeCell ref="G15:J15"/>
    <mergeCell ref="K15:L15"/>
    <mergeCell ref="C16:D16"/>
    <mergeCell ref="E16:F16"/>
    <mergeCell ref="G16:J16"/>
    <mergeCell ref="K16:L16"/>
    <mergeCell ref="C13:D13"/>
    <mergeCell ref="E13:F13"/>
    <mergeCell ref="G13:J13"/>
    <mergeCell ref="K13:L13"/>
    <mergeCell ref="C14:D14"/>
    <mergeCell ref="E14:F14"/>
    <mergeCell ref="G14:J14"/>
    <mergeCell ref="K14:L14"/>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C4:J500">
    <cfRule type="expression" dxfId="45" priority="1">
      <formula>$N4&lt;&gt;""</formula>
    </cfRule>
  </conditionalFormatting>
  <conditionalFormatting sqref="M4:N500">
    <cfRule type="expression" dxfId="44" priority="2">
      <formula>$N4&lt;&gt;""</formula>
    </cfRule>
  </conditionalFormatting>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960A-1A87-429A-8BEB-07152277DA6A}">
  <sheetPr>
    <tabColor rgb="FF2F3A4A"/>
  </sheetPr>
  <dimension ref="A1:AP209"/>
  <sheetViews>
    <sheetView showGridLines="0" topLeftCell="A9" zoomScale="90" zoomScaleNormal="90" workbookViewId="0">
      <selection activeCell="A127" sqref="A127:D127"/>
    </sheetView>
  </sheetViews>
  <sheetFormatPr defaultColWidth="8.5546875" defaultRowHeight="14.4" x14ac:dyDescent="0.3"/>
  <cols>
    <col min="1" max="1" width="36"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46266</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c r="AP3" s="65">
        <v>600</v>
      </c>
    </row>
    <row r="4" spans="1:42" ht="21" customHeight="1" x14ac:dyDescent="0.3">
      <c r="A4" s="110"/>
      <c r="B4" s="109"/>
      <c r="C4" s="108"/>
      <c r="D4" s="104"/>
      <c r="E4" s="107" t="s">
        <v>184</v>
      </c>
      <c r="F4" s="871" t="str">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
      </c>
      <c r="G4" s="106" t="str">
        <f>IFERROR(ROUNDUP(D4/F4,0),"")</f>
        <v/>
      </c>
      <c r="H4" s="105"/>
      <c r="I4" s="104" t="str">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
      </c>
      <c r="AA4" t="s">
        <v>185</v>
      </c>
      <c r="AB4" t="s">
        <v>1423</v>
      </c>
      <c r="AH4" s="900">
        <v>600</v>
      </c>
      <c r="AO4" s="900">
        <v>125</v>
      </c>
    </row>
    <row r="5" spans="1:42" ht="21" customHeight="1" x14ac:dyDescent="0.3">
      <c r="A5" s="110"/>
      <c r="B5" s="109"/>
      <c r="C5" s="108"/>
      <c r="D5" s="104"/>
      <c r="E5" s="107" t="s">
        <v>184</v>
      </c>
      <c r="F5" s="871"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06" t="str">
        <f>IFERROR(ROUNDUP(D5/F5,0),"")</f>
        <v/>
      </c>
      <c r="H5" s="105"/>
      <c r="I5" s="104"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AA5" t="s">
        <v>183</v>
      </c>
      <c r="AB5" t="s">
        <v>1423</v>
      </c>
      <c r="AO5" s="900">
        <v>180</v>
      </c>
    </row>
    <row r="6" spans="1:42"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2"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2"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2" ht="15" customHeight="1" x14ac:dyDescent="0.3">
      <c r="A9" s="899"/>
      <c r="B9" s="846" t="s">
        <v>186</v>
      </c>
      <c r="C9" s="847"/>
      <c r="D9" s="848">
        <f>SUM(D2:D8)</f>
        <v>0</v>
      </c>
      <c r="E9" s="849"/>
      <c r="F9" s="856" t="s">
        <v>1400</v>
      </c>
      <c r="G9" s="850">
        <f>SUM(G2:G8)</f>
        <v>0</v>
      </c>
      <c r="H9" s="848">
        <f>SUM(H2:H8)</f>
        <v>0</v>
      </c>
      <c r="I9" s="848">
        <f>SUM(I2:I8)</f>
        <v>0</v>
      </c>
      <c r="J9" s="63">
        <f>D9</f>
        <v>0</v>
      </c>
      <c r="K9" s="93">
        <f>G9</f>
        <v>0</v>
      </c>
      <c r="L9" s="63">
        <f>H9</f>
        <v>0</v>
      </c>
      <c r="M9" s="63">
        <f>I9</f>
        <v>0</v>
      </c>
      <c r="N9" s="587" t="str" cm="1">
        <f t="array" ref="N9">IF(H9=0,"",SUMPRODUCT(IFERROR(INT(H4:H8/F4:F8),0)))</f>
        <v/>
      </c>
      <c r="O9" s="770" t="str">
        <f>IF(N9="","",MAX(0,G9-N9))</f>
        <v/>
      </c>
      <c r="AA9" t="s">
        <v>58</v>
      </c>
      <c r="AB9" t="s">
        <v>1423</v>
      </c>
      <c r="AO9" s="900">
        <v>600</v>
      </c>
    </row>
    <row r="10" spans="1:42" ht="6" customHeight="1" x14ac:dyDescent="0.3">
      <c r="C10" s="65"/>
      <c r="AA10" t="s">
        <v>496</v>
      </c>
      <c r="AB10" t="s">
        <v>1423</v>
      </c>
    </row>
    <row r="11" spans="1:42" ht="15" customHeight="1" x14ac:dyDescent="0.3">
      <c r="A11" s="75">
        <v>46267</v>
      </c>
      <c r="B11" s="113" t="s">
        <v>49</v>
      </c>
      <c r="C11" s="112" t="s">
        <v>176</v>
      </c>
      <c r="D11" s="111" t="s">
        <v>177</v>
      </c>
      <c r="E11" s="111" t="s">
        <v>178</v>
      </c>
      <c r="F11" s="860" t="s">
        <v>179</v>
      </c>
      <c r="G11" s="111" t="s">
        <v>180</v>
      </c>
      <c r="H11" s="111" t="s">
        <v>181</v>
      </c>
      <c r="I11" s="111" t="s">
        <v>182</v>
      </c>
      <c r="AA11" t="s">
        <v>37</v>
      </c>
      <c r="AB11" t="s">
        <v>1423</v>
      </c>
    </row>
    <row r="12" spans="1:42" ht="21" customHeight="1" x14ac:dyDescent="0.3">
      <c r="A12" s="110"/>
      <c r="B12" s="109"/>
      <c r="C12" s="108"/>
      <c r="D12" s="104"/>
      <c r="E12" s="107" t="s">
        <v>184</v>
      </c>
      <c r="F12" s="871" t="str">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
      </c>
      <c r="G12" s="106" t="str">
        <f>IFERROR(ROUNDUP(D12/F12,0),"")</f>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2"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2"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0</v>
      </c>
      <c r="E17" s="849"/>
      <c r="F17" s="856" t="s">
        <v>1400</v>
      </c>
      <c r="G17" s="850">
        <f>SUM(G10:G16)</f>
        <v>0</v>
      </c>
      <c r="H17" s="848">
        <f>SUM(H10:H16)</f>
        <v>0</v>
      </c>
      <c r="I17" s="848">
        <f>SUM(I10:I16)</f>
        <v>0</v>
      </c>
      <c r="J17" s="63">
        <f>D17</f>
        <v>0</v>
      </c>
      <c r="K17" s="93">
        <f>G17</f>
        <v>0</v>
      </c>
      <c r="L17" s="63">
        <f>H17</f>
        <v>0</v>
      </c>
      <c r="M17" s="63">
        <f>I17</f>
        <v>0</v>
      </c>
      <c r="N17" s="587" t="str" cm="1">
        <f t="array" ref="N17">IF(H17=0,"",SUMPRODUCT(IFERROR(INT(H12:H16/F12:F16),0)))</f>
        <v/>
      </c>
      <c r="O17" s="770" t="str">
        <f>IF(N17="","",MAX(0,G17-N17))</f>
        <v/>
      </c>
      <c r="AA17" t="s">
        <v>236</v>
      </c>
      <c r="AB17" t="s">
        <v>1425</v>
      </c>
    </row>
    <row r="18" spans="1:28" ht="6" customHeight="1" x14ac:dyDescent="0.3">
      <c r="C18" s="65"/>
      <c r="AA18" t="s">
        <v>593</v>
      </c>
      <c r="AB18" t="s">
        <v>1426</v>
      </c>
    </row>
    <row r="19" spans="1:28" ht="15" customHeight="1" x14ac:dyDescent="0.3">
      <c r="A19" s="75">
        <v>46268</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c r="C20" s="108"/>
      <c r="D20" s="104"/>
      <c r="E20" s="107" t="s">
        <v>184</v>
      </c>
      <c r="F20" s="871"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06" t="str">
        <f>IFERROR(ROUNDUP(D20/F20,0),"")</f>
        <v/>
      </c>
      <c r="H20" s="105"/>
      <c r="I20" s="104"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AA20" t="s">
        <v>189</v>
      </c>
      <c r="AB20" t="s">
        <v>1425</v>
      </c>
    </row>
    <row r="21" spans="1:28" ht="21" customHeight="1" x14ac:dyDescent="0.3">
      <c r="A21" s="110"/>
      <c r="B21" s="109"/>
      <c r="C21" s="108"/>
      <c r="D21" s="104"/>
      <c r="E21" s="107" t="s">
        <v>184</v>
      </c>
      <c r="F21" s="871"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106" t="str">
        <f>IFERROR(ROUNDUP(D21/F21,0),"")</f>
        <v/>
      </c>
      <c r="H21" s="105"/>
      <c r="I21" s="104"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0</v>
      </c>
      <c r="E25" s="849"/>
      <c r="F25" s="856" t="s">
        <v>1400</v>
      </c>
      <c r="G25" s="850">
        <f>SUM(G18:G24)</f>
        <v>0</v>
      </c>
      <c r="H25" s="848">
        <f>SUM(H18:H24)</f>
        <v>0</v>
      </c>
      <c r="I25" s="848">
        <f>SUM(I18:I24)</f>
        <v>0</v>
      </c>
      <c r="J25" s="63">
        <f>D25</f>
        <v>0</v>
      </c>
      <c r="K25" s="93">
        <f>G25</f>
        <v>0</v>
      </c>
      <c r="L25" s="63">
        <f>H25</f>
        <v>0</v>
      </c>
      <c r="M25" s="63">
        <f>I25</f>
        <v>0</v>
      </c>
      <c r="N25" s="587" t="str" cm="1">
        <f t="array" ref="N25">IF(H25=0,"",SUMPRODUCT(IFERROR(INT(H20:H24/F20:F24),0)))</f>
        <v/>
      </c>
      <c r="O25" s="770" t="str">
        <f>IF(N25="","",MAX(0,G25-N25))</f>
        <v/>
      </c>
      <c r="AA25" t="s">
        <v>1159</v>
      </c>
      <c r="AB25" t="s">
        <v>1423</v>
      </c>
    </row>
    <row r="26" spans="1:28" ht="6" customHeight="1" x14ac:dyDescent="0.3">
      <c r="C26" s="65"/>
      <c r="AA26" t="s">
        <v>287</v>
      </c>
      <c r="AB26" t="s">
        <v>1427</v>
      </c>
    </row>
    <row r="27" spans="1:28" ht="15" customHeight="1" x14ac:dyDescent="0.3">
      <c r="A27" s="75">
        <v>46269</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c r="C28" s="108"/>
      <c r="D28" s="104"/>
      <c r="E28" s="107" t="s">
        <v>184</v>
      </c>
      <c r="F28" s="871" t="str">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
      </c>
      <c r="G28" s="106" t="str">
        <f>IFERROR(ROUNDUP(D28/F28,0),"")</f>
        <v/>
      </c>
      <c r="H28" s="105"/>
      <c r="I28" s="104" t="str">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0</v>
      </c>
      <c r="E33" s="849"/>
      <c r="F33" s="856" t="s">
        <v>1400</v>
      </c>
      <c r="G33" s="850">
        <f>SUM(G26:G32)</f>
        <v>0</v>
      </c>
      <c r="H33" s="848">
        <f>SUM(H26:H32)</f>
        <v>0</v>
      </c>
      <c r="I33" s="848">
        <f>SUM(I26:I32)</f>
        <v>0</v>
      </c>
      <c r="J33" s="63">
        <f>D33</f>
        <v>0</v>
      </c>
      <c r="K33" s="93">
        <f>G33</f>
        <v>0</v>
      </c>
      <c r="L33" s="63">
        <f>H33</f>
        <v>0</v>
      </c>
      <c r="M33" s="63">
        <f>I33</f>
        <v>0</v>
      </c>
      <c r="N33" s="587" t="str" cm="1">
        <f t="array" ref="N33">IF(H33=0,"",SUMPRODUCT(IFERROR(INT(H28:H32/F28:F32),0)))</f>
        <v/>
      </c>
      <c r="O33" s="770" t="str">
        <f>IF(N33="","",MAX(0,G33-N33))</f>
        <v/>
      </c>
      <c r="AA33" t="s">
        <v>471</v>
      </c>
      <c r="AB33" t="s">
        <v>1428</v>
      </c>
    </row>
    <row r="34" spans="1:28" ht="6" customHeight="1" x14ac:dyDescent="0.3">
      <c r="C34" s="65"/>
      <c r="AA34" t="s">
        <v>292</v>
      </c>
      <c r="AB34" t="s">
        <v>1428</v>
      </c>
    </row>
    <row r="35" spans="1:28" ht="15" customHeight="1" x14ac:dyDescent="0.3">
      <c r="A35" s="135">
        <v>46270</v>
      </c>
      <c r="B35" s="113" t="s">
        <v>49</v>
      </c>
      <c r="C35" s="112" t="s">
        <v>176</v>
      </c>
      <c r="D35" s="111" t="s">
        <v>177</v>
      </c>
      <c r="E35" s="111" t="s">
        <v>178</v>
      </c>
      <c r="F35" s="862" t="s">
        <v>179</v>
      </c>
      <c r="G35" s="111" t="s">
        <v>180</v>
      </c>
      <c r="H35" s="111" t="s">
        <v>181</v>
      </c>
      <c r="I35" s="111" t="s">
        <v>182</v>
      </c>
      <c r="J35" s="128"/>
      <c r="K35" s="128"/>
      <c r="L35" s="128"/>
      <c r="M35" s="128"/>
      <c r="AA35" t="s">
        <v>1193</v>
      </c>
      <c r="AB35" t="s">
        <v>1428</v>
      </c>
    </row>
    <row r="36" spans="1:28" ht="21" customHeight="1" x14ac:dyDescent="0.3">
      <c r="A36" s="110"/>
      <c r="B36" s="127"/>
      <c r="C36" s="126"/>
      <c r="D36" s="129"/>
      <c r="E36" s="131" t="s">
        <v>184</v>
      </c>
      <c r="F36" s="877"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130" t="str">
        <f>IFERROR(ROUNDUP(D36/F36,0),"")</f>
        <v/>
      </c>
      <c r="H36" s="105"/>
      <c r="I36" s="129"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J36" s="128"/>
      <c r="K36" s="128"/>
      <c r="L36" s="128"/>
      <c r="M36" s="128"/>
      <c r="AA36" t="s">
        <v>294</v>
      </c>
      <c r="AB36" t="s">
        <v>1428</v>
      </c>
    </row>
    <row r="37" spans="1:28" ht="21" customHeight="1" x14ac:dyDescent="0.3">
      <c r="A37" s="110"/>
      <c r="B37" s="127"/>
      <c r="C37" s="126"/>
      <c r="D37" s="129"/>
      <c r="E37" s="131" t="s">
        <v>184</v>
      </c>
      <c r="F37" s="877"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30" t="str">
        <f>IFERROR(ROUNDUP(D37/F37,0),"")</f>
        <v/>
      </c>
      <c r="H37" s="105"/>
      <c r="I37" s="129"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J37" s="128"/>
      <c r="K37" s="128"/>
      <c r="L37" s="128"/>
      <c r="M37" s="128"/>
      <c r="AA37" t="s">
        <v>591</v>
      </c>
      <c r="AB37" t="s">
        <v>1428</v>
      </c>
    </row>
    <row r="38" spans="1:28" ht="21" customHeight="1" x14ac:dyDescent="0.3">
      <c r="A38" s="110"/>
      <c r="B38" s="127"/>
      <c r="C38" s="126"/>
      <c r="D38" s="129"/>
      <c r="E38" s="131" t="s">
        <v>184</v>
      </c>
      <c r="F38" s="877"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30" t="str">
        <f>IFERROR(ROUNDUP(D38/F38,0),"")</f>
        <v/>
      </c>
      <c r="H38" s="105"/>
      <c r="I38" s="129"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J38" s="128"/>
      <c r="K38" s="128"/>
      <c r="L38" s="128"/>
      <c r="M38" s="128"/>
      <c r="AA38" t="s">
        <v>590</v>
      </c>
      <c r="AB38" t="s">
        <v>1428</v>
      </c>
    </row>
    <row r="39" spans="1:28" ht="21" customHeight="1" x14ac:dyDescent="0.3">
      <c r="A39" s="110"/>
      <c r="B39" s="127"/>
      <c r="C39" s="126"/>
      <c r="D39" s="129"/>
      <c r="E39" s="131" t="s">
        <v>184</v>
      </c>
      <c r="F39" s="877"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30" t="str">
        <f>IFERROR(ROUNDUP(D39/F39,0),"")</f>
        <v/>
      </c>
      <c r="H39" s="105"/>
      <c r="I39" s="129"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J39" s="128"/>
      <c r="K39" s="128"/>
      <c r="L39" s="128"/>
      <c r="M39" s="128"/>
      <c r="AA39" t="s">
        <v>592</v>
      </c>
      <c r="AB39" t="s">
        <v>1428</v>
      </c>
    </row>
    <row r="40" spans="1:28" ht="21" customHeight="1" x14ac:dyDescent="0.3">
      <c r="A40" s="817"/>
      <c r="B40" s="829"/>
      <c r="C40" s="830"/>
      <c r="D40" s="831"/>
      <c r="E40" s="832" t="s">
        <v>184</v>
      </c>
      <c r="F40" s="878"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33" t="str">
        <f>IFERROR(ROUNDUP(D40/F40,0),"")</f>
        <v/>
      </c>
      <c r="H40" s="823"/>
      <c r="I40" s="831"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J40" s="128"/>
      <c r="K40" s="128"/>
      <c r="L40" s="128"/>
      <c r="M40" s="128"/>
      <c r="AA40" t="s">
        <v>473</v>
      </c>
      <c r="AB40" t="s">
        <v>1428</v>
      </c>
    </row>
    <row r="41" spans="1:28" ht="15" customHeight="1" x14ac:dyDescent="0.3">
      <c r="A41" s="899"/>
      <c r="B41" s="846" t="s">
        <v>186</v>
      </c>
      <c r="C41" s="851"/>
      <c r="D41" s="848">
        <f>SUM(D34:D40)</f>
        <v>0</v>
      </c>
      <c r="E41" s="852"/>
      <c r="F41" s="857" t="s">
        <v>1400</v>
      </c>
      <c r="G41" s="850">
        <f>SUM(G34:G40)</f>
        <v>0</v>
      </c>
      <c r="H41" s="848">
        <f>SUM(H34:H40)</f>
        <v>0</v>
      </c>
      <c r="I41" s="848">
        <f>SUM(I34:I40)</f>
        <v>0</v>
      </c>
      <c r="J41" s="133">
        <f>D41</f>
        <v>0</v>
      </c>
      <c r="K41" s="134">
        <f>G41</f>
        <v>0</v>
      </c>
      <c r="L41" s="133">
        <f>H41</f>
        <v>0</v>
      </c>
      <c r="M41" s="133">
        <f>I41</f>
        <v>0</v>
      </c>
      <c r="N41" s="587" t="str" cm="1">
        <f t="array" ref="N41">IF(H41=0,"",SUMPRODUCT(IFERROR(INT(H36:H40/F36:F40),0)))</f>
        <v/>
      </c>
      <c r="O41" s="770" t="str">
        <f>IF(N41="","",MAX(0,G41-N41))</f>
        <v/>
      </c>
      <c r="AA41" t="s">
        <v>296</v>
      </c>
      <c r="AB41" t="s">
        <v>1428</v>
      </c>
    </row>
    <row r="42" spans="1:28" ht="6" customHeight="1" x14ac:dyDescent="0.3">
      <c r="A42" s="128"/>
      <c r="B42" s="128"/>
      <c r="C42" s="132"/>
      <c r="D42" s="128"/>
      <c r="E42" s="128"/>
      <c r="F42" s="128"/>
      <c r="G42" s="128"/>
      <c r="H42" s="128"/>
      <c r="I42" s="128"/>
      <c r="J42" s="128"/>
      <c r="K42" s="128"/>
      <c r="L42" s="128"/>
      <c r="M42" s="128"/>
      <c r="AA42" t="s">
        <v>472</v>
      </c>
      <c r="AB42" t="s">
        <v>1428</v>
      </c>
    </row>
    <row r="43" spans="1:28" ht="15" customHeight="1" x14ac:dyDescent="0.3">
      <c r="A43" s="75">
        <v>46272</v>
      </c>
      <c r="B43" s="113" t="s">
        <v>49</v>
      </c>
      <c r="C43" s="112" t="s">
        <v>176</v>
      </c>
      <c r="D43" s="111" t="s">
        <v>177</v>
      </c>
      <c r="E43" s="111" t="s">
        <v>178</v>
      </c>
      <c r="F43" s="860" t="s">
        <v>179</v>
      </c>
      <c r="G43" s="111" t="s">
        <v>180</v>
      </c>
      <c r="H43" s="111" t="s">
        <v>181</v>
      </c>
      <c r="I43" s="111" t="s">
        <v>182</v>
      </c>
      <c r="AA43" t="s">
        <v>293</v>
      </c>
      <c r="AB43" t="s">
        <v>1428</v>
      </c>
    </row>
    <row r="44" spans="1:28" ht="21" customHeight="1" x14ac:dyDescent="0.3">
      <c r="A44" s="110"/>
      <c r="B44" s="109"/>
      <c r="C44" s="108"/>
      <c r="D44" s="104"/>
      <c r="E44" s="107" t="s">
        <v>184</v>
      </c>
      <c r="F44" s="871"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06" t="str">
        <f>IFERROR(ROUNDUP(D44/F44,0),"")</f>
        <v/>
      </c>
      <c r="H44" s="105"/>
      <c r="I44" s="104"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AA44" t="s">
        <v>101</v>
      </c>
      <c r="AB44" t="s">
        <v>1428</v>
      </c>
    </row>
    <row r="45" spans="1:28" ht="21" customHeight="1" x14ac:dyDescent="0.3">
      <c r="A45" s="110"/>
      <c r="B45" s="109"/>
      <c r="C45" s="108"/>
      <c r="D45" s="104"/>
      <c r="E45" s="107" t="s">
        <v>184</v>
      </c>
      <c r="F45" s="871"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106" t="str">
        <f>IFERROR(ROUNDUP(D45/F45,0),"")</f>
        <v/>
      </c>
      <c r="H45" s="105"/>
      <c r="I45" s="104"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AA45" t="s">
        <v>474</v>
      </c>
      <c r="AB45" t="s">
        <v>1428</v>
      </c>
    </row>
    <row r="46" spans="1:28" ht="21" customHeight="1" x14ac:dyDescent="0.3">
      <c r="A46" s="110"/>
      <c r="B46" s="109"/>
      <c r="C46" s="108"/>
      <c r="D46" s="104"/>
      <c r="E46" s="107" t="s">
        <v>184</v>
      </c>
      <c r="F46" s="871"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106" t="str">
        <f>IFERROR(ROUNDUP(D46/F46,0),"")</f>
        <v/>
      </c>
      <c r="H46" s="105"/>
      <c r="I46" s="104"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AA46" t="s">
        <v>295</v>
      </c>
      <c r="AB46" t="s">
        <v>1428</v>
      </c>
    </row>
    <row r="47" spans="1:28" ht="21" customHeight="1" x14ac:dyDescent="0.3">
      <c r="A47" s="110"/>
      <c r="B47" s="109"/>
      <c r="C47" s="108"/>
      <c r="D47" s="104"/>
      <c r="E47" s="107" t="s">
        <v>184</v>
      </c>
      <c r="F47" s="871"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06" t="str">
        <f>IFERROR(ROUNDUP(D47/F47,0),"")</f>
        <v/>
      </c>
      <c r="H47" s="105"/>
      <c r="I47" s="104"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AA47" t="s">
        <v>97</v>
      </c>
      <c r="AB47" t="s">
        <v>1428</v>
      </c>
    </row>
    <row r="48" spans="1:28" ht="21" customHeight="1" x14ac:dyDescent="0.3">
      <c r="A48" s="817"/>
      <c r="B48" s="818"/>
      <c r="C48" s="819"/>
      <c r="D48" s="820"/>
      <c r="E48" s="821" t="s">
        <v>184</v>
      </c>
      <c r="F48" s="872"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822" t="str">
        <f>IFERROR(ROUNDUP(D48/F48,0),"")</f>
        <v/>
      </c>
      <c r="H48" s="823"/>
      <c r="I48" s="820"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AA48" t="s">
        <v>475</v>
      </c>
      <c r="AB48" t="s">
        <v>1428</v>
      </c>
    </row>
    <row r="49" spans="1:28" ht="15" customHeight="1" x14ac:dyDescent="0.3">
      <c r="A49" s="899"/>
      <c r="B49" s="846" t="s">
        <v>186</v>
      </c>
      <c r="C49" s="847"/>
      <c r="D49" s="848">
        <f>SUM(D42:D48)</f>
        <v>0</v>
      </c>
      <c r="E49" s="849"/>
      <c r="F49" s="856" t="s">
        <v>1400</v>
      </c>
      <c r="G49" s="850">
        <f>SUM(G42:G48)</f>
        <v>0</v>
      </c>
      <c r="H49" s="848">
        <f>SUM(H42:H48)</f>
        <v>0</v>
      </c>
      <c r="I49" s="848">
        <f>SUM(I42:I48)</f>
        <v>0</v>
      </c>
      <c r="J49" s="63">
        <f>D49</f>
        <v>0</v>
      </c>
      <c r="K49" s="93">
        <f>G49</f>
        <v>0</v>
      </c>
      <c r="L49" s="63">
        <f>H49</f>
        <v>0</v>
      </c>
      <c r="M49" s="63">
        <f>I49</f>
        <v>0</v>
      </c>
      <c r="N49" s="587" t="str" cm="1">
        <f t="array" ref="N49">IF(H49=0,"",SUMPRODUCT(IFERROR(INT(H44:H48/F44:F48),0)))</f>
        <v/>
      </c>
      <c r="O49" s="770" t="str">
        <f>IF(N49="","",MAX(0,G49-N49))</f>
        <v/>
      </c>
      <c r="AA49" t="s">
        <v>491</v>
      </c>
      <c r="AB49" t="s">
        <v>1425</v>
      </c>
    </row>
    <row r="50" spans="1:28" ht="6" customHeight="1" x14ac:dyDescent="0.3">
      <c r="C50" s="65"/>
      <c r="AA50" t="s">
        <v>1162</v>
      </c>
      <c r="AB50" t="s">
        <v>1424</v>
      </c>
    </row>
    <row r="51" spans="1:28" ht="15" customHeight="1" x14ac:dyDescent="0.3">
      <c r="A51" s="75">
        <v>46273</v>
      </c>
      <c r="B51" s="113" t="s">
        <v>49</v>
      </c>
      <c r="C51" s="112" t="s">
        <v>176</v>
      </c>
      <c r="D51" s="111" t="s">
        <v>177</v>
      </c>
      <c r="E51" s="111" t="s">
        <v>178</v>
      </c>
      <c r="F51" s="860" t="s">
        <v>179</v>
      </c>
      <c r="G51" s="111" t="s">
        <v>180</v>
      </c>
      <c r="H51" s="111" t="s">
        <v>181</v>
      </c>
      <c r="I51" s="111" t="s">
        <v>182</v>
      </c>
      <c r="AA51" t="s">
        <v>39</v>
      </c>
      <c r="AB51" t="s">
        <v>1423</v>
      </c>
    </row>
    <row r="52" spans="1:28" ht="21" customHeight="1" x14ac:dyDescent="0.3">
      <c r="A52" s="110"/>
      <c r="B52" s="109"/>
      <c r="C52" s="108"/>
      <c r="D52" s="104"/>
      <c r="E52" s="107" t="s">
        <v>184</v>
      </c>
      <c r="F52" s="871"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06" t="str">
        <f>IFERROR(ROUNDUP(D52/F52,0),"")</f>
        <v/>
      </c>
      <c r="H52" s="105"/>
      <c r="I52" s="104"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IFERROR(ROUNDUP(D53/F53,0),"")</f>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AA53" t="s">
        <v>596</v>
      </c>
      <c r="AB53" t="s">
        <v>1425</v>
      </c>
    </row>
    <row r="54" spans="1:28" ht="21" customHeight="1" x14ac:dyDescent="0.3">
      <c r="A54" s="110"/>
      <c r="B54" s="109"/>
      <c r="C54" s="108"/>
      <c r="D54" s="104"/>
      <c r="E54" s="107" t="s">
        <v>184</v>
      </c>
      <c r="F54" s="871"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06" t="str">
        <f>IFERROR(ROUNDUP(D54/F54,0),"")</f>
        <v/>
      </c>
      <c r="H54" s="105"/>
      <c r="I54" s="104"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21" customHeight="1" x14ac:dyDescent="0.3">
      <c r="A55" s="110"/>
      <c r="B55" s="109"/>
      <c r="C55" s="108"/>
      <c r="D55" s="104"/>
      <c r="E55" s="107" t="s">
        <v>184</v>
      </c>
      <c r="F55" s="871"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06" t="str">
        <f>IFERROR(ROUNDUP(D55/F55,0),"")</f>
        <v/>
      </c>
      <c r="H55" s="105"/>
      <c r="I55" s="104"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AA55" t="s">
        <v>571</v>
      </c>
      <c r="AB55" t="s">
        <v>1425</v>
      </c>
    </row>
    <row r="56" spans="1:28" ht="21" customHeight="1" x14ac:dyDescent="0.3">
      <c r="A56" s="817"/>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IFERROR(ROUNDUP(D56/F56,0),"")</f>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0</v>
      </c>
      <c r="E57" s="849"/>
      <c r="F57" s="856" t="s">
        <v>1400</v>
      </c>
      <c r="G57" s="850">
        <f>SUM(G50:G56)</f>
        <v>0</v>
      </c>
      <c r="H57" s="848">
        <f>SUM(H50:H56)</f>
        <v>0</v>
      </c>
      <c r="I57" s="848">
        <f>SUM(I50:I56)</f>
        <v>0</v>
      </c>
      <c r="J57" s="63">
        <f>D57</f>
        <v>0</v>
      </c>
      <c r="K57" s="93">
        <f>G57</f>
        <v>0</v>
      </c>
      <c r="L57" s="63">
        <f>H57</f>
        <v>0</v>
      </c>
      <c r="M57" s="63">
        <f>I57</f>
        <v>0</v>
      </c>
      <c r="N57" s="587" t="str" cm="1">
        <f t="array" ref="N57">IF(H57=0,"",SUMPRODUCT(IFERROR(INT(H52:H56/F52:F56),0)))</f>
        <v/>
      </c>
      <c r="O57" s="770" t="str">
        <f>IF(N57="","",MAX(0,G57-N57))</f>
        <v/>
      </c>
      <c r="AA57" t="s">
        <v>595</v>
      </c>
      <c r="AB57" t="s">
        <v>1425</v>
      </c>
    </row>
    <row r="58" spans="1:28" ht="6" customHeight="1" x14ac:dyDescent="0.3">
      <c r="C58" s="65"/>
      <c r="AA58" t="s">
        <v>483</v>
      </c>
      <c r="AB58" t="s">
        <v>1422</v>
      </c>
    </row>
    <row r="59" spans="1:28" ht="15" customHeight="1" x14ac:dyDescent="0.3">
      <c r="A59" s="75">
        <v>46274</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c r="C60" s="108"/>
      <c r="D60" s="104"/>
      <c r="E60" s="107" t="s">
        <v>184</v>
      </c>
      <c r="F60" s="871" t="str">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
      </c>
      <c r="G60" s="106" t="str">
        <f>IFERROR(ROUNDUP(D60/F60,0),"")</f>
        <v/>
      </c>
      <c r="H60" s="105"/>
      <c r="I60" s="104" t="str">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
      </c>
      <c r="AA60" t="s">
        <v>577</v>
      </c>
      <c r="AB60" t="s">
        <v>1422</v>
      </c>
    </row>
    <row r="61" spans="1:28" ht="21" customHeight="1" x14ac:dyDescent="0.3">
      <c r="A61" s="11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17"/>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0</v>
      </c>
      <c r="E65" s="849"/>
      <c r="F65" s="856" t="s">
        <v>1400</v>
      </c>
      <c r="G65" s="850">
        <f>SUM(G58:G64)</f>
        <v>0</v>
      </c>
      <c r="H65" s="848">
        <f>SUM(H58:H64)</f>
        <v>0</v>
      </c>
      <c r="I65" s="848">
        <f>SUM(I58:I64)</f>
        <v>0</v>
      </c>
      <c r="J65" s="63">
        <f>D65</f>
        <v>0</v>
      </c>
      <c r="K65" s="93">
        <f>G65</f>
        <v>0</v>
      </c>
      <c r="L65" s="63">
        <f>H65</f>
        <v>0</v>
      </c>
      <c r="M65" s="63">
        <f>I65</f>
        <v>0</v>
      </c>
      <c r="N65" s="587" t="str" cm="1">
        <f t="array" ref="N65">IF(H65=0,"",SUMPRODUCT(IFERROR(INT(H60:H64/F60:F64),0)))</f>
        <v/>
      </c>
      <c r="O65" s="770" t="str">
        <f>IF(N65="","",MAX(0,G65-N65))</f>
        <v/>
      </c>
      <c r="AA65" t="s">
        <v>114</v>
      </c>
      <c r="AB65" t="s">
        <v>1422</v>
      </c>
    </row>
    <row r="66" spans="1:28" ht="6" customHeight="1" x14ac:dyDescent="0.3">
      <c r="C66" s="65"/>
      <c r="AA66" t="s">
        <v>487</v>
      </c>
      <c r="AB66" t="s">
        <v>1422</v>
      </c>
    </row>
    <row r="67" spans="1:28" ht="15" customHeight="1" x14ac:dyDescent="0.3">
      <c r="A67" s="75">
        <v>46275</v>
      </c>
      <c r="B67" s="113" t="s">
        <v>49</v>
      </c>
      <c r="C67" s="112" t="s">
        <v>176</v>
      </c>
      <c r="D67" s="111" t="s">
        <v>177</v>
      </c>
      <c r="E67" s="111" t="s">
        <v>178</v>
      </c>
      <c r="F67" s="860" t="s">
        <v>179</v>
      </c>
      <c r="G67" s="111" t="s">
        <v>180</v>
      </c>
      <c r="H67" s="111" t="s">
        <v>181</v>
      </c>
      <c r="I67" s="111" t="s">
        <v>182</v>
      </c>
      <c r="AA67" t="s">
        <v>488</v>
      </c>
      <c r="AB67" t="s">
        <v>1422</v>
      </c>
    </row>
    <row r="68" spans="1:28" ht="21" customHeight="1" x14ac:dyDescent="0.3">
      <c r="A68" s="110"/>
      <c r="B68" s="109"/>
      <c r="C68" s="108"/>
      <c r="D68" s="104"/>
      <c r="E68" s="107" t="s">
        <v>184</v>
      </c>
      <c r="F68" s="871"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06" t="str">
        <f>IFERROR(ROUNDUP(D68/F68,0),"")</f>
        <v/>
      </c>
      <c r="H68" s="105"/>
      <c r="I68" s="104"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AA68" t="s">
        <v>477</v>
      </c>
      <c r="AB68" t="s">
        <v>1422</v>
      </c>
    </row>
    <row r="69" spans="1:28" ht="21" customHeight="1" x14ac:dyDescent="0.3">
      <c r="A69" s="110"/>
      <c r="B69" s="109"/>
      <c r="C69" s="108"/>
      <c r="D69" s="104"/>
      <c r="E69" s="107" t="s">
        <v>184</v>
      </c>
      <c r="F69" s="871"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06" t="str">
        <f>IFERROR(ROUNDUP(D69/F69,0),"")</f>
        <v/>
      </c>
      <c r="H69" s="105"/>
      <c r="I69" s="104"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AA69" t="s">
        <v>1189</v>
      </c>
      <c r="AB69" t="s">
        <v>1422</v>
      </c>
    </row>
    <row r="70" spans="1:28" ht="21" customHeight="1" x14ac:dyDescent="0.3">
      <c r="A70" s="11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IFERROR(ROUNDUP(D70/F70,0),"")</f>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IFERROR(ROUNDUP(D71/F71,0),"")</f>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817"/>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IFERROR(ROUNDUP(D72/F72,0),"")</f>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15" customHeight="1" x14ac:dyDescent="0.3">
      <c r="A73" s="899"/>
      <c r="B73" s="846" t="s">
        <v>186</v>
      </c>
      <c r="C73" s="847"/>
      <c r="D73" s="848">
        <f>SUM(D66:D72)</f>
        <v>0</v>
      </c>
      <c r="E73" s="849"/>
      <c r="F73" s="856" t="s">
        <v>1400</v>
      </c>
      <c r="G73" s="850">
        <f>SUM(G66:G72)</f>
        <v>0</v>
      </c>
      <c r="H73" s="848">
        <f>SUM(H66:H72)</f>
        <v>0</v>
      </c>
      <c r="I73" s="848">
        <f>SUM(I66:I72)</f>
        <v>0</v>
      </c>
      <c r="J73" s="63">
        <f>D73</f>
        <v>0</v>
      </c>
      <c r="K73" s="93">
        <f>G73</f>
        <v>0</v>
      </c>
      <c r="L73" s="63">
        <f>H73</f>
        <v>0</v>
      </c>
      <c r="M73" s="63">
        <f>I73</f>
        <v>0</v>
      </c>
      <c r="N73" s="587" t="str" cm="1">
        <f t="array" ref="N73">IF(H73=0,"",SUMPRODUCT(IFERROR(INT(H68:H72/F68:F72),0)))</f>
        <v/>
      </c>
      <c r="O73" s="770" t="str">
        <f>IF(N73="","",MAX(0,G73-N73))</f>
        <v/>
      </c>
      <c r="AA73" t="s">
        <v>1191</v>
      </c>
      <c r="AB73" t="s">
        <v>1422</v>
      </c>
    </row>
    <row r="74" spans="1:28" ht="6" customHeight="1" x14ac:dyDescent="0.3">
      <c r="C74" s="65"/>
      <c r="AA74" t="s">
        <v>481</v>
      </c>
      <c r="AB74" t="s">
        <v>1422</v>
      </c>
    </row>
    <row r="75" spans="1:28" ht="15" customHeight="1" x14ac:dyDescent="0.3">
      <c r="A75" s="75">
        <v>46276</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10"/>
      <c r="B76" s="109"/>
      <c r="C76" s="108"/>
      <c r="D76" s="104"/>
      <c r="E76" s="107" t="s">
        <v>184</v>
      </c>
      <c r="F76" s="871" t="str">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
      </c>
      <c r="G76" s="106" t="str">
        <f>IFERROR(ROUNDUP(D76/F76,0),"")</f>
        <v/>
      </c>
      <c r="H76" s="105"/>
      <c r="I76" s="104" t="str">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
      </c>
      <c r="AA76" t="s">
        <v>1192</v>
      </c>
      <c r="AB76" t="s">
        <v>1422</v>
      </c>
    </row>
    <row r="77" spans="1:28" ht="21" customHeight="1" x14ac:dyDescent="0.3">
      <c r="A77" s="110"/>
      <c r="B77" s="109"/>
      <c r="C77" s="108"/>
      <c r="D77" s="104"/>
      <c r="E77" s="107" t="s">
        <v>184</v>
      </c>
      <c r="F77" s="871" t="str">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
      </c>
      <c r="G77" s="106" t="str">
        <f>IFERROR(ROUNDUP(D77/F77,0),"")</f>
        <v/>
      </c>
      <c r="H77" s="105"/>
      <c r="I77" s="104" t="str">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
      </c>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IFERROR(ROUNDUP(D78/F78,0),"")</f>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IFERROR(ROUNDUP(D79/F79,0),"")</f>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817"/>
      <c r="B80" s="818"/>
      <c r="C80" s="819"/>
      <c r="D80" s="820"/>
      <c r="E80" s="821" t="s">
        <v>184</v>
      </c>
      <c r="F80" s="872"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822" t="str">
        <f>IFERROR(ROUNDUP(D80/F80,0),"")</f>
        <v/>
      </c>
      <c r="H80" s="823"/>
      <c r="I80" s="820"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15" customHeight="1" x14ac:dyDescent="0.3">
      <c r="A81" s="899"/>
      <c r="B81" s="846" t="s">
        <v>186</v>
      </c>
      <c r="C81" s="847"/>
      <c r="D81" s="848">
        <f>SUM(D74:D80)</f>
        <v>0</v>
      </c>
      <c r="E81" s="849"/>
      <c r="F81" s="856" t="s">
        <v>1400</v>
      </c>
      <c r="G81" s="850">
        <f>SUM(G74:G80)</f>
        <v>0</v>
      </c>
      <c r="H81" s="848">
        <f>SUM(H74:H80)</f>
        <v>0</v>
      </c>
      <c r="I81" s="848">
        <f>SUM(I74:I80)</f>
        <v>0</v>
      </c>
      <c r="J81" s="63">
        <f>D81</f>
        <v>0</v>
      </c>
      <c r="K81" s="93">
        <f>G81</f>
        <v>0</v>
      </c>
      <c r="L81" s="63">
        <f>H81</f>
        <v>0</v>
      </c>
      <c r="M81" s="63">
        <f>I81</f>
        <v>0</v>
      </c>
      <c r="N81" s="587" t="str" cm="1">
        <f t="array" ref="N81">IF(H81=0,"",SUMPRODUCT(IFERROR(INT(H76:H80/F76:F80),0)))</f>
        <v/>
      </c>
      <c r="O81" s="770" t="str">
        <f>IF(N81="","",MAX(0,G81-N81))</f>
        <v/>
      </c>
      <c r="AA81" t="s">
        <v>486</v>
      </c>
      <c r="AB81" t="s">
        <v>1422</v>
      </c>
    </row>
    <row r="82" spans="1:28" ht="6" customHeight="1" x14ac:dyDescent="0.3">
      <c r="C82" s="65"/>
      <c r="AA82" t="s">
        <v>485</v>
      </c>
      <c r="AB82" t="s">
        <v>1422</v>
      </c>
    </row>
    <row r="83" spans="1:28" ht="15" customHeight="1" x14ac:dyDescent="0.3">
      <c r="A83" s="135">
        <v>46277</v>
      </c>
      <c r="B83" s="113" t="s">
        <v>49</v>
      </c>
      <c r="C83" s="112" t="s">
        <v>176</v>
      </c>
      <c r="D83" s="111" t="s">
        <v>177</v>
      </c>
      <c r="E83" s="111" t="s">
        <v>178</v>
      </c>
      <c r="F83" s="862" t="s">
        <v>179</v>
      </c>
      <c r="G83" s="111" t="s">
        <v>180</v>
      </c>
      <c r="H83" s="111" t="s">
        <v>181</v>
      </c>
      <c r="I83" s="111" t="s">
        <v>182</v>
      </c>
      <c r="J83" s="128"/>
      <c r="K83" s="128"/>
      <c r="L83" s="128"/>
      <c r="M83" s="128"/>
      <c r="AA83" t="s">
        <v>583</v>
      </c>
      <c r="AB83" t="s">
        <v>1422</v>
      </c>
    </row>
    <row r="84" spans="1:28" ht="21" customHeight="1" x14ac:dyDescent="0.3">
      <c r="A84" s="110"/>
      <c r="B84" s="127"/>
      <c r="C84" s="126"/>
      <c r="D84" s="129"/>
      <c r="E84" s="131" t="s">
        <v>184</v>
      </c>
      <c r="F84" s="877" t="str">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
      </c>
      <c r="G84" s="130" t="str">
        <f>IFERROR(ROUNDUP(D84/F84,0),"")</f>
        <v/>
      </c>
      <c r="H84" s="105"/>
      <c r="I84" s="129" t="str">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
      </c>
      <c r="J84" s="128"/>
      <c r="K84" s="128"/>
      <c r="L84" s="128"/>
      <c r="M84" s="128"/>
      <c r="AA84" t="s">
        <v>584</v>
      </c>
      <c r="AB84" t="s">
        <v>1422</v>
      </c>
    </row>
    <row r="85" spans="1:28" ht="21" customHeight="1" x14ac:dyDescent="0.3">
      <c r="A85" s="110"/>
      <c r="B85" s="127"/>
      <c r="C85" s="126"/>
      <c r="D85" s="129"/>
      <c r="E85" s="131" t="s">
        <v>184</v>
      </c>
      <c r="F85" s="877" t="str">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
      </c>
      <c r="G85" s="130" t="str">
        <f>IFERROR(ROUNDUP(D85/F85,0),"")</f>
        <v/>
      </c>
      <c r="H85" s="105"/>
      <c r="I85" s="129"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J85" s="128"/>
      <c r="K85" s="128"/>
      <c r="L85" s="128"/>
      <c r="M85" s="128"/>
      <c r="AA85" t="s">
        <v>579</v>
      </c>
      <c r="AB85" t="s">
        <v>1422</v>
      </c>
    </row>
    <row r="86" spans="1:28" ht="21" customHeight="1" x14ac:dyDescent="0.3">
      <c r="A86" s="110"/>
      <c r="B86" s="127"/>
      <c r="C86" s="126"/>
      <c r="D86" s="129"/>
      <c r="E86" s="131" t="s">
        <v>184</v>
      </c>
      <c r="F86" s="877"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30" t="str">
        <f>IFERROR(ROUNDUP(D86/F86,0),"")</f>
        <v/>
      </c>
      <c r="H86" s="105"/>
      <c r="I86" s="129"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J86" s="128"/>
      <c r="K86" s="128"/>
      <c r="L86" s="128"/>
      <c r="M86" s="128"/>
      <c r="AA86" t="s">
        <v>484</v>
      </c>
      <c r="AB86" t="s">
        <v>1422</v>
      </c>
    </row>
    <row r="87" spans="1:28" ht="21" customHeight="1" x14ac:dyDescent="0.3">
      <c r="A87" s="110"/>
      <c r="B87" s="127"/>
      <c r="C87" s="126"/>
      <c r="D87" s="129"/>
      <c r="E87" s="131" t="s">
        <v>184</v>
      </c>
      <c r="F87" s="877"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30" t="str">
        <f>IFERROR(ROUNDUP(D87/F87,0),"")</f>
        <v/>
      </c>
      <c r="H87" s="105"/>
      <c r="I87" s="129"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J87" s="128"/>
      <c r="K87" s="128"/>
      <c r="L87" s="128"/>
      <c r="M87" s="128"/>
      <c r="AA87" t="s">
        <v>580</v>
      </c>
      <c r="AB87" t="s">
        <v>1422</v>
      </c>
    </row>
    <row r="88" spans="1:28" ht="21" customHeight="1" x14ac:dyDescent="0.3">
      <c r="A88" s="817"/>
      <c r="B88" s="829"/>
      <c r="C88" s="830"/>
      <c r="D88" s="831"/>
      <c r="E88" s="832" t="s">
        <v>184</v>
      </c>
      <c r="F88" s="878"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833" t="str">
        <f>IFERROR(ROUNDUP(D88/F88,0),"")</f>
        <v/>
      </c>
      <c r="H88" s="823"/>
      <c r="I88" s="831"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J88" s="128"/>
      <c r="K88" s="128"/>
      <c r="L88" s="128"/>
      <c r="M88" s="128"/>
      <c r="AA88" t="s">
        <v>585</v>
      </c>
      <c r="AB88" t="s">
        <v>1422</v>
      </c>
    </row>
    <row r="89" spans="1:28" ht="15" customHeight="1" x14ac:dyDescent="0.3">
      <c r="A89" s="899"/>
      <c r="B89" s="846" t="s">
        <v>186</v>
      </c>
      <c r="C89" s="851"/>
      <c r="D89" s="848">
        <f>SUM(D82:D88)</f>
        <v>0</v>
      </c>
      <c r="E89" s="852"/>
      <c r="F89" s="857" t="s">
        <v>1400</v>
      </c>
      <c r="G89" s="850">
        <f>SUM(G82:G88)</f>
        <v>0</v>
      </c>
      <c r="H89" s="848">
        <f>SUM(H82:H88)</f>
        <v>0</v>
      </c>
      <c r="I89" s="848">
        <f>SUM(I82:I88)</f>
        <v>0</v>
      </c>
      <c r="J89" s="133">
        <f>D89</f>
        <v>0</v>
      </c>
      <c r="K89" s="134">
        <f>G89</f>
        <v>0</v>
      </c>
      <c r="L89" s="133">
        <f>H89</f>
        <v>0</v>
      </c>
      <c r="M89" s="133">
        <f>I89</f>
        <v>0</v>
      </c>
      <c r="N89" s="587" t="str" cm="1">
        <f t="array" ref="N89">IF(H89=0,"",SUMPRODUCT(IFERROR(INT(H84:H88/F84:F88),0)))</f>
        <v/>
      </c>
      <c r="O89" s="770" t="str">
        <f>IF(N89="","",MAX(0,G89-N89))</f>
        <v/>
      </c>
      <c r="AA89" t="s">
        <v>586</v>
      </c>
      <c r="AB89" t="s">
        <v>1422</v>
      </c>
    </row>
    <row r="90" spans="1:28" ht="6" customHeight="1" x14ac:dyDescent="0.3">
      <c r="A90" s="128"/>
      <c r="B90" s="128"/>
      <c r="C90" s="132"/>
      <c r="D90" s="128"/>
      <c r="E90" s="128"/>
      <c r="F90" s="128"/>
      <c r="G90" s="128"/>
      <c r="H90" s="128"/>
      <c r="I90" s="128"/>
      <c r="J90" s="128"/>
      <c r="K90" s="128"/>
      <c r="L90" s="128"/>
      <c r="M90" s="128"/>
      <c r="AA90" t="s">
        <v>194</v>
      </c>
      <c r="AB90" t="s">
        <v>1422</v>
      </c>
    </row>
    <row r="91" spans="1:28" ht="15" customHeight="1" x14ac:dyDescent="0.3">
      <c r="A91" s="75">
        <v>46279</v>
      </c>
      <c r="B91" s="113" t="s">
        <v>49</v>
      </c>
      <c r="C91" s="112" t="s">
        <v>176</v>
      </c>
      <c r="D91" s="111" t="s">
        <v>177</v>
      </c>
      <c r="E91" s="111" t="s">
        <v>178</v>
      </c>
      <c r="F91" s="860" t="s">
        <v>179</v>
      </c>
      <c r="G91" s="111" t="s">
        <v>180</v>
      </c>
      <c r="H91" s="111" t="s">
        <v>181</v>
      </c>
      <c r="I91" s="111" t="s">
        <v>182</v>
      </c>
      <c r="AA91" t="s">
        <v>35</v>
      </c>
      <c r="AB91" t="s">
        <v>1425</v>
      </c>
    </row>
    <row r="92" spans="1:28" ht="21" customHeight="1" x14ac:dyDescent="0.3">
      <c r="A92" s="110"/>
      <c r="B92" s="109"/>
      <c r="C92" s="108"/>
      <c r="D92" s="104"/>
      <c r="E92" s="107" t="s">
        <v>184</v>
      </c>
      <c r="F92" s="871" t="str">
        <f>IF($B92="","",IF(SUMIFS(CONFIG_PALETES!$C:$C,CONFIG_PALETES!$A:$A,TRIM($B92),CONFIG_PALETES!$B:$B,$C92&amp;" ml")&gt;0,SUMIFS(CONFIG_PALETES!$C:$C,CONFIG_PALETES!$A:$A,TRIM($B92),CONFIG_PALETES!$B:$B,$C92&amp;" ml"),IF(SUMIFS(CONFIG_PALETES!$C:$C,CONFIG_PALETES!$A:$A,"GERAL",CONFIG_PALETES!$B:$B,$C92&amp;" ml")&gt;0,SUMIFS(CONFIG_PALETES!$C:$C,CONFIG_PALETES!$A:$A,"GERAL",CONFIG_PALETES!$B:$B,$C92&amp;" ml"),"")))</f>
        <v/>
      </c>
      <c r="G92" s="106" t="str">
        <f>IFERROR(ROUNDUP(D92/F92,0),"")</f>
        <v/>
      </c>
      <c r="H92" s="105"/>
      <c r="I92" s="104" t="str">
        <f>IF(H92="","",H92*IF(SUMIFS(CONFIG_PALETES!$D:$D,CONFIG_PALETES!$A:$A,IF(ISNUMBER(SEARCH("ESPUMA",$B92)),"ESPUMA",IF(OR(ISNUMBER(SEARCH("OLEO DE COCO",$B92)),ISNUMBER(SEARCH("ÓLEO DE COCO",$B92)),ISNUMBER(SEARCH("COPRA",$B92))),"ÓLEO DE COCO",IF(ISNUMBER(SEARCH("CORANTE",$B92)),"CORANTE",TRIM($B92)))),CONFIG_PALETES!$B:$B,$C92&amp;" ml")&gt;0,SUMIFS(CONFIG_PALETES!$D:$D,CONFIG_PALETES!$A:$A,IF(ISNUMBER(SEARCH("ESPUMA",$B92)),"ESPUMA",IF(OR(ISNUMBER(SEARCH("OLEO DE COCO",$B92)),ISNUMBER(SEARCH("ÓLEO DE COCO",$B92)),ISNUMBER(SEARCH("COPRA",$B92))),"ÓLEO DE COCO",IF(ISNUMBER(SEARCH("CORANTE",$B92)),"CORANTE",TRIM($B92)))),CONFIG_PALETES!$B:$B,$C92&amp;" ml"),IF(SUMIFS(CONFIG_PALETES!$D:$D,CONFIG_PALETES!$A:$A,"GERAL",CONFIG_PALETES!$B:$B,$C92&amp;" ml")&gt;0,SUMIFS(CONFIG_PALETES!$D:$D,CONFIG_PALETES!$A:$A,"GERAL",CONFIG_PALETES!$B:$B,$C92&amp;" ml"),12)))</f>
        <v/>
      </c>
      <c r="AA92" t="s">
        <v>597</v>
      </c>
      <c r="AB92" t="s">
        <v>1425</v>
      </c>
    </row>
    <row r="93" spans="1:28" ht="21" customHeight="1" x14ac:dyDescent="0.3">
      <c r="A93" s="110"/>
      <c r="B93" s="109"/>
      <c r="C93" s="108"/>
      <c r="D93" s="104"/>
      <c r="E93" s="107" t="s">
        <v>184</v>
      </c>
      <c r="F93" s="871" t="str">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
      </c>
      <c r="G93" s="106" t="str">
        <f>IFERROR(ROUNDUP(D93/F93,0),"")</f>
        <v/>
      </c>
      <c r="H93" s="105"/>
      <c r="I93" s="104" t="str">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
      </c>
      <c r="AA93" t="s">
        <v>196</v>
      </c>
      <c r="AB93" t="s">
        <v>1429</v>
      </c>
    </row>
    <row r="94" spans="1:28" ht="21" customHeight="1" x14ac:dyDescent="0.3">
      <c r="A94" s="110"/>
      <c r="B94" s="109"/>
      <c r="C94" s="108"/>
      <c r="D94" s="104"/>
      <c r="E94" s="107" t="s">
        <v>184</v>
      </c>
      <c r="F94" s="871" t="str">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
      </c>
      <c r="G94" s="106" t="str">
        <f>IFERROR(ROUNDUP(D94/F94,0),"")</f>
        <v/>
      </c>
      <c r="H94" s="105"/>
      <c r="I94" s="104" t="str">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
      </c>
      <c r="AA94" t="s">
        <v>298</v>
      </c>
      <c r="AB94" t="s">
        <v>1422</v>
      </c>
    </row>
    <row r="95" spans="1:28" ht="21" customHeight="1" x14ac:dyDescent="0.3">
      <c r="A95" s="110"/>
      <c r="B95" s="109"/>
      <c r="C95" s="108"/>
      <c r="D95" s="104"/>
      <c r="E95" s="107" t="s">
        <v>184</v>
      </c>
      <c r="F95" s="871"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06" t="str">
        <f>IFERROR(ROUNDUP(D95/F95,0),"")</f>
        <v/>
      </c>
      <c r="H95" s="105"/>
      <c r="I95" s="104"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AA95" t="s">
        <v>191</v>
      </c>
      <c r="AB95" t="s">
        <v>1422</v>
      </c>
    </row>
    <row r="96" spans="1:28" ht="21" customHeight="1" x14ac:dyDescent="0.3">
      <c r="A96" s="817"/>
      <c r="B96" s="818"/>
      <c r="C96" s="819"/>
      <c r="D96" s="820"/>
      <c r="E96" s="821" t="s">
        <v>184</v>
      </c>
      <c r="F96" s="872"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822" t="str">
        <f>IFERROR(ROUNDUP(D96/F96,0),"")</f>
        <v/>
      </c>
      <c r="H96" s="823"/>
      <c r="I96" s="820"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AA96" t="s">
        <v>190</v>
      </c>
      <c r="AB96" t="s">
        <v>1422</v>
      </c>
    </row>
    <row r="97" spans="1:28" ht="15" customHeight="1" x14ac:dyDescent="0.3">
      <c r="A97" s="899"/>
      <c r="B97" s="846" t="s">
        <v>186</v>
      </c>
      <c r="C97" s="847"/>
      <c r="D97" s="848">
        <f>SUM(D90:D96)</f>
        <v>0</v>
      </c>
      <c r="E97" s="849"/>
      <c r="F97" s="856" t="s">
        <v>1400</v>
      </c>
      <c r="G97" s="850">
        <f>SUM(G90:G96)</f>
        <v>0</v>
      </c>
      <c r="H97" s="848">
        <f>SUM(H90:H96)</f>
        <v>0</v>
      </c>
      <c r="I97" s="848">
        <f>SUM(I90:I96)</f>
        <v>0</v>
      </c>
      <c r="J97" s="63">
        <f>D97</f>
        <v>0</v>
      </c>
      <c r="K97" s="93">
        <f>G97</f>
        <v>0</v>
      </c>
      <c r="L97" s="63">
        <f>H97</f>
        <v>0</v>
      </c>
      <c r="M97" s="63">
        <f>I97</f>
        <v>0</v>
      </c>
      <c r="N97" s="587" t="str" cm="1">
        <f t="array" ref="N97">IF(H97=0,"",SUMPRODUCT(IFERROR(INT(H92:H96/F92:F96),0)))</f>
        <v/>
      </c>
      <c r="O97" s="770" t="str">
        <f>IF(N97="","",MAX(0,G97-N97))</f>
        <v/>
      </c>
      <c r="AA97" t="s">
        <v>594</v>
      </c>
      <c r="AB97" t="s">
        <v>1424</v>
      </c>
    </row>
    <row r="98" spans="1:28" ht="6" customHeight="1" x14ac:dyDescent="0.3">
      <c r="C98" s="65"/>
      <c r="AA98" t="s">
        <v>1061</v>
      </c>
      <c r="AB98" t="s">
        <v>1429</v>
      </c>
    </row>
    <row r="99" spans="1:28" ht="15" customHeight="1" x14ac:dyDescent="0.3">
      <c r="A99" s="75">
        <v>46280</v>
      </c>
      <c r="B99" s="113" t="s">
        <v>49</v>
      </c>
      <c r="C99" s="112" t="s">
        <v>176</v>
      </c>
      <c r="D99" s="111" t="s">
        <v>177</v>
      </c>
      <c r="E99" s="111" t="s">
        <v>178</v>
      </c>
      <c r="F99" s="860" t="s">
        <v>179</v>
      </c>
      <c r="G99" s="111" t="s">
        <v>180</v>
      </c>
      <c r="H99" s="111" t="s">
        <v>181</v>
      </c>
      <c r="I99" s="111" t="s">
        <v>182</v>
      </c>
      <c r="AA99" t="s">
        <v>149</v>
      </c>
      <c r="AB99" t="s">
        <v>1425</v>
      </c>
    </row>
    <row r="100" spans="1:28" ht="21" customHeight="1" x14ac:dyDescent="0.3">
      <c r="A100" s="110"/>
      <c r="B100" s="109"/>
      <c r="C100" s="108"/>
      <c r="D100" s="104"/>
      <c r="E100" s="107" t="s">
        <v>184</v>
      </c>
      <c r="F100" s="871"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06" t="str">
        <f>IFERROR(ROUNDUP(D100/F100,0),"")</f>
        <v/>
      </c>
      <c r="H100" s="105"/>
      <c r="I100" s="104"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AA100" t="s">
        <v>29</v>
      </c>
      <c r="AB100" t="s">
        <v>1425</v>
      </c>
    </row>
    <row r="101" spans="1:28" ht="21" customHeight="1" x14ac:dyDescent="0.3">
      <c r="A101" s="110"/>
      <c r="B101" s="109"/>
      <c r="C101" s="108"/>
      <c r="D101" s="104"/>
      <c r="E101" s="107" t="s">
        <v>184</v>
      </c>
      <c r="F101" s="871"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06" t="str">
        <f>IFERROR(ROUNDUP(D101/F101,0),"")</f>
        <v/>
      </c>
      <c r="H101" s="105"/>
      <c r="I101" s="104"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AA101" t="s">
        <v>62</v>
      </c>
      <c r="AB101" t="s">
        <v>1423</v>
      </c>
    </row>
    <row r="102" spans="1:28" ht="21" customHeight="1" x14ac:dyDescent="0.3">
      <c r="A102" s="110"/>
      <c r="B102" s="109"/>
      <c r="C102" s="108"/>
      <c r="D102" s="104"/>
      <c r="E102" s="107" t="s">
        <v>184</v>
      </c>
      <c r="F102" s="871"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106" t="str">
        <f>IFERROR(ROUNDUP(D102/F102,0),"")</f>
        <v/>
      </c>
      <c r="H102" s="105"/>
      <c r="I102" s="104"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AA102" t="s">
        <v>649</v>
      </c>
      <c r="AB102" t="s">
        <v>1423</v>
      </c>
    </row>
    <row r="103" spans="1:28" ht="21" customHeight="1" x14ac:dyDescent="0.3">
      <c r="A103" s="110"/>
      <c r="B103" s="109"/>
      <c r="C103" s="108"/>
      <c r="D103" s="104"/>
      <c r="E103" s="107" t="s">
        <v>184</v>
      </c>
      <c r="F103" s="871"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06" t="str">
        <f>IFERROR(ROUNDUP(D103/F103,0),"")</f>
        <v/>
      </c>
      <c r="H103" s="105"/>
      <c r="I103" s="104"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AA103" t="s">
        <v>188</v>
      </c>
      <c r="AB103" t="s">
        <v>1423</v>
      </c>
    </row>
    <row r="104" spans="1:28" ht="21" customHeight="1" x14ac:dyDescent="0.3">
      <c r="A104" s="817"/>
      <c r="B104" s="818"/>
      <c r="C104" s="819"/>
      <c r="D104" s="820"/>
      <c r="E104" s="821" t="s">
        <v>184</v>
      </c>
      <c r="F104" s="872"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822" t="str">
        <f>IFERROR(ROUNDUP(D104/F104,0),"")</f>
        <v/>
      </c>
      <c r="H104" s="823"/>
      <c r="I104" s="820"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AA104" t="s">
        <v>1164</v>
      </c>
      <c r="AB104" t="s">
        <v>1423</v>
      </c>
    </row>
    <row r="105" spans="1:28" ht="15" customHeight="1" x14ac:dyDescent="0.3">
      <c r="A105" s="899"/>
      <c r="B105" s="846" t="s">
        <v>186</v>
      </c>
      <c r="C105" s="847"/>
      <c r="D105" s="848">
        <f>SUM(D98:D104)</f>
        <v>0</v>
      </c>
      <c r="E105" s="849"/>
      <c r="F105" s="856" t="s">
        <v>1400</v>
      </c>
      <c r="G105" s="850">
        <f>SUM(G98:G104)</f>
        <v>0</v>
      </c>
      <c r="H105" s="848">
        <f>SUM(H98:H104)</f>
        <v>0</v>
      </c>
      <c r="I105" s="848">
        <f>SUM(I98:I104)</f>
        <v>0</v>
      </c>
      <c r="J105" s="63">
        <f>D105</f>
        <v>0</v>
      </c>
      <c r="K105" s="93">
        <f>G105</f>
        <v>0</v>
      </c>
      <c r="L105" s="63">
        <f>H105</f>
        <v>0</v>
      </c>
      <c r="M105" s="63">
        <f>I105</f>
        <v>0</v>
      </c>
      <c r="N105" s="587" t="str" cm="1">
        <f t="array" ref="N105">IF(H105=0,"",SUMPRODUCT(IFERROR(INT(H100:H104/F100:F104),0)))</f>
        <v/>
      </c>
      <c r="O105" s="770" t="str">
        <f>IF(N105="","",MAX(0,G105-N105))</f>
        <v/>
      </c>
      <c r="AA105" t="s">
        <v>131</v>
      </c>
      <c r="AB105" t="s">
        <v>1423</v>
      </c>
    </row>
    <row r="106" spans="1:28" ht="6" customHeight="1" x14ac:dyDescent="0.3">
      <c r="C106" s="65"/>
      <c r="AA106" t="s">
        <v>1225</v>
      </c>
      <c r="AB106" t="s">
        <v>1426</v>
      </c>
    </row>
    <row r="107" spans="1:28" ht="15" customHeight="1" x14ac:dyDescent="0.3">
      <c r="A107" s="75">
        <v>46281</v>
      </c>
      <c r="B107" s="113" t="s">
        <v>49</v>
      </c>
      <c r="C107" s="112" t="s">
        <v>176</v>
      </c>
      <c r="D107" s="111" t="s">
        <v>177</v>
      </c>
      <c r="E107" s="111" t="s">
        <v>178</v>
      </c>
      <c r="F107" s="860" t="s">
        <v>179</v>
      </c>
      <c r="G107" s="111" t="s">
        <v>180</v>
      </c>
      <c r="H107" s="111" t="s">
        <v>181</v>
      </c>
      <c r="I107" s="111" t="s">
        <v>182</v>
      </c>
      <c r="AA107" t="s">
        <v>198</v>
      </c>
      <c r="AB107" t="s">
        <v>1425</v>
      </c>
    </row>
    <row r="108" spans="1:28" ht="21" customHeight="1" x14ac:dyDescent="0.3">
      <c r="A108" s="110"/>
      <c r="B108" s="109"/>
      <c r="C108" s="108"/>
      <c r="D108" s="104"/>
      <c r="E108" s="107" t="s">
        <v>184</v>
      </c>
      <c r="F108" s="871"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106" t="str">
        <f>IFERROR(ROUNDUP(D108/F108,0),"")</f>
        <v/>
      </c>
      <c r="H108" s="105"/>
      <c r="I108" s="104"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110"/>
      <c r="B110" s="109"/>
      <c r="C110" s="108"/>
      <c r="D110" s="104"/>
      <c r="E110" s="107" t="s">
        <v>184</v>
      </c>
      <c r="F110" s="871"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106" t="str">
        <f>IFERROR(ROUNDUP(D110/F110,0),"")</f>
        <v/>
      </c>
      <c r="H110" s="105"/>
      <c r="I110" s="104"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21" customHeight="1" x14ac:dyDescent="0.3">
      <c r="A111" s="11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817"/>
      <c r="B112" s="818"/>
      <c r="C112" s="819"/>
      <c r="D112" s="820"/>
      <c r="E112" s="821" t="s">
        <v>184</v>
      </c>
      <c r="F112" s="872"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822" t="str">
        <f>IFERROR(ROUNDUP(D112/F112,0),"")</f>
        <v/>
      </c>
      <c r="H112" s="823"/>
      <c r="I112" s="820"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15" customHeight="1" x14ac:dyDescent="0.3">
      <c r="A113" s="899"/>
      <c r="B113" s="846" t="s">
        <v>186</v>
      </c>
      <c r="C113" s="847"/>
      <c r="D113" s="848">
        <f>SUM(D106:D112)</f>
        <v>0</v>
      </c>
      <c r="E113" s="849"/>
      <c r="F113" s="856" t="s">
        <v>1400</v>
      </c>
      <c r="G113" s="850">
        <f>SUM(G106:G112)</f>
        <v>0</v>
      </c>
      <c r="H113" s="848">
        <f>SUM(H106:H112)</f>
        <v>0</v>
      </c>
      <c r="I113" s="848">
        <f>SUM(I106:I112)</f>
        <v>0</v>
      </c>
      <c r="J113" s="63">
        <f>D113</f>
        <v>0</v>
      </c>
      <c r="K113" s="93">
        <f>G113</f>
        <v>0</v>
      </c>
      <c r="L113" s="63">
        <f>H113</f>
        <v>0</v>
      </c>
      <c r="M113" s="63">
        <f>I113</f>
        <v>0</v>
      </c>
      <c r="N113" s="587" t="str" cm="1">
        <f t="array" ref="N113">IF(H113=0,"",SUMPRODUCT(IFERROR(INT(H108:H112/F108:F112),0)))</f>
        <v/>
      </c>
      <c r="O113" s="770" t="str">
        <f>IF(N113="","",MAX(0,G113-N113))</f>
        <v/>
      </c>
      <c r="AA113" t="s">
        <v>494</v>
      </c>
      <c r="AB113" t="s">
        <v>1426</v>
      </c>
    </row>
    <row r="114" spans="1:28" ht="6" customHeight="1" x14ac:dyDescent="0.3">
      <c r="C114" s="65"/>
      <c r="AA114" t="s">
        <v>404</v>
      </c>
      <c r="AB114" t="s">
        <v>1422</v>
      </c>
    </row>
    <row r="115" spans="1:28" ht="15" customHeight="1" x14ac:dyDescent="0.3">
      <c r="A115" s="75">
        <v>46282</v>
      </c>
      <c r="B115" s="113" t="s">
        <v>49</v>
      </c>
      <c r="C115" s="112" t="s">
        <v>176</v>
      </c>
      <c r="D115" s="111" t="s">
        <v>177</v>
      </c>
      <c r="E115" s="111" t="s">
        <v>178</v>
      </c>
      <c r="F115" s="860" t="s">
        <v>179</v>
      </c>
      <c r="G115" s="111" t="s">
        <v>180</v>
      </c>
      <c r="H115" s="111" t="s">
        <v>181</v>
      </c>
      <c r="I115" s="111" t="s">
        <v>182</v>
      </c>
      <c r="AA115" t="s">
        <v>493</v>
      </c>
      <c r="AB115" t="s">
        <v>1431</v>
      </c>
    </row>
    <row r="116" spans="1:28" ht="21" customHeight="1" x14ac:dyDescent="0.3">
      <c r="A116" s="110"/>
      <c r="B116" s="109"/>
      <c r="C116" s="108"/>
      <c r="D116" s="104"/>
      <c r="E116" s="107" t="s">
        <v>184</v>
      </c>
      <c r="F116" s="871"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06" t="str">
        <f>IFERROR(ROUNDUP(D116/F116,0),"")</f>
        <v/>
      </c>
      <c r="H116" s="105"/>
      <c r="I116" s="104"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AA116" t="s">
        <v>400</v>
      </c>
      <c r="AB116" t="s">
        <v>1430</v>
      </c>
    </row>
    <row r="117" spans="1:28" ht="21" customHeight="1" x14ac:dyDescent="0.3">
      <c r="A117" s="110"/>
      <c r="B117" s="109"/>
      <c r="C117" s="108"/>
      <c r="D117" s="104"/>
      <c r="E117" s="107" t="s">
        <v>184</v>
      </c>
      <c r="F117" s="871"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106" t="str">
        <f>IFERROR(ROUNDUP(D117/F117,0),"")</f>
        <v/>
      </c>
      <c r="H117" s="105"/>
      <c r="I117" s="104"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AA117" t="s">
        <v>492</v>
      </c>
      <c r="AB117" t="s">
        <v>1435</v>
      </c>
    </row>
    <row r="118" spans="1:28" ht="21" customHeight="1" x14ac:dyDescent="0.3">
      <c r="A118" s="11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IFERROR(ROUNDUP(D118/F118,0),"")</f>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1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IFERROR(ROUNDUP(D119/F119,0),"")</f>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817"/>
      <c r="B120" s="818"/>
      <c r="C120" s="819"/>
      <c r="D120" s="820"/>
      <c r="E120" s="821" t="s">
        <v>184</v>
      </c>
      <c r="F120" s="872"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22" t="str">
        <f>IFERROR(ROUNDUP(D120/F120,0),"")</f>
        <v/>
      </c>
      <c r="H120" s="823"/>
      <c r="I120" s="820"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15" customHeight="1" x14ac:dyDescent="0.3">
      <c r="A121" s="899"/>
      <c r="B121" s="846" t="s">
        <v>186</v>
      </c>
      <c r="C121" s="847"/>
      <c r="D121" s="848">
        <f>SUM(D114:D120)</f>
        <v>0</v>
      </c>
      <c r="E121" s="849"/>
      <c r="F121" s="856" t="s">
        <v>1400</v>
      </c>
      <c r="G121" s="850">
        <f>SUM(G114:G120)</f>
        <v>0</v>
      </c>
      <c r="H121" s="848">
        <f>SUM(H114:H120)</f>
        <v>0</v>
      </c>
      <c r="I121" s="848">
        <f>SUM(I114:I120)</f>
        <v>0</v>
      </c>
      <c r="J121" s="63">
        <f>D121</f>
        <v>0</v>
      </c>
      <c r="K121" s="93">
        <f>G121</f>
        <v>0</v>
      </c>
      <c r="L121" s="63">
        <f>H121</f>
        <v>0</v>
      </c>
      <c r="M121" s="63">
        <f>I121</f>
        <v>0</v>
      </c>
      <c r="N121" s="587" t="str" cm="1">
        <f t="array" ref="N121">IF(H121=0,"",SUMPRODUCT(IFERROR(INT(H116:H120/F116:F120),0)))</f>
        <v/>
      </c>
      <c r="O121" s="770" t="str">
        <f>IF(N121="","",MAX(0,G121-N121))</f>
        <v/>
      </c>
      <c r="AA121" t="s">
        <v>285</v>
      </c>
      <c r="AB121" t="s">
        <v>1426</v>
      </c>
    </row>
    <row r="122" spans="1:28" ht="6" customHeight="1" x14ac:dyDescent="0.3">
      <c r="C122" s="65"/>
      <c r="AA122" t="s">
        <v>103</v>
      </c>
      <c r="AB122" t="s">
        <v>1425</v>
      </c>
    </row>
    <row r="123" spans="1:28" ht="15" customHeight="1" x14ac:dyDescent="0.3">
      <c r="A123" s="75">
        <v>46283</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10"/>
      <c r="B124" s="109"/>
      <c r="C124" s="108"/>
      <c r="D124" s="104"/>
      <c r="E124" s="107" t="s">
        <v>184</v>
      </c>
      <c r="F124" s="871"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106" t="str">
        <f>IFERROR(ROUNDUP(D124/F124,0),"")</f>
        <v/>
      </c>
      <c r="H124" s="105"/>
      <c r="I124" s="104"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IFERROR(ROUNDUP(D125/F125,0),"")</f>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AA125" t="s">
        <v>135</v>
      </c>
      <c r="AB125" t="s">
        <v>1425</v>
      </c>
    </row>
    <row r="126" spans="1:28" ht="21" customHeight="1" x14ac:dyDescent="0.3">
      <c r="A126" s="110"/>
      <c r="B126" s="109"/>
      <c r="C126" s="108"/>
      <c r="D126" s="104"/>
      <c r="E126" s="107" t="s">
        <v>184</v>
      </c>
      <c r="F126" s="871"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106" t="str">
        <f>IFERROR(ROUNDUP(D126/F126,0),"")</f>
        <v/>
      </c>
      <c r="H126" s="105"/>
      <c r="I126" s="104"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817"/>
      <c r="B128" s="818"/>
      <c r="C128" s="819"/>
      <c r="D128" s="820"/>
      <c r="E128" s="821" t="s">
        <v>184</v>
      </c>
      <c r="F128" s="872"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822" t="str">
        <f>IFERROR(ROUNDUP(D128/F128,0),"")</f>
        <v/>
      </c>
      <c r="H128" s="823"/>
      <c r="I128" s="820"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15" customHeight="1" x14ac:dyDescent="0.3">
      <c r="A129" s="899"/>
      <c r="B129" s="846" t="s">
        <v>186</v>
      </c>
      <c r="C129" s="847"/>
      <c r="D129" s="848">
        <f>SUM(D122:D128)</f>
        <v>0</v>
      </c>
      <c r="E129" s="849"/>
      <c r="F129" s="856" t="s">
        <v>1400</v>
      </c>
      <c r="G129" s="850">
        <f>SUM(G122:G128)</f>
        <v>0</v>
      </c>
      <c r="H129" s="848">
        <f>SUM(H122:H128)</f>
        <v>0</v>
      </c>
      <c r="I129" s="848">
        <f>SUM(I122:I128)</f>
        <v>0</v>
      </c>
      <c r="J129" s="63">
        <f>D129</f>
        <v>0</v>
      </c>
      <c r="K129" s="93">
        <f>G129</f>
        <v>0</v>
      </c>
      <c r="L129" s="63">
        <f>H129</f>
        <v>0</v>
      </c>
      <c r="M129" s="63">
        <f>I129</f>
        <v>0</v>
      </c>
      <c r="N129" s="587" t="str" cm="1">
        <f t="array" ref="N129">IF(H129=0,"",SUMPRODUCT(IFERROR(INT(H124:H128/F124:F128),0)))</f>
        <v/>
      </c>
      <c r="O129" s="770" t="str">
        <f>IF(N129="","",MAX(0,G129-N129))</f>
        <v/>
      </c>
      <c r="AA129" t="s">
        <v>72</v>
      </c>
      <c r="AB129" t="s">
        <v>1432</v>
      </c>
    </row>
    <row r="130" spans="1:28" ht="6" customHeight="1" x14ac:dyDescent="0.3">
      <c r="C130" s="65"/>
      <c r="AA130" t="s">
        <v>395</v>
      </c>
      <c r="AB130" t="s">
        <v>1423</v>
      </c>
    </row>
    <row r="131" spans="1:28" ht="15" customHeight="1" x14ac:dyDescent="0.3">
      <c r="A131" s="135">
        <v>46284</v>
      </c>
      <c r="B131" s="113" t="s">
        <v>49</v>
      </c>
      <c r="C131" s="112" t="s">
        <v>176</v>
      </c>
      <c r="D131" s="111" t="s">
        <v>177</v>
      </c>
      <c r="E131" s="111" t="s">
        <v>178</v>
      </c>
      <c r="F131" s="862" t="s">
        <v>179</v>
      </c>
      <c r="G131" s="111" t="s">
        <v>180</v>
      </c>
      <c r="H131" s="111" t="s">
        <v>181</v>
      </c>
      <c r="I131" s="111" t="s">
        <v>182</v>
      </c>
      <c r="J131" s="128"/>
      <c r="K131" s="128"/>
      <c r="L131" s="128"/>
      <c r="M131" s="128"/>
      <c r="AA131" t="s">
        <v>25</v>
      </c>
      <c r="AB131" t="s">
        <v>1433</v>
      </c>
    </row>
    <row r="132" spans="1:28" ht="21" customHeight="1" x14ac:dyDescent="0.3">
      <c r="A132" s="110"/>
      <c r="B132" s="127"/>
      <c r="C132" s="126"/>
      <c r="D132" s="129"/>
      <c r="E132" s="131" t="s">
        <v>184</v>
      </c>
      <c r="F132" s="877"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30" t="str">
        <f>IFERROR(ROUNDUP(D132/F132,0),"")</f>
        <v/>
      </c>
      <c r="H132" s="105"/>
      <c r="I132" s="129"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J132" s="128"/>
      <c r="K132" s="128"/>
      <c r="L132" s="128"/>
      <c r="M132" s="128"/>
      <c r="AA132" t="s">
        <v>398</v>
      </c>
      <c r="AB132" t="s">
        <v>1424</v>
      </c>
    </row>
    <row r="133" spans="1:28" ht="21" customHeight="1" x14ac:dyDescent="0.3">
      <c r="A133" s="110"/>
      <c r="B133" s="127"/>
      <c r="C133" s="126"/>
      <c r="D133" s="129"/>
      <c r="E133" s="131" t="s">
        <v>184</v>
      </c>
      <c r="F133" s="877"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30" t="str">
        <f>IFERROR(ROUNDUP(D133/F133,0),"")</f>
        <v/>
      </c>
      <c r="H133" s="105"/>
      <c r="I133" s="129"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J133" s="128"/>
      <c r="K133" s="128"/>
      <c r="L133" s="128"/>
      <c r="M133" s="128"/>
      <c r="AA133" t="s">
        <v>396</v>
      </c>
      <c r="AB133" t="s">
        <v>1432</v>
      </c>
    </row>
    <row r="134" spans="1:28" ht="21" customHeight="1" x14ac:dyDescent="0.3">
      <c r="A134" s="110"/>
      <c r="B134" s="127"/>
      <c r="C134" s="126"/>
      <c r="D134" s="129"/>
      <c r="E134" s="131" t="s">
        <v>184</v>
      </c>
      <c r="F134" s="877"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30" t="str">
        <f>IFERROR(ROUNDUP(D134/F134,0),"")</f>
        <v/>
      </c>
      <c r="H134" s="105"/>
      <c r="I134" s="129"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J134" s="128"/>
      <c r="K134" s="128"/>
      <c r="L134" s="128"/>
      <c r="M134" s="128"/>
      <c r="AA134" t="s">
        <v>490</v>
      </c>
      <c r="AB134" t="s">
        <v>1425</v>
      </c>
    </row>
    <row r="135" spans="1:28" ht="21" customHeight="1" x14ac:dyDescent="0.3">
      <c r="A135" s="110"/>
      <c r="B135" s="127"/>
      <c r="C135" s="126"/>
      <c r="D135" s="129"/>
      <c r="E135" s="131" t="s">
        <v>184</v>
      </c>
      <c r="F135" s="877"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130" t="str">
        <f>IFERROR(ROUNDUP(D135/F135,0),"")</f>
        <v/>
      </c>
      <c r="H135" s="105"/>
      <c r="I135" s="129"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J135" s="128"/>
      <c r="K135" s="128"/>
      <c r="L135" s="128"/>
      <c r="M135" s="128"/>
      <c r="AA135" t="s">
        <v>1082</v>
      </c>
      <c r="AB135" t="s">
        <v>1424</v>
      </c>
    </row>
    <row r="136" spans="1:28" ht="21" customHeight="1" x14ac:dyDescent="0.3">
      <c r="A136" s="817"/>
      <c r="B136" s="829"/>
      <c r="C136" s="830"/>
      <c r="D136" s="831"/>
      <c r="E136" s="832" t="s">
        <v>184</v>
      </c>
      <c r="F136" s="878"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833" t="str">
        <f>IFERROR(ROUNDUP(D136/F136,0),"")</f>
        <v/>
      </c>
      <c r="H136" s="823"/>
      <c r="I136" s="831"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J136" s="128"/>
      <c r="K136" s="128"/>
      <c r="L136" s="128"/>
      <c r="M136" s="128"/>
      <c r="AA136" t="s">
        <v>598</v>
      </c>
      <c r="AB136" t="s">
        <v>1432</v>
      </c>
    </row>
    <row r="137" spans="1:28" ht="15" customHeight="1" x14ac:dyDescent="0.3">
      <c r="A137" s="899"/>
      <c r="B137" s="846" t="s">
        <v>186</v>
      </c>
      <c r="C137" s="851"/>
      <c r="D137" s="848">
        <f>SUM(D130:D136)</f>
        <v>0</v>
      </c>
      <c r="E137" s="852"/>
      <c r="F137" s="857" t="s">
        <v>1400</v>
      </c>
      <c r="G137" s="850">
        <f>SUM(G130:G136)</f>
        <v>0</v>
      </c>
      <c r="H137" s="848">
        <f>SUM(H130:H136)</f>
        <v>0</v>
      </c>
      <c r="I137" s="848">
        <f>SUM(I130:I136)</f>
        <v>0</v>
      </c>
      <c r="J137" s="133">
        <f>D137</f>
        <v>0</v>
      </c>
      <c r="K137" s="134">
        <f>G137</f>
        <v>0</v>
      </c>
      <c r="L137" s="133">
        <f>H137</f>
        <v>0</v>
      </c>
      <c r="M137" s="133">
        <f>I137</f>
        <v>0</v>
      </c>
      <c r="N137" s="587" t="str" cm="1">
        <f t="array" ref="N137">IF(H137=0,"",SUMPRODUCT(IFERROR(INT(H132:H136/F132:F136),0)))</f>
        <v/>
      </c>
      <c r="O137" s="770" t="str">
        <f>IF(N137="","",MAX(0,G137-N137))</f>
        <v/>
      </c>
      <c r="AA137" t="s">
        <v>397</v>
      </c>
      <c r="AB137" t="s">
        <v>1424</v>
      </c>
    </row>
    <row r="138" spans="1:28" ht="6" customHeight="1" x14ac:dyDescent="0.3">
      <c r="A138" s="128"/>
      <c r="B138" s="128"/>
      <c r="C138" s="132"/>
      <c r="D138" s="128"/>
      <c r="E138" s="128"/>
      <c r="F138" s="128"/>
      <c r="G138" s="128"/>
      <c r="H138" s="128"/>
      <c r="I138" s="128"/>
      <c r="J138" s="128"/>
      <c r="K138" s="128"/>
      <c r="L138" s="128"/>
      <c r="M138" s="128"/>
      <c r="AA138" t="s">
        <v>163</v>
      </c>
      <c r="AB138" t="s">
        <v>1423</v>
      </c>
    </row>
    <row r="139" spans="1:28" ht="15" customHeight="1" x14ac:dyDescent="0.3">
      <c r="A139" s="75">
        <v>46286</v>
      </c>
      <c r="B139" s="113" t="s">
        <v>49</v>
      </c>
      <c r="C139" s="112" t="s">
        <v>176</v>
      </c>
      <c r="D139" s="111" t="s">
        <v>177</v>
      </c>
      <c r="E139" s="111" t="s">
        <v>178</v>
      </c>
      <c r="F139" s="860" t="s">
        <v>179</v>
      </c>
      <c r="G139" s="111" t="s">
        <v>180</v>
      </c>
      <c r="H139" s="111" t="s">
        <v>181</v>
      </c>
      <c r="I139" s="111" t="s">
        <v>182</v>
      </c>
      <c r="AA139" t="s">
        <v>1361</v>
      </c>
      <c r="AB139" t="s">
        <v>1436</v>
      </c>
    </row>
    <row r="140" spans="1:28" ht="21" customHeight="1" x14ac:dyDescent="0.3">
      <c r="A140" s="110"/>
      <c r="B140" s="109"/>
      <c r="C140" s="108"/>
      <c r="D140" s="104"/>
      <c r="E140" s="107" t="s">
        <v>184</v>
      </c>
      <c r="F140" s="871"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06" t="str">
        <f>IFERROR(ROUNDUP(D140/F140,0),"")</f>
        <v/>
      </c>
      <c r="H140" s="105"/>
      <c r="I140" s="104"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row>
    <row r="141" spans="1:28" ht="21" customHeight="1" x14ac:dyDescent="0.3">
      <c r="A141" s="110"/>
      <c r="B141" s="109"/>
      <c r="C141" s="108"/>
      <c r="D141" s="104"/>
      <c r="E141" s="107" t="s">
        <v>184</v>
      </c>
      <c r="F141" s="871"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06" t="str">
        <f>IFERROR(ROUNDUP(D141/F141,0),"")</f>
        <v/>
      </c>
      <c r="H141" s="105"/>
      <c r="I141" s="104"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row>
    <row r="142" spans="1:28" ht="21" customHeight="1" x14ac:dyDescent="0.3">
      <c r="A142" s="110"/>
      <c r="B142" s="109"/>
      <c r="C142" s="108"/>
      <c r="D142" s="104"/>
      <c r="E142" s="107" t="s">
        <v>184</v>
      </c>
      <c r="F142" s="871"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06" t="str">
        <f>IFERROR(ROUNDUP(D142/F142,0),"")</f>
        <v/>
      </c>
      <c r="H142" s="105"/>
      <c r="I142" s="104"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IFERROR(ROUNDUP(D143/F143,0),"")</f>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row>
    <row r="144" spans="1:28" ht="21" customHeight="1" x14ac:dyDescent="0.3">
      <c r="A144" s="817"/>
      <c r="B144" s="818"/>
      <c r="C144" s="819"/>
      <c r="D144" s="820"/>
      <c r="E144" s="821" t="s">
        <v>184</v>
      </c>
      <c r="F144" s="872"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22" t="str">
        <f>IFERROR(ROUNDUP(D144/F144,0),"")</f>
        <v/>
      </c>
      <c r="H144" s="823"/>
      <c r="I144" s="820"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5" ht="15" customHeight="1" x14ac:dyDescent="0.3">
      <c r="A145" s="899"/>
      <c r="B145" s="846" t="s">
        <v>186</v>
      </c>
      <c r="C145" s="847"/>
      <c r="D145" s="848">
        <f>SUM(D138:D144)</f>
        <v>0</v>
      </c>
      <c r="E145" s="849"/>
      <c r="F145" s="856" t="s">
        <v>1400</v>
      </c>
      <c r="G145" s="850">
        <f>SUM(G138:G144)</f>
        <v>0</v>
      </c>
      <c r="H145" s="848">
        <f>SUM(H138:H144)</f>
        <v>0</v>
      </c>
      <c r="I145" s="848">
        <f>SUM(I138:I144)</f>
        <v>0</v>
      </c>
      <c r="J145" s="63">
        <f>D145</f>
        <v>0</v>
      </c>
      <c r="K145" s="93">
        <f>G145</f>
        <v>0</v>
      </c>
      <c r="L145" s="63">
        <f>H145</f>
        <v>0</v>
      </c>
      <c r="M145" s="63">
        <f>I145</f>
        <v>0</v>
      </c>
      <c r="N145" s="587" t="str" cm="1">
        <f t="array" ref="N145">IF(H145=0,"",SUMPRODUCT(IFERROR(INT(H140:H144/F140:F144),0)))</f>
        <v/>
      </c>
      <c r="O145" s="770" t="str">
        <f>IF(N145="","",MAX(0,G145-N145))</f>
        <v/>
      </c>
    </row>
    <row r="146" spans="1:15" ht="6" customHeight="1" x14ac:dyDescent="0.3">
      <c r="C146" s="65"/>
    </row>
    <row r="147" spans="1:15" ht="15" customHeight="1" x14ac:dyDescent="0.3">
      <c r="A147" s="75">
        <v>46287</v>
      </c>
      <c r="B147" s="113" t="s">
        <v>49</v>
      </c>
      <c r="C147" s="112" t="s">
        <v>176</v>
      </c>
      <c r="D147" s="111" t="s">
        <v>177</v>
      </c>
      <c r="E147" s="111" t="s">
        <v>178</v>
      </c>
      <c r="F147" s="860" t="s">
        <v>179</v>
      </c>
      <c r="G147" s="111" t="s">
        <v>180</v>
      </c>
      <c r="H147" s="111" t="s">
        <v>181</v>
      </c>
      <c r="I147" s="111" t="s">
        <v>182</v>
      </c>
    </row>
    <row r="148" spans="1:15" ht="21" customHeight="1" x14ac:dyDescent="0.3">
      <c r="A148" s="110"/>
      <c r="B148" s="109"/>
      <c r="C148" s="108"/>
      <c r="D148" s="104"/>
      <c r="E148" s="107" t="s">
        <v>184</v>
      </c>
      <c r="F148" s="871"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06" t="str">
        <f>IFERROR(ROUNDUP(D148/F148,0),"")</f>
        <v/>
      </c>
      <c r="H148" s="105"/>
      <c r="I148" s="104"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row>
    <row r="149" spans="1:15" ht="21" customHeight="1" x14ac:dyDescent="0.3">
      <c r="A149" s="110"/>
      <c r="B149" s="109"/>
      <c r="C149" s="108"/>
      <c r="D149" s="104"/>
      <c r="E149" s="107" t="s">
        <v>184</v>
      </c>
      <c r="F149" s="871"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106" t="str">
        <f>IFERROR(ROUNDUP(D149/F149,0),"")</f>
        <v/>
      </c>
      <c r="H149" s="105"/>
      <c r="I149" s="104"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row>
    <row r="150" spans="1:15" ht="21" customHeight="1" x14ac:dyDescent="0.3">
      <c r="A150" s="110"/>
      <c r="B150" s="109"/>
      <c r="C150" s="108"/>
      <c r="D150" s="104"/>
      <c r="E150" s="107" t="s">
        <v>184</v>
      </c>
      <c r="F150" s="871"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06" t="str">
        <f>IFERROR(ROUNDUP(D150/F150,0),"")</f>
        <v/>
      </c>
      <c r="H150" s="105"/>
      <c r="I150" s="104"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row>
    <row r="151" spans="1:15" ht="21" customHeight="1" x14ac:dyDescent="0.3">
      <c r="A151" s="110"/>
      <c r="B151" s="109"/>
      <c r="C151" s="108"/>
      <c r="D151" s="104"/>
      <c r="E151" s="107" t="s">
        <v>184</v>
      </c>
      <c r="F151" s="871"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06" t="str">
        <f>IFERROR(ROUNDUP(D151/F151,0),"")</f>
        <v/>
      </c>
      <c r="H151" s="105"/>
      <c r="I151" s="104"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row>
    <row r="152" spans="1:15" ht="21" customHeight="1" x14ac:dyDescent="0.3">
      <c r="A152" s="817"/>
      <c r="B152" s="818"/>
      <c r="C152" s="819"/>
      <c r="D152" s="820"/>
      <c r="E152" s="821" t="s">
        <v>184</v>
      </c>
      <c r="F152" s="872"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822" t="str">
        <f>IFERROR(ROUNDUP(D152/F152,0),"")</f>
        <v/>
      </c>
      <c r="H152" s="823"/>
      <c r="I152" s="820"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row>
    <row r="153" spans="1:15" ht="15" customHeight="1" x14ac:dyDescent="0.3">
      <c r="A153" s="899"/>
      <c r="B153" s="846" t="s">
        <v>186</v>
      </c>
      <c r="C153" s="847"/>
      <c r="D153" s="848">
        <f>SUM(D146:D152)</f>
        <v>0</v>
      </c>
      <c r="E153" s="849"/>
      <c r="F153" s="856" t="s">
        <v>1400</v>
      </c>
      <c r="G153" s="850">
        <f>SUM(G146:G152)</f>
        <v>0</v>
      </c>
      <c r="H153" s="848">
        <f>SUM(H146:H152)</f>
        <v>0</v>
      </c>
      <c r="I153" s="848">
        <f>SUM(I146:I152)</f>
        <v>0</v>
      </c>
      <c r="J153" s="63">
        <f>D153</f>
        <v>0</v>
      </c>
      <c r="K153" s="93">
        <f>G153</f>
        <v>0</v>
      </c>
      <c r="L153" s="63">
        <f>H153</f>
        <v>0</v>
      </c>
      <c r="M153" s="63">
        <f>I153</f>
        <v>0</v>
      </c>
      <c r="N153" s="587" t="str" cm="1">
        <f t="array" ref="N153">IF(H153=0,"",SUMPRODUCT(IFERROR(INT(H148:H152/F148:F152),0)))</f>
        <v/>
      </c>
      <c r="O153" s="770" t="str">
        <f>IF(N153="","",MAX(0,G153-N153))</f>
        <v/>
      </c>
    </row>
    <row r="154" spans="1:15" ht="6" customHeight="1" x14ac:dyDescent="0.3">
      <c r="C154" s="65"/>
    </row>
    <row r="155" spans="1:15" ht="15" customHeight="1" x14ac:dyDescent="0.3">
      <c r="A155" s="75">
        <v>46288</v>
      </c>
      <c r="B155" s="113" t="s">
        <v>49</v>
      </c>
      <c r="C155" s="112" t="s">
        <v>176</v>
      </c>
      <c r="D155" s="111" t="s">
        <v>177</v>
      </c>
      <c r="E155" s="111" t="s">
        <v>178</v>
      </c>
      <c r="F155" s="860" t="s">
        <v>179</v>
      </c>
      <c r="G155" s="111" t="s">
        <v>180</v>
      </c>
      <c r="H155" s="111" t="s">
        <v>181</v>
      </c>
      <c r="I155" s="111" t="s">
        <v>182</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IFERROR(ROUNDUP(D156/F156,0),"")</f>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IFERROR(ROUNDUP(D157/F157,0),"")</f>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IFERROR(ROUNDUP(D158/F158,0),"")</f>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11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IFERROR(ROUNDUP(D159/F159,0),"")</f>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817"/>
      <c r="B160" s="818"/>
      <c r="C160" s="819"/>
      <c r="D160" s="820"/>
      <c r="E160" s="821" t="s">
        <v>184</v>
      </c>
      <c r="F160" s="872"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822" t="str">
        <f>IFERROR(ROUNDUP(D160/F160,0),"")</f>
        <v/>
      </c>
      <c r="H160" s="823"/>
      <c r="I160" s="820"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15" customHeight="1" x14ac:dyDescent="0.3">
      <c r="A161" s="899"/>
      <c r="B161" s="846" t="s">
        <v>186</v>
      </c>
      <c r="C161" s="847"/>
      <c r="D161" s="848">
        <f>SUM(D154:D160)</f>
        <v>0</v>
      </c>
      <c r="E161" s="849"/>
      <c r="F161" s="856" t="s">
        <v>1400</v>
      </c>
      <c r="G161" s="850">
        <f>SUM(G154:G160)</f>
        <v>0</v>
      </c>
      <c r="H161" s="848">
        <f>SUM(H154:H160)</f>
        <v>0</v>
      </c>
      <c r="I161" s="848">
        <f>SUM(I154:I160)</f>
        <v>0</v>
      </c>
      <c r="J161" s="63">
        <f>D161</f>
        <v>0</v>
      </c>
      <c r="K161" s="93">
        <f>G161</f>
        <v>0</v>
      </c>
      <c r="L161" s="63">
        <f>H161</f>
        <v>0</v>
      </c>
      <c r="M161" s="63">
        <f>I161</f>
        <v>0</v>
      </c>
      <c r="N161" s="587" t="str" cm="1">
        <f t="array" ref="N161">IF(H161=0,"",SUMPRODUCT(IFERROR(INT(H156:H160/F156:F160),0)))</f>
        <v/>
      </c>
      <c r="O161" s="770" t="str">
        <f>IF(N161="","",MAX(0,G161-N161))</f>
        <v/>
      </c>
    </row>
    <row r="162" spans="1:15" ht="6" customHeight="1" x14ac:dyDescent="0.3">
      <c r="C162" s="65"/>
    </row>
    <row r="163" spans="1:15" ht="15" customHeight="1" x14ac:dyDescent="0.3">
      <c r="A163" s="75">
        <v>46289</v>
      </c>
      <c r="B163" s="113" t="s">
        <v>49</v>
      </c>
      <c r="C163" s="112" t="s">
        <v>176</v>
      </c>
      <c r="D163" s="111" t="s">
        <v>177</v>
      </c>
      <c r="E163" s="111" t="s">
        <v>178</v>
      </c>
      <c r="F163" s="860" t="s">
        <v>179</v>
      </c>
      <c r="G163" s="111" t="s">
        <v>180</v>
      </c>
      <c r="H163" s="111" t="s">
        <v>181</v>
      </c>
      <c r="I163" s="111" t="s">
        <v>182</v>
      </c>
    </row>
    <row r="164" spans="1:15" ht="21" customHeight="1" x14ac:dyDescent="0.3">
      <c r="A164" s="110"/>
      <c r="B164" s="109"/>
      <c r="C164" s="108"/>
      <c r="D164" s="104"/>
      <c r="E164" s="107" t="s">
        <v>184</v>
      </c>
      <c r="F164" s="871"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106" t="str">
        <f>IFERROR(ROUNDUP(D164/F164,0),"")</f>
        <v/>
      </c>
      <c r="H164" s="105"/>
      <c r="I164" s="104"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row>
    <row r="165" spans="1:15" ht="21" customHeight="1" x14ac:dyDescent="0.3">
      <c r="A165" s="110"/>
      <c r="B165" s="109"/>
      <c r="C165" s="108"/>
      <c r="D165" s="104"/>
      <c r="E165" s="107" t="s">
        <v>184</v>
      </c>
      <c r="F165" s="871" t="str">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
      </c>
      <c r="G165" s="106" t="str">
        <f>IFERROR(ROUNDUP(D165/F165,0),"")</f>
        <v/>
      </c>
      <c r="H165" s="105"/>
      <c r="I165" s="104"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row>
    <row r="166" spans="1:15"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IFERROR(ROUNDUP(D166/F166,0),"")</f>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5"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IFERROR(ROUNDUP(D167/F167,0),"")</f>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5" ht="21" customHeight="1" x14ac:dyDescent="0.3">
      <c r="A168" s="817"/>
      <c r="B168" s="818"/>
      <c r="C168" s="819"/>
      <c r="D168" s="820"/>
      <c r="E168" s="821" t="s">
        <v>184</v>
      </c>
      <c r="F168" s="872"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822" t="str">
        <f>IFERROR(ROUNDUP(D168/F168,0),"")</f>
        <v/>
      </c>
      <c r="H168" s="823"/>
      <c r="I168" s="820"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15" customHeight="1" x14ac:dyDescent="0.3">
      <c r="A169" s="899"/>
      <c r="B169" s="846" t="s">
        <v>186</v>
      </c>
      <c r="C169" s="847"/>
      <c r="D169" s="848">
        <f>SUM(D162:D168)</f>
        <v>0</v>
      </c>
      <c r="E169" s="849"/>
      <c r="F169" s="856" t="s">
        <v>1400</v>
      </c>
      <c r="G169" s="850">
        <f>SUM(G162:G168)</f>
        <v>0</v>
      </c>
      <c r="H169" s="848">
        <f>SUM(H162:H168)</f>
        <v>0</v>
      </c>
      <c r="I169" s="848">
        <f>SUM(I162:I168)</f>
        <v>0</v>
      </c>
      <c r="J169" s="63">
        <f>D169</f>
        <v>0</v>
      </c>
      <c r="K169" s="93">
        <f>G169</f>
        <v>0</v>
      </c>
      <c r="L169" s="63">
        <f>H169</f>
        <v>0</v>
      </c>
      <c r="M169" s="63">
        <f>I169</f>
        <v>0</v>
      </c>
      <c r="N169" s="587" t="str" cm="1">
        <f t="array" ref="N169">IF(H169=0,"",SUMPRODUCT(IFERROR(INT(H164:H168/F164:F168),0)))</f>
        <v/>
      </c>
      <c r="O169" s="770" t="str">
        <f>IF(N169="","",MAX(0,G169-N169))</f>
        <v/>
      </c>
    </row>
    <row r="170" spans="1:15" ht="6" customHeight="1" x14ac:dyDescent="0.3">
      <c r="C170" s="65"/>
    </row>
    <row r="171" spans="1:15" ht="15" customHeight="1" x14ac:dyDescent="0.3">
      <c r="A171" s="75">
        <v>46290</v>
      </c>
      <c r="B171" s="113" t="s">
        <v>49</v>
      </c>
      <c r="C171" s="112" t="s">
        <v>176</v>
      </c>
      <c r="D171" s="111" t="s">
        <v>177</v>
      </c>
      <c r="E171" s="111" t="s">
        <v>178</v>
      </c>
      <c r="F171" s="860" t="s">
        <v>179</v>
      </c>
      <c r="G171" s="111" t="s">
        <v>180</v>
      </c>
      <c r="H171" s="111" t="s">
        <v>181</v>
      </c>
      <c r="I171" s="111" t="s">
        <v>182</v>
      </c>
    </row>
    <row r="172" spans="1:15" ht="21" customHeight="1" x14ac:dyDescent="0.3">
      <c r="A172" s="110"/>
      <c r="B172" s="109"/>
      <c r="C172" s="108"/>
      <c r="D172" s="104"/>
      <c r="E172" s="107" t="s">
        <v>184</v>
      </c>
      <c r="F172" s="871"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106" t="str">
        <f>IFERROR(ROUNDUP(D172/F172,0),"")</f>
        <v/>
      </c>
      <c r="H172" s="105"/>
      <c r="I172" s="104"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21" customHeight="1" x14ac:dyDescent="0.3">
      <c r="A173" s="110"/>
      <c r="B173" s="109"/>
      <c r="C173" s="108"/>
      <c r="D173" s="104"/>
      <c r="E173" s="107" t="s">
        <v>184</v>
      </c>
      <c r="F173" s="871" t="str">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
      </c>
      <c r="G173" s="106" t="str">
        <f>IFERROR(ROUNDUP(D173/F173,0),"")</f>
        <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c r="C174" s="108"/>
      <c r="D174" s="104"/>
      <c r="E174" s="107" t="s">
        <v>184</v>
      </c>
      <c r="F174" s="871" t="str">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
      </c>
      <c r="G174" s="106" t="str">
        <f>IFERROR(ROUNDUP(D174/F174,0),"")</f>
        <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817"/>
      <c r="B176" s="818"/>
      <c r="C176" s="819"/>
      <c r="D176" s="820"/>
      <c r="E176" s="821" t="s">
        <v>184</v>
      </c>
      <c r="F176" s="872"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822" t="str">
        <f>IFERROR(ROUNDUP(D176/F176,0),"")</f>
        <v/>
      </c>
      <c r="H176" s="823"/>
      <c r="I176" s="820"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15" customHeight="1" x14ac:dyDescent="0.3">
      <c r="A177" s="899"/>
      <c r="B177" s="846" t="s">
        <v>186</v>
      </c>
      <c r="C177" s="847"/>
      <c r="D177" s="848">
        <f>SUM(D170:D176)</f>
        <v>0</v>
      </c>
      <c r="E177" s="849"/>
      <c r="F177" s="856" t="s">
        <v>1400</v>
      </c>
      <c r="G177" s="850">
        <f>SUM(G170:G176)</f>
        <v>0</v>
      </c>
      <c r="H177" s="848">
        <f>SUM(H170:H176)</f>
        <v>0</v>
      </c>
      <c r="I177" s="848">
        <f>SUM(I170:I176)</f>
        <v>0</v>
      </c>
      <c r="J177" s="63">
        <f>D177</f>
        <v>0</v>
      </c>
      <c r="K177" s="93">
        <f>G177</f>
        <v>0</v>
      </c>
      <c r="L177" s="63">
        <f>H177</f>
        <v>0</v>
      </c>
      <c r="M177" s="63">
        <f>I177</f>
        <v>0</v>
      </c>
      <c r="N177" s="587" t="str" cm="1">
        <f t="array" ref="N177">IF(H177=0,"",SUMPRODUCT(IFERROR(INT(H172:H176/F172:F176),0)))</f>
        <v/>
      </c>
      <c r="O177" s="770" t="str">
        <f>IF(N177="","",MAX(0,G177-N177))</f>
        <v/>
      </c>
    </row>
    <row r="178" spans="1:15" ht="6" customHeight="1" x14ac:dyDescent="0.3">
      <c r="C178" s="65"/>
    </row>
    <row r="179" spans="1:15" ht="14.25" customHeight="1" x14ac:dyDescent="0.3">
      <c r="A179" s="135">
        <v>46291</v>
      </c>
      <c r="B179" s="113" t="s">
        <v>49</v>
      </c>
      <c r="C179" s="112" t="s">
        <v>176</v>
      </c>
      <c r="D179" s="111" t="s">
        <v>177</v>
      </c>
      <c r="E179" s="111" t="s">
        <v>178</v>
      </c>
      <c r="F179" s="862" t="s">
        <v>179</v>
      </c>
      <c r="G179" s="111" t="s">
        <v>180</v>
      </c>
      <c r="H179" s="111" t="s">
        <v>181</v>
      </c>
      <c r="I179" s="111" t="s">
        <v>182</v>
      </c>
      <c r="J179" s="128"/>
      <c r="K179" s="128"/>
      <c r="L179" s="128"/>
      <c r="M179" s="128"/>
    </row>
    <row r="180" spans="1:15" ht="21" customHeight="1" x14ac:dyDescent="0.3">
      <c r="A180" s="110"/>
      <c r="B180" s="127"/>
      <c r="C180" s="126"/>
      <c r="D180" s="129"/>
      <c r="E180" s="131" t="s">
        <v>184</v>
      </c>
      <c r="F180" s="877"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130" t="str">
        <f>IFERROR(ROUNDUP(D180/F180,0),"")</f>
        <v/>
      </c>
      <c r="H180" s="105"/>
      <c r="I180" s="129"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c r="J180" s="128"/>
      <c r="K180" s="128"/>
      <c r="L180" s="128"/>
      <c r="M180" s="128"/>
    </row>
    <row r="181" spans="1:15" ht="21" customHeight="1" x14ac:dyDescent="0.3">
      <c r="A181" s="110"/>
      <c r="B181" s="127"/>
      <c r="C181" s="126"/>
      <c r="D181" s="129"/>
      <c r="E181" s="131" t="s">
        <v>184</v>
      </c>
      <c r="F181" s="877" t="str">
        <f>IF($B181="","",IF(SUMIFS(CONFIG_PALETES!$C:$C,CONFIG_PALETES!$A:$A,TRIM($B181),CONFIG_PALETES!$B:$B,$C181&amp;" ml")&gt;0,SUMIFS(CONFIG_PALETES!$C:$C,CONFIG_PALETES!$A:$A,TRIM($B181),CONFIG_PALETES!$B:$B,$C181&amp;" ml"),IF(SUMIFS(CONFIG_PALETES!$C:$C,CONFIG_PALETES!$A:$A,"GERAL",CONFIG_PALETES!$B:$B,$C181&amp;" ml")&gt;0,SUMIFS(CONFIG_PALETES!$C:$C,CONFIG_PALETES!$A:$A,"GERAL",CONFIG_PALETES!$B:$B,$C181&amp;" ml"),"")))</f>
        <v/>
      </c>
      <c r="G181" s="130" t="str">
        <f>IFERROR(ROUNDUP(D181/F181,0),"")</f>
        <v/>
      </c>
      <c r="H181" s="105"/>
      <c r="I181" s="129" t="str">
        <f>IF(H181="","",H181*IF(SUMIFS(CONFIG_PALETES!$D:$D,CONFIG_PALETES!$A:$A,IF(ISNUMBER(SEARCH("ESPUMA",$B181)),"ESPUMA",IF(OR(ISNUMBER(SEARCH("OLEO DE COCO",$B181)),ISNUMBER(SEARCH("ÓLEO DE COCO",$B181)),ISNUMBER(SEARCH("COPRA",$B181))),"ÓLEO DE COCO",IF(ISNUMBER(SEARCH("CORANTE",$B181)),"CORANTE",TRIM($B181)))),CONFIG_PALETES!$B:$B,$C181&amp;" ml")&gt;0,SUMIFS(CONFIG_PALETES!$D:$D,CONFIG_PALETES!$A:$A,IF(ISNUMBER(SEARCH("ESPUMA",$B181)),"ESPUMA",IF(OR(ISNUMBER(SEARCH("OLEO DE COCO",$B181)),ISNUMBER(SEARCH("ÓLEO DE COCO",$B181)),ISNUMBER(SEARCH("COPRA",$B181))),"ÓLEO DE COCO",IF(ISNUMBER(SEARCH("CORANTE",$B181)),"CORANTE",TRIM($B181)))),CONFIG_PALETES!$B:$B,$C181&amp;" ml"),IF(SUMIFS(CONFIG_PALETES!$D:$D,CONFIG_PALETES!$A:$A,"GERAL",CONFIG_PALETES!$B:$B,$C181&amp;" ml")&gt;0,SUMIFS(CONFIG_PALETES!$D:$D,CONFIG_PALETES!$A:$A,"GERAL",CONFIG_PALETES!$B:$B,$C181&amp;" ml"),12)))</f>
        <v/>
      </c>
      <c r="J181" s="128"/>
      <c r="K181" s="128"/>
      <c r="L181" s="128"/>
      <c r="M181" s="128"/>
    </row>
    <row r="182" spans="1:15" ht="21" customHeight="1" x14ac:dyDescent="0.3">
      <c r="A182" s="110"/>
      <c r="B182" s="127"/>
      <c r="C182" s="126"/>
      <c r="D182" s="129"/>
      <c r="E182" s="131" t="s">
        <v>184</v>
      </c>
      <c r="F182" s="877" t="str">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
      </c>
      <c r="G182" s="130" t="str">
        <f>IFERROR(ROUNDUP(D182/F182,0),"")</f>
        <v/>
      </c>
      <c r="H182" s="105"/>
      <c r="I182" s="129" t="str">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
      </c>
      <c r="J182" s="128"/>
      <c r="K182" s="128"/>
      <c r="L182" s="128"/>
      <c r="M182" s="128"/>
    </row>
    <row r="183" spans="1:15" ht="21" customHeight="1" x14ac:dyDescent="0.3">
      <c r="A183" s="110"/>
      <c r="B183" s="127"/>
      <c r="C183" s="126"/>
      <c r="D183" s="129"/>
      <c r="E183" s="131" t="s">
        <v>184</v>
      </c>
      <c r="F183" s="877" t="str">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
      </c>
      <c r="G183" s="130" t="str">
        <f>IFERROR(ROUNDUP(D183/F183,0),"")</f>
        <v/>
      </c>
      <c r="H183" s="105"/>
      <c r="I183" s="129"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c r="J183" s="128"/>
      <c r="K183" s="128"/>
      <c r="L183" s="128"/>
      <c r="M183" s="128"/>
    </row>
    <row r="184" spans="1:15" ht="21" customHeight="1" x14ac:dyDescent="0.3">
      <c r="A184" s="817"/>
      <c r="B184" s="829"/>
      <c r="C184" s="830"/>
      <c r="D184" s="831"/>
      <c r="E184" s="832" t="s">
        <v>184</v>
      </c>
      <c r="F184" s="878"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833" t="str">
        <f>IFERROR(ROUNDUP(D184/F184,0),"")</f>
        <v/>
      </c>
      <c r="H184" s="823"/>
      <c r="I184" s="831"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c r="J184" s="128"/>
      <c r="K184" s="128"/>
      <c r="L184" s="128"/>
      <c r="M184" s="128"/>
    </row>
    <row r="185" spans="1:15" ht="14.25" customHeight="1" x14ac:dyDescent="0.3">
      <c r="A185" s="899"/>
      <c r="B185" s="846" t="s">
        <v>186</v>
      </c>
      <c r="C185" s="851"/>
      <c r="D185" s="848">
        <f>SUM(D178:D184)</f>
        <v>0</v>
      </c>
      <c r="E185" s="852"/>
      <c r="F185" s="857" t="s">
        <v>1400</v>
      </c>
      <c r="G185" s="850">
        <f>SUM(G178:G184)</f>
        <v>0</v>
      </c>
      <c r="H185" s="848">
        <f>SUM(H178:H184)</f>
        <v>0</v>
      </c>
      <c r="I185" s="848">
        <f>SUM(I178:I184)</f>
        <v>0</v>
      </c>
      <c r="J185" s="133">
        <f>D185</f>
        <v>0</v>
      </c>
      <c r="K185" s="134">
        <f>G185</f>
        <v>0</v>
      </c>
      <c r="L185" s="133">
        <f>H185</f>
        <v>0</v>
      </c>
      <c r="M185" s="133">
        <f>I185</f>
        <v>0</v>
      </c>
      <c r="N185" s="587" t="str" cm="1">
        <f t="array" ref="N185">IF(H185=0,"",SUMPRODUCT(IFERROR(INT(H180:H184/F180:F184),0)))</f>
        <v/>
      </c>
      <c r="O185" s="770" t="str">
        <f>IF(N185="","",MAX(0,G185-N185))</f>
        <v/>
      </c>
    </row>
    <row r="186" spans="1:15" ht="14.25" customHeight="1" x14ac:dyDescent="0.3">
      <c r="A186" s="128"/>
      <c r="B186" s="128"/>
      <c r="C186" s="132"/>
      <c r="D186" s="128"/>
      <c r="E186" s="128"/>
      <c r="F186" s="128"/>
      <c r="G186" s="128"/>
      <c r="H186" s="128"/>
      <c r="I186" s="128"/>
      <c r="J186" s="128"/>
      <c r="K186" s="128"/>
      <c r="L186" s="128"/>
      <c r="M186" s="128"/>
    </row>
    <row r="187" spans="1:15" ht="14.25" customHeight="1" x14ac:dyDescent="0.3">
      <c r="A187" s="75">
        <v>46293</v>
      </c>
      <c r="B187" s="113" t="s">
        <v>49</v>
      </c>
      <c r="C187" s="112" t="s">
        <v>176</v>
      </c>
      <c r="D187" s="111" t="s">
        <v>177</v>
      </c>
      <c r="E187" s="111" t="s">
        <v>178</v>
      </c>
      <c r="F187" s="860" t="s">
        <v>179</v>
      </c>
      <c r="G187" s="111" t="s">
        <v>180</v>
      </c>
      <c r="H187" s="111" t="s">
        <v>181</v>
      </c>
      <c r="I187" s="111" t="s">
        <v>182</v>
      </c>
    </row>
    <row r="188" spans="1:15" ht="21" customHeight="1" x14ac:dyDescent="0.3">
      <c r="A188" s="11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IFERROR(ROUNDUP(D188/F188,0),"")</f>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21" customHeight="1" x14ac:dyDescent="0.3">
      <c r="A189" s="110"/>
      <c r="B189" s="109"/>
      <c r="C189" s="108"/>
      <c r="D189" s="104"/>
      <c r="E189" s="107" t="s">
        <v>184</v>
      </c>
      <c r="F189" s="871"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106" t="str">
        <f>IFERROR(ROUNDUP(D189/F189,0),"")</f>
        <v/>
      </c>
      <c r="H189" s="105"/>
      <c r="I189" s="104"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5" ht="21" customHeight="1" x14ac:dyDescent="0.3">
      <c r="A190" s="110"/>
      <c r="B190" s="109"/>
      <c r="C190" s="108"/>
      <c r="D190" s="104"/>
      <c r="E190" s="107" t="s">
        <v>184</v>
      </c>
      <c r="F190" s="871" t="str">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
      </c>
      <c r="G190" s="106" t="str">
        <f>IFERROR(ROUNDUP(D190/F190,0),"")</f>
        <v/>
      </c>
      <c r="H190" s="105"/>
      <c r="I190" s="104" t="str">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
      </c>
    </row>
    <row r="191" spans="1:15" ht="21" customHeight="1" x14ac:dyDescent="0.3">
      <c r="A191" s="110"/>
      <c r="B191" s="109"/>
      <c r="C191" s="108"/>
      <c r="D191" s="104"/>
      <c r="E191" s="107" t="s">
        <v>184</v>
      </c>
      <c r="F191" s="871"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06" t="str">
        <f>IFERROR(ROUNDUP(D191/F191,0),"")</f>
        <v/>
      </c>
      <c r="H191" s="105"/>
      <c r="I191" s="104"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row>
    <row r="192" spans="1:15" ht="21" customHeight="1" x14ac:dyDescent="0.3">
      <c r="A192" s="817"/>
      <c r="B192" s="818"/>
      <c r="C192" s="819"/>
      <c r="D192" s="820"/>
      <c r="E192" s="821" t="s">
        <v>184</v>
      </c>
      <c r="F192" s="872"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822" t="str">
        <f>IFERROR(ROUNDUP(D192/F192,0),"")</f>
        <v/>
      </c>
      <c r="H192" s="823"/>
      <c r="I192" s="820"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row>
    <row r="193" spans="1:15" ht="14.25" customHeight="1" x14ac:dyDescent="0.3">
      <c r="A193" s="899"/>
      <c r="B193" s="846" t="s">
        <v>186</v>
      </c>
      <c r="C193" s="847"/>
      <c r="D193" s="848">
        <f>SUM(D186:D192)</f>
        <v>0</v>
      </c>
      <c r="E193" s="849"/>
      <c r="F193" s="856" t="s">
        <v>1400</v>
      </c>
      <c r="G193" s="850">
        <f>SUM(G186:G192)</f>
        <v>0</v>
      </c>
      <c r="H193" s="848">
        <f>SUM(H186:H192)</f>
        <v>0</v>
      </c>
      <c r="I193" s="848">
        <f>SUM(I186:I192)</f>
        <v>0</v>
      </c>
      <c r="J193" s="63">
        <f>D193</f>
        <v>0</v>
      </c>
      <c r="K193" s="93">
        <f>G193</f>
        <v>0</v>
      </c>
      <c r="L193" s="63">
        <f>H193</f>
        <v>0</v>
      </c>
      <c r="M193" s="63">
        <f>I193</f>
        <v>0</v>
      </c>
      <c r="N193" s="587" t="str" cm="1">
        <f t="array" ref="N193">IF(H193=0,"",SUMPRODUCT(IFERROR(INT(H188:H192/F188:F192),0)))</f>
        <v/>
      </c>
      <c r="O193" s="770" t="str">
        <f>IF(N193="","",MAX(0,G193-N193))</f>
        <v/>
      </c>
    </row>
    <row r="194" spans="1:15" ht="14.25" customHeight="1" x14ac:dyDescent="0.3">
      <c r="C194" s="65"/>
    </row>
    <row r="195" spans="1:15" ht="14.25" customHeight="1" x14ac:dyDescent="0.3">
      <c r="A195" s="75">
        <v>46294</v>
      </c>
      <c r="B195" s="113" t="s">
        <v>49</v>
      </c>
      <c r="C195" s="112" t="s">
        <v>176</v>
      </c>
      <c r="D195" s="111" t="s">
        <v>177</v>
      </c>
      <c r="E195" s="111" t="s">
        <v>178</v>
      </c>
      <c r="F195" s="860" t="s">
        <v>179</v>
      </c>
      <c r="G195" s="111" t="s">
        <v>180</v>
      </c>
      <c r="H195" s="111" t="s">
        <v>181</v>
      </c>
      <c r="I195" s="111" t="s">
        <v>182</v>
      </c>
    </row>
    <row r="196" spans="1:15" ht="21" customHeight="1" x14ac:dyDescent="0.3">
      <c r="A196" s="110"/>
      <c r="B196" s="109"/>
      <c r="C196" s="108"/>
      <c r="D196" s="104"/>
      <c r="E196" s="107" t="s">
        <v>184</v>
      </c>
      <c r="F196" s="871"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06" t="str">
        <f>IFERROR(ROUNDUP(D196/F196,0),"")</f>
        <v/>
      </c>
      <c r="H196" s="105"/>
      <c r="I196" s="104"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21" customHeight="1" x14ac:dyDescent="0.3">
      <c r="A197" s="110"/>
      <c r="B197" s="109"/>
      <c r="C197" s="108"/>
      <c r="D197" s="104"/>
      <c r="E197" s="107" t="s">
        <v>184</v>
      </c>
      <c r="F197" s="871"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06" t="str">
        <f>IFERROR(ROUNDUP(D197/F197,0),"")</f>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row>
    <row r="198" spans="1:15" ht="21" customHeight="1" x14ac:dyDescent="0.3">
      <c r="A198" s="110"/>
      <c r="B198" s="109"/>
      <c r="C198" s="108"/>
      <c r="D198" s="104"/>
      <c r="E198" s="107" t="s">
        <v>184</v>
      </c>
      <c r="F198" s="871"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106" t="str">
        <f>IFERROR(ROUNDUP(D198/F198,0),"")</f>
        <v/>
      </c>
      <c r="H198" s="105"/>
      <c r="I198" s="104"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row>
    <row r="199" spans="1:15" ht="21" customHeight="1" x14ac:dyDescent="0.3">
      <c r="A199" s="110"/>
      <c r="B199" s="109"/>
      <c r="C199" s="108"/>
      <c r="D199" s="104"/>
      <c r="E199" s="107" t="s">
        <v>184</v>
      </c>
      <c r="F199" s="871"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06" t="str">
        <f>IFERROR(ROUNDUP(D199/F199,0),"")</f>
        <v/>
      </c>
      <c r="H199" s="105"/>
      <c r="I199" s="104"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row>
    <row r="200" spans="1:15" ht="21" customHeight="1" x14ac:dyDescent="0.3">
      <c r="A200" s="817"/>
      <c r="B200" s="818"/>
      <c r="C200" s="819"/>
      <c r="D200" s="820"/>
      <c r="E200" s="821" t="s">
        <v>184</v>
      </c>
      <c r="F200" s="872"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822" t="str">
        <f>IFERROR(ROUNDUP(D200/F200,0),"")</f>
        <v/>
      </c>
      <c r="H200" s="823"/>
      <c r="I200" s="820"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row>
    <row r="201" spans="1:15" ht="14.25" customHeight="1" x14ac:dyDescent="0.3">
      <c r="A201" s="899"/>
      <c r="B201" s="846" t="s">
        <v>186</v>
      </c>
      <c r="C201" s="847"/>
      <c r="D201" s="848">
        <f>SUM(D194:D200)</f>
        <v>0</v>
      </c>
      <c r="E201" s="849"/>
      <c r="F201" s="856" t="s">
        <v>1400</v>
      </c>
      <c r="G201" s="850">
        <f>SUM(G194:G200)</f>
        <v>0</v>
      </c>
      <c r="H201" s="848">
        <f>SUM(H194:H200)</f>
        <v>0</v>
      </c>
      <c r="I201" s="848">
        <f>SUM(I194:I200)</f>
        <v>0</v>
      </c>
      <c r="J201" s="63">
        <f>D201</f>
        <v>0</v>
      </c>
      <c r="K201" s="93">
        <f>G201</f>
        <v>0</v>
      </c>
      <c r="L201" s="63">
        <f>H201</f>
        <v>0</v>
      </c>
      <c r="M201" s="63">
        <f>I201</f>
        <v>0</v>
      </c>
      <c r="N201" s="587" t="str" cm="1">
        <f t="array" ref="N201">IF(H201=0,"",SUMPRODUCT(IFERROR(INT(H196:H200/F196:F200),0)))</f>
        <v/>
      </c>
      <c r="O201" s="770" t="str">
        <f>IF(N201="","",MAX(0,G201-N201))</f>
        <v/>
      </c>
    </row>
    <row r="202" spans="1:15" ht="14.25" customHeight="1" x14ac:dyDescent="0.3">
      <c r="C202" s="65"/>
    </row>
    <row r="203" spans="1:15" ht="14.25" customHeight="1" x14ac:dyDescent="0.3">
      <c r="A203" s="75">
        <v>46295</v>
      </c>
      <c r="B203" s="113" t="s">
        <v>49</v>
      </c>
      <c r="C203" s="112" t="s">
        <v>176</v>
      </c>
      <c r="D203" s="111" t="s">
        <v>177</v>
      </c>
      <c r="E203" s="111" t="s">
        <v>178</v>
      </c>
      <c r="F203" s="860" t="s">
        <v>179</v>
      </c>
      <c r="G203" s="111" t="s">
        <v>180</v>
      </c>
      <c r="H203" s="111" t="s">
        <v>181</v>
      </c>
      <c r="I203" s="111" t="s">
        <v>182</v>
      </c>
    </row>
    <row r="204" spans="1:15" ht="21" customHeight="1" x14ac:dyDescent="0.3">
      <c r="A204" s="110"/>
      <c r="B204" s="109"/>
      <c r="C204" s="108"/>
      <c r="D204" s="104"/>
      <c r="E204" s="107" t="s">
        <v>184</v>
      </c>
      <c r="F204" s="871"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106" t="str">
        <f>IFERROR(ROUNDUP(D204/F204,0),"")</f>
        <v/>
      </c>
      <c r="H204" s="105"/>
      <c r="I204" s="104"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21" customHeight="1" x14ac:dyDescent="0.3">
      <c r="A205" s="110"/>
      <c r="B205" s="109"/>
      <c r="C205" s="108"/>
      <c r="D205" s="104"/>
      <c r="E205" s="107" t="s">
        <v>184</v>
      </c>
      <c r="F205" s="871" t="str">
        <f>IF($B205="","",IF(SUMIFS(CONFIG_PALETES!$C:$C,CONFIG_PALETES!$A:$A,TRIM($B205),CONFIG_PALETES!$B:$B,$C205&amp;" ml")&gt;0,SUMIFS(CONFIG_PALETES!$C:$C,CONFIG_PALETES!$A:$A,TRIM($B205),CONFIG_PALETES!$B:$B,$C205&amp;" ml"),IF(SUMIFS(CONFIG_PALETES!$C:$C,CONFIG_PALETES!$A:$A,"GERAL",CONFIG_PALETES!$B:$B,$C205&amp;" ml")&gt;0,SUMIFS(CONFIG_PALETES!$C:$C,CONFIG_PALETES!$A:$A,"GERAL",CONFIG_PALETES!$B:$B,$C205&amp;" ml"),"")))</f>
        <v/>
      </c>
      <c r="G205" s="106" t="str">
        <f>IFERROR(ROUNDUP(D205/F205,0),"")</f>
        <v/>
      </c>
      <c r="H205" s="105"/>
      <c r="I205" s="104" t="str">
        <f>IF(H205="","",H205*IF(SUMIFS(CONFIG_PALETES!$D:$D,CONFIG_PALETES!$A:$A,IF(ISNUMBER(SEARCH("ESPUMA",$B205)),"ESPUMA",IF(OR(ISNUMBER(SEARCH("OLEO DE COCO",$B205)),ISNUMBER(SEARCH("ÓLEO DE COCO",$B205)),ISNUMBER(SEARCH("COPRA",$B205))),"ÓLEO DE COCO",IF(ISNUMBER(SEARCH("CORANTE",$B205)),"CORANTE",TRIM($B205)))),CONFIG_PALETES!$B:$B,$C205&amp;" ml")&gt;0,SUMIFS(CONFIG_PALETES!$D:$D,CONFIG_PALETES!$A:$A,IF(ISNUMBER(SEARCH("ESPUMA",$B205)),"ESPUMA",IF(OR(ISNUMBER(SEARCH("OLEO DE COCO",$B205)),ISNUMBER(SEARCH("ÓLEO DE COCO",$B205)),ISNUMBER(SEARCH("COPRA",$B205))),"ÓLEO DE COCO",IF(ISNUMBER(SEARCH("CORANTE",$B205)),"CORANTE",TRIM($B205)))),CONFIG_PALETES!$B:$B,$C205&amp;" ml"),IF(SUMIFS(CONFIG_PALETES!$D:$D,CONFIG_PALETES!$A:$A,"GERAL",CONFIG_PALETES!$B:$B,$C205&amp;" ml")&gt;0,SUMIFS(CONFIG_PALETES!$D:$D,CONFIG_PALETES!$A:$A,"GERAL",CONFIG_PALETES!$B:$B,$C205&amp;" ml"),12)))</f>
        <v/>
      </c>
    </row>
    <row r="206" spans="1:15" ht="21" customHeight="1" x14ac:dyDescent="0.3">
      <c r="A206" s="110"/>
      <c r="B206" s="109"/>
      <c r="C206" s="108"/>
      <c r="D206" s="104"/>
      <c r="E206" s="107" t="s">
        <v>184</v>
      </c>
      <c r="F206" s="871" t="str">
        <f>IF($B206="","",IF(SUMIFS(CONFIG_PALETES!$C:$C,CONFIG_PALETES!$A:$A,TRIM($B206),CONFIG_PALETES!$B:$B,$C206&amp;" ml")&gt;0,SUMIFS(CONFIG_PALETES!$C:$C,CONFIG_PALETES!$A:$A,TRIM($B206),CONFIG_PALETES!$B:$B,$C206&amp;" ml"),IF(SUMIFS(CONFIG_PALETES!$C:$C,CONFIG_PALETES!$A:$A,"GERAL",CONFIG_PALETES!$B:$B,$C206&amp;" ml")&gt;0,SUMIFS(CONFIG_PALETES!$C:$C,CONFIG_PALETES!$A:$A,"GERAL",CONFIG_PALETES!$B:$B,$C206&amp;" ml"),"")))</f>
        <v/>
      </c>
      <c r="G206" s="106" t="str">
        <f>IFERROR(ROUNDUP(D206/F206,0),"")</f>
        <v/>
      </c>
      <c r="H206" s="105"/>
      <c r="I206" s="104" t="str">
        <f>IF(H206="","",H206*IF(SUMIFS(CONFIG_PALETES!$D:$D,CONFIG_PALETES!$A:$A,IF(ISNUMBER(SEARCH("ESPUMA",$B206)),"ESPUMA",IF(OR(ISNUMBER(SEARCH("OLEO DE COCO",$B206)),ISNUMBER(SEARCH("ÓLEO DE COCO",$B206)),ISNUMBER(SEARCH("COPRA",$B206))),"ÓLEO DE COCO",IF(ISNUMBER(SEARCH("CORANTE",$B206)),"CORANTE",TRIM($B206)))),CONFIG_PALETES!$B:$B,$C206&amp;" ml")&gt;0,SUMIFS(CONFIG_PALETES!$D:$D,CONFIG_PALETES!$A:$A,IF(ISNUMBER(SEARCH("ESPUMA",$B206)),"ESPUMA",IF(OR(ISNUMBER(SEARCH("OLEO DE COCO",$B206)),ISNUMBER(SEARCH("ÓLEO DE COCO",$B206)),ISNUMBER(SEARCH("COPRA",$B206))),"ÓLEO DE COCO",IF(ISNUMBER(SEARCH("CORANTE",$B206)),"CORANTE",TRIM($B206)))),CONFIG_PALETES!$B:$B,$C206&amp;" ml"),IF(SUMIFS(CONFIG_PALETES!$D:$D,CONFIG_PALETES!$A:$A,"GERAL",CONFIG_PALETES!$B:$B,$C206&amp;" ml")&gt;0,SUMIFS(CONFIG_PALETES!$D:$D,CONFIG_PALETES!$A:$A,"GERAL",CONFIG_PALETES!$B:$B,$C206&amp;" ml"),12)))</f>
        <v/>
      </c>
    </row>
    <row r="207" spans="1:15" ht="21" customHeight="1" x14ac:dyDescent="0.3">
      <c r="A207" s="110"/>
      <c r="B207" s="109"/>
      <c r="C207" s="108"/>
      <c r="D207" s="104"/>
      <c r="E207" s="107" t="s">
        <v>184</v>
      </c>
      <c r="F207" s="871" t="str">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
      </c>
      <c r="G207" s="106" t="str">
        <f>IFERROR(ROUNDUP(D207/F207,0),"")</f>
        <v/>
      </c>
      <c r="H207" s="105"/>
      <c r="I207" s="104" t="str">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
      </c>
    </row>
    <row r="208" spans="1:15" ht="21" customHeight="1" x14ac:dyDescent="0.3">
      <c r="A208" s="817"/>
      <c r="B208" s="818"/>
      <c r="C208" s="819"/>
      <c r="D208" s="820"/>
      <c r="E208" s="821" t="s">
        <v>184</v>
      </c>
      <c r="F208" s="872" t="str">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
      </c>
      <c r="G208" s="822" t="str">
        <f>IFERROR(ROUNDUP(D208/F208,0),"")</f>
        <v/>
      </c>
      <c r="H208" s="823"/>
      <c r="I208" s="820" t="str">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
      </c>
    </row>
    <row r="209" spans="1:15" ht="14.25" customHeight="1" x14ac:dyDescent="0.3">
      <c r="A209" s="899"/>
      <c r="B209" s="846" t="s">
        <v>186</v>
      </c>
      <c r="C209" s="847"/>
      <c r="D209" s="848">
        <f>SUM(D202:D208)</f>
        <v>0</v>
      </c>
      <c r="E209" s="849"/>
      <c r="F209" s="856" t="s">
        <v>1400</v>
      </c>
      <c r="G209" s="850">
        <f>SUM(G202:G208)</f>
        <v>0</v>
      </c>
      <c r="H209" s="848">
        <f>SUM(H202:H208)</f>
        <v>0</v>
      </c>
      <c r="I209" s="848">
        <f>SUM(I202:I208)</f>
        <v>0</v>
      </c>
      <c r="J209" s="63">
        <f>D209</f>
        <v>0</v>
      </c>
      <c r="K209" s="93">
        <f>G209</f>
        <v>0</v>
      </c>
      <c r="L209" s="63">
        <f>H209</f>
        <v>0</v>
      </c>
      <c r="M209" s="63">
        <f>I209</f>
        <v>0</v>
      </c>
      <c r="N209" s="587" t="str" cm="1">
        <f t="array" ref="N209">IF(H209=0,"",SUMPRODUCT(IFERROR(INT(H204:H208/F204:F208),0)))</f>
        <v/>
      </c>
      <c r="O209" s="770" t="str">
        <f>IF(N209="","",MAX(0,G209-N209))</f>
        <v/>
      </c>
    </row>
  </sheetData>
  <mergeCells count="3">
    <mergeCell ref="A1:I1"/>
    <mergeCell ref="A2:F2"/>
    <mergeCell ref="G2:I2"/>
  </mergeCells>
  <dataValidations count="131">
    <dataValidation type="list" allowBlank="1" errorTitle="Embalagem inválida" error="Escolha uma embalagem compatível com o produto." promptTitle="Selecione a embalagem" prompt="As opções mudam conforme o produto escolhido." sqref="C1:C3 C9:C11 C17:C19 C25:C27 C33:C35 C41:C43 C49:C51 C57:C59 C65:C67 C73:C75 C81:C83 C89:C91 C97:C99 C105:C107 C113:C115 C121:C123 C129:C131 C137:C139 C145:C147 C153:C155 C161:C163 C169:C171 C177:C179 C185:C187 C193:C195 C201:C203 C209:C1177" xr:uid="{00000000-0002-0000-1C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AB4F8631-4D1D-4D7E-B759-B91640CE0E3D}">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F019F253-B784-4FB6-ADF2-BF4F66121942}">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948D2424-ABB0-40E5-9D9D-3F4638119C3C}">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97D96D30-E62E-4346-A898-74C04F3D6F0E}">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7B82343D-20AD-4A80-9306-2885777A7F0D}">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12" xr:uid="{C99DE799-BE01-4FD9-85F5-BC1E11A9CA4B}">
      <formula1>INDIRECT(IF(OR(ISNUMBER(SEARCH("ICEBERG ICE",UPPER(TRIM($B12)))),ISNUMBER(SEARCH("ICE ICEBERG",UPPER(TRIM($B12)))),ISNUMBER(SEARCH("GELINHO ICEBERG",UPPER(TRIM($B12))))),"$AJ$2:$AJ$2",IF(ISNUMBER(SEARCH("ESPUMA",$B12)),"$AI$2:$AI$2",IF(ISNUMBER(SEARCH("CORANTE",$B12)),"$AN$2:$AN$2",IFERROR(INDEX($AB$2:$AB$139,MATCH(UPPER(TRIM($B12)),$AA$2:$AA$139,0)),"$AO$2:$AO$9")))))</formula1>
    </dataValidation>
    <dataValidation type="list" allowBlank="1" errorTitle="Embalagem inválida" error="Escolha uma embalagem compatível com o produto." promptTitle="Selecione a embalagem" prompt="As opções mudam conforme o produto digitado." sqref="C13" xr:uid="{796531F2-9D3F-4D51-A5C4-A9880F9468A9}">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6A86510A-0307-48B3-964F-D930FE460A3C}">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AC12512B-EA94-4F33-A0C1-3B13DA8E2B6E}">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6E149BAB-3EC2-442A-957F-8D7C69E2611E}">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20" xr:uid="{23DA119F-E247-4733-AB58-4C3821799B8F}">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29D9E38D-A704-46A9-8CB8-1061863BCCDF}">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E465F69A-9282-450A-BF8E-D25491CA642A}">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703E81ED-CA4E-4A4D-8280-466A000C2896}">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28850847-6E5B-4C33-87F9-D9EFDD7A2E16}">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8" xr:uid="{0B293073-D4E0-464D-B164-6B356FEF7DCA}">
      <formula1>INDIRECT(IF(OR(ISNUMBER(SEARCH("ICEBERG ICE",UPPER(TRIM($B28)))),ISNUMBER(SEARCH("ICE ICEBERG",UPPER(TRIM($B28)))),ISNUMBER(SEARCH("GELINHO ICEBERG",UPPER(TRIM($B28))))),"$AJ$2:$AJ$2",IF(ISNUMBER(SEARCH("ESPUMA",$B28)),"$AI$2:$AI$2",IF(ISNUMBER(SEARCH("CORANTE",$B28)),"$AN$2:$AN$2",IFERROR(INDEX($AB$2:$AB$139,MATCH(UPPER(TRIM($B28)),$AA$2:$AA$139,0)),"$AO$2:$AO$9")))))</formula1>
    </dataValidation>
    <dataValidation type="list" allowBlank="1" errorTitle="Embalagem inválida" error="Escolha uma embalagem compatível com o produto." promptTitle="Selecione a embalagem" prompt="As opções mudam conforme o produto digitado." sqref="C29" xr:uid="{41713D3E-654F-491D-B843-1FFDBD04DCBA}">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C90061E8-D629-4981-B593-94798AC38FCC}">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A1AF73E9-AD0E-4B7A-A105-5BD5BB200A0C}">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63BA5C49-E0BD-4954-91AD-3983C5A93D10}">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6" xr:uid="{8C208A70-73BC-4F96-AD41-D2D3A0F10E4E}">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37" xr:uid="{A785E99F-66A6-49A9-A3D4-A443606DE78D}">
      <formula1>INDIRECT(IF(OR(ISNUMBER(SEARCH("ICEBERG ICE",UPPER(TRIM($B37)))),ISNUMBER(SEARCH("ICE ICEBERG",UPPER(TRIM($B37)))),ISNUMBER(SEARCH("GELINHO ICEBERG",UPPER(TRIM($B37))))),"$AJ$2:$AJ$2",IF(ISNUMBER(SEARCH("ESPUMA",$B37)),"$AI$2:$AI$2",IF(ISNUMBER(SEARCH("CORANTE",$B37)),"$AN$2:$AN$2",IFERROR(INDEX($AB$2:$AB$139,MATCH(UPPER(TRIM($B37)),$AA$2:$AA$139,0)),"$AO$2:$AO$9")))))</formula1>
    </dataValidation>
    <dataValidation type="list" allowBlank="1" errorTitle="Embalagem inválida" error="Escolha uma embalagem compatível com o produto." promptTitle="Selecione a embalagem" prompt="As opções mudam conforme o produto digitado." sqref="C38" xr:uid="{0D983DAC-E11D-4A75-9E48-417351536B29}">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472ED44D-BC01-474C-BD5D-1792925BE454}">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0" xr:uid="{53AFA9E6-C6E3-4F24-82EB-3DE9CCBDE1A9}">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4" xr:uid="{C98F71BE-70B7-47F4-97D7-3BC291EA8B82}">
      <formula1>INDIRECT(IF(OR(ISNUMBER(SEARCH("ICEBERG ICE",UPPER(TRIM($B44)))),ISNUMBER(SEARCH("ICE ICEBERG",UPPER(TRIM($B44)))),ISNUMBER(SEARCH("GELINHO ICEBERG",UPPER(TRIM($B44))))),"$AJ$2:$AJ$2",IF(ISNUMBER(SEARCH("ESPUMA",$B44)),"$AI$2:$AI$2",IF(ISNUMBER(SEARCH("CORANTE",$B44)),"$AN$2:$AN$2",IFERROR(INDEX($AB$2:$AB$139,MATCH(UPPER(TRIM($B44)),$AA$2:$AA$139,0)),"$AO$2:$AO$9")))))</formula1>
    </dataValidation>
    <dataValidation type="list" allowBlank="1" errorTitle="Embalagem inválida" error="Escolha uma embalagem compatível com o produto." promptTitle="Selecione a embalagem" prompt="As opções mudam conforme o produto digitado." sqref="C45" xr:uid="{5E7FE378-D9FD-4407-BBA5-F9A72A024E56}">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C65CB518-CF5F-4924-B67F-B9A337D29409}">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47" xr:uid="{776EDFAB-E7A8-429C-8FD3-D6B2C1A27258}">
      <formula1>INDIRECT(IF(OR(ISNUMBER(SEARCH("ICEBERG ICE",UPPER(TRIM($B47)))),ISNUMBER(SEARCH("ICE ICEBERG",UPPER(TRIM($B47)))),ISNUMBER(SEARCH("GELINHO ICEBERG",UPPER(TRIM($B47))))),"$AJ$2:$AJ$2",IF(ISNUMBER(SEARCH("ESPUMA",$B47)),"$AI$2:$AI$2",IF(ISNUMBER(SEARCH("CORANTE",$B47)),"$AN$2:$AN$2",IFERROR(INDEX($AB$2:$AB$139,MATCH(UPPER(TRIM($B47)),$AA$2:$AA$139,0)),"$AO$2:$AO$9")))))</formula1>
    </dataValidation>
    <dataValidation type="list" allowBlank="1" errorTitle="Embalagem inválida" error="Escolha uma embalagem compatível com o produto." promptTitle="Selecione a embalagem" prompt="As opções mudam conforme o produto digitado." sqref="C48" xr:uid="{3BAAE122-2E2A-40F7-B412-EE5C75925BC7}">
      <formula1>INDIRECT(IF(OR(ISNUMBER(SEARCH("ICEBERG ICE",UPPER(TRIM($B48)))),ISNUMBER(SEARCH("ICE ICEBERG",UPPER(TRIM($B48)))),ISNUMBER(SEARCH("GELINHO ICEBERG",UPPER(TRIM($B48))))),"$AJ$2:$AJ$2",IF(ISNUMBER(SEARCH("ESPUMA",$B48)),"$AI$2:$AI$2",IF(ISNUMBER(SEARCH("CORANTE",$B48)),"$AN$2:$AN$2",IFERROR(INDEX($AB$2:$AB$139,MATCH(UPPER(TRIM($B48)),$AA$2:$AA$139,0)),"$AO$2:$AO$9")))))</formula1>
    </dataValidation>
    <dataValidation type="list" allowBlank="1" errorTitle="Embalagem inválida" error="Escolha uma embalagem compatível com o produto." promptTitle="Selecione a embalagem" prompt="As opções mudam conforme o produto digitado." sqref="C52" xr:uid="{7E8B0522-9331-4EAC-8B31-269783EEC688}">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97C9A589-FBCB-4482-9613-393CB711B78A}">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8BD1F24E-8211-4DD5-AEAE-3260B3D69CF8}">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57A6F156-B9DB-4D25-B133-6B316A56F127}">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01258E8D-284B-47B0-8339-F862EDDB0EE6}">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60" xr:uid="{B9CC07A6-455F-457A-9E11-E2D823B97C18}">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9BA3F5D8-71DF-4F6C-B980-180145F24F25}">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BBC36D3F-8344-4A01-87A0-86944026C57E}">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3204B5E9-FABB-4F0F-B895-BED69D34500C}">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26A803F1-90C8-4EA0-BABC-DF0A7858DCE6}">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8" xr:uid="{F444001B-EA15-418A-9741-B7A747643999}">
      <formula1>INDIRECT(IF(OR(ISNUMBER(SEARCH("ICEBERG ICE",UPPER(TRIM($B68)))),ISNUMBER(SEARCH("ICE ICEBERG",UPPER(TRIM($B68)))),ISNUMBER(SEARCH("GELINHO ICEBERG",UPPER(TRIM($B68))))),"$AJ$2:$AJ$2",IF(ISNUMBER(SEARCH("ESPUMA",$B68)),"$AI$2:$AI$2",IF(ISNUMBER(SEARCH("CORANTE",$B68)),"$AN$2:$AN$2",IFERROR(INDEX($AB$2:$AB$139,MATCH(UPPER(TRIM($B68)),$AA$2:$AA$139,0)),"$AO$2:$AO$9")))))</formula1>
    </dataValidation>
    <dataValidation type="list" allowBlank="1" errorTitle="Embalagem inválida" error="Escolha uma embalagem compatível com o produto." promptTitle="Selecione a embalagem" prompt="As opções mudam conforme o produto digitado." sqref="C69" xr:uid="{700563B0-D7CA-4FE0-AA8C-7BF5CF9AB6C8}">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59593B39-8419-4BF6-9ACA-CCA8EBCA2FB2}">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6AD1CF59-BA32-4D6D-B476-7CA378AC7BB9}">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EDEAD3CE-F812-4B44-A2B9-BF7546A80BA7}">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6" xr:uid="{C4073F28-FCD7-4D19-A53C-1FFC1CC800BB}">
      <formula1>INDIRECT(IF(OR(ISNUMBER(SEARCH("ICEBERG ICE",UPPER(TRIM($B76)))),ISNUMBER(SEARCH("ICE ICEBERG",UPPER(TRIM($B76)))),ISNUMBER(SEARCH("GELINHO ICEBERG",UPPER(TRIM($B76))))),"$AJ$2:$AJ$2",IF(ISNUMBER(SEARCH("ESPUMA",$B76)),"$AI$2:$AI$2",IF(ISNUMBER(SEARCH("CORANTE",$B76)),"$AN$2:$AN$2",IFERROR(INDEX($AB$2:$AB$139,MATCH(UPPER(TRIM($B76)),$AA$2:$AA$139,0)),"$AO$2:$AO$9")))))</formula1>
    </dataValidation>
    <dataValidation type="list" allowBlank="1" errorTitle="Embalagem inválida" error="Escolha uma embalagem compatível com o produto." promptTitle="Selecione a embalagem" prompt="As opções mudam conforme o produto digitado." sqref="C77" xr:uid="{99FC9E29-4783-4273-A631-0D2633720048}">
      <formula1>INDIRECT(IF(OR(ISNUMBER(SEARCH("ICEBERG ICE",UPPER(TRIM($B77)))),ISNUMBER(SEARCH("ICE ICEBERG",UPPER(TRIM($B77)))),ISNUMBER(SEARCH("GELINHO ICEBERG",UPPER(TRIM($B77))))),"$AJ$2:$AJ$2",IF(ISNUMBER(SEARCH("ESPUMA",$B77)),"$AI$2:$AI$2",IF(ISNUMBER(SEARCH("CORANTE",$B77)),"$AN$2:$AN$2",IFERROR(INDEX($AB$2:$AB$139,MATCH(UPPER(TRIM($B77)),$AA$2:$AA$139,0)),"$AO$2:$AO$9")))))</formula1>
    </dataValidation>
    <dataValidation type="list" allowBlank="1" errorTitle="Embalagem inválida" error="Escolha uma embalagem compatível com o produto." promptTitle="Selecione a embalagem" prompt="As opções mudam conforme o produto digitado." sqref="C78" xr:uid="{8A29F084-7C58-4FB9-A319-544FD7D43794}">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27EF2431-9323-4881-B419-86073BA8A824}">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03B53767-2110-44A0-A875-5B977E2B03F5}">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4" xr:uid="{ACA3D760-58ED-455E-8A1D-A2E45665312E}">
      <formula1>INDIRECT(IF(OR(ISNUMBER(SEARCH("ICEBERG ICE",UPPER(TRIM($B84)))),ISNUMBER(SEARCH("ICE ICEBERG",UPPER(TRIM($B84)))),ISNUMBER(SEARCH("GELINHO ICEBERG",UPPER(TRIM($B84))))),"$AJ$2:$AJ$2",IF(ISNUMBER(SEARCH("ESPUMA",$B84)),"$AI$2:$AI$2",IF(ISNUMBER(SEARCH("CORANTE",$B84)),"$AN$2:$AN$2",IFERROR(INDEX($AB$2:$AB$139,MATCH(UPPER(TRIM($B84)),$AA$2:$AA$139,0)),"$AO$2:$AO$9")))))</formula1>
    </dataValidation>
    <dataValidation type="list" allowBlank="1" errorTitle="Embalagem inválida" error="Escolha uma embalagem compatível com o produto." promptTitle="Selecione a embalagem" prompt="As opções mudam conforme o produto digitado." sqref="C85" xr:uid="{62FD8EB9-6776-4FDE-80EE-E85424C109AE}">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E12403BD-60DD-4B99-9B36-01B78013F855}">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28B03B06-1AEB-4FF7-B85C-220732FB2BE6}">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076740ED-3CB9-4BEF-8EC8-127575134BB6}">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92" xr:uid="{CAB09373-2932-482A-8187-76295FF355CE}">
      <formula1>INDIRECT(IF(OR(ISNUMBER(SEARCH("ICEBERG ICE",UPPER(TRIM($B92)))),ISNUMBER(SEARCH("ICE ICEBERG",UPPER(TRIM($B92)))),ISNUMBER(SEARCH("GELINHO ICEBERG",UPPER(TRIM($B92))))),"$AJ$2:$AJ$2",IF(ISNUMBER(SEARCH("ESPUMA",$B92)),"$AI$2:$AI$2",IF(ISNUMBER(SEARCH("CORANTE",$B92)),"$AN$2:$AN$2",IFERROR(INDEX($AB$2:$AB$139,MATCH(UPPER(TRIM($B92)),$AA$2:$AA$139,0)),"$AO$2:$AO$9")))))</formula1>
    </dataValidation>
    <dataValidation type="list" allowBlank="1" errorTitle="Embalagem inválida" error="Escolha uma embalagem compatível com o produto." promptTitle="Selecione a embalagem" prompt="As opções mudam conforme o produto digitado." sqref="C93" xr:uid="{ED678304-4138-426B-87FB-5306061ABA8A}">
      <formula1>INDIRECT(IF(OR(ISNUMBER(SEARCH("ICEBERG ICE",UPPER(TRIM($B93)))),ISNUMBER(SEARCH("ICE ICEBERG",UPPER(TRIM($B93)))),ISNUMBER(SEARCH("GELINHO ICEBERG",UPPER(TRIM($B93))))),"$AJ$2:$AJ$2",IF(ISNUMBER(SEARCH("ESPUMA",$B93)),"$AI$2:$AI$2",IF(ISNUMBER(SEARCH("CORANTE",$B93)),"$AN$2:$AN$2",IFERROR(INDEX($AB$2:$AB$139,MATCH(UPPER(TRIM($B93)),$AA$2:$AA$139,0)),"$AO$2:$AO$9")))))</formula1>
    </dataValidation>
    <dataValidation type="list" allowBlank="1" errorTitle="Embalagem inválida" error="Escolha uma embalagem compatível com o produto." promptTitle="Selecione a embalagem" prompt="As opções mudam conforme o produto digitado." sqref="C94" xr:uid="{2198ABC8-F8CD-4FAE-A504-365FE02E1DC7}">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E39D879E-3A40-4816-B012-302A788DAAB8}">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7726AC7E-78A4-4F07-BD44-CA84395EE2B3}">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100" xr:uid="{29F636EE-5B34-41BB-8214-D054027A02DD}">
      <formula1>INDIRECT(IF(OR(ISNUMBER(SEARCH("ICEBERG ICE",UPPER(TRIM($B100)))),ISNUMBER(SEARCH("ICE ICEBERG",UPPER(TRIM($B100)))),ISNUMBER(SEARCH("GELINHO ICEBERG",UPPER(TRIM($B100))))),"$AJ$2:$AJ$2",IF(ISNUMBER(SEARCH("ESPUMA",$B100)),"$AI$2:$AI$2",IF(ISNUMBER(SEARCH("CORANTE",$B100)),"$AN$2:$AN$2",IFERROR(INDEX($AB$2:$AB$139,MATCH(UPPER(TRIM($B100)),$AA$2:$AA$139,0)),"$AO$2:$AO$9")))))</formula1>
    </dataValidation>
    <dataValidation type="list" allowBlank="1" errorTitle="Embalagem inválida" error="Escolha uma embalagem compatível com o produto." promptTitle="Selecione a embalagem" prompt="As opções mudam conforme o produto digitado." sqref="C101" xr:uid="{84416DCB-8CE7-4E55-92A9-BF58B34FA566}">
      <formula1>INDIRECT(IF(OR(ISNUMBER(SEARCH("ICEBERG ICE",UPPER(TRIM($B101)))),ISNUMBER(SEARCH("ICE ICEBERG",UPPER(TRIM($B101)))),ISNUMBER(SEARCH("GELINHO ICEBERG",UPPER(TRIM($B101))))),"$AJ$2:$AJ$2",IF(ISNUMBER(SEARCH("ESPUMA",$B101)),"$AI$2:$AI$2",IF(ISNUMBER(SEARCH("CORANTE",$B101)),"$AN$2:$AN$2",IFERROR(INDEX($AB$2:$AB$139,MATCH(UPPER(TRIM($B101)),$AA$2:$AA$139,0)),"$AO$2:$AO$9")))))</formula1>
    </dataValidation>
    <dataValidation type="list" allowBlank="1" errorTitle="Embalagem inválida" error="Escolha uma embalagem compatível com o produto." promptTitle="Selecione a embalagem" prompt="As opções mudam conforme o produto digitado." sqref="C102" xr:uid="{543C0C8D-9A71-485A-835D-9E6A0BAE4798}">
      <formula1>INDIRECT(IF(OR(ISNUMBER(SEARCH("ICEBERG ICE",UPPER(TRIM($B102)))),ISNUMBER(SEARCH("ICE ICEBERG",UPPER(TRIM($B102)))),ISNUMBER(SEARCH("GELINHO ICEBERG",UPPER(TRIM($B102))))),"$AJ$2:$AJ$2",IF(ISNUMBER(SEARCH("ESPUMA",$B102)),"$AI$2:$AI$2",IF(ISNUMBER(SEARCH("CORANTE",$B102)),"$AN$2:$AN$2",IFERROR(INDEX($AB$2:$AB$139,MATCH(UPPER(TRIM($B102)),$AA$2:$AA$139,0)),"$AO$2:$AO$9")))))</formula1>
    </dataValidation>
    <dataValidation type="list" allowBlank="1" errorTitle="Embalagem inválida" error="Escolha uma embalagem compatível com o produto." promptTitle="Selecione a embalagem" prompt="As opções mudam conforme o produto digitado." sqref="C103" xr:uid="{34FE714C-6C56-4374-836C-5AC3787E8315}">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6EAA5CA1-6E9C-44BD-8AA5-F5F59D37BBBE}">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8" xr:uid="{8BBD217C-4358-4629-85C3-59602AA89D74}">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09" xr:uid="{C4AD7D47-52A1-42C3-97F5-7A7631ECCE63}">
      <formula1>INDIRECT(IF(OR(ISNUMBER(SEARCH("ICEBERG ICE",UPPER(TRIM($B109)))),ISNUMBER(SEARCH("ICE ICEBERG",UPPER(TRIM($B109)))),ISNUMBER(SEARCH("GELINHO ICEBERG",UPPER(TRIM($B109))))),"$AJ$2:$AJ$2",IF(ISNUMBER(SEARCH("ESPUMA",$B109)),"$AI$2:$AI$2",IF(ISNUMBER(SEARCH("CORANTE",$B109)),"$AN$2:$AN$2",IFERROR(INDEX($AB$2:$AB$139,MATCH(UPPER(TRIM($B109)),$AA$2:$AA$139,0)),"$AO$2:$AO$9")))))</formula1>
    </dataValidation>
    <dataValidation type="list" allowBlank="1" errorTitle="Embalagem inválida" error="Escolha uma embalagem compatível com o produto." promptTitle="Selecione a embalagem" prompt="As opções mudam conforme o produto digitado." sqref="C110" xr:uid="{12190130-CDF1-4639-A0E3-4347399CD12A}">
      <formula1>INDIRECT(IF(OR(ISNUMBER(SEARCH("ICEBERG ICE",UPPER(TRIM($B110)))),ISNUMBER(SEARCH("ICE ICEBERG",UPPER(TRIM($B110)))),ISNUMBER(SEARCH("GELINHO ICEBERG",UPPER(TRIM($B110))))),"$AJ$2:$AJ$2",IF(ISNUMBER(SEARCH("ESPUMA",$B110)),"$AI$2:$AI$2",IF(ISNUMBER(SEARCH("CORANTE",$B110)),"$AN$2:$AN$2",IFERROR(INDEX($AB$2:$AB$139,MATCH(UPPER(TRIM($B110)),$AA$2:$AA$139,0)),"$AO$2:$AO$9")))))</formula1>
    </dataValidation>
    <dataValidation type="list" allowBlank="1" errorTitle="Embalagem inválida" error="Escolha uma embalagem compatível com o produto." promptTitle="Selecione a embalagem" prompt="As opções mudam conforme o produto digitado." sqref="C111" xr:uid="{5CD645FF-B7DF-4B49-9CDE-E8ACB4D60C6D}">
      <formula1>INDIRECT(IF(OR(ISNUMBER(SEARCH("ICEBERG ICE",UPPER(TRIM($B111)))),ISNUMBER(SEARCH("ICE ICEBERG",UPPER(TRIM($B111)))),ISNUMBER(SEARCH("GELINHO ICEBERG",UPPER(TRIM($B111))))),"$AJ$2:$AJ$2",IF(ISNUMBER(SEARCH("ESPUMA",$B111)),"$AI$2:$AI$2",IF(ISNUMBER(SEARCH("CORANTE",$B111)),"$AN$2:$AN$2",IFERROR(INDEX($AB$2:$AB$139,MATCH(UPPER(TRIM($B111)),$AA$2:$AA$139,0)),"$AO$2:$AO$9")))))</formula1>
    </dataValidation>
    <dataValidation type="list" allowBlank="1" errorTitle="Embalagem inválida" error="Escolha uma embalagem compatível com o produto." promptTitle="Selecione a embalagem" prompt="As opções mudam conforme o produto digitado." sqref="C112" xr:uid="{F9ECABC8-C968-408E-A0E5-905E7898C5FD}">
      <formula1>INDIRECT(IF(OR(ISNUMBER(SEARCH("ICEBERG ICE",UPPER(TRIM($B112)))),ISNUMBER(SEARCH("ICE ICEBERG",UPPER(TRIM($B112)))),ISNUMBER(SEARCH("GELINHO ICEBERG",UPPER(TRIM($B112))))),"$AJ$2:$AJ$2",IF(ISNUMBER(SEARCH("ESPUMA",$B112)),"$AI$2:$AI$2",IF(ISNUMBER(SEARCH("CORANTE",$B112)),"$AN$2:$AN$2",IFERROR(INDEX($AB$2:$AB$139,MATCH(UPPER(TRIM($B112)),$AA$2:$AA$139,0)),"$AO$2:$AO$9")))))</formula1>
    </dataValidation>
    <dataValidation type="list" allowBlank="1" errorTitle="Embalagem inválida" error="Escolha uma embalagem compatível com o produto." promptTitle="Selecione a embalagem" prompt="As opções mudam conforme o produto digitado." sqref="C116" xr:uid="{B85E4471-2F9D-467E-94B5-967CBB73610C}">
      <formula1>INDIRECT(IF(OR(ISNUMBER(SEARCH("ICEBERG ICE",UPPER(TRIM($B116)))),ISNUMBER(SEARCH("ICE ICEBERG",UPPER(TRIM($B116)))),ISNUMBER(SEARCH("GELINHO ICEBERG",UPPER(TRIM($B116))))),"$AJ$2:$AJ$2",IF(ISNUMBER(SEARCH("ESPUMA",$B116)),"$AI$2:$AI$2",IF(ISNUMBER(SEARCH("CORANTE",$B116)),"$AN$2:$AN$2",IFERROR(INDEX($AB$2:$AB$139,MATCH(UPPER(TRIM($B116)),$AA$2:$AA$139,0)),"$AO$2:$AO$9")))))</formula1>
    </dataValidation>
    <dataValidation type="list" allowBlank="1" errorTitle="Embalagem inválida" error="Escolha uma embalagem compatível com o produto." promptTitle="Selecione a embalagem" prompt="As opções mudam conforme o produto digitado." sqref="C117" xr:uid="{DA5A04B5-DF8F-48B4-9C9A-44BA5F08FEAE}">
      <formula1>INDIRECT(IF(OR(ISNUMBER(SEARCH("ICEBERG ICE",UPPER(TRIM($B117)))),ISNUMBER(SEARCH("ICE ICEBERG",UPPER(TRIM($B117)))),ISNUMBER(SEARCH("GELINHO ICEBERG",UPPER(TRIM($B117))))),"$AJ$2:$AJ$2",IF(ISNUMBER(SEARCH("ESPUMA",$B117)),"$AI$2:$AI$2",IF(ISNUMBER(SEARCH("CORANTE",$B117)),"$AN$2:$AN$2",IFERROR(INDEX($AB$2:$AB$139,MATCH(UPPER(TRIM($B117)),$AA$2:$AA$139,0)),"$AO$2:$AO$9")))))</formula1>
    </dataValidation>
    <dataValidation type="list" allowBlank="1" errorTitle="Embalagem inválida" error="Escolha uma embalagem compatível com o produto." promptTitle="Selecione a embalagem" prompt="As opções mudam conforme o produto digitado." sqref="C118" xr:uid="{375FF875-4C40-4C2D-AAC6-ED4A077E5389}">
      <formula1>INDIRECT(IF(OR(ISNUMBER(SEARCH("ICEBERG ICE",UPPER(TRIM($B118)))),ISNUMBER(SEARCH("ICE ICEBERG",UPPER(TRIM($B118)))),ISNUMBER(SEARCH("GELINHO ICEBERG",UPPER(TRIM($B118))))),"$AJ$2:$AJ$2",IF(ISNUMBER(SEARCH("ESPUMA",$B118)),"$AI$2:$AI$2",IF(ISNUMBER(SEARCH("CORANTE",$B118)),"$AN$2:$AN$2",IFERROR(INDEX($AB$2:$AB$139,MATCH(UPPER(TRIM($B118)),$AA$2:$AA$139,0)),"$AO$2:$AO$9")))))</formula1>
    </dataValidation>
    <dataValidation type="list" allowBlank="1" errorTitle="Embalagem inválida" error="Escolha uma embalagem compatível com o produto." promptTitle="Selecione a embalagem" prompt="As opções mudam conforme o produto digitado." sqref="C119" xr:uid="{D6ACE6EE-FE88-4461-BC80-251A255B5BFA}">
      <formula1>INDIRECT(IF(OR(ISNUMBER(SEARCH("ICEBERG ICE",UPPER(TRIM($B119)))),ISNUMBER(SEARCH("ICE ICEBERG",UPPER(TRIM($B119)))),ISNUMBER(SEARCH("GELINHO ICEBERG",UPPER(TRIM($B119))))),"$AJ$2:$AJ$2",IF(ISNUMBER(SEARCH("ESPUMA",$B119)),"$AI$2:$AI$2",IF(ISNUMBER(SEARCH("CORANTE",$B119)),"$AN$2:$AN$2",IFERROR(INDEX($AB$2:$AB$139,MATCH(UPPER(TRIM($B119)),$AA$2:$AA$139,0)),"$AO$2:$AO$9")))))</formula1>
    </dataValidation>
    <dataValidation type="list" allowBlank="1" errorTitle="Embalagem inválida" error="Escolha uma embalagem compatível com o produto." promptTitle="Selecione a embalagem" prompt="As opções mudam conforme o produto digitado." sqref="C120" xr:uid="{D60D1229-FB42-46EE-88F5-B4DDFAD1705C}">
      <formula1>INDIRECT(IF(OR(ISNUMBER(SEARCH("ICEBERG ICE",UPPER(TRIM($B120)))),ISNUMBER(SEARCH("ICE ICEBERG",UPPER(TRIM($B120)))),ISNUMBER(SEARCH("GELINHO ICEBERG",UPPER(TRIM($B120))))),"$AJ$2:$AJ$2",IF(ISNUMBER(SEARCH("ESPUMA",$B120)),"$AI$2:$AI$2",IF(ISNUMBER(SEARCH("CORANTE",$B120)),"$AN$2:$AN$2",IFERROR(INDEX($AB$2:$AB$139,MATCH(UPPER(TRIM($B120)),$AA$2:$AA$139,0)),"$AO$2:$AO$9")))))</formula1>
    </dataValidation>
    <dataValidation type="list" allowBlank="1" errorTitle="Embalagem inválida" error="Escolha uma embalagem compatível com o produto." promptTitle="Selecione a embalagem" prompt="As opções mudam conforme o produto digitado." sqref="C124" xr:uid="{BDF197EC-1B71-4E7C-AE72-BCF079ABFA3A}">
      <formula1>INDIRECT(IF(OR(ISNUMBER(SEARCH("ICEBERG ICE",UPPER(TRIM($B124)))),ISNUMBER(SEARCH("ICE ICEBERG",UPPER(TRIM($B124)))),ISNUMBER(SEARCH("GELINHO ICEBERG",UPPER(TRIM($B124))))),"$AJ$2:$AJ$2",IF(ISNUMBER(SEARCH("ESPUMA",$B124)),"$AI$2:$AI$2",IF(ISNUMBER(SEARCH("CORANTE",$B124)),"$AN$2:$AN$2",IFERROR(INDEX($AB$2:$AB$139,MATCH(UPPER(TRIM($B124)),$AA$2:$AA$139,0)),"$AO$2:$AO$9")))))</formula1>
    </dataValidation>
    <dataValidation type="list" allowBlank="1" errorTitle="Embalagem inválida" error="Escolha uma embalagem compatível com o produto." promptTitle="Selecione a embalagem" prompt="As opções mudam conforme o produto digitado." sqref="C125" xr:uid="{2153A199-8CFA-42CF-8901-12F5D9309EC7}">
      <formula1>INDIRECT(IF(OR(ISNUMBER(SEARCH("ICEBERG ICE",UPPER(TRIM($B125)))),ISNUMBER(SEARCH("ICE ICEBERG",UPPER(TRIM($B125)))),ISNUMBER(SEARCH("GELINHO ICEBERG",UPPER(TRIM($B125))))),"$AJ$2:$AJ$2",IF(ISNUMBER(SEARCH("ESPUMA",$B125)),"$AI$2:$AI$2",IF(ISNUMBER(SEARCH("CORANTE",$B125)),"$AN$2:$AN$2",IFERROR(INDEX($AB$2:$AB$139,MATCH(UPPER(TRIM($B125)),$AA$2:$AA$139,0)),"$AO$2:$AO$9")))))</formula1>
    </dataValidation>
    <dataValidation type="list" allowBlank="1" errorTitle="Embalagem inválida" error="Escolha uma embalagem compatível com o produto." promptTitle="Selecione a embalagem" prompt="As opções mudam conforme o produto digitado." sqref="C126" xr:uid="{8DEA9316-E63F-4F77-864B-83EBC259BD96}">
      <formula1>INDIRECT(IF(OR(ISNUMBER(SEARCH("ICEBERG ICE",UPPER(TRIM($B126)))),ISNUMBER(SEARCH("ICE ICEBERG",UPPER(TRIM($B126)))),ISNUMBER(SEARCH("GELINHO ICEBERG",UPPER(TRIM($B126))))),"$AJ$2:$AJ$2",IF(ISNUMBER(SEARCH("ESPUMA",$B126)),"$AI$2:$AI$2",IF(ISNUMBER(SEARCH("CORANTE",$B126)),"$AN$2:$AN$2",IFERROR(INDEX($AB$2:$AB$139,MATCH(UPPER(TRIM($B126)),$AA$2:$AA$139,0)),"$AO$2:$AO$9")))))</formula1>
    </dataValidation>
    <dataValidation type="list" allowBlank="1" errorTitle="Embalagem inválida" error="Escolha uma embalagem compatível com o produto." promptTitle="Selecione a embalagem" prompt="As opções mudam conforme o produto digitado." sqref="C127" xr:uid="{25060F82-1F26-49E8-BAEB-C39B2E406DD5}">
      <formula1>INDIRECT(IF(OR(ISNUMBER(SEARCH("ICEBERG ICE",UPPER(TRIM($B127)))),ISNUMBER(SEARCH("ICE ICEBERG",UPPER(TRIM($B127)))),ISNUMBER(SEARCH("GELINHO ICEBERG",UPPER(TRIM($B127))))),"$AJ$2:$AJ$2",IF(ISNUMBER(SEARCH("ESPUMA",$B127)),"$AI$2:$AI$2",IF(ISNUMBER(SEARCH("CORANTE",$B127)),"$AN$2:$AN$2",IFERROR(INDEX($AB$2:$AB$139,MATCH(UPPER(TRIM($B127)),$AA$2:$AA$139,0)),"$AO$2:$AO$9")))))</formula1>
    </dataValidation>
    <dataValidation type="list" allowBlank="1" errorTitle="Embalagem inválida" error="Escolha uma embalagem compatível com o produto." promptTitle="Selecione a embalagem" prompt="As opções mudam conforme o produto digitado." sqref="C128" xr:uid="{AD2F9DF1-EC94-44E5-9F79-9B2CA2946E8D}">
      <formula1>INDIRECT(IF(OR(ISNUMBER(SEARCH("ICEBERG ICE",UPPER(TRIM($B128)))),ISNUMBER(SEARCH("ICE ICEBERG",UPPER(TRIM($B128)))),ISNUMBER(SEARCH("GELINHO ICEBERG",UPPER(TRIM($B128))))),"$AJ$2:$AJ$2",IF(ISNUMBER(SEARCH("ESPUMA",$B128)),"$AI$2:$AI$2",IF(ISNUMBER(SEARCH("CORANTE",$B128)),"$AN$2:$AN$2",IFERROR(INDEX($AB$2:$AB$139,MATCH(UPPER(TRIM($B128)),$AA$2:$AA$139,0)),"$AO$2:$AO$9")))))</formula1>
    </dataValidation>
    <dataValidation type="list" allowBlank="1" errorTitle="Embalagem inválida" error="Escolha uma embalagem compatível com o produto." promptTitle="Selecione a embalagem" prompt="As opções mudam conforme o produto digitado." sqref="C132" xr:uid="{3E52AB2B-DD7C-41B4-B00C-C9AE75F1E52D}">
      <formula1>INDIRECT(IF(OR(ISNUMBER(SEARCH("ICEBERG ICE",UPPER(TRIM($B132)))),ISNUMBER(SEARCH("ICE ICEBERG",UPPER(TRIM($B132)))),ISNUMBER(SEARCH("GELINHO ICEBERG",UPPER(TRIM($B132))))),"$AJ$2:$AJ$2",IF(ISNUMBER(SEARCH("ESPUMA",$B132)),"$AI$2:$AI$2",IF(ISNUMBER(SEARCH("CORANTE",$B132)),"$AN$2:$AN$2",IFERROR(INDEX($AB$2:$AB$139,MATCH(UPPER(TRIM($B132)),$AA$2:$AA$139,0)),"$AO$2:$AO$9")))))</formula1>
    </dataValidation>
    <dataValidation type="list" allowBlank="1" errorTitle="Embalagem inválida" error="Escolha uma embalagem compatível com o produto." promptTitle="Selecione a embalagem" prompt="As opções mudam conforme o produto digitado." sqref="C133" xr:uid="{2C0EC27F-0222-420D-9E37-0C9489901DEE}">
      <formula1>INDIRECT(IF(OR(ISNUMBER(SEARCH("ICEBERG ICE",UPPER(TRIM($B133)))),ISNUMBER(SEARCH("ICE ICEBERG",UPPER(TRIM($B133)))),ISNUMBER(SEARCH("GELINHO ICEBERG",UPPER(TRIM($B133))))),"$AJ$2:$AJ$2",IF(ISNUMBER(SEARCH("ESPUMA",$B133)),"$AI$2:$AI$2",IF(ISNUMBER(SEARCH("CORANTE",$B133)),"$AN$2:$AN$2",IFERROR(INDEX($AB$2:$AB$139,MATCH(UPPER(TRIM($B133)),$AA$2:$AA$139,0)),"$AO$2:$AO$9")))))</formula1>
    </dataValidation>
    <dataValidation type="list" allowBlank="1" errorTitle="Embalagem inválida" error="Escolha uma embalagem compatível com o produto." promptTitle="Selecione a embalagem" prompt="As opções mudam conforme o produto digitado." sqref="C134" xr:uid="{E409463B-2E83-4885-A3A8-45534291E559}">
      <formula1>INDIRECT(IF(OR(ISNUMBER(SEARCH("ICEBERG ICE",UPPER(TRIM($B134)))),ISNUMBER(SEARCH("ICE ICEBERG",UPPER(TRIM($B134)))),ISNUMBER(SEARCH("GELINHO ICEBERG",UPPER(TRIM($B134))))),"$AJ$2:$AJ$2",IF(ISNUMBER(SEARCH("ESPUMA",$B134)),"$AI$2:$AI$2",IF(ISNUMBER(SEARCH("CORANTE",$B134)),"$AN$2:$AN$2",IFERROR(INDEX($AB$2:$AB$139,MATCH(UPPER(TRIM($B134)),$AA$2:$AA$139,0)),"$AO$2:$AO$9")))))</formula1>
    </dataValidation>
    <dataValidation type="list" allowBlank="1" errorTitle="Embalagem inválida" error="Escolha uma embalagem compatível com o produto." promptTitle="Selecione a embalagem" prompt="As opções mudam conforme o produto digitado." sqref="C135" xr:uid="{79B7C0E1-F550-41D3-AC3A-E0DD4DCD445B}">
      <formula1>INDIRECT(IF(OR(ISNUMBER(SEARCH("ICEBERG ICE",UPPER(TRIM($B135)))),ISNUMBER(SEARCH("ICE ICEBERG",UPPER(TRIM($B135)))),ISNUMBER(SEARCH("GELINHO ICEBERG",UPPER(TRIM($B135))))),"$AJ$2:$AJ$2",IF(ISNUMBER(SEARCH("ESPUMA",$B135)),"$AI$2:$AI$2",IF(ISNUMBER(SEARCH("CORANTE",$B135)),"$AN$2:$AN$2",IFERROR(INDEX($AB$2:$AB$139,MATCH(UPPER(TRIM($B135)),$AA$2:$AA$139,0)),"$AO$2:$AO$9")))))</formula1>
    </dataValidation>
    <dataValidation type="list" allowBlank="1" errorTitle="Embalagem inválida" error="Escolha uma embalagem compatível com o produto." promptTitle="Selecione a embalagem" prompt="As opções mudam conforme o produto digitado." sqref="C136" xr:uid="{F6B810C5-ACCB-46FB-95F4-67BED3A5BED3}">
      <formula1>INDIRECT(IF(OR(ISNUMBER(SEARCH("ICEBERG ICE",UPPER(TRIM($B136)))),ISNUMBER(SEARCH("ICE ICEBERG",UPPER(TRIM($B136)))),ISNUMBER(SEARCH("GELINHO ICEBERG",UPPER(TRIM($B136))))),"$AJ$2:$AJ$2",IF(ISNUMBER(SEARCH("ESPUMA",$B136)),"$AI$2:$AI$2",IF(ISNUMBER(SEARCH("CORANTE",$B136)),"$AN$2:$AN$2",IFERROR(INDEX($AB$2:$AB$139,MATCH(UPPER(TRIM($B136)),$AA$2:$AA$139,0)),"$AO$2:$AO$9")))))</formula1>
    </dataValidation>
    <dataValidation type="list" allowBlank="1" errorTitle="Embalagem inválida" error="Escolha uma embalagem compatível com o produto." promptTitle="Selecione a embalagem" prompt="As opções mudam conforme o produto digitado." sqref="C140" xr:uid="{D7A0F616-5C13-404E-B5F7-A39AFD67A426}">
      <formula1>INDIRECT(IF(OR(ISNUMBER(SEARCH("ICEBERG ICE",UPPER(TRIM($B140)))),ISNUMBER(SEARCH("ICE ICEBERG",UPPER(TRIM($B140)))),ISNUMBER(SEARCH("GELINHO ICEBERG",UPPER(TRIM($B140))))),"$AJ$2:$AJ$2",IF(ISNUMBER(SEARCH("ESPUMA",$B140)),"$AI$2:$AI$2",IF(ISNUMBER(SEARCH("CORANTE",$B140)),"$AN$2:$AN$2",IFERROR(INDEX($AB$2:$AB$139,MATCH(UPPER(TRIM($B140)),$AA$2:$AA$139,0)),"$AO$2:$AO$9")))))</formula1>
    </dataValidation>
    <dataValidation type="list" allowBlank="1" errorTitle="Embalagem inválida" error="Escolha uma embalagem compatível com o produto." promptTitle="Selecione a embalagem" prompt="As opções mudam conforme o produto digitado." sqref="C141" xr:uid="{C703BDEA-2CA0-4E44-9107-B11C447235A2}">
      <formula1>INDIRECT(IF(OR(ISNUMBER(SEARCH("ICEBERG ICE",UPPER(TRIM($B141)))),ISNUMBER(SEARCH("ICE ICEBERG",UPPER(TRIM($B141)))),ISNUMBER(SEARCH("GELINHO ICEBERG",UPPER(TRIM($B141))))),"$AJ$2:$AJ$2",IF(ISNUMBER(SEARCH("ESPUMA",$B141)),"$AI$2:$AI$2",IF(ISNUMBER(SEARCH("CORANTE",$B141)),"$AN$2:$AN$2",IFERROR(INDEX($AB$2:$AB$139,MATCH(UPPER(TRIM($B141)),$AA$2:$AA$139,0)),"$AO$2:$AO$9")))))</formula1>
    </dataValidation>
    <dataValidation type="list" allowBlank="1" errorTitle="Embalagem inválida" error="Escolha uma embalagem compatível com o produto." promptTitle="Selecione a embalagem" prompt="As opções mudam conforme o produto digitado." sqref="C142" xr:uid="{B91C6E17-7BEB-4646-93A2-A864A1045BBA}">
      <formula1>INDIRECT(IF(OR(ISNUMBER(SEARCH("ICEBERG ICE",UPPER(TRIM($B142)))),ISNUMBER(SEARCH("ICE ICEBERG",UPPER(TRIM($B142)))),ISNUMBER(SEARCH("GELINHO ICEBERG",UPPER(TRIM($B142))))),"$AJ$2:$AJ$2",IF(ISNUMBER(SEARCH("ESPUMA",$B142)),"$AI$2:$AI$2",IF(ISNUMBER(SEARCH("CORANTE",$B142)),"$AN$2:$AN$2",IFERROR(INDEX($AB$2:$AB$139,MATCH(UPPER(TRIM($B142)),$AA$2:$AA$139,0)),"$AO$2:$AO$9")))))</formula1>
    </dataValidation>
    <dataValidation type="list" allowBlank="1" errorTitle="Embalagem inválida" error="Escolha uma embalagem compatível com o produto." promptTitle="Selecione a embalagem" prompt="As opções mudam conforme o produto digitado." sqref="C143" xr:uid="{1EC90202-66D0-4ADE-B8E9-524994118F77}">
      <formula1>INDIRECT(IF(OR(ISNUMBER(SEARCH("ICEBERG ICE",UPPER(TRIM($B143)))),ISNUMBER(SEARCH("ICE ICEBERG",UPPER(TRIM($B143)))),ISNUMBER(SEARCH("GELINHO ICEBERG",UPPER(TRIM($B143))))),"$AJ$2:$AJ$2",IF(ISNUMBER(SEARCH("ESPUMA",$B143)),"$AI$2:$AI$2",IF(ISNUMBER(SEARCH("CORANTE",$B143)),"$AN$2:$AN$2",IFERROR(INDEX($AB$2:$AB$139,MATCH(UPPER(TRIM($B143)),$AA$2:$AA$139,0)),"$AO$2:$AO$9")))))</formula1>
    </dataValidation>
    <dataValidation type="list" allowBlank="1" errorTitle="Embalagem inválida" error="Escolha uma embalagem compatível com o produto." promptTitle="Selecione a embalagem" prompt="As opções mudam conforme o produto digitado." sqref="C144" xr:uid="{FA965479-CACC-42FE-901F-1FD07B6990CD}">
      <formula1>INDIRECT(IF(OR(ISNUMBER(SEARCH("ICEBERG ICE",UPPER(TRIM($B144)))),ISNUMBER(SEARCH("ICE ICEBERG",UPPER(TRIM($B144)))),ISNUMBER(SEARCH("GELINHO ICEBERG",UPPER(TRIM($B144))))),"$AJ$2:$AJ$2",IF(ISNUMBER(SEARCH("ESPUMA",$B144)),"$AI$2:$AI$2",IF(ISNUMBER(SEARCH("CORANTE",$B144)),"$AN$2:$AN$2",IFERROR(INDEX($AB$2:$AB$139,MATCH(UPPER(TRIM($B144)),$AA$2:$AA$139,0)),"$AO$2:$AO$9")))))</formula1>
    </dataValidation>
    <dataValidation type="list" allowBlank="1" errorTitle="Embalagem inválida" error="Escolha uma embalagem compatível com o produto." promptTitle="Selecione a embalagem" prompt="As opções mudam conforme o produto digitado." sqref="C148" xr:uid="{880396B6-F999-402D-9A7C-9F6A2BD9536A}">
      <formula1>INDIRECT(IF(OR(ISNUMBER(SEARCH("ICEBERG ICE",UPPER(TRIM($B148)))),ISNUMBER(SEARCH("ICE ICEBERG",UPPER(TRIM($B148)))),ISNUMBER(SEARCH("GELINHO ICEBERG",UPPER(TRIM($B148))))),"$AJ$2:$AJ$2",IF(ISNUMBER(SEARCH("ESPUMA",$B148)),"$AI$2:$AI$2",IF(ISNUMBER(SEARCH("CORANTE",$B148)),"$AN$2:$AN$2",IFERROR(INDEX($AB$2:$AB$139,MATCH(UPPER(TRIM($B148)),$AA$2:$AA$139,0)),"$AO$2:$AO$9")))))</formula1>
    </dataValidation>
    <dataValidation type="list" allowBlank="1" errorTitle="Embalagem inválida" error="Escolha uma embalagem compatível com o produto." promptTitle="Selecione a embalagem" prompt="As opções mudam conforme o produto digitado." sqref="C149" xr:uid="{48C4838D-7B58-44D7-AD7F-DDFCAD2EDB62}">
      <formula1>INDIRECT(IF(OR(ISNUMBER(SEARCH("ICEBERG ICE",UPPER(TRIM($B149)))),ISNUMBER(SEARCH("ICE ICEBERG",UPPER(TRIM($B149)))),ISNUMBER(SEARCH("GELINHO ICEBERG",UPPER(TRIM($B149))))),"$AJ$2:$AJ$2",IF(ISNUMBER(SEARCH("ESPUMA",$B149)),"$AI$2:$AI$2",IF(ISNUMBER(SEARCH("CORANTE",$B149)),"$AN$2:$AN$2",IFERROR(INDEX($AB$2:$AB$139,MATCH(UPPER(TRIM($B149)),$AA$2:$AA$139,0)),"$AO$2:$AO$9")))))</formula1>
    </dataValidation>
    <dataValidation type="list" allowBlank="1" errorTitle="Embalagem inválida" error="Escolha uma embalagem compatível com o produto." promptTitle="Selecione a embalagem" prompt="As opções mudam conforme o produto digitado." sqref="C150" xr:uid="{7674414E-D0CC-4874-95DE-062790685BEA}">
      <formula1>INDIRECT(IF(OR(ISNUMBER(SEARCH("ICEBERG ICE",UPPER(TRIM($B150)))),ISNUMBER(SEARCH("ICE ICEBERG",UPPER(TRIM($B150)))),ISNUMBER(SEARCH("GELINHO ICEBERG",UPPER(TRIM($B150))))),"$AJ$2:$AJ$2",IF(ISNUMBER(SEARCH("ESPUMA",$B150)),"$AI$2:$AI$2",IF(ISNUMBER(SEARCH("CORANTE",$B150)),"$AN$2:$AN$2",IFERROR(INDEX($AB$2:$AB$139,MATCH(UPPER(TRIM($B150)),$AA$2:$AA$139,0)),"$AO$2:$AO$9")))))</formula1>
    </dataValidation>
    <dataValidation type="list" allowBlank="1" errorTitle="Embalagem inválida" error="Escolha uma embalagem compatível com o produto." promptTitle="Selecione a embalagem" prompt="As opções mudam conforme o produto digitado." sqref="C151" xr:uid="{EC3B36AD-97FF-4FFA-A2B5-534191A64883}">
      <formula1>INDIRECT(IF(OR(ISNUMBER(SEARCH("ICEBERG ICE",UPPER(TRIM($B151)))),ISNUMBER(SEARCH("ICE ICEBERG",UPPER(TRIM($B151)))),ISNUMBER(SEARCH("GELINHO ICEBERG",UPPER(TRIM($B151))))),"$AJ$2:$AJ$2",IF(ISNUMBER(SEARCH("ESPUMA",$B151)),"$AI$2:$AI$2",IF(ISNUMBER(SEARCH("CORANTE",$B151)),"$AN$2:$AN$2",IFERROR(INDEX($AB$2:$AB$139,MATCH(UPPER(TRIM($B151)),$AA$2:$AA$139,0)),"$AO$2:$AO$9")))))</formula1>
    </dataValidation>
    <dataValidation type="list" allowBlank="1" errorTitle="Embalagem inválida" error="Escolha uma embalagem compatível com o produto." promptTitle="Selecione a embalagem" prompt="As opções mudam conforme o produto digitado." sqref="C152" xr:uid="{F759A800-766C-4BFE-85F9-1857CB61CA39}">
      <formula1>INDIRECT(IF(OR(ISNUMBER(SEARCH("ICEBERG ICE",UPPER(TRIM($B152)))),ISNUMBER(SEARCH("ICE ICEBERG",UPPER(TRIM($B152)))),ISNUMBER(SEARCH("GELINHO ICEBERG",UPPER(TRIM($B152))))),"$AJ$2:$AJ$2",IF(ISNUMBER(SEARCH("ESPUMA",$B152)),"$AI$2:$AI$2",IF(ISNUMBER(SEARCH("CORANTE",$B152)),"$AN$2:$AN$2",IFERROR(INDEX($AB$2:$AB$139,MATCH(UPPER(TRIM($B152)),$AA$2:$AA$139,0)),"$AO$2:$AO$9")))))</formula1>
    </dataValidation>
    <dataValidation type="list" allowBlank="1" errorTitle="Embalagem inválida" error="Escolha uma embalagem compatível com o produto." promptTitle="Selecione a embalagem" prompt="As opções mudam conforme o produto digitado." sqref="C156" xr:uid="{28067A5F-86C8-4927-98F4-706F48E5585A}">
      <formula1>INDIRECT(IF(OR(ISNUMBER(SEARCH("ICEBERG ICE",UPPER(TRIM($B156)))),ISNUMBER(SEARCH("ICE ICEBERG",UPPER(TRIM($B156)))),ISNUMBER(SEARCH("GELINHO ICEBERG",UPPER(TRIM($B156))))),"$AJ$2:$AJ$2",IF(ISNUMBER(SEARCH("ESPUMA",$B156)),"$AI$2:$AI$2",IF(ISNUMBER(SEARCH("CORANTE",$B156)),"$AN$2:$AN$2",IFERROR(INDEX($AB$2:$AB$139,MATCH(UPPER(TRIM($B156)),$AA$2:$AA$139,0)),"$AO$2:$AO$9")))))</formula1>
    </dataValidation>
    <dataValidation type="list" allowBlank="1" errorTitle="Embalagem inválida" error="Escolha uma embalagem compatível com o produto." promptTitle="Selecione a embalagem" prompt="As opções mudam conforme o produto digitado." sqref="C157" xr:uid="{9861755A-5E64-4466-93F3-D311439FD57A}">
      <formula1>INDIRECT(IF(OR(ISNUMBER(SEARCH("ICEBERG ICE",UPPER(TRIM($B157)))),ISNUMBER(SEARCH("ICE ICEBERG",UPPER(TRIM($B157)))),ISNUMBER(SEARCH("GELINHO ICEBERG",UPPER(TRIM($B157))))),"$AJ$2:$AJ$2",IF(ISNUMBER(SEARCH("ESPUMA",$B157)),"$AI$2:$AI$2",IF(ISNUMBER(SEARCH("CORANTE",$B157)),"$AN$2:$AN$2",IFERROR(INDEX($AB$2:$AB$139,MATCH(UPPER(TRIM($B157)),$AA$2:$AA$139,0)),"$AO$2:$AO$9")))))</formula1>
    </dataValidation>
    <dataValidation type="list" allowBlank="1" errorTitle="Embalagem inválida" error="Escolha uma embalagem compatível com o produto." promptTitle="Selecione a embalagem" prompt="As opções mudam conforme o produto digitado." sqref="C158" xr:uid="{9BE9318A-2BB5-4B36-B8B9-02E7476615C8}">
      <formula1>INDIRECT(IF(OR(ISNUMBER(SEARCH("ICEBERG ICE",UPPER(TRIM($B158)))),ISNUMBER(SEARCH("ICE ICEBERG",UPPER(TRIM($B158)))),ISNUMBER(SEARCH("GELINHO ICEBERG",UPPER(TRIM($B158))))),"$AJ$2:$AJ$2",IF(ISNUMBER(SEARCH("ESPUMA",$B158)),"$AI$2:$AI$2",IF(ISNUMBER(SEARCH("CORANTE",$B158)),"$AN$2:$AN$2",IFERROR(INDEX($AB$2:$AB$139,MATCH(UPPER(TRIM($B158)),$AA$2:$AA$139,0)),"$AO$2:$AO$9")))))</formula1>
    </dataValidation>
    <dataValidation type="list" allowBlank="1" errorTitle="Embalagem inválida" error="Escolha uma embalagem compatível com o produto." promptTitle="Selecione a embalagem" prompt="As opções mudam conforme o produto digitado." sqref="C159" xr:uid="{97DC74AE-9F32-4310-B62E-45979706476A}">
      <formula1>INDIRECT(IF(OR(ISNUMBER(SEARCH("ICEBERG ICE",UPPER(TRIM($B159)))),ISNUMBER(SEARCH("ICE ICEBERG",UPPER(TRIM($B159)))),ISNUMBER(SEARCH("GELINHO ICEBERG",UPPER(TRIM($B159))))),"$AJ$2:$AJ$2",IF(ISNUMBER(SEARCH("ESPUMA",$B159)),"$AI$2:$AI$2",IF(ISNUMBER(SEARCH("CORANTE",$B159)),"$AN$2:$AN$2",IFERROR(INDEX($AB$2:$AB$139,MATCH(UPPER(TRIM($B159)),$AA$2:$AA$139,0)),"$AO$2:$AO$9")))))</formula1>
    </dataValidation>
    <dataValidation type="list" allowBlank="1" errorTitle="Embalagem inválida" error="Escolha uma embalagem compatível com o produto." promptTitle="Selecione a embalagem" prompt="As opções mudam conforme o produto digitado." sqref="C160" xr:uid="{1191AB40-20AB-4FE4-A817-27338C6AFFD3}">
      <formula1>INDIRECT(IF(OR(ISNUMBER(SEARCH("ICEBERG ICE",UPPER(TRIM($B160)))),ISNUMBER(SEARCH("ICE ICEBERG",UPPER(TRIM($B160)))),ISNUMBER(SEARCH("GELINHO ICEBERG",UPPER(TRIM($B160))))),"$AJ$2:$AJ$2",IF(ISNUMBER(SEARCH("ESPUMA",$B160)),"$AI$2:$AI$2",IF(ISNUMBER(SEARCH("CORANTE",$B160)),"$AN$2:$AN$2",IFERROR(INDEX($AB$2:$AB$139,MATCH(UPPER(TRIM($B160)),$AA$2:$AA$139,0)),"$AO$2:$AO$9")))))</formula1>
    </dataValidation>
    <dataValidation type="list" allowBlank="1" errorTitle="Embalagem inválida" error="Escolha uma embalagem compatível com o produto." promptTitle="Selecione a embalagem" prompt="As opções mudam conforme o produto digitado." sqref="C164" xr:uid="{63A01F74-0BBE-4D33-8CB1-A8A592CF0035}">
      <formula1>INDIRECT(IF(OR(ISNUMBER(SEARCH("ICEBERG ICE",UPPER(TRIM($B164)))),ISNUMBER(SEARCH("ICE ICEBERG",UPPER(TRIM($B164)))),ISNUMBER(SEARCH("GELINHO ICEBERG",UPPER(TRIM($B164))))),"$AJ$2:$AJ$2",IF(ISNUMBER(SEARCH("ESPUMA",$B164)),"$AI$2:$AI$2",IF(ISNUMBER(SEARCH("CORANTE",$B164)),"$AN$2:$AN$2",IFERROR(INDEX($AB$2:$AB$139,MATCH(UPPER(TRIM($B164)),$AA$2:$AA$139,0)),"$AO$2:$AO$9")))))</formula1>
    </dataValidation>
    <dataValidation type="list" allowBlank="1" errorTitle="Embalagem inválida" error="Escolha uma embalagem compatível com o produto." promptTitle="Selecione a embalagem" prompt="As opções mudam conforme o produto digitado." sqref="C165" xr:uid="{6D33151B-5987-4D7E-89DE-76F75BB3A18C}">
      <formula1>INDIRECT(IF(OR(ISNUMBER(SEARCH("ICEBERG ICE",UPPER(TRIM($B165)))),ISNUMBER(SEARCH("ICE ICEBERG",UPPER(TRIM($B165)))),ISNUMBER(SEARCH("GELINHO ICEBERG",UPPER(TRIM($B165))))),"$AJ$2:$AJ$2",IF(ISNUMBER(SEARCH("ESPUMA",$B165)),"$AI$2:$AI$2",IF(ISNUMBER(SEARCH("CORANTE",$B165)),"$AN$2:$AN$2",IFERROR(INDEX($AB$2:$AB$139,MATCH(UPPER(TRIM($B165)),$AA$2:$AA$139,0)),"$AO$2:$AO$9")))))</formula1>
    </dataValidation>
    <dataValidation type="list" allowBlank="1" errorTitle="Embalagem inválida" error="Escolha uma embalagem compatível com o produto." promptTitle="Selecione a embalagem" prompt="As opções mudam conforme o produto digitado." sqref="C166" xr:uid="{B455CCCF-C32F-4CF5-AD10-BDC9D905B7EF}">
      <formula1>INDIRECT(IF(OR(ISNUMBER(SEARCH("ICEBERG ICE",UPPER(TRIM($B166)))),ISNUMBER(SEARCH("ICE ICEBERG",UPPER(TRIM($B166)))),ISNUMBER(SEARCH("GELINHO ICEBERG",UPPER(TRIM($B166))))),"$AJ$2:$AJ$2",IF(ISNUMBER(SEARCH("ESPUMA",$B166)),"$AI$2:$AI$2",IF(ISNUMBER(SEARCH("CORANTE",$B166)),"$AN$2:$AN$2",IFERROR(INDEX($AB$2:$AB$139,MATCH(UPPER(TRIM($B166)),$AA$2:$AA$139,0)),"$AO$2:$AO$9")))))</formula1>
    </dataValidation>
    <dataValidation type="list" allowBlank="1" errorTitle="Embalagem inválida" error="Escolha uma embalagem compatível com o produto." promptTitle="Selecione a embalagem" prompt="As opções mudam conforme o produto digitado." sqref="C167" xr:uid="{60155E75-0AC4-4BCC-A1C7-D589EBDDAF59}">
      <formula1>INDIRECT(IF(OR(ISNUMBER(SEARCH("ICEBERG ICE",UPPER(TRIM($B167)))),ISNUMBER(SEARCH("ICE ICEBERG",UPPER(TRIM($B167)))),ISNUMBER(SEARCH("GELINHO ICEBERG",UPPER(TRIM($B167))))),"$AJ$2:$AJ$2",IF(ISNUMBER(SEARCH("ESPUMA",$B167)),"$AI$2:$AI$2",IF(ISNUMBER(SEARCH("CORANTE",$B167)),"$AN$2:$AN$2",IFERROR(INDEX($AB$2:$AB$139,MATCH(UPPER(TRIM($B167)),$AA$2:$AA$139,0)),"$AO$2:$AO$9")))))</formula1>
    </dataValidation>
    <dataValidation type="list" allowBlank="1" errorTitle="Embalagem inválida" error="Escolha uma embalagem compatível com o produto." promptTitle="Selecione a embalagem" prompt="As opções mudam conforme o produto digitado." sqref="C168" xr:uid="{E7015AAB-E532-43D6-9B0D-5DD3D6F97C14}">
      <formula1>INDIRECT(IF(OR(ISNUMBER(SEARCH("ICEBERG ICE",UPPER(TRIM($B168)))),ISNUMBER(SEARCH("ICE ICEBERG",UPPER(TRIM($B168)))),ISNUMBER(SEARCH("GELINHO ICEBERG",UPPER(TRIM($B168))))),"$AJ$2:$AJ$2",IF(ISNUMBER(SEARCH("ESPUMA",$B168)),"$AI$2:$AI$2",IF(ISNUMBER(SEARCH("CORANTE",$B168)),"$AN$2:$AN$2",IFERROR(INDEX($AB$2:$AB$139,MATCH(UPPER(TRIM($B168)),$AA$2:$AA$139,0)),"$AO$2:$AO$9")))))</formula1>
    </dataValidation>
    <dataValidation type="list" allowBlank="1" errorTitle="Embalagem inválida" error="Escolha uma embalagem compatível com o produto." promptTitle="Selecione a embalagem" prompt="As opções mudam conforme o produto digitado." sqref="C172" xr:uid="{E804DF98-B469-4E9D-89D6-855E9D18BE8F}">
      <formula1>INDIRECT(IF(OR(ISNUMBER(SEARCH("ICEBERG ICE",UPPER(TRIM($B172)))),ISNUMBER(SEARCH("ICE ICEBERG",UPPER(TRIM($B172)))),ISNUMBER(SEARCH("GELINHO ICEBERG",UPPER(TRIM($B172))))),"$AJ$2:$AJ$2",IF(ISNUMBER(SEARCH("ESPUMA",$B172)),"$AI$2:$AI$2",IF(ISNUMBER(SEARCH("CORANTE",$B172)),"$AN$2:$AN$2",IFERROR(INDEX($AB$2:$AB$139,MATCH(UPPER(TRIM($B172)),$AA$2:$AA$139,0)),"$AO$2:$AO$9")))))</formula1>
    </dataValidation>
    <dataValidation type="list" allowBlank="1" errorTitle="Embalagem inválida" error="Escolha uma embalagem compatível com o produto." promptTitle="Selecione a embalagem" prompt="As opções mudam conforme o produto digitado." sqref="C173" xr:uid="{19F174A5-478D-4FC8-A080-45606CCEB003}">
      <formula1>INDIRECT(IF(OR(ISNUMBER(SEARCH("ICEBERG ICE",UPPER(TRIM($B173)))),ISNUMBER(SEARCH("ICE ICEBERG",UPPER(TRIM($B173)))),ISNUMBER(SEARCH("GELINHO ICEBERG",UPPER(TRIM($B173))))),"$AJ$2:$AJ$2",IF(ISNUMBER(SEARCH("ESPUMA",$B173)),"$AI$2:$AI$2",IF(ISNUMBER(SEARCH("CORANTE",$B173)),"$AN$2:$AN$2",IFERROR(INDEX($AB$2:$AB$139,MATCH(UPPER(TRIM($B173)),$AA$2:$AA$139,0)),"$AO$2:$AO$9")))))</formula1>
    </dataValidation>
    <dataValidation type="list" allowBlank="1" errorTitle="Embalagem inválida" error="Escolha uma embalagem compatível com o produto." promptTitle="Selecione a embalagem" prompt="As opções mudam conforme o produto digitado." sqref="C174" xr:uid="{58A4CE6A-390A-41BD-BFC6-1770CF018784}">
      <formula1>INDIRECT(IF(OR(ISNUMBER(SEARCH("ICEBERG ICE",UPPER(TRIM($B174)))),ISNUMBER(SEARCH("ICE ICEBERG",UPPER(TRIM($B174)))),ISNUMBER(SEARCH("GELINHO ICEBERG",UPPER(TRIM($B174))))),"$AJ$2:$AJ$2",IF(ISNUMBER(SEARCH("ESPUMA",$B174)),"$AI$2:$AI$2",IF(ISNUMBER(SEARCH("CORANTE",$B174)),"$AN$2:$AN$2",IFERROR(INDEX($AB$2:$AB$139,MATCH(UPPER(TRIM($B174)),$AA$2:$AA$139,0)),"$AO$2:$AO$9")))))</formula1>
    </dataValidation>
    <dataValidation type="list" allowBlank="1" errorTitle="Embalagem inválida" error="Escolha uma embalagem compatível com o produto." promptTitle="Selecione a embalagem" prompt="As opções mudam conforme o produto digitado." sqref="C175" xr:uid="{A69B9B99-CC23-4C13-AE3F-47A9E9028325}">
      <formula1>INDIRECT(IF(OR(ISNUMBER(SEARCH("ICEBERG ICE",UPPER(TRIM($B175)))),ISNUMBER(SEARCH("ICE ICEBERG",UPPER(TRIM($B175)))),ISNUMBER(SEARCH("GELINHO ICEBERG",UPPER(TRIM($B175))))),"$AJ$2:$AJ$2",IF(ISNUMBER(SEARCH("ESPUMA",$B175)),"$AI$2:$AI$2",IF(ISNUMBER(SEARCH("CORANTE",$B175)),"$AN$2:$AN$2",IFERROR(INDEX($AB$2:$AB$139,MATCH(UPPER(TRIM($B175)),$AA$2:$AA$139,0)),"$AO$2:$AO$9")))))</formula1>
    </dataValidation>
    <dataValidation type="list" allowBlank="1" errorTitle="Embalagem inválida" error="Escolha uma embalagem compatível com o produto." promptTitle="Selecione a embalagem" prompt="As opções mudam conforme o produto digitado." sqref="C176" xr:uid="{DFF427C4-9F86-4CDC-A18C-327F1BBA83E2}">
      <formula1>INDIRECT(IF(OR(ISNUMBER(SEARCH("ICEBERG ICE",UPPER(TRIM($B176)))),ISNUMBER(SEARCH("ICE ICEBERG",UPPER(TRIM($B176)))),ISNUMBER(SEARCH("GELINHO ICEBERG",UPPER(TRIM($B176))))),"$AJ$2:$AJ$2",IF(ISNUMBER(SEARCH("ESPUMA",$B176)),"$AI$2:$AI$2",IF(ISNUMBER(SEARCH("CORANTE",$B176)),"$AN$2:$AN$2",IFERROR(INDEX($AB$2:$AB$139,MATCH(UPPER(TRIM($B176)),$AA$2:$AA$139,0)),"$AO$2:$AO$9")))))</formula1>
    </dataValidation>
    <dataValidation type="list" allowBlank="1" errorTitle="Embalagem inválida" error="Escolha uma embalagem compatível com o produto." promptTitle="Selecione a embalagem" prompt="As opções mudam conforme o produto digitado." sqref="C180" xr:uid="{BD95ECB4-D510-4236-ADC4-169EE5940F98}">
      <formula1>INDIRECT(IF(OR(ISNUMBER(SEARCH("ICEBERG ICE",UPPER(TRIM($B180)))),ISNUMBER(SEARCH("ICE ICEBERG",UPPER(TRIM($B180)))),ISNUMBER(SEARCH("GELINHO ICEBERG",UPPER(TRIM($B180))))),"$AJ$2:$AJ$2",IF(ISNUMBER(SEARCH("ESPUMA",$B180)),"$AI$2:$AI$2",IF(ISNUMBER(SEARCH("CORANTE",$B180)),"$AN$2:$AN$2",IFERROR(INDEX($AB$2:$AB$139,MATCH(UPPER(TRIM($B180)),$AA$2:$AA$139,0)),"$AO$2:$AO$9")))))</formula1>
    </dataValidation>
    <dataValidation type="list" allowBlank="1" errorTitle="Embalagem inválida" error="Escolha uma embalagem compatível com o produto." promptTitle="Selecione a embalagem" prompt="As opções mudam conforme o produto digitado." sqref="C181" xr:uid="{95A8458A-C9DD-4BEB-A7F9-A79ADF253868}">
      <formula1>INDIRECT(IF(OR(ISNUMBER(SEARCH("ICEBERG ICE",UPPER(TRIM($B181)))),ISNUMBER(SEARCH("ICE ICEBERG",UPPER(TRIM($B181)))),ISNUMBER(SEARCH("GELINHO ICEBERG",UPPER(TRIM($B181))))),"$AJ$2:$AJ$2",IF(ISNUMBER(SEARCH("ESPUMA",$B181)),"$AI$2:$AI$2",IF(ISNUMBER(SEARCH("CORANTE",$B181)),"$AN$2:$AN$2",IFERROR(INDEX($AB$2:$AB$139,MATCH(UPPER(TRIM($B181)),$AA$2:$AA$139,0)),"$AO$2:$AO$9")))))</formula1>
    </dataValidation>
    <dataValidation type="list" allowBlank="1" errorTitle="Embalagem inválida" error="Escolha uma embalagem compatível com o produto." promptTitle="Selecione a embalagem" prompt="As opções mudam conforme o produto digitado." sqref="C182" xr:uid="{19E02A4C-8211-41A6-924C-C15C5DDF5499}">
      <formula1>INDIRECT(IF(OR(ISNUMBER(SEARCH("ICEBERG ICE",UPPER(TRIM($B182)))),ISNUMBER(SEARCH("ICE ICEBERG",UPPER(TRIM($B182)))),ISNUMBER(SEARCH("GELINHO ICEBERG",UPPER(TRIM($B182))))),"$AJ$2:$AJ$2",IF(ISNUMBER(SEARCH("ESPUMA",$B182)),"$AI$2:$AI$2",IF(ISNUMBER(SEARCH("CORANTE",$B182)),"$AN$2:$AN$2",IFERROR(INDEX($AB$2:$AB$139,MATCH(UPPER(TRIM($B182)),$AA$2:$AA$139,0)),"$AO$2:$AO$9")))))</formula1>
    </dataValidation>
    <dataValidation type="list" allowBlank="1" errorTitle="Embalagem inválida" error="Escolha uma embalagem compatível com o produto." promptTitle="Selecione a embalagem" prompt="As opções mudam conforme o produto digitado." sqref="C183" xr:uid="{35CABBC4-DCB5-4BF9-9C17-2CFD48C88EE1}">
      <formula1>INDIRECT(IF(OR(ISNUMBER(SEARCH("ICEBERG ICE",UPPER(TRIM($B183)))),ISNUMBER(SEARCH("ICE ICEBERG",UPPER(TRIM($B183)))),ISNUMBER(SEARCH("GELINHO ICEBERG",UPPER(TRIM($B183))))),"$AJ$2:$AJ$2",IF(ISNUMBER(SEARCH("ESPUMA",$B183)),"$AI$2:$AI$2",IF(ISNUMBER(SEARCH("CORANTE",$B183)),"$AN$2:$AN$2",IFERROR(INDEX($AB$2:$AB$139,MATCH(UPPER(TRIM($B183)),$AA$2:$AA$139,0)),"$AO$2:$AO$9")))))</formula1>
    </dataValidation>
    <dataValidation type="list" allowBlank="1" errorTitle="Embalagem inválida" error="Escolha uma embalagem compatível com o produto." promptTitle="Selecione a embalagem" prompt="As opções mudam conforme o produto digitado." sqref="C184" xr:uid="{25D743C8-51B8-4094-93D6-1AA05376CD59}">
      <formula1>INDIRECT(IF(OR(ISNUMBER(SEARCH("ICEBERG ICE",UPPER(TRIM($B184)))),ISNUMBER(SEARCH("ICE ICEBERG",UPPER(TRIM($B184)))),ISNUMBER(SEARCH("GELINHO ICEBERG",UPPER(TRIM($B184))))),"$AJ$2:$AJ$2",IF(ISNUMBER(SEARCH("ESPUMA",$B184)),"$AI$2:$AI$2",IF(ISNUMBER(SEARCH("CORANTE",$B184)),"$AN$2:$AN$2",IFERROR(INDEX($AB$2:$AB$139,MATCH(UPPER(TRIM($B184)),$AA$2:$AA$139,0)),"$AO$2:$AO$9")))))</formula1>
    </dataValidation>
    <dataValidation type="list" allowBlank="1" errorTitle="Embalagem inválida" error="Escolha uma embalagem compatível com o produto." promptTitle="Selecione a embalagem" prompt="As opções mudam conforme o produto digitado." sqref="C188" xr:uid="{07439657-0FEF-45A6-BE89-3A67A456DBD1}">
      <formula1>INDIRECT(IF(OR(ISNUMBER(SEARCH("ICEBERG ICE",UPPER(TRIM($B188)))),ISNUMBER(SEARCH("ICE ICEBERG",UPPER(TRIM($B188)))),ISNUMBER(SEARCH("GELINHO ICEBERG",UPPER(TRIM($B188))))),"$AJ$2:$AJ$2",IF(ISNUMBER(SEARCH("ESPUMA",$B188)),"$AI$2:$AI$2",IF(ISNUMBER(SEARCH("CORANTE",$B188)),"$AN$2:$AN$2",IFERROR(INDEX($AB$2:$AB$139,MATCH(UPPER(TRIM($B188)),$AA$2:$AA$139,0)),"$AO$2:$AO$9")))))</formula1>
    </dataValidation>
    <dataValidation type="list" allowBlank="1" errorTitle="Embalagem inválida" error="Escolha uma embalagem compatível com o produto." promptTitle="Selecione a embalagem" prompt="As opções mudam conforme o produto digitado." sqref="C189" xr:uid="{A943641A-1362-451E-AFD1-12F2066F67DD}">
      <formula1>INDIRECT(IF(OR(ISNUMBER(SEARCH("ICEBERG ICE",UPPER(TRIM($B189)))),ISNUMBER(SEARCH("ICE ICEBERG",UPPER(TRIM($B189)))),ISNUMBER(SEARCH("GELINHO ICEBERG",UPPER(TRIM($B189))))),"$AJ$2:$AJ$2",IF(ISNUMBER(SEARCH("ESPUMA",$B189)),"$AI$2:$AI$2",IF(ISNUMBER(SEARCH("CORANTE",$B189)),"$AN$2:$AN$2",IFERROR(INDEX($AB$2:$AB$139,MATCH(UPPER(TRIM($B189)),$AA$2:$AA$139,0)),"$AO$2:$AO$9")))))</formula1>
    </dataValidation>
    <dataValidation type="list" allowBlank="1" errorTitle="Embalagem inválida" error="Escolha uma embalagem compatível com o produto." promptTitle="Selecione a embalagem" prompt="As opções mudam conforme o produto digitado." sqref="C190" xr:uid="{6F416E39-6E01-480E-88B6-426F5713845E}">
      <formula1>INDIRECT(IF(OR(ISNUMBER(SEARCH("ICEBERG ICE",UPPER(TRIM($B190)))),ISNUMBER(SEARCH("ICE ICEBERG",UPPER(TRIM($B190)))),ISNUMBER(SEARCH("GELINHO ICEBERG",UPPER(TRIM($B190))))),"$AJ$2:$AJ$2",IF(ISNUMBER(SEARCH("ESPUMA",$B190)),"$AI$2:$AI$2",IF(ISNUMBER(SEARCH("CORANTE",$B190)),"$AN$2:$AN$2",IFERROR(INDEX($AB$2:$AB$139,MATCH(UPPER(TRIM($B190)),$AA$2:$AA$139,0)),"$AO$2:$AO$9")))))</formula1>
    </dataValidation>
    <dataValidation type="list" allowBlank="1" errorTitle="Embalagem inválida" error="Escolha uma embalagem compatível com o produto." promptTitle="Selecione a embalagem" prompt="As opções mudam conforme o produto digitado." sqref="C191" xr:uid="{4C4F429E-3778-4C75-BD77-8D993EC0DDF5}">
      <formula1>INDIRECT(IF(OR(ISNUMBER(SEARCH("ICEBERG ICE",UPPER(TRIM($B191)))),ISNUMBER(SEARCH("ICE ICEBERG",UPPER(TRIM($B191)))),ISNUMBER(SEARCH("GELINHO ICEBERG",UPPER(TRIM($B191))))),"$AJ$2:$AJ$2",IF(ISNUMBER(SEARCH("ESPUMA",$B191)),"$AI$2:$AI$2",IF(ISNUMBER(SEARCH("CORANTE",$B191)),"$AN$2:$AN$2",IFERROR(INDEX($AB$2:$AB$139,MATCH(UPPER(TRIM($B191)),$AA$2:$AA$139,0)),"$AO$2:$AO$9")))))</formula1>
    </dataValidation>
    <dataValidation type="list" allowBlank="1" errorTitle="Embalagem inválida" error="Escolha uma embalagem compatível com o produto." promptTitle="Selecione a embalagem" prompt="As opções mudam conforme o produto digitado." sqref="C192" xr:uid="{E3A54FE0-C94F-4F36-A86E-57D76658A0F4}">
      <formula1>INDIRECT(IF(OR(ISNUMBER(SEARCH("ICEBERG ICE",UPPER(TRIM($B192)))),ISNUMBER(SEARCH("ICE ICEBERG",UPPER(TRIM($B192)))),ISNUMBER(SEARCH("GELINHO ICEBERG",UPPER(TRIM($B192))))),"$AJ$2:$AJ$2",IF(ISNUMBER(SEARCH("ESPUMA",$B192)),"$AI$2:$AI$2",IF(ISNUMBER(SEARCH("CORANTE",$B192)),"$AN$2:$AN$2",IFERROR(INDEX($AB$2:$AB$139,MATCH(UPPER(TRIM($B192)),$AA$2:$AA$139,0)),"$AO$2:$AO$9")))))</formula1>
    </dataValidation>
    <dataValidation type="list" allowBlank="1" errorTitle="Embalagem inválida" error="Escolha uma embalagem compatível com o produto." promptTitle="Selecione a embalagem" prompt="As opções mudam conforme o produto digitado." sqref="C196" xr:uid="{7686A0B7-A649-4A73-84DD-C89831BB18A9}">
      <formula1>INDIRECT(IF(OR(ISNUMBER(SEARCH("ICEBERG ICE",UPPER(TRIM($B196)))),ISNUMBER(SEARCH("ICE ICEBERG",UPPER(TRIM($B196)))),ISNUMBER(SEARCH("GELINHO ICEBERG",UPPER(TRIM($B196))))),"$AJ$2:$AJ$2",IF(ISNUMBER(SEARCH("ESPUMA",$B196)),"$AI$2:$AI$2",IF(ISNUMBER(SEARCH("CORANTE",$B196)),"$AN$2:$AN$2",IFERROR(INDEX($AB$2:$AB$139,MATCH(UPPER(TRIM($B196)),$AA$2:$AA$139,0)),"$AO$2:$AO$9")))))</formula1>
    </dataValidation>
    <dataValidation type="list" allowBlank="1" errorTitle="Embalagem inválida" error="Escolha uma embalagem compatível com o produto." promptTitle="Selecione a embalagem" prompt="As opções mudam conforme o produto digitado." sqref="C197" xr:uid="{C467BAF8-8F72-4D95-8752-666BCF3E582C}">
      <formula1>INDIRECT(IF(OR(ISNUMBER(SEARCH("ICEBERG ICE",UPPER(TRIM($B197)))),ISNUMBER(SEARCH("ICE ICEBERG",UPPER(TRIM($B197)))),ISNUMBER(SEARCH("GELINHO ICEBERG",UPPER(TRIM($B197))))),"$AJ$2:$AJ$2",IF(ISNUMBER(SEARCH("ESPUMA",$B197)),"$AI$2:$AI$2",IF(ISNUMBER(SEARCH("CORANTE",$B197)),"$AN$2:$AN$2",IFERROR(INDEX($AB$2:$AB$139,MATCH(UPPER(TRIM($B197)),$AA$2:$AA$139,0)),"$AO$2:$AO$9")))))</formula1>
    </dataValidation>
    <dataValidation type="list" allowBlank="1" errorTitle="Embalagem inválida" error="Escolha uma embalagem compatível com o produto." promptTitle="Selecione a embalagem" prompt="As opções mudam conforme o produto digitado." sqref="C198" xr:uid="{B24DFC71-9696-4376-99B4-871113A9FE0B}">
      <formula1>INDIRECT(IF(OR(ISNUMBER(SEARCH("ICEBERG ICE",UPPER(TRIM($B198)))),ISNUMBER(SEARCH("ICE ICEBERG",UPPER(TRIM($B198)))),ISNUMBER(SEARCH("GELINHO ICEBERG",UPPER(TRIM($B198))))),"$AJ$2:$AJ$2",IF(ISNUMBER(SEARCH("ESPUMA",$B198)),"$AI$2:$AI$2",IF(ISNUMBER(SEARCH("CORANTE",$B198)),"$AN$2:$AN$2",IFERROR(INDEX($AB$2:$AB$139,MATCH(UPPER(TRIM($B198)),$AA$2:$AA$139,0)),"$AO$2:$AO$9")))))</formula1>
    </dataValidation>
    <dataValidation type="list" allowBlank="1" errorTitle="Embalagem inválida" error="Escolha uma embalagem compatível com o produto." promptTitle="Selecione a embalagem" prompt="As opções mudam conforme o produto digitado." sqref="C199" xr:uid="{2DC703ED-45E3-422C-BEF3-97B339DA16E6}">
      <formula1>INDIRECT(IF(OR(ISNUMBER(SEARCH("ICEBERG ICE",UPPER(TRIM($B199)))),ISNUMBER(SEARCH("ICE ICEBERG",UPPER(TRIM($B199)))),ISNUMBER(SEARCH("GELINHO ICEBERG",UPPER(TRIM($B199))))),"$AJ$2:$AJ$2",IF(ISNUMBER(SEARCH("ESPUMA",$B199)),"$AI$2:$AI$2",IF(ISNUMBER(SEARCH("CORANTE",$B199)),"$AN$2:$AN$2",IFERROR(INDEX($AB$2:$AB$139,MATCH(UPPER(TRIM($B199)),$AA$2:$AA$139,0)),"$AO$2:$AO$9")))))</formula1>
    </dataValidation>
    <dataValidation type="list" allowBlank="1" errorTitle="Embalagem inválida" error="Escolha uma embalagem compatível com o produto." promptTitle="Selecione a embalagem" prompt="As opções mudam conforme o produto digitado." sqref="C200" xr:uid="{F0F0BC4C-10F2-44FD-8D1B-FE8BED9DBC33}">
      <formula1>INDIRECT(IF(OR(ISNUMBER(SEARCH("ICEBERG ICE",UPPER(TRIM($B200)))),ISNUMBER(SEARCH("ICE ICEBERG",UPPER(TRIM($B200)))),ISNUMBER(SEARCH("GELINHO ICEBERG",UPPER(TRIM($B200))))),"$AJ$2:$AJ$2",IF(ISNUMBER(SEARCH("ESPUMA",$B200)),"$AI$2:$AI$2",IF(ISNUMBER(SEARCH("CORANTE",$B200)),"$AN$2:$AN$2",IFERROR(INDEX($AB$2:$AB$139,MATCH(UPPER(TRIM($B200)),$AA$2:$AA$139,0)),"$AO$2:$AO$9")))))</formula1>
    </dataValidation>
    <dataValidation type="list" allowBlank="1" errorTitle="Embalagem inválida" error="Escolha uma embalagem compatível com o produto." promptTitle="Selecione a embalagem" prompt="As opções mudam conforme o produto digitado." sqref="C204" xr:uid="{09677543-4ABE-42A8-ABC6-62CEF8D4DA29}">
      <formula1>INDIRECT(IF(OR(ISNUMBER(SEARCH("ICEBERG ICE",UPPER(TRIM($B204)))),ISNUMBER(SEARCH("ICE ICEBERG",UPPER(TRIM($B204)))),ISNUMBER(SEARCH("GELINHO ICEBERG",UPPER(TRIM($B204))))),"$AJ$2:$AJ$2",IF(ISNUMBER(SEARCH("ESPUMA",$B204)),"$AI$2:$AI$2",IF(ISNUMBER(SEARCH("CORANTE",$B204)),"$AN$2:$AN$2",IFERROR(INDEX($AB$2:$AB$139,MATCH(UPPER(TRIM($B204)),$AA$2:$AA$139,0)),"$AO$2:$AO$9")))))</formula1>
    </dataValidation>
    <dataValidation type="list" allowBlank="1" errorTitle="Embalagem inválida" error="Escolha uma embalagem compatível com o produto." promptTitle="Selecione a embalagem" prompt="As opções mudam conforme o produto digitado." sqref="C205" xr:uid="{38804758-F906-49FB-9655-4234FAC45889}">
      <formula1>INDIRECT(IF(OR(ISNUMBER(SEARCH("ICEBERG ICE",UPPER(TRIM($B205)))),ISNUMBER(SEARCH("ICE ICEBERG",UPPER(TRIM($B205)))),ISNUMBER(SEARCH("GELINHO ICEBERG",UPPER(TRIM($B205))))),"$AJ$2:$AJ$2",IF(ISNUMBER(SEARCH("ESPUMA",$B205)),"$AI$2:$AI$2",IF(ISNUMBER(SEARCH("CORANTE",$B205)),"$AN$2:$AN$2",IFERROR(INDEX($AB$2:$AB$139,MATCH(UPPER(TRIM($B205)),$AA$2:$AA$139,0)),"$AO$2:$AO$9")))))</formula1>
    </dataValidation>
    <dataValidation type="list" allowBlank="1" errorTitle="Embalagem inválida" error="Escolha uma embalagem compatível com o produto." promptTitle="Selecione a embalagem" prompt="As opções mudam conforme o produto digitado." sqref="C206" xr:uid="{CC169262-7A1A-49AD-9472-5E0F8005A0FB}">
      <formula1>INDIRECT(IF(OR(ISNUMBER(SEARCH("ICEBERG ICE",UPPER(TRIM($B206)))),ISNUMBER(SEARCH("ICE ICEBERG",UPPER(TRIM($B206)))),ISNUMBER(SEARCH("GELINHO ICEBERG",UPPER(TRIM($B206))))),"$AJ$2:$AJ$2",IF(ISNUMBER(SEARCH("ESPUMA",$B206)),"$AI$2:$AI$2",IF(ISNUMBER(SEARCH("CORANTE",$B206)),"$AN$2:$AN$2",IFERROR(INDEX($AB$2:$AB$139,MATCH(UPPER(TRIM($B206)),$AA$2:$AA$139,0)),"$AO$2:$AO$9")))))</formula1>
    </dataValidation>
    <dataValidation type="list" allowBlank="1" errorTitle="Embalagem inválida" error="Escolha uma embalagem compatível com o produto." promptTitle="Selecione a embalagem" prompt="As opções mudam conforme o produto digitado." sqref="C207" xr:uid="{87CDAB14-8797-4117-9AF4-AA0B7BBB7CA6}">
      <formula1>INDIRECT(IF(OR(ISNUMBER(SEARCH("ICEBERG ICE",UPPER(TRIM($B207)))),ISNUMBER(SEARCH("ICE ICEBERG",UPPER(TRIM($B207)))),ISNUMBER(SEARCH("GELINHO ICEBERG",UPPER(TRIM($B207))))),"$AJ$2:$AJ$2",IF(ISNUMBER(SEARCH("ESPUMA",$B207)),"$AI$2:$AI$2",IF(ISNUMBER(SEARCH("CORANTE",$B207)),"$AN$2:$AN$2",IFERROR(INDEX($AB$2:$AB$139,MATCH(UPPER(TRIM($B207)),$AA$2:$AA$139,0)),"$AO$2:$AO$9")))))</formula1>
    </dataValidation>
    <dataValidation type="list" allowBlank="1" errorTitle="Embalagem inválida" error="Escolha uma embalagem compatível com o produto." promptTitle="Selecione a embalagem" prompt="As opções mudam conforme o produto digitado." sqref="C208" xr:uid="{40005E4B-9717-49AF-BA3F-5B641E0353C8}">
      <formula1>INDIRECT(IF(OR(ISNUMBER(SEARCH("ICEBERG ICE",UPPER(TRIM($B208)))),ISNUMBER(SEARCH("ICE ICEBERG",UPPER(TRIM($B208)))),ISNUMBER(SEARCH("GELINHO ICEBERG",UPPER(TRIM($B208))))),"$AJ$2:$AJ$2",IF(ISNUMBER(SEARCH("ESPUMA",$B208)),"$AI$2:$AI$2",IF(ISNUMBER(SEARCH("CORANTE",$B208)),"$AN$2:$AN$2",IFERROR(INDEX($AB$2:$AB$139,MATCH(UPPER(TRIM($B208)),$AA$2:$AA$139,0)),"$AO$2:$AO$9")))))</formula1>
    </dataValidation>
  </dataValidation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2DF1-FB54-4FD6-99AE-F62A3B485302}">
  <sheetPr>
    <tabColor rgb="FF0F766E"/>
  </sheetPr>
  <dimension ref="A1:Y59"/>
  <sheetViews>
    <sheetView showGridLines="0"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614</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SUM(C9:C34)</f>
        <v>0</v>
      </c>
      <c r="C4" s="424"/>
      <c r="D4" s="435">
        <f>SUM(D9:D34)</f>
        <v>0</v>
      </c>
      <c r="E4" s="424"/>
      <c r="F4" s="435">
        <f>IFERROR(SUM(C9:C34)/COUNTIF(C9:C34,"&gt;0"),0)</f>
        <v>0</v>
      </c>
      <c r="G4" s="424"/>
      <c r="H4" s="435">
        <f>IFERROR(MAX(C9:C34),0)</f>
        <v>0</v>
      </c>
      <c r="I4" s="424"/>
      <c r="J4" s="436">
        <f>IFERROR(B4/D4,0)</f>
        <v>0</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46266</v>
      </c>
      <c r="B9" s="414" t="str">
        <f>IF(D9&gt;0,COUNTIF($D$9:D9,"&gt;0"),"")</f>
        <v/>
      </c>
      <c r="C9" s="888">
        <f>'SEMANA SETEMBRO'!$M$9</f>
        <v>0</v>
      </c>
      <c r="D9" s="888">
        <f>IF(C9&gt;0,CONFIG!$B$3,0)</f>
        <v>0</v>
      </c>
      <c r="E9" s="889">
        <f t="shared" ref="E9:E34" si="0">IF(C9&gt;0,C9-D9,0)</f>
        <v>0</v>
      </c>
      <c r="F9" s="444"/>
      <c r="G9" s="424"/>
      <c r="H9" s="424"/>
      <c r="I9" s="424"/>
      <c r="J9" s="424"/>
      <c r="K9" s="424"/>
      <c r="L9" s="424"/>
      <c r="M9" s="424"/>
      <c r="N9" s="424"/>
      <c r="O9" s="424"/>
      <c r="P9" s="93" t="str">
        <f t="shared" ref="P9:P34" si="1">B9</f>
        <v/>
      </c>
      <c r="Q9" s="1" t="e">
        <f t="shared" ref="Q9:Q34" si="2">IF(AND($C9&gt;0,$C9&lt;$D9),$C9,NA())</f>
        <v>#N/A</v>
      </c>
      <c r="R9" s="1" t="e">
        <f t="shared" ref="R9:R34" si="3">IF(AND($C9&gt;0,$C9=$D9),$C9,NA())</f>
        <v>#N/A</v>
      </c>
      <c r="S9" s="1" t="e">
        <f t="shared" ref="S9:S34" si="4">IF(AND($C9&gt;0,$C9&gt;$D9),$C9,NA())</f>
        <v>#N/A</v>
      </c>
      <c r="X9" s="63">
        <f t="shared" ref="X9:X30" si="5">IF(COUNTIF($F9,"*Feriado*")&gt;0,NA(),$C9)</f>
        <v>0</v>
      </c>
      <c r="Y9" s="63">
        <f t="shared" ref="Y9:Y30" si="6">IF(COUNTIF($F9,"*Feriado*")&gt;0,NA(),$D9)</f>
        <v>0</v>
      </c>
    </row>
    <row r="10" spans="1:25" x14ac:dyDescent="0.3">
      <c r="A10" s="412">
        <v>46267</v>
      </c>
      <c r="B10" s="414" t="str">
        <f>IF(D10&gt;0,COUNTIF($D$9:D10,"&gt;0"),"")</f>
        <v/>
      </c>
      <c r="C10" s="888">
        <f>'SEMANA SETEMBRO'!$M$17</f>
        <v>0</v>
      </c>
      <c r="D10" s="888">
        <f>IF(C10&gt;0,CONFIG!$B$3,0)</f>
        <v>0</v>
      </c>
      <c r="E10" s="889">
        <f t="shared" si="0"/>
        <v>0</v>
      </c>
      <c r="F10" s="444"/>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x14ac:dyDescent="0.3">
      <c r="A11" s="412">
        <v>46268</v>
      </c>
      <c r="B11" s="414" t="str">
        <f>IF(D11&gt;0,COUNTIF($D$9:D11,"&gt;0"),"")</f>
        <v/>
      </c>
      <c r="C11" s="888">
        <f>'SEMANA SETEMBRO'!$M$25</f>
        <v>0</v>
      </c>
      <c r="D11" s="888">
        <f>IF(C11&gt;0,CONFIG!$B$3,0)</f>
        <v>0</v>
      </c>
      <c r="E11" s="889">
        <f t="shared" si="0"/>
        <v>0</v>
      </c>
      <c r="F11" s="444"/>
      <c r="G11" s="424"/>
      <c r="H11" s="424"/>
      <c r="I11" s="424"/>
      <c r="J11" s="424"/>
      <c r="K11" s="424"/>
      <c r="L11" s="424"/>
      <c r="M11" s="424"/>
      <c r="N11" s="424"/>
      <c r="O11" s="424"/>
      <c r="P11" s="93" t="str">
        <f t="shared" si="1"/>
        <v/>
      </c>
      <c r="Q11" s="1" t="e">
        <f t="shared" si="2"/>
        <v>#N/A</v>
      </c>
      <c r="R11" s="1" t="e">
        <f t="shared" si="3"/>
        <v>#N/A</v>
      </c>
      <c r="S11" s="1" t="e">
        <f t="shared" si="4"/>
        <v>#N/A</v>
      </c>
      <c r="X11" s="63">
        <f t="shared" si="5"/>
        <v>0</v>
      </c>
      <c r="Y11" s="63">
        <f t="shared" si="6"/>
        <v>0</v>
      </c>
    </row>
    <row r="12" spans="1:25" x14ac:dyDescent="0.3">
      <c r="A12" s="412">
        <v>46269</v>
      </c>
      <c r="B12" s="414" t="str">
        <f>IF(D12&gt;0,COUNTIF($D$9:D12,"&gt;0"),"")</f>
        <v/>
      </c>
      <c r="C12" s="888">
        <f>'SEMANA SETEMBRO'!$M$33</f>
        <v>0</v>
      </c>
      <c r="D12" s="888">
        <f>IF(C12&gt;0,CONFIG!$B$3,0)</f>
        <v>0</v>
      </c>
      <c r="E12" s="889">
        <f t="shared" si="0"/>
        <v>0</v>
      </c>
      <c r="F12" s="444"/>
      <c r="G12" s="424"/>
      <c r="H12" s="424"/>
      <c r="I12" s="424"/>
      <c r="J12" s="424"/>
      <c r="K12" s="424"/>
      <c r="L12" s="424"/>
      <c r="M12" s="424"/>
      <c r="N12" s="424"/>
      <c r="O12" s="424"/>
      <c r="P12" s="93" t="str">
        <f t="shared" si="1"/>
        <v/>
      </c>
      <c r="Q12" s="1" t="e">
        <f t="shared" si="2"/>
        <v>#N/A</v>
      </c>
      <c r="R12" s="1" t="e">
        <f t="shared" si="3"/>
        <v>#N/A</v>
      </c>
      <c r="S12" s="1" t="e">
        <f t="shared" si="4"/>
        <v>#N/A</v>
      </c>
      <c r="X12" s="63">
        <f t="shared" si="5"/>
        <v>0</v>
      </c>
      <c r="Y12" s="63">
        <f t="shared" si="6"/>
        <v>0</v>
      </c>
    </row>
    <row r="13" spans="1:25" x14ac:dyDescent="0.3">
      <c r="A13" s="412">
        <v>46270</v>
      </c>
      <c r="B13" s="414" t="str">
        <f>IF(D13&gt;0,COUNTIF($D$9:D13,"&gt;0"),"")</f>
        <v/>
      </c>
      <c r="C13" s="888">
        <f>'SEMANA SETEMBRO'!$M$41</f>
        <v>0</v>
      </c>
      <c r="D13" s="888">
        <f>IF(C13&gt;0,CONFIG!$B$3,0)</f>
        <v>0</v>
      </c>
      <c r="E13" s="889">
        <f t="shared" si="0"/>
        <v>0</v>
      </c>
      <c r="F13" s="459" t="s">
        <v>512</v>
      </c>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12">
        <v>46272</v>
      </c>
      <c r="B14" s="414" t="str">
        <f>IF(D14&gt;0,COUNTIF($D$9:D14,"&gt;0"),"")</f>
        <v/>
      </c>
      <c r="C14" s="888">
        <f>'SEMANA SETEMBRO'!$M$49</f>
        <v>0</v>
      </c>
      <c r="D14" s="888">
        <f>IF(C14&gt;0,CONFIG!$B$3,0)</f>
        <v>0</v>
      </c>
      <c r="E14" s="889">
        <f t="shared" si="0"/>
        <v>0</v>
      </c>
      <c r="F14" s="459" t="s">
        <v>615</v>
      </c>
      <c r="G14" s="424"/>
      <c r="H14" s="424"/>
      <c r="I14" s="424"/>
      <c r="J14" s="424"/>
      <c r="K14" s="424"/>
      <c r="L14" s="424"/>
      <c r="M14" s="424"/>
      <c r="N14" s="424"/>
      <c r="O14" s="424"/>
      <c r="P14" s="93" t="str">
        <f t="shared" si="1"/>
        <v/>
      </c>
      <c r="Q14" s="1" t="e">
        <f t="shared" si="2"/>
        <v>#N/A</v>
      </c>
      <c r="R14" s="1" t="e">
        <f t="shared" si="3"/>
        <v>#N/A</v>
      </c>
      <c r="S14" s="1" t="e">
        <f t="shared" si="4"/>
        <v>#N/A</v>
      </c>
      <c r="X14" s="63" t="e">
        <f t="shared" si="5"/>
        <v>#N/A</v>
      </c>
      <c r="Y14" s="63" t="e">
        <f t="shared" si="6"/>
        <v>#N/A</v>
      </c>
    </row>
    <row r="15" spans="1:25" x14ac:dyDescent="0.3">
      <c r="A15" s="412">
        <v>46273</v>
      </c>
      <c r="B15" s="414" t="str">
        <f>IF(D15&gt;0,COUNTIF($D$9:D15,"&gt;0"),"")</f>
        <v/>
      </c>
      <c r="C15" s="888">
        <f>'SEMANA SETEMBRO'!$M$57</f>
        <v>0</v>
      </c>
      <c r="D15" s="888">
        <f>IF(C15&gt;0,CONFIG!$B$3,0)</f>
        <v>0</v>
      </c>
      <c r="E15" s="889">
        <f t="shared" si="0"/>
        <v>0</v>
      </c>
      <c r="F15" s="444"/>
      <c r="G15" s="424"/>
      <c r="H15" s="424"/>
      <c r="I15" s="424"/>
      <c r="J15" s="424"/>
      <c r="K15" s="424"/>
      <c r="L15" s="424"/>
      <c r="M15" s="424"/>
      <c r="N15" s="424"/>
      <c r="O15" s="424"/>
      <c r="P15" s="93" t="str">
        <f t="shared" si="1"/>
        <v/>
      </c>
      <c r="Q15" s="1" t="e">
        <f t="shared" si="2"/>
        <v>#N/A</v>
      </c>
      <c r="R15" s="1" t="e">
        <f t="shared" si="3"/>
        <v>#N/A</v>
      </c>
      <c r="S15" s="1" t="e">
        <f t="shared" si="4"/>
        <v>#N/A</v>
      </c>
      <c r="X15" s="63">
        <f t="shared" si="5"/>
        <v>0</v>
      </c>
      <c r="Y15" s="63">
        <f t="shared" si="6"/>
        <v>0</v>
      </c>
    </row>
    <row r="16" spans="1:25" x14ac:dyDescent="0.3">
      <c r="A16" s="412">
        <v>46274</v>
      </c>
      <c r="B16" s="414" t="str">
        <f>IF(D16&gt;0,COUNTIF($D$9:D16,"&gt;0"),"")</f>
        <v/>
      </c>
      <c r="C16" s="888">
        <f>'SEMANA SETEMBRO'!$M$65</f>
        <v>0</v>
      </c>
      <c r="D16" s="888">
        <f>IF(C16&gt;0,CONFIG!$B$3,0)</f>
        <v>0</v>
      </c>
      <c r="E16" s="889">
        <f t="shared" si="0"/>
        <v>0</v>
      </c>
      <c r="F16" s="444"/>
      <c r="G16" s="424"/>
      <c r="H16" s="424"/>
      <c r="I16" s="424"/>
      <c r="J16" s="424"/>
      <c r="K16" s="424"/>
      <c r="L16" s="424"/>
      <c r="M16" s="424"/>
      <c r="N16" s="424"/>
      <c r="O16" s="424"/>
      <c r="P16" s="93" t="str">
        <f t="shared" si="1"/>
        <v/>
      </c>
      <c r="Q16" s="1" t="e">
        <f t="shared" si="2"/>
        <v>#N/A</v>
      </c>
      <c r="R16" s="1" t="e">
        <f t="shared" si="3"/>
        <v>#N/A</v>
      </c>
      <c r="S16" s="1" t="e">
        <f t="shared" si="4"/>
        <v>#N/A</v>
      </c>
      <c r="X16" s="63">
        <f t="shared" si="5"/>
        <v>0</v>
      </c>
      <c r="Y16" s="63">
        <f t="shared" si="6"/>
        <v>0</v>
      </c>
    </row>
    <row r="17" spans="1:25" x14ac:dyDescent="0.3">
      <c r="A17" s="412">
        <v>46275</v>
      </c>
      <c r="B17" s="414" t="str">
        <f>IF(D17&gt;0,COUNTIF($D$9:D17,"&gt;0"),"")</f>
        <v/>
      </c>
      <c r="C17" s="888">
        <f>'SEMANA SETEMBRO'!$M$73</f>
        <v>0</v>
      </c>
      <c r="D17" s="888">
        <f>IF(C17&gt;0,CONFIG!$B$3,0)</f>
        <v>0</v>
      </c>
      <c r="E17" s="889">
        <f t="shared" si="0"/>
        <v>0</v>
      </c>
      <c r="F17" s="444"/>
      <c r="G17" s="424"/>
      <c r="H17" s="424"/>
      <c r="I17" s="424"/>
      <c r="J17" s="424"/>
      <c r="K17" s="424"/>
      <c r="L17" s="424"/>
      <c r="M17" s="424"/>
      <c r="N17" s="424"/>
      <c r="O17" s="424"/>
      <c r="P17" s="93" t="str">
        <f t="shared" si="1"/>
        <v/>
      </c>
      <c r="Q17" s="1" t="e">
        <f t="shared" si="2"/>
        <v>#N/A</v>
      </c>
      <c r="R17" s="1" t="e">
        <f t="shared" si="3"/>
        <v>#N/A</v>
      </c>
      <c r="S17" s="1" t="e">
        <f t="shared" si="4"/>
        <v>#N/A</v>
      </c>
      <c r="X17" s="63">
        <f t="shared" si="5"/>
        <v>0</v>
      </c>
      <c r="Y17" s="63">
        <f t="shared" si="6"/>
        <v>0</v>
      </c>
    </row>
    <row r="18" spans="1:25" x14ac:dyDescent="0.3">
      <c r="A18" s="412">
        <v>46276</v>
      </c>
      <c r="B18" s="414" t="str">
        <f>IF(D18&gt;0,COUNTIF($D$9:D18,"&gt;0"),"")</f>
        <v/>
      </c>
      <c r="C18" s="888">
        <f>'SEMANA SETEMBRO'!$M$81</f>
        <v>0</v>
      </c>
      <c r="D18" s="888">
        <f>IF(C18&gt;0,CONFIG!$B$3,0)</f>
        <v>0</v>
      </c>
      <c r="E18" s="889">
        <f t="shared" si="0"/>
        <v>0</v>
      </c>
      <c r="F18" s="444"/>
      <c r="G18" s="424"/>
      <c r="H18" s="424"/>
      <c r="I18" s="424"/>
      <c r="J18" s="424"/>
      <c r="K18" s="424"/>
      <c r="L18" s="424"/>
      <c r="M18" s="424"/>
      <c r="N18" s="424"/>
      <c r="O18" s="424"/>
      <c r="P18" s="93" t="str">
        <f t="shared" si="1"/>
        <v/>
      </c>
      <c r="Q18" s="1" t="e">
        <f t="shared" si="2"/>
        <v>#N/A</v>
      </c>
      <c r="R18" s="1" t="e">
        <f t="shared" si="3"/>
        <v>#N/A</v>
      </c>
      <c r="S18" s="1" t="e">
        <f t="shared" si="4"/>
        <v>#N/A</v>
      </c>
      <c r="X18" s="63">
        <f t="shared" si="5"/>
        <v>0</v>
      </c>
      <c r="Y18" s="63">
        <f t="shared" si="6"/>
        <v>0</v>
      </c>
    </row>
    <row r="19" spans="1:25" x14ac:dyDescent="0.3">
      <c r="A19" s="412">
        <v>46277</v>
      </c>
      <c r="B19" s="414" t="str">
        <f>IF(D19&gt;0,COUNTIF($D$9:D19,"&gt;0"),"")</f>
        <v/>
      </c>
      <c r="C19" s="888">
        <f>'SEMANA SETEMBRO'!$M$89</f>
        <v>0</v>
      </c>
      <c r="D19" s="888">
        <f>IF(C19&gt;0,CONFIG!$B$3,0)</f>
        <v>0</v>
      </c>
      <c r="E19" s="889">
        <f t="shared" si="0"/>
        <v>0</v>
      </c>
      <c r="F19" s="459" t="s">
        <v>512</v>
      </c>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12">
        <v>46279</v>
      </c>
      <c r="B20" s="414" t="str">
        <f>IF(D20&gt;0,COUNTIF($D$9:D20,"&gt;0"),"")</f>
        <v/>
      </c>
      <c r="C20" s="888">
        <f>'SEMANA SETEMBRO'!$M$97</f>
        <v>0</v>
      </c>
      <c r="D20" s="888">
        <f>IF(C20&gt;0,CONFIG!$B$3,0)</f>
        <v>0</v>
      </c>
      <c r="E20" s="889">
        <f t="shared" si="0"/>
        <v>0</v>
      </c>
      <c r="F20" s="444"/>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12">
        <v>46280</v>
      </c>
      <c r="B21" s="414" t="str">
        <f>IF(D21&gt;0,COUNTIF($D$9:D21,"&gt;0"),"")</f>
        <v/>
      </c>
      <c r="C21" s="888">
        <f>'SEMANA SETEMBRO'!$M$105</f>
        <v>0</v>
      </c>
      <c r="D21" s="888">
        <f>IF(C21&gt;0,CONFIG!$B$3,0)</f>
        <v>0</v>
      </c>
      <c r="E21" s="889">
        <f t="shared" si="0"/>
        <v>0</v>
      </c>
      <c r="F21" s="444"/>
      <c r="G21" s="424"/>
      <c r="H21" s="424"/>
      <c r="I21" s="424"/>
      <c r="J21" s="424"/>
      <c r="K21" s="424"/>
      <c r="L21" s="424"/>
      <c r="M21" s="424"/>
      <c r="N21" s="424"/>
      <c r="O21" s="424"/>
      <c r="P21" s="93" t="str">
        <f t="shared" si="1"/>
        <v/>
      </c>
      <c r="Q21" s="1" t="e">
        <f t="shared" si="2"/>
        <v>#N/A</v>
      </c>
      <c r="R21" s="1" t="e">
        <f t="shared" si="3"/>
        <v>#N/A</v>
      </c>
      <c r="S21" s="1" t="e">
        <f t="shared" si="4"/>
        <v>#N/A</v>
      </c>
      <c r="X21" s="63">
        <f t="shared" si="5"/>
        <v>0</v>
      </c>
      <c r="Y21" s="63">
        <f t="shared" si="6"/>
        <v>0</v>
      </c>
    </row>
    <row r="22" spans="1:25" x14ac:dyDescent="0.3">
      <c r="A22" s="412">
        <v>46281</v>
      </c>
      <c r="B22" s="414" t="str">
        <f>IF(D22&gt;0,COUNTIF($D$9:D22,"&gt;0"),"")</f>
        <v/>
      </c>
      <c r="C22" s="888">
        <f>'SEMANA SETEMBRO'!$M$113</f>
        <v>0</v>
      </c>
      <c r="D22" s="888">
        <f>IF(C22&gt;0,CONFIG!$B$3,0)</f>
        <v>0</v>
      </c>
      <c r="E22" s="889">
        <f t="shared" si="0"/>
        <v>0</v>
      </c>
      <c r="F22" s="444"/>
      <c r="G22" s="424"/>
      <c r="H22" s="424"/>
      <c r="I22" s="424"/>
      <c r="J22" s="424"/>
      <c r="K22" s="424"/>
      <c r="L22" s="424"/>
      <c r="M22" s="424"/>
      <c r="N22" s="424"/>
      <c r="O22" s="424"/>
      <c r="P22" s="93" t="str">
        <f t="shared" si="1"/>
        <v/>
      </c>
      <c r="Q22" s="1" t="e">
        <f t="shared" si="2"/>
        <v>#N/A</v>
      </c>
      <c r="R22" s="1" t="e">
        <f t="shared" si="3"/>
        <v>#N/A</v>
      </c>
      <c r="S22" s="1" t="e">
        <f t="shared" si="4"/>
        <v>#N/A</v>
      </c>
      <c r="X22" s="63">
        <f t="shared" si="5"/>
        <v>0</v>
      </c>
      <c r="Y22" s="63">
        <f t="shared" si="6"/>
        <v>0</v>
      </c>
    </row>
    <row r="23" spans="1:25" x14ac:dyDescent="0.3">
      <c r="A23" s="412">
        <v>46282</v>
      </c>
      <c r="B23" s="414" t="str">
        <f>IF(D23&gt;0,COUNTIF($D$9:D23,"&gt;0"),"")</f>
        <v/>
      </c>
      <c r="C23" s="888">
        <f>'SEMANA SETEMBRO'!$M$121</f>
        <v>0</v>
      </c>
      <c r="D23" s="888">
        <f>IF(C23&gt;0,CONFIG!$B$3,0)</f>
        <v>0</v>
      </c>
      <c r="E23" s="889">
        <f t="shared" si="0"/>
        <v>0</v>
      </c>
      <c r="F23" s="444"/>
      <c r="G23" s="424"/>
      <c r="H23" s="424"/>
      <c r="I23" s="424"/>
      <c r="J23" s="424"/>
      <c r="K23" s="424"/>
      <c r="L23" s="424"/>
      <c r="M23" s="424"/>
      <c r="N23" s="424"/>
      <c r="O23" s="424"/>
      <c r="P23" s="93" t="str">
        <f t="shared" si="1"/>
        <v/>
      </c>
      <c r="Q23" s="1" t="e">
        <f t="shared" si="2"/>
        <v>#N/A</v>
      </c>
      <c r="R23" s="1" t="e">
        <f t="shared" si="3"/>
        <v>#N/A</v>
      </c>
      <c r="S23" s="1" t="e">
        <f t="shared" si="4"/>
        <v>#N/A</v>
      </c>
      <c r="X23" s="63">
        <f t="shared" si="5"/>
        <v>0</v>
      </c>
      <c r="Y23" s="63">
        <f t="shared" si="6"/>
        <v>0</v>
      </c>
    </row>
    <row r="24" spans="1:25" x14ac:dyDescent="0.3">
      <c r="A24" s="412">
        <v>46283</v>
      </c>
      <c r="B24" s="414" t="str">
        <f>IF(D24&gt;0,COUNTIF($D$9:D24,"&gt;0"),"")</f>
        <v/>
      </c>
      <c r="C24" s="888">
        <f>'SEMANA SETEMBRO'!$M$129</f>
        <v>0</v>
      </c>
      <c r="D24" s="888">
        <f>IF(C24&gt;0,CONFIG!$B$3,0)</f>
        <v>0</v>
      </c>
      <c r="E24" s="889">
        <f t="shared" si="0"/>
        <v>0</v>
      </c>
      <c r="F24" s="444"/>
      <c r="G24" s="424"/>
      <c r="H24" s="424"/>
      <c r="I24" s="424"/>
      <c r="J24" s="424"/>
      <c r="K24" s="424"/>
      <c r="L24" s="424"/>
      <c r="M24" s="424"/>
      <c r="N24" s="424"/>
      <c r="O24" s="424"/>
      <c r="P24" s="93" t="str">
        <f t="shared" si="1"/>
        <v/>
      </c>
      <c r="Q24" s="1" t="e">
        <f t="shared" si="2"/>
        <v>#N/A</v>
      </c>
      <c r="R24" s="1" t="e">
        <f t="shared" si="3"/>
        <v>#N/A</v>
      </c>
      <c r="S24" s="1" t="e">
        <f t="shared" si="4"/>
        <v>#N/A</v>
      </c>
      <c r="X24" s="63">
        <f t="shared" si="5"/>
        <v>0</v>
      </c>
      <c r="Y24" s="63">
        <f t="shared" si="6"/>
        <v>0</v>
      </c>
    </row>
    <row r="25" spans="1:25" x14ac:dyDescent="0.3">
      <c r="A25" s="412">
        <v>46284</v>
      </c>
      <c r="B25" s="414" t="str">
        <f>IF(D25&gt;0,COUNTIF($D$9:D25,"&gt;0"),"")</f>
        <v/>
      </c>
      <c r="C25" s="888">
        <f>'SEMANA SETEMBRO'!$M$137</f>
        <v>0</v>
      </c>
      <c r="D25" s="888">
        <f>IF(C25&gt;0,CONFIG!$B$3,0)</f>
        <v>0</v>
      </c>
      <c r="E25" s="889">
        <f t="shared" si="0"/>
        <v>0</v>
      </c>
      <c r="F25" s="459" t="s">
        <v>512</v>
      </c>
      <c r="G25" s="424"/>
      <c r="H25" s="424"/>
      <c r="I25" s="424"/>
      <c r="J25" s="424"/>
      <c r="K25" s="424"/>
      <c r="L25" s="424"/>
      <c r="M25" s="424"/>
      <c r="N25" s="424"/>
      <c r="O25" s="424"/>
      <c r="P25" s="93" t="str">
        <f t="shared" si="1"/>
        <v/>
      </c>
      <c r="Q25" s="1" t="e">
        <f t="shared" si="2"/>
        <v>#N/A</v>
      </c>
      <c r="R25" s="1" t="e">
        <f t="shared" si="3"/>
        <v>#N/A</v>
      </c>
      <c r="S25" s="1" t="e">
        <f t="shared" si="4"/>
        <v>#N/A</v>
      </c>
      <c r="X25" s="63">
        <f t="shared" si="5"/>
        <v>0</v>
      </c>
      <c r="Y25" s="63">
        <f t="shared" si="6"/>
        <v>0</v>
      </c>
    </row>
    <row r="26" spans="1:25" x14ac:dyDescent="0.3">
      <c r="A26" s="412">
        <v>46286</v>
      </c>
      <c r="B26" s="414" t="str">
        <f>IF(D26&gt;0,COUNTIF($D$9:D26,"&gt;0"),"")</f>
        <v/>
      </c>
      <c r="C26" s="888">
        <f>'SEMANA SETEMBRO'!$M$145</f>
        <v>0</v>
      </c>
      <c r="D26" s="888">
        <f>IF(C26&gt;0,CONFIG!$B$3,0)</f>
        <v>0</v>
      </c>
      <c r="E26" s="889">
        <f t="shared" si="0"/>
        <v>0</v>
      </c>
      <c r="F26" s="444"/>
      <c r="G26" s="424"/>
      <c r="H26" s="424"/>
      <c r="I26" s="424"/>
      <c r="J26" s="424"/>
      <c r="K26" s="424"/>
      <c r="L26" s="424"/>
      <c r="M26" s="424"/>
      <c r="N26" s="424"/>
      <c r="O26" s="424"/>
      <c r="P26" s="93" t="str">
        <f t="shared" si="1"/>
        <v/>
      </c>
      <c r="Q26" s="1" t="e">
        <f t="shared" si="2"/>
        <v>#N/A</v>
      </c>
      <c r="R26" s="1" t="e">
        <f t="shared" si="3"/>
        <v>#N/A</v>
      </c>
      <c r="S26" s="1" t="e">
        <f t="shared" si="4"/>
        <v>#N/A</v>
      </c>
      <c r="X26" s="63">
        <f t="shared" si="5"/>
        <v>0</v>
      </c>
      <c r="Y26" s="63">
        <f t="shared" si="6"/>
        <v>0</v>
      </c>
    </row>
    <row r="27" spans="1:25" x14ac:dyDescent="0.3">
      <c r="A27" s="412">
        <v>46287</v>
      </c>
      <c r="B27" s="414" t="str">
        <f>IF(D27&gt;0,COUNTIF($D$9:D27,"&gt;0"),"")</f>
        <v/>
      </c>
      <c r="C27" s="888">
        <f>'SEMANA SETEMBRO'!$M$153</f>
        <v>0</v>
      </c>
      <c r="D27" s="888">
        <f>IF(C27&gt;0,CONFIG!$B$3,0)</f>
        <v>0</v>
      </c>
      <c r="E27" s="889">
        <f t="shared" si="0"/>
        <v>0</v>
      </c>
      <c r="F27" s="444"/>
      <c r="G27" s="424"/>
      <c r="H27" s="424"/>
      <c r="I27" s="424"/>
      <c r="J27" s="424"/>
      <c r="K27" s="424"/>
      <c r="L27" s="424"/>
      <c r="M27" s="424"/>
      <c r="N27" s="424"/>
      <c r="O27" s="424"/>
      <c r="P27" s="93" t="str">
        <f t="shared" si="1"/>
        <v/>
      </c>
      <c r="Q27" s="1" t="e">
        <f t="shared" si="2"/>
        <v>#N/A</v>
      </c>
      <c r="R27" s="1" t="e">
        <f t="shared" si="3"/>
        <v>#N/A</v>
      </c>
      <c r="S27" s="1" t="e">
        <f t="shared" si="4"/>
        <v>#N/A</v>
      </c>
      <c r="X27" s="63">
        <f t="shared" si="5"/>
        <v>0</v>
      </c>
      <c r="Y27" s="63">
        <f t="shared" si="6"/>
        <v>0</v>
      </c>
    </row>
    <row r="28" spans="1:25" x14ac:dyDescent="0.3">
      <c r="A28" s="412">
        <v>46288</v>
      </c>
      <c r="B28" s="414" t="str">
        <f>IF(D28&gt;0,COUNTIF($D$9:D28,"&gt;0"),"")</f>
        <v/>
      </c>
      <c r="C28" s="888">
        <f>'SEMANA SETEMBRO'!$M$161</f>
        <v>0</v>
      </c>
      <c r="D28" s="888">
        <f>IF(C28&gt;0,CONFIG!$B$3,0)</f>
        <v>0</v>
      </c>
      <c r="E28" s="889">
        <f t="shared" si="0"/>
        <v>0</v>
      </c>
      <c r="F28" s="444"/>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12">
        <v>46289</v>
      </c>
      <c r="B29" s="414" t="str">
        <f>IF(D29&gt;0,COUNTIF($D$9:D29,"&gt;0"),"")</f>
        <v/>
      </c>
      <c r="C29" s="888">
        <f>'SEMANA SETEMBRO'!$M$169</f>
        <v>0</v>
      </c>
      <c r="D29" s="888">
        <f>IF(C29&gt;0,CONFIG!$B$3,0)</f>
        <v>0</v>
      </c>
      <c r="E29" s="889">
        <f t="shared" si="0"/>
        <v>0</v>
      </c>
      <c r="F29" s="444"/>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46290</v>
      </c>
      <c r="B30" s="414" t="str">
        <f>IF(D30&gt;0,COUNTIF($D$9:D30,"&gt;0"),"")</f>
        <v/>
      </c>
      <c r="C30" s="888">
        <f>'SEMANA SETEMBRO'!$M$177</f>
        <v>0</v>
      </c>
      <c r="D30" s="888">
        <f>IF(C30&gt;0,CONFIG!$B$3,0)</f>
        <v>0</v>
      </c>
      <c r="E30" s="889">
        <f t="shared" si="0"/>
        <v>0</v>
      </c>
      <c r="F30" s="444"/>
      <c r="G30" s="424"/>
      <c r="H30" s="424"/>
      <c r="I30" s="424"/>
      <c r="J30" s="424"/>
      <c r="K30" s="424"/>
      <c r="L30" s="424"/>
      <c r="M30" s="424"/>
      <c r="N30" s="424"/>
      <c r="O30" s="424"/>
      <c r="P30" s="93" t="str">
        <f t="shared" si="1"/>
        <v/>
      </c>
      <c r="Q30" s="1" t="e">
        <f t="shared" si="2"/>
        <v>#N/A</v>
      </c>
      <c r="R30" s="1" t="e">
        <f t="shared" si="3"/>
        <v>#N/A</v>
      </c>
      <c r="S30" s="1" t="e">
        <f t="shared" si="4"/>
        <v>#N/A</v>
      </c>
      <c r="X30" s="63">
        <f t="shared" si="5"/>
        <v>0</v>
      </c>
      <c r="Y30" s="63">
        <f t="shared" si="6"/>
        <v>0</v>
      </c>
    </row>
    <row r="31" spans="1:25" x14ac:dyDescent="0.3">
      <c r="A31" s="412">
        <v>46291</v>
      </c>
      <c r="B31" s="414" t="str">
        <f>IF(D31&gt;0,COUNTIF($D$9:D31,"&gt;0"),"")</f>
        <v/>
      </c>
      <c r="C31" s="888">
        <f>'SEMANA SETEMBRO'!$M$185</f>
        <v>0</v>
      </c>
      <c r="D31" s="888">
        <f>IF(C31&gt;0,CONFIG!$B$3,0)</f>
        <v>0</v>
      </c>
      <c r="E31" s="889">
        <f t="shared" si="0"/>
        <v>0</v>
      </c>
      <c r="F31" s="459" t="s">
        <v>512</v>
      </c>
      <c r="G31" s="424"/>
      <c r="H31" s="424"/>
      <c r="I31" s="424"/>
      <c r="J31" s="424"/>
      <c r="K31" s="424"/>
      <c r="L31" s="424"/>
      <c r="M31" s="424"/>
      <c r="N31" s="424"/>
      <c r="O31" s="424"/>
      <c r="P31" s="93" t="str">
        <f t="shared" si="1"/>
        <v/>
      </c>
      <c r="Q31" s="1" t="e">
        <f t="shared" si="2"/>
        <v>#N/A</v>
      </c>
      <c r="R31" s="1" t="e">
        <f t="shared" si="3"/>
        <v>#N/A</v>
      </c>
      <c r="S31" s="1" t="e">
        <f t="shared" si="4"/>
        <v>#N/A</v>
      </c>
    </row>
    <row r="32" spans="1:25" x14ac:dyDescent="0.3">
      <c r="A32" s="412">
        <v>46293</v>
      </c>
      <c r="B32" s="414" t="str">
        <f>IF(D32&gt;0,COUNTIF($D$9:D32,"&gt;0"),"")</f>
        <v/>
      </c>
      <c r="C32" s="888">
        <f>'SEMANA SETEMBRO'!$M$193</f>
        <v>0</v>
      </c>
      <c r="D32" s="888">
        <f>IF(C32&gt;0,CONFIG!$B$3,0)</f>
        <v>0</v>
      </c>
      <c r="E32" s="889">
        <f t="shared" si="0"/>
        <v>0</v>
      </c>
      <c r="F32" s="444"/>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46294</v>
      </c>
      <c r="B33" s="414" t="str">
        <f>IF(D33&gt;0,COUNTIF($D$9:D33,"&gt;0"),"")</f>
        <v/>
      </c>
      <c r="C33" s="888">
        <f>'SEMANA SETEMBRO'!$M$201</f>
        <v>0</v>
      </c>
      <c r="D33" s="888">
        <f>IF(C33&gt;0,CONFIG!$B$3,0)</f>
        <v>0</v>
      </c>
      <c r="E33" s="889">
        <f t="shared" si="0"/>
        <v>0</v>
      </c>
      <c r="F33" s="444"/>
      <c r="G33" s="424"/>
      <c r="H33" s="424"/>
      <c r="I33" s="424"/>
      <c r="J33" s="424"/>
      <c r="K33" s="424"/>
      <c r="L33" s="424"/>
      <c r="M33" s="424"/>
      <c r="N33" s="424"/>
      <c r="O33" s="424"/>
      <c r="P33" s="93" t="str">
        <f t="shared" si="1"/>
        <v/>
      </c>
      <c r="Q33" s="1" t="e">
        <f t="shared" si="2"/>
        <v>#N/A</v>
      </c>
      <c r="R33" s="1" t="e">
        <f t="shared" si="3"/>
        <v>#N/A</v>
      </c>
      <c r="S33" s="1" t="e">
        <f t="shared" si="4"/>
        <v>#N/A</v>
      </c>
    </row>
    <row r="34" spans="1:19" x14ac:dyDescent="0.3">
      <c r="A34" s="412">
        <v>46295</v>
      </c>
      <c r="B34" s="414" t="str">
        <f>IF(D34&gt;0,COUNTIF($D$9:D34,"&gt;0"),"")</f>
        <v/>
      </c>
      <c r="C34" s="888">
        <f>'SEMANA SETEMBRO'!$M$209</f>
        <v>0</v>
      </c>
      <c r="D34" s="888">
        <f>IF(C34&gt;0,CONFIG!$B$3,0)</f>
        <v>0</v>
      </c>
      <c r="E34" s="889">
        <f t="shared" si="0"/>
        <v>0</v>
      </c>
      <c r="F34" s="444"/>
      <c r="G34" s="424"/>
      <c r="H34" s="424"/>
      <c r="I34" s="424"/>
      <c r="J34" s="424"/>
      <c r="K34" s="424"/>
      <c r="L34" s="424"/>
      <c r="M34" s="424"/>
      <c r="N34" s="424"/>
      <c r="O34" s="424"/>
      <c r="P34" s="93" t="str">
        <f t="shared" si="1"/>
        <v/>
      </c>
      <c r="Q34" s="1" t="e">
        <f t="shared" si="2"/>
        <v>#N/A</v>
      </c>
      <c r="R34" s="1" t="e">
        <f t="shared" si="3"/>
        <v>#N/A</v>
      </c>
      <c r="S34" s="1" t="e">
        <f t="shared" si="4"/>
        <v>#N/A</v>
      </c>
    </row>
    <row r="35" spans="1:19" ht="14.25" customHeight="1" x14ac:dyDescent="0.3"/>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43" priority="1" operator="greaterThan">
      <formula>0</formula>
    </cfRule>
    <cfRule type="cellIs" dxfId="42" priority="2" operator="lessThan">
      <formula>0</formula>
    </cfRule>
    <cfRule type="cellIs" dxfId="41"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0CED-2244-4D0E-8537-A6206023782E}">
  <sheetPr>
    <tabColor rgb="FFC96B0A"/>
  </sheetPr>
  <dimension ref="B1:O300"/>
  <sheetViews>
    <sheetView showGridLines="0" zoomScale="90" zoomScaleNormal="90" workbookViewId="0">
      <selection activeCell="A127" sqref="A127:D12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616</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c r="C4" s="638"/>
      <c r="D4" s="638"/>
      <c r="E4" s="638"/>
      <c r="F4" s="638"/>
      <c r="G4" s="638"/>
      <c r="H4" s="638"/>
      <c r="I4" s="638"/>
      <c r="J4" s="638"/>
      <c r="K4" s="638"/>
      <c r="L4" s="638"/>
      <c r="M4" s="497"/>
      <c r="N4" s="533"/>
      <c r="O4" s="493"/>
    </row>
    <row r="5" spans="2:15" ht="17.25" customHeight="1" x14ac:dyDescent="0.3">
      <c r="B5" s="499"/>
      <c r="C5" s="637"/>
      <c r="D5" s="637"/>
      <c r="E5" s="637"/>
      <c r="F5" s="637"/>
      <c r="G5" s="637"/>
      <c r="H5" s="637"/>
      <c r="I5" s="637"/>
      <c r="J5" s="637"/>
      <c r="K5" s="637"/>
      <c r="L5" s="637"/>
      <c r="M5" s="499"/>
      <c r="N5" s="525"/>
      <c r="O5" s="493"/>
    </row>
    <row r="6" spans="2:15" ht="17.25" customHeight="1" x14ac:dyDescent="0.3">
      <c r="B6" s="496"/>
      <c r="C6" s="638"/>
      <c r="D6" s="638"/>
      <c r="E6" s="638"/>
      <c r="F6" s="638"/>
      <c r="G6" s="638"/>
      <c r="H6" s="638"/>
      <c r="I6" s="638"/>
      <c r="J6" s="638"/>
      <c r="K6" s="638"/>
      <c r="L6" s="638"/>
      <c r="M6" s="497"/>
      <c r="N6" s="525"/>
      <c r="O6" s="493"/>
    </row>
    <row r="7" spans="2:15" ht="17.25" customHeight="1" x14ac:dyDescent="0.3">
      <c r="B7" s="499"/>
      <c r="C7" s="637"/>
      <c r="D7" s="637"/>
      <c r="E7" s="637"/>
      <c r="F7" s="637"/>
      <c r="G7" s="637"/>
      <c r="H7" s="637"/>
      <c r="I7" s="637"/>
      <c r="J7" s="637"/>
      <c r="K7" s="637"/>
      <c r="L7" s="637"/>
      <c r="M7" s="500"/>
      <c r="N7" s="525"/>
      <c r="O7" s="493"/>
    </row>
    <row r="8" spans="2:15" ht="17.25" customHeight="1" x14ac:dyDescent="0.3">
      <c r="B8" s="496"/>
      <c r="C8" s="638"/>
      <c r="D8" s="638"/>
      <c r="E8" s="638"/>
      <c r="F8" s="638"/>
      <c r="G8" s="638"/>
      <c r="H8" s="638"/>
      <c r="I8" s="638"/>
      <c r="J8" s="638"/>
      <c r="K8" s="638"/>
      <c r="L8" s="638"/>
      <c r="M8" s="497"/>
      <c r="N8" s="525"/>
      <c r="O8" s="493"/>
    </row>
    <row r="9" spans="2:15" ht="17.25" customHeight="1" x14ac:dyDescent="0.3">
      <c r="B9" s="499"/>
      <c r="C9" s="637"/>
      <c r="D9" s="637"/>
      <c r="E9" s="637"/>
      <c r="F9" s="637"/>
      <c r="G9" s="637"/>
      <c r="H9" s="637"/>
      <c r="I9" s="637"/>
      <c r="J9" s="637"/>
      <c r="K9" s="637"/>
      <c r="L9" s="637"/>
      <c r="M9" s="499"/>
      <c r="N9" s="525"/>
      <c r="O9" s="493"/>
    </row>
    <row r="10" spans="2:15" ht="17.25" customHeight="1" x14ac:dyDescent="0.3">
      <c r="B10" s="496"/>
      <c r="C10" s="638"/>
      <c r="D10" s="638"/>
      <c r="E10" s="638"/>
      <c r="F10" s="638"/>
      <c r="G10" s="638"/>
      <c r="H10" s="638"/>
      <c r="I10" s="638"/>
      <c r="J10" s="638"/>
      <c r="K10" s="638"/>
      <c r="L10" s="638"/>
      <c r="M10" s="496"/>
      <c r="N10" s="525"/>
      <c r="O10" s="493"/>
    </row>
    <row r="11" spans="2:15" ht="17.25" customHeight="1" x14ac:dyDescent="0.3">
      <c r="B11" s="499"/>
      <c r="C11" s="637"/>
      <c r="D11" s="637"/>
      <c r="E11" s="637"/>
      <c r="F11" s="637"/>
      <c r="G11" s="637"/>
      <c r="H11" s="637"/>
      <c r="I11" s="637"/>
      <c r="J11" s="637"/>
      <c r="K11" s="637"/>
      <c r="L11" s="637"/>
      <c r="M11" s="499"/>
      <c r="N11" s="525"/>
      <c r="O11" s="493"/>
    </row>
    <row r="12" spans="2:15" ht="17.25" customHeight="1" x14ac:dyDescent="0.3">
      <c r="B12" s="496"/>
      <c r="C12" s="638"/>
      <c r="D12" s="638"/>
      <c r="E12" s="638"/>
      <c r="F12" s="638"/>
      <c r="G12" s="638"/>
      <c r="H12" s="638"/>
      <c r="I12" s="638"/>
      <c r="J12" s="638"/>
      <c r="K12" s="638"/>
      <c r="L12" s="638"/>
      <c r="M12" s="496"/>
      <c r="N12" s="525"/>
      <c r="O12" s="493"/>
    </row>
    <row r="13" spans="2:15" ht="17.25" customHeight="1" x14ac:dyDescent="0.3">
      <c r="B13" s="499"/>
      <c r="C13" s="637"/>
      <c r="D13" s="637"/>
      <c r="E13" s="637"/>
      <c r="F13" s="637"/>
      <c r="G13" s="637"/>
      <c r="H13" s="637"/>
      <c r="I13" s="637"/>
      <c r="J13" s="637"/>
      <c r="K13" s="637"/>
      <c r="L13" s="637"/>
      <c r="M13" s="499"/>
      <c r="N13" s="525"/>
      <c r="O13" s="493"/>
    </row>
    <row r="14" spans="2:15" ht="17.25" customHeight="1" x14ac:dyDescent="0.3">
      <c r="B14" s="496"/>
      <c r="C14" s="638"/>
      <c r="D14" s="638"/>
      <c r="E14" s="638"/>
      <c r="F14" s="638"/>
      <c r="G14" s="638"/>
      <c r="H14" s="638"/>
      <c r="I14" s="638"/>
      <c r="J14" s="638"/>
      <c r="K14" s="638"/>
      <c r="L14" s="638"/>
      <c r="M14" s="496"/>
      <c r="N14" s="525"/>
      <c r="O14" s="493"/>
    </row>
    <row r="15" spans="2:15" ht="17.25" customHeight="1" x14ac:dyDescent="0.3">
      <c r="B15" s="499"/>
      <c r="C15" s="637"/>
      <c r="D15" s="637"/>
      <c r="E15" s="637"/>
      <c r="F15" s="637"/>
      <c r="G15" s="637"/>
      <c r="H15" s="637"/>
      <c r="I15" s="637"/>
      <c r="J15" s="637"/>
      <c r="K15" s="637"/>
      <c r="L15" s="637"/>
      <c r="M15" s="499"/>
      <c r="N15" s="525"/>
      <c r="O15" s="493"/>
    </row>
    <row r="16" spans="2:15" ht="17.25" customHeight="1" x14ac:dyDescent="0.3">
      <c r="B16" s="496"/>
      <c r="C16" s="638"/>
      <c r="D16" s="638"/>
      <c r="E16" s="638"/>
      <c r="F16" s="638"/>
      <c r="G16" s="638"/>
      <c r="H16" s="638"/>
      <c r="I16" s="638"/>
      <c r="J16" s="638"/>
      <c r="K16" s="638"/>
      <c r="L16" s="638"/>
      <c r="M16" s="496"/>
      <c r="N16" s="525"/>
      <c r="O16" s="493"/>
    </row>
    <row r="17" spans="2:15" ht="17.25" customHeight="1" x14ac:dyDescent="0.3">
      <c r="B17" s="499"/>
      <c r="C17" s="637"/>
      <c r="D17" s="637"/>
      <c r="E17" s="637"/>
      <c r="F17" s="637"/>
      <c r="G17" s="637"/>
      <c r="H17" s="637"/>
      <c r="I17" s="637"/>
      <c r="J17" s="637"/>
      <c r="K17" s="637"/>
      <c r="L17" s="637"/>
      <c r="M17" s="500"/>
      <c r="N17" s="525"/>
      <c r="O17" s="493"/>
    </row>
    <row r="18" spans="2:15" ht="17.25" customHeight="1" x14ac:dyDescent="0.3">
      <c r="B18" s="496"/>
      <c r="C18" s="638"/>
      <c r="D18" s="638"/>
      <c r="E18" s="638"/>
      <c r="F18" s="638"/>
      <c r="G18" s="638"/>
      <c r="H18" s="638"/>
      <c r="I18" s="638"/>
      <c r="J18" s="638"/>
      <c r="K18" s="638"/>
      <c r="L18" s="638"/>
      <c r="M18" s="496"/>
      <c r="N18" s="525"/>
      <c r="O18" s="493"/>
    </row>
    <row r="19" spans="2:15" ht="17.25" customHeight="1" x14ac:dyDescent="0.3">
      <c r="B19" s="499"/>
      <c r="C19" s="637"/>
      <c r="D19" s="637"/>
      <c r="E19" s="637"/>
      <c r="F19" s="637"/>
      <c r="G19" s="637"/>
      <c r="H19" s="637"/>
      <c r="I19" s="637"/>
      <c r="J19" s="637"/>
      <c r="K19" s="637"/>
      <c r="L19" s="637"/>
      <c r="M19" s="499"/>
      <c r="N19" s="525"/>
      <c r="O19" s="493"/>
    </row>
    <row r="20" spans="2:15" ht="17.25" customHeight="1" x14ac:dyDescent="0.3">
      <c r="B20" s="496"/>
      <c r="C20" s="638"/>
      <c r="D20" s="638"/>
      <c r="E20" s="638"/>
      <c r="F20" s="638"/>
      <c r="G20" s="638"/>
      <c r="H20" s="638"/>
      <c r="I20" s="638"/>
      <c r="J20" s="638"/>
      <c r="K20" s="638"/>
      <c r="L20" s="638"/>
      <c r="M20" s="496"/>
      <c r="N20" s="525"/>
      <c r="O20" s="493"/>
    </row>
    <row r="21" spans="2:15" ht="17.25" customHeight="1" x14ac:dyDescent="0.3">
      <c r="B21" s="499"/>
      <c r="C21" s="637"/>
      <c r="D21" s="637"/>
      <c r="E21" s="637"/>
      <c r="F21" s="637"/>
      <c r="G21" s="637"/>
      <c r="H21" s="637"/>
      <c r="I21" s="637"/>
      <c r="J21" s="637"/>
      <c r="K21" s="637"/>
      <c r="L21" s="637"/>
      <c r="M21" s="499"/>
      <c r="N21" s="525"/>
      <c r="O21" s="493"/>
    </row>
    <row r="22" spans="2:15" ht="17.25" customHeight="1" x14ac:dyDescent="0.3">
      <c r="B22" s="496"/>
      <c r="C22" s="638"/>
      <c r="D22" s="638"/>
      <c r="E22" s="638"/>
      <c r="F22" s="638"/>
      <c r="G22" s="638"/>
      <c r="H22" s="638"/>
      <c r="I22" s="638"/>
      <c r="J22" s="638"/>
      <c r="K22" s="638"/>
      <c r="L22" s="638"/>
      <c r="M22" s="496"/>
      <c r="N22" s="525"/>
      <c r="O22" s="493"/>
    </row>
    <row r="23" spans="2:15" ht="17.25" customHeight="1" x14ac:dyDescent="0.3">
      <c r="B23" s="499"/>
      <c r="C23" s="637"/>
      <c r="D23" s="637"/>
      <c r="E23" s="637"/>
      <c r="F23" s="637"/>
      <c r="G23" s="637"/>
      <c r="H23" s="637"/>
      <c r="I23" s="637"/>
      <c r="J23" s="637"/>
      <c r="K23" s="637"/>
      <c r="L23" s="637"/>
      <c r="M23" s="499"/>
      <c r="N23" s="525"/>
      <c r="O23" s="493"/>
    </row>
    <row r="24" spans="2:15" ht="17.25" customHeight="1" x14ac:dyDescent="0.3">
      <c r="B24" s="496"/>
      <c r="C24" s="638"/>
      <c r="D24" s="638"/>
      <c r="E24" s="638"/>
      <c r="F24" s="638"/>
      <c r="G24" s="638"/>
      <c r="H24" s="638"/>
      <c r="I24" s="638"/>
      <c r="J24" s="638"/>
      <c r="K24" s="638"/>
      <c r="L24" s="638"/>
      <c r="M24" s="496"/>
      <c r="N24" s="525"/>
      <c r="O24" s="493"/>
    </row>
    <row r="25" spans="2:15" ht="17.25" customHeight="1" x14ac:dyDescent="0.3">
      <c r="B25" s="499"/>
      <c r="C25" s="637"/>
      <c r="D25" s="637"/>
      <c r="E25" s="637"/>
      <c r="F25" s="637"/>
      <c r="G25" s="637"/>
      <c r="H25" s="637"/>
      <c r="I25" s="637"/>
      <c r="J25" s="637"/>
      <c r="K25" s="637"/>
      <c r="L25" s="637"/>
      <c r="M25" s="500"/>
      <c r="N25" s="525"/>
      <c r="O25" s="493"/>
    </row>
    <row r="26" spans="2:15" ht="17.25" customHeight="1" x14ac:dyDescent="0.3">
      <c r="B26" s="496"/>
      <c r="C26" s="638"/>
      <c r="D26" s="638"/>
      <c r="E26" s="638"/>
      <c r="F26" s="638"/>
      <c r="G26" s="638"/>
      <c r="H26" s="638"/>
      <c r="I26" s="638"/>
      <c r="J26" s="638"/>
      <c r="K26" s="638"/>
      <c r="L26" s="638"/>
      <c r="M26" s="496"/>
      <c r="N26" s="525"/>
      <c r="O26" s="493"/>
    </row>
    <row r="27" spans="2:15" ht="17.25" customHeight="1" x14ac:dyDescent="0.3">
      <c r="B27" s="499"/>
      <c r="C27" s="637"/>
      <c r="D27" s="637"/>
      <c r="E27" s="637"/>
      <c r="F27" s="637"/>
      <c r="G27" s="637"/>
      <c r="H27" s="637"/>
      <c r="I27" s="637"/>
      <c r="J27" s="637"/>
      <c r="K27" s="637"/>
      <c r="L27" s="637"/>
      <c r="M27" s="499"/>
      <c r="N27" s="525"/>
      <c r="O27" s="493"/>
    </row>
    <row r="28" spans="2:15" ht="17.25" customHeight="1" x14ac:dyDescent="0.3">
      <c r="B28" s="496"/>
      <c r="C28" s="638"/>
      <c r="D28" s="638"/>
      <c r="E28" s="638"/>
      <c r="F28" s="638"/>
      <c r="G28" s="638"/>
      <c r="H28" s="638"/>
      <c r="I28" s="638"/>
      <c r="J28" s="638"/>
      <c r="K28" s="638"/>
      <c r="L28" s="638"/>
      <c r="M28" s="496"/>
      <c r="N28" s="525"/>
      <c r="O28" s="493"/>
    </row>
    <row r="29" spans="2:15" ht="17.25" customHeight="1" x14ac:dyDescent="0.3">
      <c r="B29" s="499"/>
      <c r="C29" s="637"/>
      <c r="D29" s="637"/>
      <c r="E29" s="637"/>
      <c r="F29" s="637"/>
      <c r="G29" s="637"/>
      <c r="H29" s="637"/>
      <c r="I29" s="637"/>
      <c r="J29" s="637"/>
      <c r="K29" s="637"/>
      <c r="L29" s="637"/>
      <c r="M29" s="499"/>
      <c r="N29" s="525"/>
      <c r="O29" s="493"/>
    </row>
    <row r="30" spans="2:15" ht="17.25" customHeight="1" x14ac:dyDescent="0.3">
      <c r="B30" s="496"/>
      <c r="C30" s="638"/>
      <c r="D30" s="638"/>
      <c r="E30" s="638"/>
      <c r="F30" s="638"/>
      <c r="G30" s="638"/>
      <c r="H30" s="638"/>
      <c r="I30" s="638"/>
      <c r="J30" s="638"/>
      <c r="K30" s="638"/>
      <c r="L30" s="638"/>
      <c r="M30" s="496"/>
      <c r="N30" s="525"/>
      <c r="O30" s="493"/>
    </row>
    <row r="31" spans="2:15" ht="17.25" customHeight="1" x14ac:dyDescent="0.3">
      <c r="B31" s="499"/>
      <c r="C31" s="637"/>
      <c r="D31" s="637"/>
      <c r="E31" s="637"/>
      <c r="F31" s="637"/>
      <c r="G31" s="637"/>
      <c r="H31" s="637"/>
      <c r="I31" s="637"/>
      <c r="J31" s="637"/>
      <c r="K31" s="637"/>
      <c r="L31" s="637"/>
      <c r="M31" s="499"/>
      <c r="N31" s="525"/>
      <c r="O31" s="493"/>
    </row>
    <row r="32" spans="2:15" ht="17.25" customHeight="1" x14ac:dyDescent="0.3">
      <c r="B32" s="496"/>
      <c r="C32" s="638"/>
      <c r="D32" s="638"/>
      <c r="E32" s="638"/>
      <c r="F32" s="638"/>
      <c r="G32" s="638"/>
      <c r="H32" s="638"/>
      <c r="I32" s="638"/>
      <c r="J32" s="638"/>
      <c r="K32" s="638"/>
      <c r="L32" s="638"/>
      <c r="M32" s="496"/>
      <c r="N32" s="525"/>
      <c r="O32" s="493"/>
    </row>
    <row r="33" spans="2:15" ht="17.25" customHeight="1" x14ac:dyDescent="0.3">
      <c r="B33" s="499"/>
      <c r="C33" s="637"/>
      <c r="D33" s="637"/>
      <c r="E33" s="637"/>
      <c r="F33" s="637"/>
      <c r="G33" s="637"/>
      <c r="H33" s="637"/>
      <c r="I33" s="637"/>
      <c r="J33" s="637"/>
      <c r="K33" s="637"/>
      <c r="L33" s="637"/>
      <c r="M33" s="499"/>
      <c r="N33" s="525"/>
      <c r="O33" s="493"/>
    </row>
    <row r="34" spans="2:15" ht="17.25" customHeight="1" x14ac:dyDescent="0.3">
      <c r="B34" s="496"/>
      <c r="C34" s="638"/>
      <c r="D34" s="638"/>
      <c r="E34" s="638"/>
      <c r="F34" s="638"/>
      <c r="G34" s="638"/>
      <c r="H34" s="638"/>
      <c r="I34" s="638"/>
      <c r="J34" s="638"/>
      <c r="K34" s="638"/>
      <c r="L34" s="638"/>
      <c r="M34" s="497"/>
      <c r="N34" s="525"/>
      <c r="O34" s="493"/>
    </row>
    <row r="35" spans="2:15" ht="17.25" customHeight="1" x14ac:dyDescent="0.3">
      <c r="B35" s="499"/>
      <c r="C35" s="637"/>
      <c r="D35" s="637"/>
      <c r="E35" s="637"/>
      <c r="F35" s="637"/>
      <c r="G35" s="637"/>
      <c r="H35" s="637"/>
      <c r="I35" s="637"/>
      <c r="J35" s="637"/>
      <c r="K35" s="637"/>
      <c r="L35" s="637"/>
      <c r="M35" s="499"/>
      <c r="N35" s="525"/>
      <c r="O35" s="493"/>
    </row>
    <row r="36" spans="2:15" ht="17.25" customHeight="1" x14ac:dyDescent="0.3">
      <c r="B36" s="496"/>
      <c r="C36" s="638"/>
      <c r="D36" s="638"/>
      <c r="E36" s="638"/>
      <c r="F36" s="638"/>
      <c r="G36" s="638"/>
      <c r="H36" s="638"/>
      <c r="I36" s="638"/>
      <c r="J36" s="638"/>
      <c r="K36" s="638"/>
      <c r="L36" s="638"/>
      <c r="M36" s="496"/>
      <c r="N36" s="525"/>
      <c r="O36" s="493"/>
    </row>
    <row r="37" spans="2:15" ht="17.25" customHeight="1" x14ac:dyDescent="0.3">
      <c r="B37" s="499"/>
      <c r="C37" s="637"/>
      <c r="D37" s="637"/>
      <c r="E37" s="637"/>
      <c r="F37" s="637"/>
      <c r="G37" s="637"/>
      <c r="H37" s="637"/>
      <c r="I37" s="637"/>
      <c r="J37" s="637"/>
      <c r="K37" s="637"/>
      <c r="L37" s="637"/>
      <c r="M37" s="499"/>
      <c r="N37" s="525"/>
      <c r="O37" s="493"/>
    </row>
    <row r="38" spans="2:15" ht="17.25" customHeight="1" x14ac:dyDescent="0.3">
      <c r="B38" s="496"/>
      <c r="C38" s="638"/>
      <c r="D38" s="638"/>
      <c r="E38" s="638"/>
      <c r="F38" s="638"/>
      <c r="G38" s="638"/>
      <c r="H38" s="638"/>
      <c r="I38" s="638"/>
      <c r="J38" s="638"/>
      <c r="K38" s="638"/>
      <c r="L38" s="638"/>
      <c r="M38" s="496"/>
      <c r="N38" s="525"/>
      <c r="O38" s="493"/>
    </row>
    <row r="39" spans="2:15" ht="17.25" customHeight="1" x14ac:dyDescent="0.3">
      <c r="B39" s="499"/>
      <c r="C39" s="637"/>
      <c r="D39" s="637"/>
      <c r="E39" s="637"/>
      <c r="F39" s="637"/>
      <c r="G39" s="637"/>
      <c r="H39" s="637"/>
      <c r="I39" s="637"/>
      <c r="J39" s="637"/>
      <c r="K39" s="637"/>
      <c r="L39" s="637"/>
      <c r="M39" s="499"/>
      <c r="N39" s="525"/>
      <c r="O39" s="493"/>
    </row>
    <row r="40" spans="2:15" ht="17.25" customHeight="1" x14ac:dyDescent="0.3">
      <c r="B40" s="496"/>
      <c r="C40" s="638"/>
      <c r="D40" s="638"/>
      <c r="E40" s="638"/>
      <c r="F40" s="638"/>
      <c r="G40" s="638"/>
      <c r="H40" s="638"/>
      <c r="I40" s="638"/>
      <c r="J40" s="638"/>
      <c r="K40" s="638"/>
      <c r="L40" s="638"/>
      <c r="M40" s="496"/>
      <c r="N40" s="525"/>
      <c r="O40" s="493"/>
    </row>
    <row r="41" spans="2:15" ht="17.25" customHeight="1" x14ac:dyDescent="0.3">
      <c r="B41" s="499"/>
      <c r="C41" s="637"/>
      <c r="D41" s="637"/>
      <c r="E41" s="637"/>
      <c r="F41" s="637"/>
      <c r="G41" s="637"/>
      <c r="H41" s="637"/>
      <c r="I41" s="637"/>
      <c r="J41" s="637"/>
      <c r="K41" s="637"/>
      <c r="L41" s="637"/>
      <c r="M41" s="499"/>
      <c r="N41" s="525"/>
      <c r="O41" s="493"/>
    </row>
    <row r="42" spans="2:15" ht="17.25" customHeight="1" x14ac:dyDescent="0.3">
      <c r="B42" s="496"/>
      <c r="C42" s="638"/>
      <c r="D42" s="638"/>
      <c r="E42" s="638"/>
      <c r="F42" s="638"/>
      <c r="G42" s="638"/>
      <c r="H42" s="638"/>
      <c r="I42" s="638"/>
      <c r="J42" s="638"/>
      <c r="K42" s="638"/>
      <c r="L42" s="638"/>
      <c r="M42" s="497"/>
      <c r="N42" s="525"/>
      <c r="O42" s="493"/>
    </row>
    <row r="43" spans="2:15" ht="17.25" customHeight="1" x14ac:dyDescent="0.3">
      <c r="B43" s="499"/>
      <c r="C43" s="637"/>
      <c r="D43" s="637"/>
      <c r="E43" s="637"/>
      <c r="F43" s="637"/>
      <c r="G43" s="637"/>
      <c r="H43" s="637"/>
      <c r="I43" s="637"/>
      <c r="J43" s="637"/>
      <c r="K43" s="637"/>
      <c r="L43" s="637"/>
      <c r="M43" s="499"/>
      <c r="N43" s="525"/>
      <c r="O43" s="493"/>
    </row>
    <row r="44" spans="2:15" ht="17.25" customHeight="1" x14ac:dyDescent="0.3">
      <c r="B44" s="496"/>
      <c r="C44" s="638"/>
      <c r="D44" s="638"/>
      <c r="E44" s="638"/>
      <c r="F44" s="638"/>
      <c r="G44" s="638"/>
      <c r="H44" s="638"/>
      <c r="I44" s="638"/>
      <c r="J44" s="638"/>
      <c r="K44" s="638"/>
      <c r="L44" s="638"/>
      <c r="M44" s="496"/>
      <c r="N44" s="525"/>
      <c r="O44" s="493"/>
    </row>
    <row r="45" spans="2:15" ht="17.25" customHeight="1" x14ac:dyDescent="0.3">
      <c r="B45" s="499"/>
      <c r="C45" s="637"/>
      <c r="D45" s="637"/>
      <c r="E45" s="637"/>
      <c r="F45" s="637"/>
      <c r="G45" s="637"/>
      <c r="H45" s="637"/>
      <c r="I45" s="637"/>
      <c r="J45" s="637"/>
      <c r="K45" s="637"/>
      <c r="L45" s="637"/>
      <c r="M45" s="499"/>
      <c r="N45" s="525"/>
      <c r="O45" s="493"/>
    </row>
    <row r="46" spans="2:15" ht="17.25" customHeight="1" x14ac:dyDescent="0.3">
      <c r="B46" s="496"/>
      <c r="C46" s="638"/>
      <c r="D46" s="638"/>
      <c r="E46" s="638"/>
      <c r="F46" s="638"/>
      <c r="G46" s="638"/>
      <c r="H46" s="638"/>
      <c r="I46" s="638"/>
      <c r="J46" s="638"/>
      <c r="K46" s="638"/>
      <c r="L46" s="638"/>
      <c r="M46" s="496"/>
      <c r="N46" s="525"/>
      <c r="O46" s="493"/>
    </row>
    <row r="47" spans="2:15" ht="17.25" customHeight="1" x14ac:dyDescent="0.3">
      <c r="B47" s="499"/>
      <c r="C47" s="637"/>
      <c r="D47" s="637"/>
      <c r="E47" s="637"/>
      <c r="F47" s="637"/>
      <c r="G47" s="637"/>
      <c r="H47" s="637"/>
      <c r="I47" s="637"/>
      <c r="J47" s="637"/>
      <c r="K47" s="637"/>
      <c r="L47" s="637"/>
      <c r="M47" s="499"/>
      <c r="N47" s="525"/>
      <c r="O47" s="493"/>
    </row>
    <row r="48" spans="2:15" ht="17.25" customHeight="1" x14ac:dyDescent="0.3">
      <c r="B48" s="496"/>
      <c r="C48" s="638"/>
      <c r="D48" s="638"/>
      <c r="E48" s="638"/>
      <c r="F48" s="638"/>
      <c r="G48" s="638"/>
      <c r="H48" s="638"/>
      <c r="I48" s="638"/>
      <c r="J48" s="638"/>
      <c r="K48" s="638"/>
      <c r="L48" s="638"/>
      <c r="M48" s="496"/>
      <c r="N48" s="525"/>
      <c r="O48" s="493"/>
    </row>
    <row r="49" spans="2:15" ht="17.25" customHeight="1" x14ac:dyDescent="0.3">
      <c r="B49" s="499"/>
      <c r="C49" s="637"/>
      <c r="D49" s="637"/>
      <c r="E49" s="637"/>
      <c r="F49" s="637"/>
      <c r="G49" s="637"/>
      <c r="H49" s="637"/>
      <c r="I49" s="637"/>
      <c r="J49" s="637"/>
      <c r="K49" s="637"/>
      <c r="L49" s="637"/>
      <c r="M49" s="499"/>
      <c r="N49" s="525"/>
      <c r="O49" s="493"/>
    </row>
    <row r="50" spans="2:15" ht="17.25" customHeight="1" x14ac:dyDescent="0.3">
      <c r="B50" s="496"/>
      <c r="C50" s="638"/>
      <c r="D50" s="638"/>
      <c r="E50" s="638"/>
      <c r="F50" s="638"/>
      <c r="G50" s="638"/>
      <c r="H50" s="638"/>
      <c r="I50" s="638"/>
      <c r="J50" s="638"/>
      <c r="K50" s="638"/>
      <c r="L50" s="638"/>
      <c r="M50" s="496"/>
      <c r="N50" s="525"/>
      <c r="O50" s="493"/>
    </row>
    <row r="51" spans="2:15" ht="17.25" customHeight="1" x14ac:dyDescent="0.3">
      <c r="B51" s="499"/>
      <c r="C51" s="637"/>
      <c r="D51" s="637"/>
      <c r="E51" s="637"/>
      <c r="F51" s="637"/>
      <c r="G51" s="637"/>
      <c r="H51" s="637"/>
      <c r="I51" s="637"/>
      <c r="J51" s="637"/>
      <c r="K51" s="637"/>
      <c r="L51" s="637"/>
      <c r="M51" s="500"/>
      <c r="N51" s="525"/>
      <c r="O51" s="493"/>
    </row>
    <row r="52" spans="2:15" ht="17.25" customHeight="1" x14ac:dyDescent="0.3">
      <c r="B52" s="496"/>
      <c r="C52" s="638"/>
      <c r="D52" s="638"/>
      <c r="E52" s="638"/>
      <c r="F52" s="638"/>
      <c r="G52" s="638"/>
      <c r="H52" s="638"/>
      <c r="I52" s="638"/>
      <c r="J52" s="638"/>
      <c r="K52" s="638"/>
      <c r="L52" s="638"/>
      <c r="M52" s="496"/>
      <c r="N52" s="525"/>
      <c r="O52" s="493"/>
    </row>
    <row r="53" spans="2:15" ht="17.25" customHeight="1" x14ac:dyDescent="0.3">
      <c r="B53" s="499"/>
      <c r="C53" s="637"/>
      <c r="D53" s="637"/>
      <c r="E53" s="637"/>
      <c r="F53" s="637"/>
      <c r="G53" s="637"/>
      <c r="H53" s="637"/>
      <c r="I53" s="637"/>
      <c r="J53" s="637"/>
      <c r="K53" s="637"/>
      <c r="L53" s="637"/>
      <c r="M53" s="499"/>
      <c r="N53" s="525"/>
      <c r="O53" s="493"/>
    </row>
    <row r="54" spans="2:15" ht="17.25" customHeight="1" x14ac:dyDescent="0.3">
      <c r="B54" s="496"/>
      <c r="C54" s="638"/>
      <c r="D54" s="638"/>
      <c r="E54" s="638"/>
      <c r="F54" s="638"/>
      <c r="G54" s="638"/>
      <c r="H54" s="638"/>
      <c r="I54" s="638"/>
      <c r="J54" s="638"/>
      <c r="K54" s="638"/>
      <c r="L54" s="638"/>
      <c r="M54" s="496"/>
      <c r="N54" s="525"/>
      <c r="O54" s="493"/>
    </row>
    <row r="55" spans="2:15" ht="17.25" customHeight="1" x14ac:dyDescent="0.3">
      <c r="B55" s="499"/>
      <c r="C55" s="637"/>
      <c r="D55" s="637"/>
      <c r="E55" s="637"/>
      <c r="F55" s="637"/>
      <c r="G55" s="637"/>
      <c r="H55" s="637"/>
      <c r="I55" s="637"/>
      <c r="J55" s="637"/>
      <c r="K55" s="637"/>
      <c r="L55" s="637"/>
      <c r="M55" s="499"/>
      <c r="N55" s="525"/>
      <c r="O55" s="493"/>
    </row>
    <row r="56" spans="2:15" ht="17.25" customHeight="1" x14ac:dyDescent="0.3">
      <c r="B56" s="496"/>
      <c r="C56" s="638"/>
      <c r="D56" s="638"/>
      <c r="E56" s="638"/>
      <c r="F56" s="638"/>
      <c r="G56" s="638"/>
      <c r="H56" s="638"/>
      <c r="I56" s="638"/>
      <c r="J56" s="638"/>
      <c r="K56" s="638"/>
      <c r="L56" s="638"/>
      <c r="M56" s="496"/>
      <c r="N56" s="525"/>
      <c r="O56" s="493"/>
    </row>
    <row r="57" spans="2:15" ht="17.25" customHeight="1" x14ac:dyDescent="0.3">
      <c r="B57" s="499"/>
      <c r="C57" s="637"/>
      <c r="D57" s="637"/>
      <c r="E57" s="637"/>
      <c r="F57" s="637"/>
      <c r="G57" s="637"/>
      <c r="H57" s="637"/>
      <c r="I57" s="637"/>
      <c r="J57" s="637"/>
      <c r="K57" s="637"/>
      <c r="L57" s="637"/>
      <c r="M57" s="499"/>
      <c r="N57" s="525"/>
      <c r="O57" s="493"/>
    </row>
    <row r="58" spans="2:15" ht="17.25" customHeight="1" x14ac:dyDescent="0.3">
      <c r="B58" s="496"/>
      <c r="C58" s="638"/>
      <c r="D58" s="638"/>
      <c r="E58" s="638"/>
      <c r="F58" s="638"/>
      <c r="G58" s="638"/>
      <c r="H58" s="638"/>
      <c r="I58" s="638"/>
      <c r="J58" s="638"/>
      <c r="K58" s="638"/>
      <c r="L58" s="638"/>
      <c r="M58" s="496"/>
      <c r="N58" s="525"/>
      <c r="O58" s="493"/>
    </row>
    <row r="59" spans="2:15" ht="17.25" customHeight="1" x14ac:dyDescent="0.3">
      <c r="B59" s="499"/>
      <c r="C59" s="637"/>
      <c r="D59" s="637"/>
      <c r="E59" s="637"/>
      <c r="F59" s="637"/>
      <c r="G59" s="637"/>
      <c r="H59" s="637"/>
      <c r="I59" s="637"/>
      <c r="J59" s="637"/>
      <c r="K59" s="637"/>
      <c r="L59" s="637"/>
      <c r="M59" s="500"/>
      <c r="N59" s="525"/>
      <c r="O59" s="493"/>
    </row>
    <row r="60" spans="2:15" ht="17.25" customHeight="1" x14ac:dyDescent="0.3">
      <c r="B60" s="496"/>
      <c r="C60" s="638"/>
      <c r="D60" s="638"/>
      <c r="E60" s="638"/>
      <c r="F60" s="638"/>
      <c r="G60" s="638"/>
      <c r="H60" s="638"/>
      <c r="I60" s="638"/>
      <c r="J60" s="638"/>
      <c r="K60" s="638"/>
      <c r="L60" s="638"/>
      <c r="M60" s="496"/>
      <c r="N60" s="525"/>
      <c r="O60" s="493"/>
    </row>
    <row r="61" spans="2:15" ht="17.25" customHeight="1" x14ac:dyDescent="0.3">
      <c r="B61" s="499"/>
      <c r="C61" s="637"/>
      <c r="D61" s="637"/>
      <c r="E61" s="637"/>
      <c r="F61" s="637"/>
      <c r="G61" s="637"/>
      <c r="H61" s="637"/>
      <c r="I61" s="637"/>
      <c r="J61" s="637"/>
      <c r="K61" s="637"/>
      <c r="L61" s="637"/>
      <c r="M61" s="499"/>
      <c r="N61" s="525"/>
      <c r="O61" s="493"/>
    </row>
    <row r="62" spans="2:15" ht="17.25" customHeight="1" x14ac:dyDescent="0.3">
      <c r="B62" s="496"/>
      <c r="C62" s="638"/>
      <c r="D62" s="638"/>
      <c r="E62" s="638"/>
      <c r="F62" s="638"/>
      <c r="G62" s="638"/>
      <c r="H62" s="638"/>
      <c r="I62" s="638"/>
      <c r="J62" s="638"/>
      <c r="K62" s="638"/>
      <c r="L62" s="638"/>
      <c r="M62" s="496"/>
      <c r="N62" s="525"/>
      <c r="O62" s="493"/>
    </row>
    <row r="63" spans="2:15" ht="17.25" customHeight="1" x14ac:dyDescent="0.3">
      <c r="B63" s="499"/>
      <c r="C63" s="637"/>
      <c r="D63" s="637"/>
      <c r="E63" s="637"/>
      <c r="F63" s="637"/>
      <c r="G63" s="637"/>
      <c r="H63" s="637"/>
      <c r="I63" s="637"/>
      <c r="J63" s="637"/>
      <c r="K63" s="637"/>
      <c r="L63" s="637"/>
      <c r="M63" s="499"/>
      <c r="N63" s="525"/>
      <c r="O63" s="493"/>
    </row>
    <row r="64" spans="2:15" ht="17.25" customHeight="1" x14ac:dyDescent="0.3">
      <c r="B64" s="496"/>
      <c r="C64" s="638"/>
      <c r="D64" s="638"/>
      <c r="E64" s="638"/>
      <c r="F64" s="638"/>
      <c r="G64" s="638"/>
      <c r="H64" s="638"/>
      <c r="I64" s="638"/>
      <c r="J64" s="638"/>
      <c r="K64" s="638"/>
      <c r="L64" s="638"/>
      <c r="M64" s="496"/>
      <c r="N64" s="525"/>
      <c r="O64" s="493"/>
    </row>
    <row r="65" spans="2:15" ht="17.25" customHeight="1" x14ac:dyDescent="0.3">
      <c r="B65" s="499"/>
      <c r="C65" s="637"/>
      <c r="D65" s="637"/>
      <c r="E65" s="637"/>
      <c r="F65" s="637"/>
      <c r="G65" s="637"/>
      <c r="H65" s="637"/>
      <c r="I65" s="637"/>
      <c r="J65" s="637"/>
      <c r="K65" s="637"/>
      <c r="L65" s="637"/>
      <c r="M65" s="499"/>
      <c r="N65" s="525"/>
      <c r="O65" s="493"/>
    </row>
    <row r="66" spans="2:15" ht="17.25" customHeight="1" x14ac:dyDescent="0.3">
      <c r="B66" s="496"/>
      <c r="C66" s="638"/>
      <c r="D66" s="638"/>
      <c r="E66" s="638"/>
      <c r="F66" s="638"/>
      <c r="G66" s="638"/>
      <c r="H66" s="638"/>
      <c r="I66" s="638"/>
      <c r="J66" s="638"/>
      <c r="K66" s="638"/>
      <c r="L66" s="638"/>
      <c r="M66" s="496"/>
      <c r="N66" s="525"/>
      <c r="O66" s="493"/>
    </row>
    <row r="67" spans="2:15" ht="17.25" customHeight="1" x14ac:dyDescent="0.3">
      <c r="B67" s="499"/>
      <c r="C67" s="637"/>
      <c r="D67" s="637"/>
      <c r="E67" s="637"/>
      <c r="F67" s="637"/>
      <c r="G67" s="637"/>
      <c r="H67" s="637"/>
      <c r="I67" s="637"/>
      <c r="J67" s="637"/>
      <c r="K67" s="637"/>
      <c r="L67" s="637"/>
      <c r="M67" s="499"/>
      <c r="N67" s="525"/>
      <c r="O67" s="493"/>
    </row>
    <row r="68" spans="2:15" ht="17.25" customHeight="1" x14ac:dyDescent="0.3">
      <c r="B68" s="496"/>
      <c r="C68" s="638"/>
      <c r="D68" s="638"/>
      <c r="E68" s="638"/>
      <c r="F68" s="638"/>
      <c r="G68" s="638"/>
      <c r="H68" s="638"/>
      <c r="I68" s="638"/>
      <c r="J68" s="638"/>
      <c r="K68" s="638"/>
      <c r="L68" s="638"/>
      <c r="M68" s="497"/>
      <c r="N68" s="525"/>
      <c r="O68" s="493"/>
    </row>
    <row r="69" spans="2:15" ht="17.25" customHeight="1" x14ac:dyDescent="0.3">
      <c r="B69" s="499"/>
      <c r="C69" s="637"/>
      <c r="D69" s="637"/>
      <c r="E69" s="637"/>
      <c r="F69" s="637"/>
      <c r="G69" s="637"/>
      <c r="H69" s="637"/>
      <c r="I69" s="637"/>
      <c r="J69" s="637"/>
      <c r="K69" s="637"/>
      <c r="L69" s="637"/>
      <c r="M69" s="499"/>
      <c r="N69" s="525"/>
      <c r="O69" s="493"/>
    </row>
    <row r="70" spans="2:15" ht="17.25" customHeight="1" x14ac:dyDescent="0.3">
      <c r="B70" s="496"/>
      <c r="C70" s="638"/>
      <c r="D70" s="638"/>
      <c r="E70" s="638"/>
      <c r="F70" s="638"/>
      <c r="G70" s="638"/>
      <c r="H70" s="638"/>
      <c r="I70" s="638"/>
      <c r="J70" s="638"/>
      <c r="K70" s="638"/>
      <c r="L70" s="638"/>
      <c r="M70" s="496"/>
      <c r="N70" s="525"/>
      <c r="O70" s="493"/>
    </row>
    <row r="71" spans="2:15" ht="17.25" customHeight="1" x14ac:dyDescent="0.3">
      <c r="B71" s="499"/>
      <c r="C71" s="637"/>
      <c r="D71" s="637"/>
      <c r="E71" s="637"/>
      <c r="F71" s="637"/>
      <c r="G71" s="637"/>
      <c r="H71" s="637"/>
      <c r="I71" s="637"/>
      <c r="J71" s="637"/>
      <c r="K71" s="637"/>
      <c r="L71" s="637"/>
      <c r="M71" s="499"/>
      <c r="N71" s="525"/>
      <c r="O71" s="493"/>
    </row>
    <row r="72" spans="2:15" ht="17.25" customHeight="1" x14ac:dyDescent="0.3">
      <c r="B72" s="496"/>
      <c r="C72" s="638"/>
      <c r="D72" s="638"/>
      <c r="E72" s="638"/>
      <c r="F72" s="638"/>
      <c r="G72" s="638"/>
      <c r="H72" s="638"/>
      <c r="I72" s="638"/>
      <c r="J72" s="638"/>
      <c r="K72" s="638"/>
      <c r="L72" s="638"/>
      <c r="M72" s="496"/>
      <c r="N72" s="525"/>
      <c r="O72" s="493"/>
    </row>
    <row r="73" spans="2:15" ht="17.25" customHeight="1" x14ac:dyDescent="0.3">
      <c r="B73" s="499"/>
      <c r="C73" s="637"/>
      <c r="D73" s="637"/>
      <c r="E73" s="637"/>
      <c r="F73" s="637"/>
      <c r="G73" s="637"/>
      <c r="H73" s="637"/>
      <c r="I73" s="637"/>
      <c r="J73" s="637"/>
      <c r="K73" s="637"/>
      <c r="L73" s="637"/>
      <c r="M73" s="499"/>
      <c r="N73" s="525"/>
      <c r="O73" s="493"/>
    </row>
    <row r="74" spans="2:15" ht="17.25" customHeight="1" x14ac:dyDescent="0.3">
      <c r="B74" s="496"/>
      <c r="C74" s="638"/>
      <c r="D74" s="638"/>
      <c r="E74" s="638"/>
      <c r="F74" s="638"/>
      <c r="G74" s="638"/>
      <c r="H74" s="638"/>
      <c r="I74" s="638"/>
      <c r="J74" s="638"/>
      <c r="K74" s="638"/>
      <c r="L74" s="638"/>
      <c r="M74" s="496"/>
      <c r="N74" s="525"/>
      <c r="O74" s="493"/>
    </row>
    <row r="75" spans="2:15" ht="17.25" customHeight="1" x14ac:dyDescent="0.3">
      <c r="B75" s="499"/>
      <c r="C75" s="637"/>
      <c r="D75" s="637"/>
      <c r="E75" s="637"/>
      <c r="F75" s="637"/>
      <c r="G75" s="637"/>
      <c r="H75" s="637"/>
      <c r="I75" s="637"/>
      <c r="J75" s="637"/>
      <c r="K75" s="637"/>
      <c r="L75" s="637"/>
      <c r="M75" s="499"/>
      <c r="N75" s="525"/>
      <c r="O75" s="493"/>
    </row>
    <row r="76" spans="2:15" ht="17.25" customHeight="1" x14ac:dyDescent="0.3">
      <c r="B76" s="496"/>
      <c r="C76" s="638"/>
      <c r="D76" s="638"/>
      <c r="E76" s="638"/>
      <c r="F76" s="638"/>
      <c r="G76" s="638"/>
      <c r="H76" s="638"/>
      <c r="I76" s="638"/>
      <c r="J76" s="638"/>
      <c r="K76" s="638"/>
      <c r="L76" s="638"/>
      <c r="M76" s="497"/>
      <c r="N76" s="525"/>
      <c r="O76" s="493"/>
    </row>
    <row r="77" spans="2:15" ht="17.25" customHeight="1" x14ac:dyDescent="0.3">
      <c r="B77" s="499"/>
      <c r="C77" s="637"/>
      <c r="D77" s="637"/>
      <c r="E77" s="637"/>
      <c r="F77" s="637"/>
      <c r="G77" s="637"/>
      <c r="H77" s="637"/>
      <c r="I77" s="637"/>
      <c r="J77" s="637"/>
      <c r="K77" s="637"/>
      <c r="L77" s="637"/>
      <c r="M77" s="499"/>
      <c r="N77" s="525"/>
      <c r="O77" s="493"/>
    </row>
    <row r="78" spans="2:15" ht="17.25" customHeight="1" x14ac:dyDescent="0.3">
      <c r="B78" s="496"/>
      <c r="C78" s="638"/>
      <c r="D78" s="638"/>
      <c r="E78" s="638"/>
      <c r="F78" s="638"/>
      <c r="G78" s="638"/>
      <c r="H78" s="638"/>
      <c r="I78" s="638"/>
      <c r="J78" s="638"/>
      <c r="K78" s="638"/>
      <c r="L78" s="638"/>
      <c r="M78" s="496"/>
      <c r="N78" s="525"/>
      <c r="O78" s="493"/>
    </row>
    <row r="79" spans="2:15" ht="17.25" customHeight="1" x14ac:dyDescent="0.3">
      <c r="B79" s="499"/>
      <c r="C79" s="637"/>
      <c r="D79" s="637"/>
      <c r="E79" s="637"/>
      <c r="F79" s="637"/>
      <c r="G79" s="637"/>
      <c r="H79" s="637"/>
      <c r="I79" s="637"/>
      <c r="J79" s="637"/>
      <c r="K79" s="637"/>
      <c r="L79" s="637"/>
      <c r="M79" s="499"/>
      <c r="N79" s="525"/>
      <c r="O79" s="493"/>
    </row>
    <row r="80" spans="2:15" ht="17.25" customHeight="1" x14ac:dyDescent="0.3">
      <c r="B80" s="496"/>
      <c r="C80" s="638"/>
      <c r="D80" s="638"/>
      <c r="E80" s="638"/>
      <c r="F80" s="638"/>
      <c r="G80" s="638"/>
      <c r="H80" s="638"/>
      <c r="I80" s="638"/>
      <c r="J80" s="638"/>
      <c r="K80" s="638"/>
      <c r="L80" s="638"/>
      <c r="M80" s="496"/>
      <c r="N80" s="525"/>
      <c r="O80" s="493"/>
    </row>
    <row r="81" spans="2:15" ht="17.25" customHeight="1" x14ac:dyDescent="0.3">
      <c r="B81" s="499"/>
      <c r="C81" s="637"/>
      <c r="D81" s="637"/>
      <c r="E81" s="637"/>
      <c r="F81" s="637"/>
      <c r="G81" s="637"/>
      <c r="H81" s="637"/>
      <c r="I81" s="637"/>
      <c r="J81" s="637"/>
      <c r="K81" s="637"/>
      <c r="L81" s="637"/>
      <c r="M81" s="499"/>
      <c r="N81" s="525"/>
      <c r="O81" s="493"/>
    </row>
    <row r="82" spans="2:15" ht="17.25" customHeight="1" x14ac:dyDescent="0.3">
      <c r="B82" s="496"/>
      <c r="C82" s="638"/>
      <c r="D82" s="638"/>
      <c r="E82" s="638"/>
      <c r="F82" s="638"/>
      <c r="G82" s="638"/>
      <c r="H82" s="638"/>
      <c r="I82" s="638"/>
      <c r="J82" s="638"/>
      <c r="K82" s="638"/>
      <c r="L82" s="638"/>
      <c r="M82" s="496"/>
      <c r="N82" s="525"/>
      <c r="O82" s="493"/>
    </row>
    <row r="83" spans="2:15" ht="17.25" customHeight="1" x14ac:dyDescent="0.3">
      <c r="B83" s="499"/>
      <c r="C83" s="637"/>
      <c r="D83" s="637"/>
      <c r="E83" s="637"/>
      <c r="F83" s="637"/>
      <c r="G83" s="637"/>
      <c r="H83" s="637"/>
      <c r="I83" s="637"/>
      <c r="J83" s="637"/>
      <c r="K83" s="637"/>
      <c r="L83" s="637"/>
      <c r="M83" s="499"/>
      <c r="N83" s="525"/>
      <c r="O83" s="493"/>
    </row>
    <row r="84" spans="2:15" ht="17.25" customHeight="1" x14ac:dyDescent="0.3">
      <c r="B84" s="496"/>
      <c r="C84" s="638"/>
      <c r="D84" s="638"/>
      <c r="E84" s="638"/>
      <c r="F84" s="638"/>
      <c r="G84" s="638"/>
      <c r="H84" s="638"/>
      <c r="I84" s="638"/>
      <c r="J84" s="638"/>
      <c r="K84" s="638"/>
      <c r="L84" s="638"/>
      <c r="M84" s="496"/>
      <c r="N84" s="525"/>
      <c r="O84" s="493"/>
    </row>
    <row r="85" spans="2:15" ht="17.25" customHeight="1" x14ac:dyDescent="0.3">
      <c r="B85" s="499"/>
      <c r="C85" s="637"/>
      <c r="D85" s="637"/>
      <c r="E85" s="637"/>
      <c r="F85" s="637"/>
      <c r="G85" s="637"/>
      <c r="H85" s="637"/>
      <c r="I85" s="637"/>
      <c r="J85" s="637"/>
      <c r="K85" s="637"/>
      <c r="L85" s="637"/>
      <c r="M85" s="500"/>
      <c r="N85" s="525"/>
      <c r="O85" s="493"/>
    </row>
    <row r="86" spans="2:15" ht="17.25" customHeight="1" x14ac:dyDescent="0.3">
      <c r="B86" s="496"/>
      <c r="C86" s="638"/>
      <c r="D86" s="638"/>
      <c r="E86" s="638"/>
      <c r="F86" s="638"/>
      <c r="G86" s="638"/>
      <c r="H86" s="638"/>
      <c r="I86" s="638"/>
      <c r="J86" s="638"/>
      <c r="K86" s="638"/>
      <c r="L86" s="638"/>
      <c r="M86" s="496"/>
      <c r="N86" s="525"/>
      <c r="O86" s="493"/>
    </row>
    <row r="87" spans="2:15" ht="17.25" customHeight="1" x14ac:dyDescent="0.3">
      <c r="B87" s="499"/>
      <c r="C87" s="637"/>
      <c r="D87" s="637"/>
      <c r="E87" s="637"/>
      <c r="F87" s="637"/>
      <c r="G87" s="637"/>
      <c r="H87" s="637"/>
      <c r="I87" s="637"/>
      <c r="J87" s="637"/>
      <c r="K87" s="637"/>
      <c r="L87" s="637"/>
      <c r="M87" s="499"/>
      <c r="N87" s="525"/>
      <c r="O87" s="493"/>
    </row>
    <row r="88" spans="2:15" ht="17.25" customHeight="1" x14ac:dyDescent="0.3">
      <c r="B88" s="496"/>
      <c r="C88" s="638"/>
      <c r="D88" s="638"/>
      <c r="E88" s="638"/>
      <c r="F88" s="638"/>
      <c r="G88" s="638"/>
      <c r="H88" s="638"/>
      <c r="I88" s="638"/>
      <c r="J88" s="638"/>
      <c r="K88" s="638"/>
      <c r="L88" s="638"/>
      <c r="M88" s="496"/>
      <c r="N88" s="525"/>
      <c r="O88" s="493"/>
    </row>
    <row r="89" spans="2:15" ht="17.25" customHeight="1" x14ac:dyDescent="0.3">
      <c r="B89" s="499"/>
      <c r="C89" s="637"/>
      <c r="D89" s="637"/>
      <c r="E89" s="637"/>
      <c r="F89" s="637"/>
      <c r="G89" s="637"/>
      <c r="H89" s="637"/>
      <c r="I89" s="637"/>
      <c r="J89" s="637"/>
      <c r="K89" s="637"/>
      <c r="L89" s="637"/>
      <c r="M89" s="499"/>
      <c r="N89" s="525"/>
      <c r="O89" s="493"/>
    </row>
    <row r="90" spans="2:15" ht="17.25" customHeight="1" x14ac:dyDescent="0.3">
      <c r="B90" s="496"/>
      <c r="C90" s="638"/>
      <c r="D90" s="638"/>
      <c r="E90" s="638"/>
      <c r="F90" s="638"/>
      <c r="G90" s="638"/>
      <c r="H90" s="638"/>
      <c r="I90" s="638"/>
      <c r="J90" s="638"/>
      <c r="K90" s="638"/>
      <c r="L90" s="638"/>
      <c r="M90" s="496"/>
      <c r="N90" s="525"/>
      <c r="O90" s="493"/>
    </row>
    <row r="91" spans="2:15" ht="17.25" customHeight="1" x14ac:dyDescent="0.3">
      <c r="B91" s="499"/>
      <c r="C91" s="637"/>
      <c r="D91" s="637"/>
      <c r="E91" s="637"/>
      <c r="F91" s="637"/>
      <c r="G91" s="637"/>
      <c r="H91" s="637"/>
      <c r="I91" s="637"/>
      <c r="J91" s="637"/>
      <c r="K91" s="637"/>
      <c r="L91" s="637"/>
      <c r="M91" s="499"/>
      <c r="N91" s="525"/>
      <c r="O91" s="493"/>
    </row>
    <row r="92" spans="2:15" ht="17.25" customHeight="1" x14ac:dyDescent="0.3">
      <c r="B92" s="496"/>
      <c r="C92" s="638"/>
      <c r="D92" s="638"/>
      <c r="E92" s="638"/>
      <c r="F92" s="638"/>
      <c r="G92" s="638"/>
      <c r="H92" s="638"/>
      <c r="I92" s="638"/>
      <c r="J92" s="638"/>
      <c r="K92" s="638"/>
      <c r="L92" s="638"/>
      <c r="M92" s="496"/>
      <c r="N92" s="525"/>
      <c r="O92" s="493"/>
    </row>
    <row r="93" spans="2:15" ht="17.25" customHeight="1" x14ac:dyDescent="0.3">
      <c r="B93" s="499"/>
      <c r="C93" s="637"/>
      <c r="D93" s="637"/>
      <c r="E93" s="637"/>
      <c r="F93" s="637"/>
      <c r="G93" s="637"/>
      <c r="H93" s="637"/>
      <c r="I93" s="637"/>
      <c r="J93" s="637"/>
      <c r="K93" s="637"/>
      <c r="L93" s="637"/>
      <c r="M93" s="500"/>
      <c r="N93" s="525"/>
      <c r="O93" s="493"/>
    </row>
    <row r="94" spans="2:15" ht="17.25" customHeight="1" x14ac:dyDescent="0.3">
      <c r="B94" s="496"/>
      <c r="C94" s="638"/>
      <c r="D94" s="638"/>
      <c r="E94" s="638"/>
      <c r="F94" s="638"/>
      <c r="G94" s="638"/>
      <c r="H94" s="638"/>
      <c r="I94" s="638"/>
      <c r="J94" s="638"/>
      <c r="K94" s="638"/>
      <c r="L94" s="638"/>
      <c r="M94" s="496"/>
      <c r="N94" s="525"/>
      <c r="O94" s="493"/>
    </row>
    <row r="95" spans="2:15" ht="18" customHeight="1" x14ac:dyDescent="0.3">
      <c r="N95" s="62"/>
    </row>
    <row r="96" spans="2:15" ht="18" customHeight="1" x14ac:dyDescent="0.3">
      <c r="N96" s="62"/>
    </row>
    <row r="97" spans="14:14" ht="18" customHeight="1" x14ac:dyDescent="0.3">
      <c r="N97" s="62"/>
    </row>
    <row r="98" spans="14:14" ht="18" customHeight="1" x14ac:dyDescent="0.3">
      <c r="N98" s="62"/>
    </row>
    <row r="99" spans="14:14" ht="18" customHeight="1" x14ac:dyDescent="0.3">
      <c r="N99" s="62"/>
    </row>
    <row r="100" spans="14:14" ht="18" customHeight="1" x14ac:dyDescent="0.3">
      <c r="N100" s="62"/>
    </row>
    <row r="101" spans="14:14" ht="18" customHeight="1" x14ac:dyDescent="0.3">
      <c r="N101" s="62"/>
    </row>
    <row r="102" spans="14:14" ht="18" customHeight="1" x14ac:dyDescent="0.3">
      <c r="N102" s="62"/>
    </row>
    <row r="103" spans="14:14" ht="18" customHeight="1" x14ac:dyDescent="0.3">
      <c r="N103" s="62"/>
    </row>
    <row r="104" spans="14:14" ht="18" customHeight="1" x14ac:dyDescent="0.3">
      <c r="N104" s="62"/>
    </row>
    <row r="105" spans="14:14" ht="18" customHeight="1" x14ac:dyDescent="0.3">
      <c r="N105" s="62"/>
    </row>
    <row r="106" spans="14:14" ht="18" customHeight="1" x14ac:dyDescent="0.3">
      <c r="N106" s="62"/>
    </row>
    <row r="107" spans="14:14" ht="18" customHeight="1" x14ac:dyDescent="0.3">
      <c r="N107" s="62"/>
    </row>
    <row r="108" spans="14:14" ht="18" customHeight="1" x14ac:dyDescent="0.3">
      <c r="N108" s="62"/>
    </row>
    <row r="109" spans="14:14" ht="18" customHeight="1" x14ac:dyDescent="0.3">
      <c r="N109" s="62"/>
    </row>
    <row r="110" spans="14:14" ht="18" customHeight="1" x14ac:dyDescent="0.3">
      <c r="N110" s="62"/>
    </row>
    <row r="111" spans="14:14" ht="18" customHeight="1" x14ac:dyDescent="0.3">
      <c r="N111" s="62"/>
    </row>
    <row r="112" spans="14:14"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8"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8" customHeight="1" x14ac:dyDescent="0.3">
      <c r="N283" s="62"/>
    </row>
    <row r="284" spans="14:14" ht="18" customHeight="1" x14ac:dyDescent="0.3">
      <c r="N284" s="62"/>
    </row>
    <row r="285" spans="14:14" ht="18" customHeight="1" x14ac:dyDescent="0.3">
      <c r="N285" s="62"/>
    </row>
    <row r="286" spans="14:14" ht="18" customHeight="1" x14ac:dyDescent="0.3">
      <c r="N286" s="62"/>
    </row>
    <row r="287" spans="14:14" ht="18" customHeight="1" x14ac:dyDescent="0.3">
      <c r="N287" s="62"/>
    </row>
    <row r="288" spans="14:14" ht="18" customHeight="1" x14ac:dyDescent="0.3">
      <c r="N288" s="62"/>
    </row>
    <row r="289" spans="14:14" ht="18" customHeight="1" x14ac:dyDescent="0.3">
      <c r="N289" s="62"/>
    </row>
    <row r="290" spans="14:14" ht="18" customHeight="1" x14ac:dyDescent="0.3">
      <c r="N290" s="62"/>
    </row>
    <row r="291" spans="14:14" ht="18" customHeight="1" x14ac:dyDescent="0.3">
      <c r="N291" s="62"/>
    </row>
    <row r="292" spans="14:14" ht="18" customHeight="1" x14ac:dyDescent="0.3">
      <c r="N292" s="62"/>
    </row>
    <row r="293" spans="14:14" ht="18" customHeight="1" x14ac:dyDescent="0.3">
      <c r="N293" s="62"/>
    </row>
    <row r="294" spans="14:14" ht="18" customHeight="1" x14ac:dyDescent="0.3">
      <c r="N294" s="62"/>
    </row>
    <row r="295" spans="14:14" ht="18" customHeight="1" x14ac:dyDescent="0.3">
      <c r="N295" s="62"/>
    </row>
    <row r="296" spans="14:14" ht="18" customHeight="1" x14ac:dyDescent="0.3">
      <c r="N296" s="62"/>
    </row>
    <row r="297" spans="14:14" ht="18" customHeight="1" x14ac:dyDescent="0.3">
      <c r="N297" s="62"/>
    </row>
    <row r="298" spans="14:14" ht="18" customHeight="1" x14ac:dyDescent="0.3">
      <c r="N298" s="62"/>
    </row>
    <row r="299" spans="14:14" ht="18" customHeight="1" x14ac:dyDescent="0.3">
      <c r="N299" s="62"/>
    </row>
    <row r="300" spans="14:14" ht="18" customHeight="1" x14ac:dyDescent="0.3">
      <c r="N300" s="62"/>
    </row>
  </sheetData>
  <mergeCells count="369">
    <mergeCell ref="C93:D93"/>
    <mergeCell ref="E93:F93"/>
    <mergeCell ref="G93:J93"/>
    <mergeCell ref="K93:L93"/>
    <mergeCell ref="C94:D94"/>
    <mergeCell ref="E94:F94"/>
    <mergeCell ref="G94:J94"/>
    <mergeCell ref="K94:L94"/>
    <mergeCell ref="C91:D91"/>
    <mergeCell ref="E91:F91"/>
    <mergeCell ref="G91:J91"/>
    <mergeCell ref="K91:L91"/>
    <mergeCell ref="C92:D92"/>
    <mergeCell ref="E92:F92"/>
    <mergeCell ref="G92:J92"/>
    <mergeCell ref="K92:L92"/>
    <mergeCell ref="C89:D89"/>
    <mergeCell ref="E89:F89"/>
    <mergeCell ref="G89:J89"/>
    <mergeCell ref="K89:L89"/>
    <mergeCell ref="C90:D90"/>
    <mergeCell ref="E90:F90"/>
    <mergeCell ref="G90:J90"/>
    <mergeCell ref="K90:L90"/>
    <mergeCell ref="C87:D87"/>
    <mergeCell ref="E87:F87"/>
    <mergeCell ref="G87:J87"/>
    <mergeCell ref="K87:L87"/>
    <mergeCell ref="C88:D88"/>
    <mergeCell ref="E88:F88"/>
    <mergeCell ref="G88:J88"/>
    <mergeCell ref="K88:L88"/>
    <mergeCell ref="C85:D85"/>
    <mergeCell ref="E85:F85"/>
    <mergeCell ref="G85:J85"/>
    <mergeCell ref="K85:L85"/>
    <mergeCell ref="C86:D86"/>
    <mergeCell ref="E86:F86"/>
    <mergeCell ref="G86:J86"/>
    <mergeCell ref="K86:L86"/>
    <mergeCell ref="C83:D83"/>
    <mergeCell ref="E83:F83"/>
    <mergeCell ref="G83:J83"/>
    <mergeCell ref="K83:L83"/>
    <mergeCell ref="C84:D84"/>
    <mergeCell ref="E84:F84"/>
    <mergeCell ref="G84:J84"/>
    <mergeCell ref="K84:L84"/>
    <mergeCell ref="C81:D81"/>
    <mergeCell ref="E81:F81"/>
    <mergeCell ref="G81:J81"/>
    <mergeCell ref="K81:L81"/>
    <mergeCell ref="C82:D82"/>
    <mergeCell ref="E82:F82"/>
    <mergeCell ref="G82:J82"/>
    <mergeCell ref="K82:L82"/>
    <mergeCell ref="C79:D79"/>
    <mergeCell ref="E79:F79"/>
    <mergeCell ref="G79:J79"/>
    <mergeCell ref="K79:L79"/>
    <mergeCell ref="C80:D80"/>
    <mergeCell ref="E80:F80"/>
    <mergeCell ref="G80:J80"/>
    <mergeCell ref="K80:L80"/>
    <mergeCell ref="C77:D77"/>
    <mergeCell ref="E77:F77"/>
    <mergeCell ref="G77:J77"/>
    <mergeCell ref="K77:L77"/>
    <mergeCell ref="C78:D78"/>
    <mergeCell ref="E78:F78"/>
    <mergeCell ref="G78:J78"/>
    <mergeCell ref="K78:L78"/>
    <mergeCell ref="C75:D75"/>
    <mergeCell ref="E75:F75"/>
    <mergeCell ref="G75:J75"/>
    <mergeCell ref="K75:L75"/>
    <mergeCell ref="C76:D76"/>
    <mergeCell ref="E76:F76"/>
    <mergeCell ref="G76:J76"/>
    <mergeCell ref="K76:L76"/>
    <mergeCell ref="C73:D73"/>
    <mergeCell ref="E73:F73"/>
    <mergeCell ref="G73:J73"/>
    <mergeCell ref="K73:L73"/>
    <mergeCell ref="C74:D74"/>
    <mergeCell ref="E74:F74"/>
    <mergeCell ref="G74:J74"/>
    <mergeCell ref="K74:L74"/>
    <mergeCell ref="C71:D71"/>
    <mergeCell ref="E71:F71"/>
    <mergeCell ref="G71:J71"/>
    <mergeCell ref="K71:L71"/>
    <mergeCell ref="C72:D72"/>
    <mergeCell ref="E72:F72"/>
    <mergeCell ref="G72:J72"/>
    <mergeCell ref="K72:L72"/>
    <mergeCell ref="C69:D69"/>
    <mergeCell ref="E69:F69"/>
    <mergeCell ref="G69:J69"/>
    <mergeCell ref="K69:L69"/>
    <mergeCell ref="C70:D70"/>
    <mergeCell ref="E70:F70"/>
    <mergeCell ref="G70:J70"/>
    <mergeCell ref="K70:L70"/>
    <mergeCell ref="C67:D67"/>
    <mergeCell ref="E67:F67"/>
    <mergeCell ref="G67:J67"/>
    <mergeCell ref="K67:L67"/>
    <mergeCell ref="C68:D68"/>
    <mergeCell ref="E68:F68"/>
    <mergeCell ref="G68:J68"/>
    <mergeCell ref="K68:L68"/>
    <mergeCell ref="C65:D65"/>
    <mergeCell ref="E65:F65"/>
    <mergeCell ref="G65:J65"/>
    <mergeCell ref="K65:L65"/>
    <mergeCell ref="C66:D66"/>
    <mergeCell ref="E66:F66"/>
    <mergeCell ref="G66:J66"/>
    <mergeCell ref="K66:L66"/>
    <mergeCell ref="C63:D63"/>
    <mergeCell ref="E63:F63"/>
    <mergeCell ref="G63:J63"/>
    <mergeCell ref="K63:L63"/>
    <mergeCell ref="C64:D64"/>
    <mergeCell ref="E64:F64"/>
    <mergeCell ref="G64:J64"/>
    <mergeCell ref="K64:L64"/>
    <mergeCell ref="C61:D61"/>
    <mergeCell ref="E61:F61"/>
    <mergeCell ref="G61:J61"/>
    <mergeCell ref="K61:L61"/>
    <mergeCell ref="C62:D62"/>
    <mergeCell ref="E62:F62"/>
    <mergeCell ref="G62:J62"/>
    <mergeCell ref="K62:L62"/>
    <mergeCell ref="C59:D59"/>
    <mergeCell ref="E59:F59"/>
    <mergeCell ref="G59:J59"/>
    <mergeCell ref="K59:L59"/>
    <mergeCell ref="C60:D60"/>
    <mergeCell ref="E60:F60"/>
    <mergeCell ref="G60:J60"/>
    <mergeCell ref="K60:L60"/>
    <mergeCell ref="C57:D57"/>
    <mergeCell ref="E57:F57"/>
    <mergeCell ref="G57:J57"/>
    <mergeCell ref="K57:L57"/>
    <mergeCell ref="C58:D58"/>
    <mergeCell ref="E58:F58"/>
    <mergeCell ref="G58:J58"/>
    <mergeCell ref="K58:L58"/>
    <mergeCell ref="C55:D55"/>
    <mergeCell ref="E55:F55"/>
    <mergeCell ref="G55:J55"/>
    <mergeCell ref="K55:L55"/>
    <mergeCell ref="C56:D56"/>
    <mergeCell ref="E56:F56"/>
    <mergeCell ref="G56:J56"/>
    <mergeCell ref="K56:L56"/>
    <mergeCell ref="C53:D53"/>
    <mergeCell ref="E53:F53"/>
    <mergeCell ref="G53:J53"/>
    <mergeCell ref="K53:L53"/>
    <mergeCell ref="C54:D54"/>
    <mergeCell ref="E54:F54"/>
    <mergeCell ref="G54:J54"/>
    <mergeCell ref="K54:L54"/>
    <mergeCell ref="C51:D51"/>
    <mergeCell ref="E51:F51"/>
    <mergeCell ref="G51:J51"/>
    <mergeCell ref="K51:L51"/>
    <mergeCell ref="C52:D52"/>
    <mergeCell ref="E52:F52"/>
    <mergeCell ref="G52:J52"/>
    <mergeCell ref="K52:L52"/>
    <mergeCell ref="C49:D49"/>
    <mergeCell ref="E49:F49"/>
    <mergeCell ref="G49:J49"/>
    <mergeCell ref="K49:L49"/>
    <mergeCell ref="C50:D50"/>
    <mergeCell ref="E50:F50"/>
    <mergeCell ref="G50:J50"/>
    <mergeCell ref="K50:L50"/>
    <mergeCell ref="C47:D47"/>
    <mergeCell ref="E47:F47"/>
    <mergeCell ref="G47:J47"/>
    <mergeCell ref="K47:L47"/>
    <mergeCell ref="C48:D48"/>
    <mergeCell ref="E48:F48"/>
    <mergeCell ref="G48:J48"/>
    <mergeCell ref="K48:L48"/>
    <mergeCell ref="C45:D45"/>
    <mergeCell ref="E45:F45"/>
    <mergeCell ref="G45:J45"/>
    <mergeCell ref="K45:L45"/>
    <mergeCell ref="C46:D46"/>
    <mergeCell ref="E46:F46"/>
    <mergeCell ref="G46:J46"/>
    <mergeCell ref="K46:L46"/>
    <mergeCell ref="C43:D43"/>
    <mergeCell ref="E43:F43"/>
    <mergeCell ref="G43:J43"/>
    <mergeCell ref="K43:L43"/>
    <mergeCell ref="C44:D44"/>
    <mergeCell ref="E44:F44"/>
    <mergeCell ref="G44:J44"/>
    <mergeCell ref="K44:L44"/>
    <mergeCell ref="C41:D41"/>
    <mergeCell ref="E41:F41"/>
    <mergeCell ref="G41:J41"/>
    <mergeCell ref="K41:L41"/>
    <mergeCell ref="C42:D42"/>
    <mergeCell ref="E42:F42"/>
    <mergeCell ref="G42:J42"/>
    <mergeCell ref="K42:L42"/>
    <mergeCell ref="C39:D39"/>
    <mergeCell ref="E39:F39"/>
    <mergeCell ref="G39:J39"/>
    <mergeCell ref="K39:L39"/>
    <mergeCell ref="C40:D40"/>
    <mergeCell ref="E40:F40"/>
    <mergeCell ref="G40:J40"/>
    <mergeCell ref="K40:L40"/>
    <mergeCell ref="C37:D37"/>
    <mergeCell ref="E37:F37"/>
    <mergeCell ref="G37:J37"/>
    <mergeCell ref="K37:L37"/>
    <mergeCell ref="C38:D38"/>
    <mergeCell ref="E38:F38"/>
    <mergeCell ref="G38:J38"/>
    <mergeCell ref="K38:L38"/>
    <mergeCell ref="C35:D35"/>
    <mergeCell ref="E35:F35"/>
    <mergeCell ref="G35:J35"/>
    <mergeCell ref="K35:L35"/>
    <mergeCell ref="C36:D36"/>
    <mergeCell ref="E36:F36"/>
    <mergeCell ref="G36:J36"/>
    <mergeCell ref="K36:L36"/>
    <mergeCell ref="C33:D33"/>
    <mergeCell ref="E33:F33"/>
    <mergeCell ref="G33:J33"/>
    <mergeCell ref="K33:L33"/>
    <mergeCell ref="C34:D34"/>
    <mergeCell ref="E34:F34"/>
    <mergeCell ref="G34:J34"/>
    <mergeCell ref="K34:L34"/>
    <mergeCell ref="C31:D31"/>
    <mergeCell ref="E31:F31"/>
    <mergeCell ref="G31:J31"/>
    <mergeCell ref="K31:L31"/>
    <mergeCell ref="C32:D32"/>
    <mergeCell ref="E32:F32"/>
    <mergeCell ref="G32:J32"/>
    <mergeCell ref="K32:L32"/>
    <mergeCell ref="C29:D29"/>
    <mergeCell ref="E29:F29"/>
    <mergeCell ref="G29:J29"/>
    <mergeCell ref="K29:L29"/>
    <mergeCell ref="C30:D30"/>
    <mergeCell ref="E30:F30"/>
    <mergeCell ref="G30:J30"/>
    <mergeCell ref="K30:L30"/>
    <mergeCell ref="C27:D27"/>
    <mergeCell ref="E27:F27"/>
    <mergeCell ref="G27:J27"/>
    <mergeCell ref="K27:L27"/>
    <mergeCell ref="C28:D28"/>
    <mergeCell ref="E28:F28"/>
    <mergeCell ref="G28:J28"/>
    <mergeCell ref="K28:L28"/>
    <mergeCell ref="C25:D25"/>
    <mergeCell ref="E25:F25"/>
    <mergeCell ref="G25:J25"/>
    <mergeCell ref="K25:L25"/>
    <mergeCell ref="C26:D26"/>
    <mergeCell ref="E26:F26"/>
    <mergeCell ref="G26:J26"/>
    <mergeCell ref="K26:L26"/>
    <mergeCell ref="C23:D23"/>
    <mergeCell ref="E23:F23"/>
    <mergeCell ref="G23:J23"/>
    <mergeCell ref="K23:L23"/>
    <mergeCell ref="C24:D24"/>
    <mergeCell ref="E24:F24"/>
    <mergeCell ref="G24:J24"/>
    <mergeCell ref="K24:L24"/>
    <mergeCell ref="C21:D21"/>
    <mergeCell ref="E21:F21"/>
    <mergeCell ref="G21:J21"/>
    <mergeCell ref="K21:L21"/>
    <mergeCell ref="C22:D22"/>
    <mergeCell ref="E22:F22"/>
    <mergeCell ref="G22:J22"/>
    <mergeCell ref="K22:L22"/>
    <mergeCell ref="C19:D19"/>
    <mergeCell ref="E19:F19"/>
    <mergeCell ref="G19:J19"/>
    <mergeCell ref="K19:L19"/>
    <mergeCell ref="C20:D20"/>
    <mergeCell ref="E20:F20"/>
    <mergeCell ref="G20:J20"/>
    <mergeCell ref="K20:L20"/>
    <mergeCell ref="C17:D17"/>
    <mergeCell ref="E17:F17"/>
    <mergeCell ref="G17:J17"/>
    <mergeCell ref="K17:L17"/>
    <mergeCell ref="C18:D18"/>
    <mergeCell ref="E18:F18"/>
    <mergeCell ref="G18:J18"/>
    <mergeCell ref="K18:L18"/>
    <mergeCell ref="C15:D15"/>
    <mergeCell ref="E15:F15"/>
    <mergeCell ref="G15:J15"/>
    <mergeCell ref="K15:L15"/>
    <mergeCell ref="C16:D16"/>
    <mergeCell ref="E16:F16"/>
    <mergeCell ref="G16:J16"/>
    <mergeCell ref="K16:L16"/>
    <mergeCell ref="C13:D13"/>
    <mergeCell ref="E13:F13"/>
    <mergeCell ref="G13:J13"/>
    <mergeCell ref="K13:L13"/>
    <mergeCell ref="C14:D14"/>
    <mergeCell ref="E14:F14"/>
    <mergeCell ref="G14:J14"/>
    <mergeCell ref="K14:L14"/>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C4:J500">
    <cfRule type="expression" dxfId="40" priority="1">
      <formula>$N4&lt;&gt;""</formula>
    </cfRule>
  </conditionalFormatting>
  <conditionalFormatting sqref="M4:N500">
    <cfRule type="expression" dxfId="39" priority="2">
      <formula>$N4&lt;&gt;""</formula>
    </cfRule>
  </conditionalFormatting>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DF88-5AEF-4DDA-A730-A4757E247541}">
  <sheetPr>
    <tabColor rgb="FF2F3A4A"/>
  </sheetPr>
  <dimension ref="A1:AP216"/>
  <sheetViews>
    <sheetView showGridLines="0" zoomScale="90" zoomScaleNormal="90" workbookViewId="0">
      <selection activeCell="A127" sqref="A127:D127"/>
    </sheetView>
  </sheetViews>
  <sheetFormatPr defaultColWidth="8.5546875" defaultRowHeight="14.4" x14ac:dyDescent="0.3"/>
  <cols>
    <col min="1" max="1" width="34.44140625"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42" width="0" style="1" hidden="1" customWidth="1"/>
    <col min="43" max="16384" width="8.5546875" style="1"/>
  </cols>
  <sheetData>
    <row r="1" spans="1:42"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c r="AP1" s="1" t="s">
        <v>1434</v>
      </c>
    </row>
    <row r="2" spans="1:42"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c r="AP2" s="901">
        <v>5</v>
      </c>
    </row>
    <row r="3" spans="1:42" ht="15" customHeight="1" x14ac:dyDescent="0.3">
      <c r="A3" s="75">
        <v>46296</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c r="AP3" s="65">
        <v>600</v>
      </c>
    </row>
    <row r="4" spans="1:42" ht="21" customHeight="1" x14ac:dyDescent="0.3">
      <c r="A4" s="110"/>
      <c r="B4" s="109"/>
      <c r="C4" s="108"/>
      <c r="D4" s="104"/>
      <c r="E4" s="107" t="s">
        <v>184</v>
      </c>
      <c r="F4" s="871" t="str">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
      </c>
      <c r="G4" s="106" t="str">
        <f>IFERROR(ROUNDUP(D4/F4,0),"")</f>
        <v/>
      </c>
      <c r="H4" s="105"/>
      <c r="I4" s="104" t="str">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
      </c>
      <c r="AA4" t="s">
        <v>185</v>
      </c>
      <c r="AB4" t="s">
        <v>1423</v>
      </c>
      <c r="AH4" s="900">
        <v>600</v>
      </c>
      <c r="AO4" s="900">
        <v>125</v>
      </c>
    </row>
    <row r="5" spans="1:42" ht="21" customHeight="1" x14ac:dyDescent="0.3">
      <c r="A5" s="110"/>
      <c r="B5" s="109"/>
      <c r="C5" s="108"/>
      <c r="D5" s="104"/>
      <c r="E5" s="107" t="s">
        <v>184</v>
      </c>
      <c r="F5" s="871"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06" t="str">
        <f>IFERROR(ROUNDUP(D5/F5,0),"")</f>
        <v/>
      </c>
      <c r="H5" s="105"/>
      <c r="I5" s="104"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AA5" t="s">
        <v>183</v>
      </c>
      <c r="AB5" t="s">
        <v>1423</v>
      </c>
      <c r="AO5" s="900">
        <v>180</v>
      </c>
    </row>
    <row r="6" spans="1:42"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2"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2"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2" ht="15" customHeight="1" x14ac:dyDescent="0.3">
      <c r="A9" s="899"/>
      <c r="B9" s="846" t="s">
        <v>186</v>
      </c>
      <c r="C9" s="847"/>
      <c r="D9" s="848">
        <f>SUM(D2:D8)</f>
        <v>0</v>
      </c>
      <c r="E9" s="849"/>
      <c r="F9" s="856" t="s">
        <v>1400</v>
      </c>
      <c r="G9" s="850">
        <f>SUM(G2:G8)</f>
        <v>0</v>
      </c>
      <c r="H9" s="848">
        <f>SUM(H2:H8)</f>
        <v>0</v>
      </c>
      <c r="I9" s="848">
        <f>SUM(I2:I8)</f>
        <v>0</v>
      </c>
      <c r="J9" s="63">
        <f>D9</f>
        <v>0</v>
      </c>
      <c r="K9" s="93">
        <f>G9</f>
        <v>0</v>
      </c>
      <c r="L9" s="63">
        <f>H9</f>
        <v>0</v>
      </c>
      <c r="M9" s="63">
        <f>I9</f>
        <v>0</v>
      </c>
      <c r="N9" s="587" t="str" cm="1">
        <f t="array" ref="N9">IF(H9=0,"",SUMPRODUCT(IFERROR(INT(H4:H8/F4:F8),0)))</f>
        <v/>
      </c>
      <c r="O9" s="770" t="str">
        <f>IF(N9="","",MAX(0,G9-N9))</f>
        <v/>
      </c>
      <c r="AA9" t="s">
        <v>58</v>
      </c>
      <c r="AB9" t="s">
        <v>1423</v>
      </c>
      <c r="AO9" s="900">
        <v>600</v>
      </c>
    </row>
    <row r="10" spans="1:42" ht="6" customHeight="1" x14ac:dyDescent="0.3">
      <c r="C10" s="65"/>
      <c r="AA10" t="s">
        <v>496</v>
      </c>
      <c r="AB10" t="s">
        <v>1423</v>
      </c>
    </row>
    <row r="11" spans="1:42" ht="15" customHeight="1" x14ac:dyDescent="0.3">
      <c r="A11" s="75">
        <v>46297</v>
      </c>
      <c r="B11" s="113" t="s">
        <v>49</v>
      </c>
      <c r="C11" s="112" t="s">
        <v>176</v>
      </c>
      <c r="D11" s="111" t="s">
        <v>177</v>
      </c>
      <c r="E11" s="111" t="s">
        <v>178</v>
      </c>
      <c r="F11" s="860" t="s">
        <v>179</v>
      </c>
      <c r="G11" s="111" t="s">
        <v>180</v>
      </c>
      <c r="H11" s="111" t="s">
        <v>181</v>
      </c>
      <c r="I11" s="111" t="s">
        <v>182</v>
      </c>
      <c r="AA11" t="s">
        <v>37</v>
      </c>
      <c r="AB11" t="s">
        <v>1423</v>
      </c>
    </row>
    <row r="12" spans="1:42" ht="21" customHeight="1" x14ac:dyDescent="0.3">
      <c r="A12" s="110"/>
      <c r="B12" s="109"/>
      <c r="C12" s="108"/>
      <c r="D12" s="104"/>
      <c r="E12" s="107" t="s">
        <v>184</v>
      </c>
      <c r="F12" s="871" t="str">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
      </c>
      <c r="G12" s="106" t="str">
        <f>IFERROR(ROUNDUP(D12/F12,0),"")</f>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2"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2"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2"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2"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0</v>
      </c>
      <c r="E17" s="849"/>
      <c r="F17" s="856" t="s">
        <v>1400</v>
      </c>
      <c r="G17" s="850">
        <f>SUM(G10:G16)</f>
        <v>0</v>
      </c>
      <c r="H17" s="848">
        <f>SUM(H10:H16)</f>
        <v>0</v>
      </c>
      <c r="I17" s="848">
        <f>SUM(I10:I16)</f>
        <v>0</v>
      </c>
      <c r="J17" s="63">
        <f>D17</f>
        <v>0</v>
      </c>
      <c r="K17" s="93">
        <f>G17</f>
        <v>0</v>
      </c>
      <c r="L17" s="63">
        <f>H17</f>
        <v>0</v>
      </c>
      <c r="M17" s="63">
        <f>I17</f>
        <v>0</v>
      </c>
      <c r="N17" s="587" t="str" cm="1">
        <f t="array" ref="N17">IF(H17=0,"",SUMPRODUCT(IFERROR(INT(H12:H16/F12:F16),0)))</f>
        <v/>
      </c>
      <c r="O17" s="770" t="str">
        <f>IF(N17="","",MAX(0,G17-N17))</f>
        <v/>
      </c>
      <c r="AA17" t="s">
        <v>236</v>
      </c>
      <c r="AB17" t="s">
        <v>1425</v>
      </c>
    </row>
    <row r="18" spans="1:28" ht="6" customHeight="1" x14ac:dyDescent="0.3">
      <c r="C18" s="65"/>
      <c r="AA18" t="s">
        <v>593</v>
      </c>
      <c r="AB18" t="s">
        <v>1426</v>
      </c>
    </row>
    <row r="19" spans="1:28" ht="15" customHeight="1" x14ac:dyDescent="0.3">
      <c r="A19" s="135">
        <v>46298</v>
      </c>
      <c r="B19" s="113" t="s">
        <v>49</v>
      </c>
      <c r="C19" s="112" t="s">
        <v>176</v>
      </c>
      <c r="D19" s="111" t="s">
        <v>177</v>
      </c>
      <c r="E19" s="111" t="s">
        <v>178</v>
      </c>
      <c r="F19" s="862" t="s">
        <v>179</v>
      </c>
      <c r="G19" s="111" t="s">
        <v>180</v>
      </c>
      <c r="H19" s="111" t="s">
        <v>181</v>
      </c>
      <c r="I19" s="111" t="s">
        <v>182</v>
      </c>
      <c r="J19" s="128"/>
      <c r="K19" s="128"/>
      <c r="L19" s="128"/>
      <c r="M19" s="128"/>
      <c r="AA19" t="s">
        <v>139</v>
      </c>
      <c r="AB19" t="s">
        <v>1425</v>
      </c>
    </row>
    <row r="20" spans="1:28" ht="21" customHeight="1" x14ac:dyDescent="0.3">
      <c r="A20" s="110"/>
      <c r="B20" s="127"/>
      <c r="C20" s="126"/>
      <c r="D20" s="129"/>
      <c r="E20" s="131" t="s">
        <v>184</v>
      </c>
      <c r="F20" s="877"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30" t="str">
        <f>IFERROR(ROUNDUP(D20/F20,0),"")</f>
        <v/>
      </c>
      <c r="H20" s="105"/>
      <c r="I20" s="129"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J20" s="128"/>
      <c r="K20" s="128"/>
      <c r="L20" s="128"/>
      <c r="M20" s="128"/>
      <c r="AA20" t="s">
        <v>189</v>
      </c>
      <c r="AB20" t="s">
        <v>1425</v>
      </c>
    </row>
    <row r="21" spans="1:28" ht="21" customHeight="1" x14ac:dyDescent="0.3">
      <c r="A21" s="110"/>
      <c r="B21" s="127"/>
      <c r="C21" s="126"/>
      <c r="D21" s="129"/>
      <c r="E21" s="131" t="s">
        <v>184</v>
      </c>
      <c r="F21" s="877"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130" t="str">
        <f>IFERROR(ROUNDUP(D21/F21,0),"")</f>
        <v/>
      </c>
      <c r="H21" s="105"/>
      <c r="I21" s="129"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J21" s="128"/>
      <c r="K21" s="128"/>
      <c r="L21" s="128"/>
      <c r="M21" s="128"/>
      <c r="AA21" t="s">
        <v>403</v>
      </c>
      <c r="AB21" t="s">
        <v>1425</v>
      </c>
    </row>
    <row r="22" spans="1:28" ht="21" customHeight="1" x14ac:dyDescent="0.3">
      <c r="A22" s="110"/>
      <c r="B22" s="127"/>
      <c r="C22" s="126"/>
      <c r="D22" s="129"/>
      <c r="E22" s="131" t="s">
        <v>184</v>
      </c>
      <c r="F22" s="877"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30" t="str">
        <f>IFERROR(ROUNDUP(D22/F22,0),"")</f>
        <v/>
      </c>
      <c r="H22" s="105"/>
      <c r="I22" s="129"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J22" s="128"/>
      <c r="K22" s="128"/>
      <c r="L22" s="128"/>
      <c r="M22" s="128"/>
      <c r="AA22" t="s">
        <v>553</v>
      </c>
      <c r="AB22" t="s">
        <v>1423</v>
      </c>
    </row>
    <row r="23" spans="1:28" ht="21" customHeight="1" x14ac:dyDescent="0.3">
      <c r="A23" s="110"/>
      <c r="B23" s="127"/>
      <c r="C23" s="126"/>
      <c r="D23" s="129"/>
      <c r="E23" s="131" t="s">
        <v>184</v>
      </c>
      <c r="F23" s="877"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30" t="str">
        <f>IFERROR(ROUNDUP(D23/F23,0),"")</f>
        <v/>
      </c>
      <c r="H23" s="105"/>
      <c r="I23" s="129"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J23" s="128"/>
      <c r="K23" s="128"/>
      <c r="L23" s="128"/>
      <c r="M23" s="128"/>
      <c r="AA23" t="s">
        <v>1205</v>
      </c>
      <c r="AB23" t="s">
        <v>1426</v>
      </c>
    </row>
    <row r="24" spans="1:28" ht="21" customHeight="1" x14ac:dyDescent="0.3">
      <c r="A24" s="817"/>
      <c r="B24" s="829"/>
      <c r="C24" s="830"/>
      <c r="D24" s="831"/>
      <c r="E24" s="832" t="s">
        <v>184</v>
      </c>
      <c r="F24" s="878"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33" t="str">
        <f>IFERROR(ROUNDUP(D24/F24,0),"")</f>
        <v/>
      </c>
      <c r="H24" s="823"/>
      <c r="I24" s="831"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J24" s="128"/>
      <c r="K24" s="128"/>
      <c r="L24" s="128"/>
      <c r="M24" s="128"/>
      <c r="AA24" t="s">
        <v>1165</v>
      </c>
      <c r="AB24" t="s">
        <v>1426</v>
      </c>
    </row>
    <row r="25" spans="1:28" ht="15" customHeight="1" x14ac:dyDescent="0.3">
      <c r="A25" s="899"/>
      <c r="B25" s="846" t="s">
        <v>186</v>
      </c>
      <c r="C25" s="851"/>
      <c r="D25" s="848">
        <f>SUM(D18:D24)</f>
        <v>0</v>
      </c>
      <c r="E25" s="852"/>
      <c r="F25" s="857" t="s">
        <v>1400</v>
      </c>
      <c r="G25" s="850">
        <f>SUM(G18:G24)</f>
        <v>0</v>
      </c>
      <c r="H25" s="848">
        <f>SUM(H18:H24)</f>
        <v>0</v>
      </c>
      <c r="I25" s="848">
        <f>SUM(I18:I24)</f>
        <v>0</v>
      </c>
      <c r="J25" s="133">
        <f>D25</f>
        <v>0</v>
      </c>
      <c r="K25" s="134">
        <f>G25</f>
        <v>0</v>
      </c>
      <c r="L25" s="133">
        <f>H25</f>
        <v>0</v>
      </c>
      <c r="M25" s="133">
        <f>I25</f>
        <v>0</v>
      </c>
      <c r="N25" s="587" t="str" cm="1">
        <f t="array" ref="N25">IF(H25=0,"",SUMPRODUCT(IFERROR(INT(H20:H24/F20:F24),0)))</f>
        <v/>
      </c>
      <c r="O25" s="770" t="str">
        <f>IF(N25="","",MAX(0,G25-N25))</f>
        <v/>
      </c>
      <c r="AA25" t="s">
        <v>1159</v>
      </c>
      <c r="AB25" t="s">
        <v>1423</v>
      </c>
    </row>
    <row r="26" spans="1:28" ht="6" customHeight="1" x14ac:dyDescent="0.3">
      <c r="A26" s="128"/>
      <c r="B26" s="128"/>
      <c r="C26" s="132"/>
      <c r="D26" s="128"/>
      <c r="E26" s="128"/>
      <c r="F26" s="128"/>
      <c r="G26" s="128"/>
      <c r="H26" s="128"/>
      <c r="I26" s="128"/>
      <c r="J26" s="128"/>
      <c r="K26" s="128"/>
      <c r="L26" s="128"/>
      <c r="M26" s="128"/>
      <c r="AA26" t="s">
        <v>287</v>
      </c>
      <c r="AB26" t="s">
        <v>1427</v>
      </c>
    </row>
    <row r="27" spans="1:28" ht="15" customHeight="1" x14ac:dyDescent="0.3">
      <c r="A27" s="75">
        <v>46300</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c r="C28" s="108"/>
      <c r="D28" s="104"/>
      <c r="E28" s="107" t="s">
        <v>184</v>
      </c>
      <c r="F28" s="871" t="str">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
      </c>
      <c r="G28" s="106" t="str">
        <f>IFERROR(ROUNDUP(D28/F28,0),"")</f>
        <v/>
      </c>
      <c r="H28" s="105"/>
      <c r="I28" s="104" t="str">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0</v>
      </c>
      <c r="E33" s="849"/>
      <c r="F33" s="856" t="s">
        <v>1400</v>
      </c>
      <c r="G33" s="850">
        <f>SUM(G26:G32)</f>
        <v>0</v>
      </c>
      <c r="H33" s="848">
        <f>SUM(H26:H32)</f>
        <v>0</v>
      </c>
      <c r="I33" s="848">
        <f>SUM(I26:I32)</f>
        <v>0</v>
      </c>
      <c r="J33" s="63">
        <f>D33</f>
        <v>0</v>
      </c>
      <c r="K33" s="93">
        <f>G33</f>
        <v>0</v>
      </c>
      <c r="L33" s="63">
        <f>H33</f>
        <v>0</v>
      </c>
      <c r="M33" s="63">
        <f>I33</f>
        <v>0</v>
      </c>
      <c r="N33" s="587" t="str" cm="1">
        <f t="array" ref="N33">IF(H33=0,"",SUMPRODUCT(IFERROR(INT(H28:H32/F28:F32),0)))</f>
        <v/>
      </c>
      <c r="O33" s="770" t="str">
        <f>IF(N33="","",MAX(0,G33-N33))</f>
        <v/>
      </c>
      <c r="AA33" t="s">
        <v>471</v>
      </c>
      <c r="AB33" t="s">
        <v>1428</v>
      </c>
    </row>
    <row r="34" spans="1:28" ht="6" customHeight="1" x14ac:dyDescent="0.3">
      <c r="C34" s="65"/>
      <c r="AA34" t="s">
        <v>292</v>
      </c>
      <c r="AB34" t="s">
        <v>1428</v>
      </c>
    </row>
    <row r="35" spans="1:28" ht="15" customHeight="1" x14ac:dyDescent="0.3">
      <c r="A35" s="75">
        <v>46301</v>
      </c>
      <c r="B35" s="113" t="s">
        <v>49</v>
      </c>
      <c r="C35" s="112" t="s">
        <v>176</v>
      </c>
      <c r="D35" s="111" t="s">
        <v>177</v>
      </c>
      <c r="E35" s="111" t="s">
        <v>178</v>
      </c>
      <c r="F35" s="860" t="s">
        <v>179</v>
      </c>
      <c r="G35" s="111" t="s">
        <v>180</v>
      </c>
      <c r="H35" s="111" t="s">
        <v>181</v>
      </c>
      <c r="I35" s="111" t="s">
        <v>182</v>
      </c>
      <c r="AA35" t="s">
        <v>1193</v>
      </c>
      <c r="AB35" t="s">
        <v>1428</v>
      </c>
    </row>
    <row r="36" spans="1:28" ht="21" customHeight="1" x14ac:dyDescent="0.3">
      <c r="A36" s="110"/>
      <c r="B36" s="109"/>
      <c r="C36" s="108"/>
      <c r="D36" s="104"/>
      <c r="E36" s="107" t="s">
        <v>184</v>
      </c>
      <c r="F36" s="871"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106" t="str">
        <f>IFERROR(ROUNDUP(D36/F36,0),"")</f>
        <v/>
      </c>
      <c r="H36" s="105"/>
      <c r="I36" s="104"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AA36" t="s">
        <v>294</v>
      </c>
      <c r="AB36" t="s">
        <v>1428</v>
      </c>
    </row>
    <row r="37" spans="1:28" ht="21" customHeight="1" x14ac:dyDescent="0.3">
      <c r="A37" s="110"/>
      <c r="B37" s="109"/>
      <c r="C37" s="108"/>
      <c r="D37" s="104"/>
      <c r="E37" s="107" t="s">
        <v>184</v>
      </c>
      <c r="F37" s="871"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06" t="str">
        <f>IFERROR(ROUNDUP(D37/F37,0),"")</f>
        <v/>
      </c>
      <c r="H37" s="105"/>
      <c r="I37" s="104"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AA37" t="s">
        <v>591</v>
      </c>
      <c r="AB37" t="s">
        <v>1428</v>
      </c>
    </row>
    <row r="38" spans="1:28" ht="21" customHeight="1" x14ac:dyDescent="0.3">
      <c r="A38" s="110"/>
      <c r="B38" s="109"/>
      <c r="C38" s="108"/>
      <c r="D38" s="104"/>
      <c r="E38" s="107" t="s">
        <v>184</v>
      </c>
      <c r="F38" s="871"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06" t="str">
        <f>IFERROR(ROUNDUP(D38/F38,0),"")</f>
        <v/>
      </c>
      <c r="H38" s="105"/>
      <c r="I38" s="104"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AA38" t="s">
        <v>590</v>
      </c>
      <c r="AB38" t="s">
        <v>1428</v>
      </c>
    </row>
    <row r="39" spans="1:28" ht="21" customHeight="1" x14ac:dyDescent="0.3">
      <c r="A39" s="110"/>
      <c r="B39" s="109"/>
      <c r="C39" s="108"/>
      <c r="D39" s="104"/>
      <c r="E39" s="107" t="s">
        <v>184</v>
      </c>
      <c r="F39" s="871"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06" t="str">
        <f>IFERROR(ROUNDUP(D39/F39,0),"")</f>
        <v/>
      </c>
      <c r="H39" s="105"/>
      <c r="I39" s="104"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AA39" t="s">
        <v>592</v>
      </c>
      <c r="AB39" t="s">
        <v>1428</v>
      </c>
    </row>
    <row r="40" spans="1:28" ht="21" customHeight="1" x14ac:dyDescent="0.3">
      <c r="A40" s="817"/>
      <c r="B40" s="818"/>
      <c r="C40" s="819"/>
      <c r="D40" s="820"/>
      <c r="E40" s="821" t="s">
        <v>184</v>
      </c>
      <c r="F40" s="872"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22" t="str">
        <f>IFERROR(ROUNDUP(D40/F40,0),"")</f>
        <v/>
      </c>
      <c r="H40" s="823"/>
      <c r="I40" s="820"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AA40" t="s">
        <v>473</v>
      </c>
      <c r="AB40" t="s">
        <v>1428</v>
      </c>
    </row>
    <row r="41" spans="1:28" ht="15" customHeight="1" x14ac:dyDescent="0.3">
      <c r="A41" s="899"/>
      <c r="B41" s="846" t="s">
        <v>186</v>
      </c>
      <c r="C41" s="847"/>
      <c r="D41" s="848">
        <f>SUM(D34:D40)</f>
        <v>0</v>
      </c>
      <c r="E41" s="849"/>
      <c r="F41" s="856" t="s">
        <v>1400</v>
      </c>
      <c r="G41" s="850">
        <f>SUM(G34:G40)</f>
        <v>0</v>
      </c>
      <c r="H41" s="848">
        <f>SUM(H34:H40)</f>
        <v>0</v>
      </c>
      <c r="I41" s="848">
        <f>SUM(I34:I40)</f>
        <v>0</v>
      </c>
      <c r="J41" s="63">
        <f>D41</f>
        <v>0</v>
      </c>
      <c r="K41" s="93">
        <f>G41</f>
        <v>0</v>
      </c>
      <c r="L41" s="63">
        <f>H41</f>
        <v>0</v>
      </c>
      <c r="M41" s="63">
        <f>I41</f>
        <v>0</v>
      </c>
      <c r="N41" s="587" t="str" cm="1">
        <f t="array" ref="N41">IF(H41=0,"",SUMPRODUCT(IFERROR(INT(H36:H40/F36:F40),0)))</f>
        <v/>
      </c>
      <c r="O41" s="770" t="str">
        <f>IF(N41="","",MAX(0,G41-N41))</f>
        <v/>
      </c>
      <c r="AA41" t="s">
        <v>296</v>
      </c>
      <c r="AB41" t="s">
        <v>1428</v>
      </c>
    </row>
    <row r="42" spans="1:28" ht="6" customHeight="1" x14ac:dyDescent="0.3">
      <c r="C42" s="65"/>
      <c r="AA42" t="s">
        <v>472</v>
      </c>
      <c r="AB42" t="s">
        <v>1428</v>
      </c>
    </row>
    <row r="43" spans="1:28" ht="15" customHeight="1" x14ac:dyDescent="0.3">
      <c r="A43" s="75">
        <v>46302</v>
      </c>
      <c r="B43" s="113" t="s">
        <v>49</v>
      </c>
      <c r="C43" s="112" t="s">
        <v>176</v>
      </c>
      <c r="D43" s="111" t="s">
        <v>177</v>
      </c>
      <c r="E43" s="111" t="s">
        <v>178</v>
      </c>
      <c r="F43" s="860" t="s">
        <v>179</v>
      </c>
      <c r="G43" s="111" t="s">
        <v>180</v>
      </c>
      <c r="H43" s="111" t="s">
        <v>181</v>
      </c>
      <c r="I43" s="111" t="s">
        <v>182</v>
      </c>
      <c r="AA43" t="s">
        <v>293</v>
      </c>
      <c r="AB43" t="s">
        <v>1428</v>
      </c>
    </row>
    <row r="44" spans="1:28" ht="21" customHeight="1" x14ac:dyDescent="0.3">
      <c r="A44" s="110"/>
      <c r="B44" s="109"/>
      <c r="C44" s="108"/>
      <c r="D44" s="104"/>
      <c r="E44" s="107" t="s">
        <v>184</v>
      </c>
      <c r="F44" s="871"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06" t="str">
        <f>IFERROR(ROUNDUP(D44/F44,0),"")</f>
        <v/>
      </c>
      <c r="H44" s="105"/>
      <c r="I44" s="104"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AA44" t="s">
        <v>101</v>
      </c>
      <c r="AB44" t="s">
        <v>1428</v>
      </c>
    </row>
    <row r="45" spans="1:28" ht="21" customHeight="1" x14ac:dyDescent="0.3">
      <c r="A45" s="110"/>
      <c r="B45" s="109"/>
      <c r="C45" s="108"/>
      <c r="D45" s="104"/>
      <c r="E45" s="107" t="s">
        <v>184</v>
      </c>
      <c r="F45" s="871"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106" t="str">
        <f>IFERROR(ROUNDUP(D45/F45,0),"")</f>
        <v/>
      </c>
      <c r="H45" s="105"/>
      <c r="I45" s="104"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AA45" t="s">
        <v>474</v>
      </c>
      <c r="AB45" t="s">
        <v>1428</v>
      </c>
    </row>
    <row r="46" spans="1:28" ht="21" customHeight="1" x14ac:dyDescent="0.3">
      <c r="A46" s="110"/>
      <c r="B46" s="109"/>
      <c r="C46" s="108"/>
      <c r="D46" s="104"/>
      <c r="E46" s="107" t="s">
        <v>184</v>
      </c>
      <c r="F46" s="871"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106" t="str">
        <f>IFERROR(ROUNDUP(D46/F46,0),"")</f>
        <v/>
      </c>
      <c r="H46" s="105"/>
      <c r="I46" s="104"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AA46" t="s">
        <v>295</v>
      </c>
      <c r="AB46" t="s">
        <v>1428</v>
      </c>
    </row>
    <row r="47" spans="1:28" ht="21" customHeight="1" x14ac:dyDescent="0.3">
      <c r="A47" s="110"/>
      <c r="B47" s="109"/>
      <c r="C47" s="108"/>
      <c r="D47" s="104"/>
      <c r="E47" s="107" t="s">
        <v>184</v>
      </c>
      <c r="F47" s="871"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06" t="str">
        <f>IFERROR(ROUNDUP(D47/F47,0),"")</f>
        <v/>
      </c>
      <c r="H47" s="105"/>
      <c r="I47" s="104"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AA47" t="s">
        <v>97</v>
      </c>
      <c r="AB47" t="s">
        <v>1428</v>
      </c>
    </row>
    <row r="48" spans="1:28" ht="21" customHeight="1" x14ac:dyDescent="0.3">
      <c r="A48" s="817"/>
      <c r="B48" s="818"/>
      <c r="C48" s="819"/>
      <c r="D48" s="820"/>
      <c r="E48" s="821" t="s">
        <v>184</v>
      </c>
      <c r="F48" s="872"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822" t="str">
        <f>IFERROR(ROUNDUP(D48/F48,0),"")</f>
        <v/>
      </c>
      <c r="H48" s="823"/>
      <c r="I48" s="820"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AA48" t="s">
        <v>475</v>
      </c>
      <c r="AB48" t="s">
        <v>1428</v>
      </c>
    </row>
    <row r="49" spans="1:28" ht="15" customHeight="1" x14ac:dyDescent="0.3">
      <c r="A49" s="899"/>
      <c r="B49" s="846" t="s">
        <v>186</v>
      </c>
      <c r="C49" s="847"/>
      <c r="D49" s="848">
        <f>SUM(D42:D48)</f>
        <v>0</v>
      </c>
      <c r="E49" s="849"/>
      <c r="F49" s="856" t="s">
        <v>1400</v>
      </c>
      <c r="G49" s="850">
        <f>SUM(G42:G48)</f>
        <v>0</v>
      </c>
      <c r="H49" s="848">
        <f>SUM(H42:H48)</f>
        <v>0</v>
      </c>
      <c r="I49" s="848">
        <f>SUM(I42:I48)</f>
        <v>0</v>
      </c>
      <c r="J49" s="63">
        <f>D49</f>
        <v>0</v>
      </c>
      <c r="K49" s="93">
        <f>G49</f>
        <v>0</v>
      </c>
      <c r="L49" s="63">
        <f>H49</f>
        <v>0</v>
      </c>
      <c r="M49" s="63">
        <f>I49</f>
        <v>0</v>
      </c>
      <c r="N49" s="587" t="str" cm="1">
        <f t="array" ref="N49">IF(H49=0,"",SUMPRODUCT(IFERROR(INT(H44:H48/F44:F48),0)))</f>
        <v/>
      </c>
      <c r="O49" s="770" t="str">
        <f>IF(N49="","",MAX(0,G49-N49))</f>
        <v/>
      </c>
      <c r="AA49" t="s">
        <v>491</v>
      </c>
      <c r="AB49" t="s">
        <v>1425</v>
      </c>
    </row>
    <row r="50" spans="1:28" ht="6" customHeight="1" x14ac:dyDescent="0.3">
      <c r="C50" s="65"/>
      <c r="AA50" t="s">
        <v>1162</v>
      </c>
      <c r="AB50" t="s">
        <v>1424</v>
      </c>
    </row>
    <row r="51" spans="1:28" ht="15" customHeight="1" x14ac:dyDescent="0.3">
      <c r="A51" s="75">
        <v>46303</v>
      </c>
      <c r="B51" s="113" t="s">
        <v>49</v>
      </c>
      <c r="C51" s="112" t="s">
        <v>176</v>
      </c>
      <c r="D51" s="111" t="s">
        <v>177</v>
      </c>
      <c r="E51" s="111" t="s">
        <v>178</v>
      </c>
      <c r="F51" s="860" t="s">
        <v>179</v>
      </c>
      <c r="G51" s="111" t="s">
        <v>180</v>
      </c>
      <c r="H51" s="111" t="s">
        <v>181</v>
      </c>
      <c r="I51" s="111" t="s">
        <v>182</v>
      </c>
      <c r="AA51" t="s">
        <v>39</v>
      </c>
      <c r="AB51" t="s">
        <v>1423</v>
      </c>
    </row>
    <row r="52" spans="1:28" ht="21" customHeight="1" x14ac:dyDescent="0.3">
      <c r="A52" s="110"/>
      <c r="B52" s="109"/>
      <c r="C52" s="108"/>
      <c r="D52" s="104"/>
      <c r="E52" s="107" t="s">
        <v>184</v>
      </c>
      <c r="F52" s="871"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06" t="str">
        <f>IFERROR(ROUNDUP(D52/F52,0),"")</f>
        <v/>
      </c>
      <c r="H52" s="105"/>
      <c r="I52" s="104"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IFERROR(ROUNDUP(D53/F53,0),"")</f>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AA53" t="s">
        <v>596</v>
      </c>
      <c r="AB53" t="s">
        <v>1425</v>
      </c>
    </row>
    <row r="54" spans="1:28" ht="21" customHeight="1" x14ac:dyDescent="0.3">
      <c r="A54" s="110"/>
      <c r="B54" s="109"/>
      <c r="C54" s="108"/>
      <c r="D54" s="104"/>
      <c r="E54" s="107" t="s">
        <v>184</v>
      </c>
      <c r="F54" s="871"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06" t="str">
        <f>IFERROR(ROUNDUP(D54/F54,0),"")</f>
        <v/>
      </c>
      <c r="H54" s="105"/>
      <c r="I54" s="104"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21" customHeight="1" x14ac:dyDescent="0.3">
      <c r="A55" s="110"/>
      <c r="B55" s="109"/>
      <c r="C55" s="108"/>
      <c r="D55" s="104"/>
      <c r="E55" s="107" t="s">
        <v>184</v>
      </c>
      <c r="F55" s="871"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06" t="str">
        <f>IFERROR(ROUNDUP(D55/F55,0),"")</f>
        <v/>
      </c>
      <c r="H55" s="105"/>
      <c r="I55" s="104"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AA55" t="s">
        <v>571</v>
      </c>
      <c r="AB55" t="s">
        <v>1425</v>
      </c>
    </row>
    <row r="56" spans="1:28" ht="21" customHeight="1" x14ac:dyDescent="0.3">
      <c r="A56" s="817"/>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IFERROR(ROUNDUP(D56/F56,0),"")</f>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0</v>
      </c>
      <c r="E57" s="849"/>
      <c r="F57" s="856" t="s">
        <v>1400</v>
      </c>
      <c r="G57" s="850">
        <f>SUM(G50:G56)</f>
        <v>0</v>
      </c>
      <c r="H57" s="848">
        <f>SUM(H50:H56)</f>
        <v>0</v>
      </c>
      <c r="I57" s="848">
        <f>SUM(I50:I56)</f>
        <v>0</v>
      </c>
      <c r="J57" s="63">
        <f>D57</f>
        <v>0</v>
      </c>
      <c r="K57" s="93">
        <f>G57</f>
        <v>0</v>
      </c>
      <c r="L57" s="63">
        <f>H57</f>
        <v>0</v>
      </c>
      <c r="M57" s="63">
        <f>I57</f>
        <v>0</v>
      </c>
      <c r="N57" s="587" t="str" cm="1">
        <f t="array" ref="N57">IF(H57=0,"",SUMPRODUCT(IFERROR(INT(H52:H56/F52:F56),0)))</f>
        <v/>
      </c>
      <c r="O57" s="770" t="str">
        <f>IF(N57="","",MAX(0,G57-N57))</f>
        <v/>
      </c>
      <c r="AA57" t="s">
        <v>595</v>
      </c>
      <c r="AB57" t="s">
        <v>1425</v>
      </c>
    </row>
    <row r="58" spans="1:28" ht="6" customHeight="1" x14ac:dyDescent="0.3">
      <c r="C58" s="65"/>
      <c r="AA58" t="s">
        <v>483</v>
      </c>
      <c r="AB58" t="s">
        <v>1422</v>
      </c>
    </row>
    <row r="59" spans="1:28" ht="15" customHeight="1" x14ac:dyDescent="0.3">
      <c r="A59" s="75">
        <v>46304</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c r="C60" s="108"/>
      <c r="D60" s="104"/>
      <c r="E60" s="107" t="s">
        <v>184</v>
      </c>
      <c r="F60" s="871" t="str">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
      </c>
      <c r="G60" s="106" t="str">
        <f>IFERROR(ROUNDUP(D60/F60,0),"")</f>
        <v/>
      </c>
      <c r="H60" s="105"/>
      <c r="I60" s="104" t="str">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
      </c>
      <c r="AA60" t="s">
        <v>577</v>
      </c>
      <c r="AB60" t="s">
        <v>1422</v>
      </c>
    </row>
    <row r="61" spans="1:28" ht="21" customHeight="1" x14ac:dyDescent="0.3">
      <c r="A61" s="11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17"/>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0</v>
      </c>
      <c r="E65" s="849"/>
      <c r="F65" s="856" t="s">
        <v>1400</v>
      </c>
      <c r="G65" s="850">
        <f>SUM(G58:G64)</f>
        <v>0</v>
      </c>
      <c r="H65" s="848">
        <f>SUM(H58:H64)</f>
        <v>0</v>
      </c>
      <c r="I65" s="848">
        <f>SUM(I58:I64)</f>
        <v>0</v>
      </c>
      <c r="J65" s="63">
        <f>D65</f>
        <v>0</v>
      </c>
      <c r="K65" s="93">
        <f>G65</f>
        <v>0</v>
      </c>
      <c r="L65" s="63">
        <f>H65</f>
        <v>0</v>
      </c>
      <c r="M65" s="63">
        <f>I65</f>
        <v>0</v>
      </c>
      <c r="N65" s="587" t="str" cm="1">
        <f t="array" ref="N65">IF(H65=0,"",SUMPRODUCT(IFERROR(INT(H60:H64/F60:F64),0)))</f>
        <v/>
      </c>
      <c r="O65" s="770" t="str">
        <f>IF(N65="","",MAX(0,G65-N65))</f>
        <v/>
      </c>
      <c r="AA65" t="s">
        <v>114</v>
      </c>
      <c r="AB65" t="s">
        <v>1422</v>
      </c>
    </row>
    <row r="66" spans="1:28" ht="6" customHeight="1" x14ac:dyDescent="0.3">
      <c r="C66" s="65"/>
      <c r="AA66" t="s">
        <v>487</v>
      </c>
      <c r="AB66" t="s">
        <v>1422</v>
      </c>
    </row>
    <row r="67" spans="1:28" ht="15" customHeight="1" x14ac:dyDescent="0.3">
      <c r="A67" s="135">
        <v>46305</v>
      </c>
      <c r="B67" s="113" t="s">
        <v>49</v>
      </c>
      <c r="C67" s="112" t="s">
        <v>176</v>
      </c>
      <c r="D67" s="111" t="s">
        <v>177</v>
      </c>
      <c r="E67" s="111" t="s">
        <v>178</v>
      </c>
      <c r="F67" s="862" t="s">
        <v>179</v>
      </c>
      <c r="G67" s="111" t="s">
        <v>180</v>
      </c>
      <c r="H67" s="111" t="s">
        <v>181</v>
      </c>
      <c r="I67" s="111" t="s">
        <v>182</v>
      </c>
      <c r="J67" s="128"/>
      <c r="K67" s="128"/>
      <c r="L67" s="128"/>
      <c r="M67" s="128"/>
      <c r="AA67" t="s">
        <v>488</v>
      </c>
      <c r="AB67" t="s">
        <v>1422</v>
      </c>
    </row>
    <row r="68" spans="1:28" ht="21" customHeight="1" x14ac:dyDescent="0.3">
      <c r="A68" s="110"/>
      <c r="B68" s="127"/>
      <c r="C68" s="126"/>
      <c r="D68" s="129"/>
      <c r="E68" s="131" t="s">
        <v>184</v>
      </c>
      <c r="F68" s="877"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30" t="str">
        <f>IFERROR(ROUNDUP(D68/F68,0),"")</f>
        <v/>
      </c>
      <c r="H68" s="105"/>
      <c r="I68" s="129"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J68" s="128"/>
      <c r="K68" s="128"/>
      <c r="L68" s="128"/>
      <c r="M68" s="128"/>
      <c r="AA68" t="s">
        <v>477</v>
      </c>
      <c r="AB68" t="s">
        <v>1422</v>
      </c>
    </row>
    <row r="69" spans="1:28" ht="21" customHeight="1" x14ac:dyDescent="0.3">
      <c r="A69" s="110"/>
      <c r="B69" s="127"/>
      <c r="C69" s="126"/>
      <c r="D69" s="129"/>
      <c r="E69" s="131" t="s">
        <v>184</v>
      </c>
      <c r="F69" s="877"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30" t="str">
        <f>IFERROR(ROUNDUP(D69/F69,0),"")</f>
        <v/>
      </c>
      <c r="H69" s="105"/>
      <c r="I69" s="129"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J69" s="128"/>
      <c r="K69" s="128"/>
      <c r="L69" s="128"/>
      <c r="M69" s="128"/>
      <c r="AA69" t="s">
        <v>1189</v>
      </c>
      <c r="AB69" t="s">
        <v>1422</v>
      </c>
    </row>
    <row r="70" spans="1:28" ht="21" customHeight="1" x14ac:dyDescent="0.3">
      <c r="A70" s="110"/>
      <c r="B70" s="127"/>
      <c r="C70" s="126"/>
      <c r="D70" s="129"/>
      <c r="E70" s="131" t="s">
        <v>184</v>
      </c>
      <c r="F70" s="877"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30" t="str">
        <f>IFERROR(ROUNDUP(D70/F70,0),"")</f>
        <v/>
      </c>
      <c r="H70" s="105"/>
      <c r="I70" s="129"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J70" s="128"/>
      <c r="K70" s="128"/>
      <c r="L70" s="128"/>
      <c r="M70" s="128"/>
      <c r="AA70" t="s">
        <v>479</v>
      </c>
      <c r="AB70" t="s">
        <v>1422</v>
      </c>
    </row>
    <row r="71" spans="1:28" ht="21" customHeight="1" x14ac:dyDescent="0.3">
      <c r="A71" s="110"/>
      <c r="B71" s="127"/>
      <c r="C71" s="126"/>
      <c r="D71" s="129"/>
      <c r="E71" s="131" t="s">
        <v>184</v>
      </c>
      <c r="F71" s="877"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30" t="str">
        <f>IFERROR(ROUNDUP(D71/F71,0),"")</f>
        <v/>
      </c>
      <c r="H71" s="105"/>
      <c r="I71" s="129"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J71" s="128"/>
      <c r="K71" s="128"/>
      <c r="L71" s="128"/>
      <c r="M71" s="128"/>
      <c r="AA71" t="s">
        <v>476</v>
      </c>
      <c r="AB71" t="s">
        <v>1422</v>
      </c>
    </row>
    <row r="72" spans="1:28" ht="21" customHeight="1" x14ac:dyDescent="0.3">
      <c r="A72" s="817"/>
      <c r="B72" s="829"/>
      <c r="C72" s="830"/>
      <c r="D72" s="831"/>
      <c r="E72" s="832" t="s">
        <v>184</v>
      </c>
      <c r="F72" s="878"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33" t="str">
        <f>IFERROR(ROUNDUP(D72/F72,0),"")</f>
        <v/>
      </c>
      <c r="H72" s="823"/>
      <c r="I72" s="831"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J72" s="128"/>
      <c r="K72" s="128"/>
      <c r="L72" s="128"/>
      <c r="M72" s="128"/>
      <c r="AA72" t="s">
        <v>1190</v>
      </c>
      <c r="AB72" t="s">
        <v>1422</v>
      </c>
    </row>
    <row r="73" spans="1:28" ht="15" customHeight="1" x14ac:dyDescent="0.3">
      <c r="A73" s="899"/>
      <c r="B73" s="846" t="s">
        <v>186</v>
      </c>
      <c r="C73" s="851"/>
      <c r="D73" s="848">
        <f>SUM(D66:D72)</f>
        <v>0</v>
      </c>
      <c r="E73" s="852"/>
      <c r="F73" s="857" t="s">
        <v>1400</v>
      </c>
      <c r="G73" s="850">
        <f>SUM(G66:G72)</f>
        <v>0</v>
      </c>
      <c r="H73" s="848">
        <f>SUM(H66:H72)</f>
        <v>0</v>
      </c>
      <c r="I73" s="848">
        <f>SUM(I66:I72)</f>
        <v>0</v>
      </c>
      <c r="J73" s="133">
        <f>D73</f>
        <v>0</v>
      </c>
      <c r="K73" s="134">
        <f>G73</f>
        <v>0</v>
      </c>
      <c r="L73" s="133">
        <f>H73</f>
        <v>0</v>
      </c>
      <c r="M73" s="133">
        <f>I73</f>
        <v>0</v>
      </c>
      <c r="N73" s="587" t="str" cm="1">
        <f t="array" ref="N73">IF(H73=0,"",SUMPRODUCT(IFERROR(INT(H68:H72/F68:F72),0)))</f>
        <v/>
      </c>
      <c r="O73" s="770" t="str">
        <f>IF(N73="","",MAX(0,G73-N73))</f>
        <v/>
      </c>
      <c r="AA73" t="s">
        <v>1191</v>
      </c>
      <c r="AB73" t="s">
        <v>1422</v>
      </c>
    </row>
    <row r="74" spans="1:28" ht="6" customHeight="1" x14ac:dyDescent="0.3">
      <c r="A74" s="128"/>
      <c r="B74" s="128"/>
      <c r="C74" s="132"/>
      <c r="D74" s="128"/>
      <c r="E74" s="128"/>
      <c r="F74" s="128"/>
      <c r="G74" s="128"/>
      <c r="H74" s="128"/>
      <c r="I74" s="128"/>
      <c r="J74" s="128"/>
      <c r="K74" s="128"/>
      <c r="L74" s="128"/>
      <c r="M74" s="128"/>
      <c r="AA74" t="s">
        <v>481</v>
      </c>
      <c r="AB74" t="s">
        <v>1422</v>
      </c>
    </row>
    <row r="75" spans="1:28" ht="15" customHeight="1" x14ac:dyDescent="0.3">
      <c r="A75" s="75">
        <v>46307</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10"/>
      <c r="B76" s="109"/>
      <c r="C76" s="108"/>
      <c r="D76" s="104"/>
      <c r="E76" s="107" t="s">
        <v>184</v>
      </c>
      <c r="F76" s="871" t="str">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
      </c>
      <c r="G76" s="106" t="str">
        <f>IFERROR(ROUNDUP(D76/F76,0),"")</f>
        <v/>
      </c>
      <c r="H76" s="105"/>
      <c r="I76" s="104" t="str">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
      </c>
      <c r="AA76" t="s">
        <v>1192</v>
      </c>
      <c r="AB76" t="s">
        <v>1422</v>
      </c>
    </row>
    <row r="77" spans="1:28" ht="21" customHeight="1" x14ac:dyDescent="0.3">
      <c r="A77" s="110"/>
      <c r="B77" s="109"/>
      <c r="C77" s="108"/>
      <c r="D77" s="104"/>
      <c r="E77" s="107" t="s">
        <v>184</v>
      </c>
      <c r="F77" s="871" t="str">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
      </c>
      <c r="G77" s="106" t="str">
        <f>IFERROR(ROUNDUP(D77/F77,0),"")</f>
        <v/>
      </c>
      <c r="H77" s="105"/>
      <c r="I77" s="104" t="str">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
      </c>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IFERROR(ROUNDUP(D78/F78,0),"")</f>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IFERROR(ROUNDUP(D79/F79,0),"")</f>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817"/>
      <c r="B80" s="818"/>
      <c r="C80" s="819"/>
      <c r="D80" s="820"/>
      <c r="E80" s="821" t="s">
        <v>184</v>
      </c>
      <c r="F80" s="872"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822" t="str">
        <f>IFERROR(ROUNDUP(D80/F80,0),"")</f>
        <v/>
      </c>
      <c r="H80" s="823"/>
      <c r="I80" s="820"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15" customHeight="1" x14ac:dyDescent="0.3">
      <c r="A81" s="899"/>
      <c r="B81" s="846" t="s">
        <v>186</v>
      </c>
      <c r="C81" s="847"/>
      <c r="D81" s="848">
        <f>SUM(D74:D80)</f>
        <v>0</v>
      </c>
      <c r="E81" s="849"/>
      <c r="F81" s="856" t="s">
        <v>1400</v>
      </c>
      <c r="G81" s="850">
        <f>SUM(G74:G80)</f>
        <v>0</v>
      </c>
      <c r="H81" s="848">
        <f>SUM(H74:H80)</f>
        <v>0</v>
      </c>
      <c r="I81" s="848">
        <f>SUM(I74:I80)</f>
        <v>0</v>
      </c>
      <c r="J81" s="63">
        <f>D81</f>
        <v>0</v>
      </c>
      <c r="K81" s="93">
        <f>G81</f>
        <v>0</v>
      </c>
      <c r="L81" s="63">
        <f>H81</f>
        <v>0</v>
      </c>
      <c r="M81" s="63">
        <f>I81</f>
        <v>0</v>
      </c>
      <c r="N81" s="587" t="str" cm="1">
        <f t="array" ref="N81">IF(H81=0,"",SUMPRODUCT(IFERROR(INT(H76:H80/F76:F80),0)))</f>
        <v/>
      </c>
      <c r="O81" s="770" t="str">
        <f>IF(N81="","",MAX(0,G81-N81))</f>
        <v/>
      </c>
      <c r="AA81" t="s">
        <v>486</v>
      </c>
      <c r="AB81" t="s">
        <v>1422</v>
      </c>
    </row>
    <row r="82" spans="1:28" ht="6" customHeight="1" x14ac:dyDescent="0.3">
      <c r="C82" s="65"/>
      <c r="AA82" t="s">
        <v>485</v>
      </c>
      <c r="AB82" t="s">
        <v>1422</v>
      </c>
    </row>
    <row r="83" spans="1:28" ht="15" customHeight="1" x14ac:dyDescent="0.3">
      <c r="A83" s="75">
        <v>46308</v>
      </c>
      <c r="B83" s="113" t="s">
        <v>49</v>
      </c>
      <c r="C83" s="112" t="s">
        <v>176</v>
      </c>
      <c r="D83" s="111" t="s">
        <v>177</v>
      </c>
      <c r="E83" s="111" t="s">
        <v>178</v>
      </c>
      <c r="F83" s="860" t="s">
        <v>179</v>
      </c>
      <c r="G83" s="111" t="s">
        <v>180</v>
      </c>
      <c r="H83" s="111" t="s">
        <v>181</v>
      </c>
      <c r="I83" s="111" t="s">
        <v>182</v>
      </c>
      <c r="AA83" t="s">
        <v>583</v>
      </c>
      <c r="AB83" t="s">
        <v>1422</v>
      </c>
    </row>
    <row r="84" spans="1:28" ht="21" customHeight="1" x14ac:dyDescent="0.3">
      <c r="A84" s="110"/>
      <c r="B84" s="109"/>
      <c r="C84" s="108"/>
      <c r="D84" s="104"/>
      <c r="E84" s="107" t="s">
        <v>184</v>
      </c>
      <c r="F84" s="871" t="str">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
      </c>
      <c r="G84" s="106" t="str">
        <f>IFERROR(ROUNDUP(D84/F84,0),"")</f>
        <v/>
      </c>
      <c r="H84" s="105"/>
      <c r="I84" s="104" t="str">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
      </c>
      <c r="AA84" t="s">
        <v>584</v>
      </c>
      <c r="AB84" t="s">
        <v>1422</v>
      </c>
    </row>
    <row r="85" spans="1:28" ht="21" customHeight="1" x14ac:dyDescent="0.3">
      <c r="A85" s="110"/>
      <c r="B85" s="109"/>
      <c r="C85" s="108"/>
      <c r="D85" s="104"/>
      <c r="E85" s="107" t="s">
        <v>184</v>
      </c>
      <c r="F85" s="871" t="str">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
      </c>
      <c r="G85" s="106" t="str">
        <f>IFERROR(ROUNDUP(D85/F85,0),"")</f>
        <v/>
      </c>
      <c r="H85" s="105"/>
      <c r="I85" s="104"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AA85" t="s">
        <v>579</v>
      </c>
      <c r="AB85" t="s">
        <v>1422</v>
      </c>
    </row>
    <row r="86" spans="1:28" ht="21" customHeight="1" x14ac:dyDescent="0.3">
      <c r="A86" s="110"/>
      <c r="B86" s="109"/>
      <c r="C86" s="108"/>
      <c r="D86" s="104"/>
      <c r="E86" s="107" t="s">
        <v>184</v>
      </c>
      <c r="F86" s="871"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06" t="str">
        <f>IFERROR(ROUNDUP(D86/F86,0),"")</f>
        <v/>
      </c>
      <c r="H86" s="105"/>
      <c r="I86" s="104"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AA86" t="s">
        <v>484</v>
      </c>
      <c r="AB86" t="s">
        <v>1422</v>
      </c>
    </row>
    <row r="87" spans="1:28" ht="21" customHeight="1" x14ac:dyDescent="0.3">
      <c r="A87" s="110"/>
      <c r="B87" s="109"/>
      <c r="C87" s="108"/>
      <c r="D87" s="104"/>
      <c r="E87" s="107" t="s">
        <v>184</v>
      </c>
      <c r="F87" s="871"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06" t="str">
        <f>IFERROR(ROUNDUP(D87/F87,0),"")</f>
        <v/>
      </c>
      <c r="H87" s="105"/>
      <c r="I87" s="104"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AA87" t="s">
        <v>580</v>
      </c>
      <c r="AB87" t="s">
        <v>1422</v>
      </c>
    </row>
    <row r="88" spans="1:28" ht="21" customHeight="1" x14ac:dyDescent="0.3">
      <c r="A88" s="817"/>
      <c r="B88" s="818"/>
      <c r="C88" s="819"/>
      <c r="D88" s="820"/>
      <c r="E88" s="821" t="s">
        <v>184</v>
      </c>
      <c r="F88" s="872"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822" t="str">
        <f>IFERROR(ROUNDUP(D88/F88,0),"")</f>
        <v/>
      </c>
      <c r="H88" s="823"/>
      <c r="I88" s="820"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AA88" t="s">
        <v>585</v>
      </c>
      <c r="AB88" t="s">
        <v>1422</v>
      </c>
    </row>
    <row r="89" spans="1:28" ht="15" customHeight="1" x14ac:dyDescent="0.3">
      <c r="A89" s="899"/>
      <c r="B89" s="846" t="s">
        <v>186</v>
      </c>
      <c r="C89" s="847"/>
      <c r="D89" s="848">
        <f>SUM(D82:D88)</f>
        <v>0</v>
      </c>
      <c r="E89" s="849"/>
      <c r="F89" s="856" t="s">
        <v>1400</v>
      </c>
      <c r="G89" s="850">
        <f>SUM(G82:G88)</f>
        <v>0</v>
      </c>
      <c r="H89" s="848">
        <f>SUM(H82:H88)</f>
        <v>0</v>
      </c>
      <c r="I89" s="848">
        <f>SUM(I82:I88)</f>
        <v>0</v>
      </c>
      <c r="J89" s="63">
        <f>D89</f>
        <v>0</v>
      </c>
      <c r="K89" s="93">
        <f>G89</f>
        <v>0</v>
      </c>
      <c r="L89" s="63">
        <f>H89</f>
        <v>0</v>
      </c>
      <c r="M89" s="63">
        <f>I89</f>
        <v>0</v>
      </c>
      <c r="N89" s="587" t="str" cm="1">
        <f t="array" ref="N89">IF(H89=0,"",SUMPRODUCT(IFERROR(INT(H84:H88/F84:F88),0)))</f>
        <v/>
      </c>
      <c r="O89" s="770" t="str">
        <f>IF(N89="","",MAX(0,G89-N89))</f>
        <v/>
      </c>
      <c r="AA89" t="s">
        <v>586</v>
      </c>
      <c r="AB89" t="s">
        <v>1422</v>
      </c>
    </row>
    <row r="90" spans="1:28" ht="6" customHeight="1" x14ac:dyDescent="0.3">
      <c r="C90" s="65"/>
      <c r="AA90" t="s">
        <v>194</v>
      </c>
      <c r="AB90" t="s">
        <v>1422</v>
      </c>
    </row>
    <row r="91" spans="1:28" ht="15" customHeight="1" x14ac:dyDescent="0.3">
      <c r="A91" s="75">
        <v>46309</v>
      </c>
      <c r="B91" s="113" t="s">
        <v>49</v>
      </c>
      <c r="C91" s="112" t="s">
        <v>176</v>
      </c>
      <c r="D91" s="111" t="s">
        <v>177</v>
      </c>
      <c r="E91" s="111" t="s">
        <v>178</v>
      </c>
      <c r="F91" s="860" t="s">
        <v>179</v>
      </c>
      <c r="G91" s="111" t="s">
        <v>180</v>
      </c>
      <c r="H91" s="111" t="s">
        <v>181</v>
      </c>
      <c r="I91" s="111" t="s">
        <v>182</v>
      </c>
      <c r="AA91" t="s">
        <v>35</v>
      </c>
      <c r="AB91" t="s">
        <v>1425</v>
      </c>
    </row>
    <row r="92" spans="1:28" ht="21" customHeight="1" x14ac:dyDescent="0.3">
      <c r="A92" s="110"/>
      <c r="B92" s="109"/>
      <c r="C92" s="108"/>
      <c r="D92" s="104"/>
      <c r="E92" s="107" t="s">
        <v>184</v>
      </c>
      <c r="F92" s="871" t="str">
        <f>IF($B92="","",IF(SUMIFS(CONFIG_PALETES!$C:$C,CONFIG_PALETES!$A:$A,TRIM($B92),CONFIG_PALETES!$B:$B,$C92&amp;" ml")&gt;0,SUMIFS(CONFIG_PALETES!$C:$C,CONFIG_PALETES!$A:$A,TRIM($B92),CONFIG_PALETES!$B:$B,$C92&amp;" ml"),IF(SUMIFS(CONFIG_PALETES!$C:$C,CONFIG_PALETES!$A:$A,"GERAL",CONFIG_PALETES!$B:$B,$C92&amp;" ml")&gt;0,SUMIFS(CONFIG_PALETES!$C:$C,CONFIG_PALETES!$A:$A,"GERAL",CONFIG_PALETES!$B:$B,$C92&amp;" ml"),"")))</f>
        <v/>
      </c>
      <c r="G92" s="106" t="str">
        <f>IFERROR(ROUNDUP(D92/F92,0),"")</f>
        <v/>
      </c>
      <c r="H92" s="105"/>
      <c r="I92" s="104" t="str">
        <f>IF(H92="","",H92*IF(SUMIFS(CONFIG_PALETES!$D:$D,CONFIG_PALETES!$A:$A,IF(ISNUMBER(SEARCH("ESPUMA",$B92)),"ESPUMA",IF(OR(ISNUMBER(SEARCH("OLEO DE COCO",$B92)),ISNUMBER(SEARCH("ÓLEO DE COCO",$B92)),ISNUMBER(SEARCH("COPRA",$B92))),"ÓLEO DE COCO",IF(ISNUMBER(SEARCH("CORANTE",$B92)),"CORANTE",TRIM($B92)))),CONFIG_PALETES!$B:$B,$C92&amp;" ml")&gt;0,SUMIFS(CONFIG_PALETES!$D:$D,CONFIG_PALETES!$A:$A,IF(ISNUMBER(SEARCH("ESPUMA",$B92)),"ESPUMA",IF(OR(ISNUMBER(SEARCH("OLEO DE COCO",$B92)),ISNUMBER(SEARCH("ÓLEO DE COCO",$B92)),ISNUMBER(SEARCH("COPRA",$B92))),"ÓLEO DE COCO",IF(ISNUMBER(SEARCH("CORANTE",$B92)),"CORANTE",TRIM($B92)))),CONFIG_PALETES!$B:$B,$C92&amp;" ml"),IF(SUMIFS(CONFIG_PALETES!$D:$D,CONFIG_PALETES!$A:$A,"GERAL",CONFIG_PALETES!$B:$B,$C92&amp;" ml")&gt;0,SUMIFS(CONFIG_PALETES!$D:$D,CONFIG_PALETES!$A:$A,"GERAL",CONFIG_PALETES!$B:$B,$C92&amp;" ml"),12)))</f>
        <v/>
      </c>
      <c r="AA92" t="s">
        <v>597</v>
      </c>
      <c r="AB92" t="s">
        <v>1425</v>
      </c>
    </row>
    <row r="93" spans="1:28" ht="21" customHeight="1" x14ac:dyDescent="0.3">
      <c r="A93" s="110"/>
      <c r="B93" s="109"/>
      <c r="C93" s="108"/>
      <c r="D93" s="104"/>
      <c r="E93" s="107" t="s">
        <v>184</v>
      </c>
      <c r="F93" s="871" t="str">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
      </c>
      <c r="G93" s="106" t="str">
        <f>IFERROR(ROUNDUP(D93/F93,0),"")</f>
        <v/>
      </c>
      <c r="H93" s="105"/>
      <c r="I93" s="104" t="str">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
      </c>
      <c r="AA93" t="s">
        <v>196</v>
      </c>
      <c r="AB93" t="s">
        <v>1429</v>
      </c>
    </row>
    <row r="94" spans="1:28" ht="21" customHeight="1" x14ac:dyDescent="0.3">
      <c r="A94" s="110"/>
      <c r="B94" s="109"/>
      <c r="C94" s="108"/>
      <c r="D94" s="104"/>
      <c r="E94" s="107" t="s">
        <v>184</v>
      </c>
      <c r="F94" s="871" t="str">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
      </c>
      <c r="G94" s="106" t="str">
        <f>IFERROR(ROUNDUP(D94/F94,0),"")</f>
        <v/>
      </c>
      <c r="H94" s="105"/>
      <c r="I94" s="104" t="str">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
      </c>
      <c r="AA94" t="s">
        <v>298</v>
      </c>
      <c r="AB94" t="s">
        <v>1422</v>
      </c>
    </row>
    <row r="95" spans="1:28" ht="21" customHeight="1" x14ac:dyDescent="0.3">
      <c r="A95" s="110"/>
      <c r="B95" s="109"/>
      <c r="C95" s="108"/>
      <c r="D95" s="104"/>
      <c r="E95" s="107" t="s">
        <v>184</v>
      </c>
      <c r="F95" s="871"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06" t="str">
        <f>IFERROR(ROUNDUP(D95/F95,0),"")</f>
        <v/>
      </c>
      <c r="H95" s="105"/>
      <c r="I95" s="104"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AA95" t="s">
        <v>191</v>
      </c>
      <c r="AB95" t="s">
        <v>1422</v>
      </c>
    </row>
    <row r="96" spans="1:28" ht="21" customHeight="1" x14ac:dyDescent="0.3">
      <c r="A96" s="817"/>
      <c r="B96" s="818"/>
      <c r="C96" s="819"/>
      <c r="D96" s="820"/>
      <c r="E96" s="821" t="s">
        <v>184</v>
      </c>
      <c r="F96" s="872"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822" t="str">
        <f>IFERROR(ROUNDUP(D96/F96,0),"")</f>
        <v/>
      </c>
      <c r="H96" s="823"/>
      <c r="I96" s="820"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AA96" t="s">
        <v>190</v>
      </c>
      <c r="AB96" t="s">
        <v>1422</v>
      </c>
    </row>
    <row r="97" spans="1:28" ht="15" customHeight="1" x14ac:dyDescent="0.3">
      <c r="A97" s="899"/>
      <c r="B97" s="846" t="s">
        <v>186</v>
      </c>
      <c r="C97" s="847"/>
      <c r="D97" s="848">
        <f>SUM(D90:D96)</f>
        <v>0</v>
      </c>
      <c r="E97" s="849"/>
      <c r="F97" s="856" t="s">
        <v>1400</v>
      </c>
      <c r="G97" s="850">
        <f>SUM(G90:G96)</f>
        <v>0</v>
      </c>
      <c r="H97" s="848">
        <f>SUM(H90:H96)</f>
        <v>0</v>
      </c>
      <c r="I97" s="848">
        <f>SUM(I90:I96)</f>
        <v>0</v>
      </c>
      <c r="J97" s="63">
        <f>D97</f>
        <v>0</v>
      </c>
      <c r="K97" s="93">
        <f>G97</f>
        <v>0</v>
      </c>
      <c r="L97" s="63">
        <f>H97</f>
        <v>0</v>
      </c>
      <c r="M97" s="63">
        <f>I97</f>
        <v>0</v>
      </c>
      <c r="N97" s="587" t="str" cm="1">
        <f t="array" ref="N97">IF(H97=0,"",SUMPRODUCT(IFERROR(INT(H92:H96/F92:F96),0)))</f>
        <v/>
      </c>
      <c r="O97" s="770" t="str">
        <f>IF(N97="","",MAX(0,G97-N97))</f>
        <v/>
      </c>
      <c r="AA97" t="s">
        <v>594</v>
      </c>
      <c r="AB97" t="s">
        <v>1424</v>
      </c>
    </row>
    <row r="98" spans="1:28" ht="6" customHeight="1" x14ac:dyDescent="0.3">
      <c r="C98" s="65"/>
      <c r="AA98" t="s">
        <v>1061</v>
      </c>
      <c r="AB98" t="s">
        <v>1429</v>
      </c>
    </row>
    <row r="99" spans="1:28" ht="15" customHeight="1" x14ac:dyDescent="0.3">
      <c r="A99" s="75">
        <v>46310</v>
      </c>
      <c r="B99" s="113" t="s">
        <v>49</v>
      </c>
      <c r="C99" s="112" t="s">
        <v>176</v>
      </c>
      <c r="D99" s="111" t="s">
        <v>177</v>
      </c>
      <c r="E99" s="111" t="s">
        <v>178</v>
      </c>
      <c r="F99" s="860" t="s">
        <v>179</v>
      </c>
      <c r="G99" s="111" t="s">
        <v>180</v>
      </c>
      <c r="H99" s="111" t="s">
        <v>181</v>
      </c>
      <c r="I99" s="111" t="s">
        <v>182</v>
      </c>
      <c r="AA99" t="s">
        <v>149</v>
      </c>
      <c r="AB99" t="s">
        <v>1425</v>
      </c>
    </row>
    <row r="100" spans="1:28" ht="21" customHeight="1" x14ac:dyDescent="0.3">
      <c r="A100" s="110"/>
      <c r="B100" s="109"/>
      <c r="C100" s="108"/>
      <c r="D100" s="104"/>
      <c r="E100" s="107" t="s">
        <v>184</v>
      </c>
      <c r="F100" s="871"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06" t="str">
        <f>IFERROR(ROUNDUP(D100/F100,0),"")</f>
        <v/>
      </c>
      <c r="H100" s="105"/>
      <c r="I100" s="104"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AA100" t="s">
        <v>29</v>
      </c>
      <c r="AB100" t="s">
        <v>1425</v>
      </c>
    </row>
    <row r="101" spans="1:28" ht="21" customHeight="1" x14ac:dyDescent="0.3">
      <c r="A101" s="110"/>
      <c r="B101" s="109"/>
      <c r="C101" s="108"/>
      <c r="D101" s="104"/>
      <c r="E101" s="107" t="s">
        <v>184</v>
      </c>
      <c r="F101" s="871"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06" t="str">
        <f>IFERROR(ROUNDUP(D101/F101,0),"")</f>
        <v/>
      </c>
      <c r="H101" s="105"/>
      <c r="I101" s="104"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AA101" t="s">
        <v>62</v>
      </c>
      <c r="AB101" t="s">
        <v>1423</v>
      </c>
    </row>
    <row r="102" spans="1:28" ht="21" customHeight="1" x14ac:dyDescent="0.3">
      <c r="A102" s="110"/>
      <c r="B102" s="109"/>
      <c r="C102" s="108"/>
      <c r="D102" s="104"/>
      <c r="E102" s="107" t="s">
        <v>184</v>
      </c>
      <c r="F102" s="871"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106" t="str">
        <f>IFERROR(ROUNDUP(D102/F102,0),"")</f>
        <v/>
      </c>
      <c r="H102" s="105"/>
      <c r="I102" s="104"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AA102" t="s">
        <v>649</v>
      </c>
      <c r="AB102" t="s">
        <v>1423</v>
      </c>
    </row>
    <row r="103" spans="1:28" ht="21" customHeight="1" x14ac:dyDescent="0.3">
      <c r="A103" s="110"/>
      <c r="B103" s="109"/>
      <c r="C103" s="108"/>
      <c r="D103" s="104"/>
      <c r="E103" s="107" t="s">
        <v>184</v>
      </c>
      <c r="F103" s="871"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06" t="str">
        <f>IFERROR(ROUNDUP(D103/F103,0),"")</f>
        <v/>
      </c>
      <c r="H103" s="105"/>
      <c r="I103" s="104"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AA103" t="s">
        <v>188</v>
      </c>
      <c r="AB103" t="s">
        <v>1423</v>
      </c>
    </row>
    <row r="104" spans="1:28" ht="21" customHeight="1" x14ac:dyDescent="0.3">
      <c r="A104" s="817"/>
      <c r="B104" s="818"/>
      <c r="C104" s="819"/>
      <c r="D104" s="820"/>
      <c r="E104" s="821" t="s">
        <v>184</v>
      </c>
      <c r="F104" s="872"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822" t="str">
        <f>IFERROR(ROUNDUP(D104/F104,0),"")</f>
        <v/>
      </c>
      <c r="H104" s="823"/>
      <c r="I104" s="820"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AA104" t="s">
        <v>1164</v>
      </c>
      <c r="AB104" t="s">
        <v>1423</v>
      </c>
    </row>
    <row r="105" spans="1:28" ht="15" customHeight="1" x14ac:dyDescent="0.3">
      <c r="A105" s="899"/>
      <c r="B105" s="846" t="s">
        <v>186</v>
      </c>
      <c r="C105" s="847"/>
      <c r="D105" s="848">
        <f>SUM(D98:D104)</f>
        <v>0</v>
      </c>
      <c r="E105" s="849"/>
      <c r="F105" s="856" t="s">
        <v>1400</v>
      </c>
      <c r="G105" s="850">
        <f>SUM(G98:G104)</f>
        <v>0</v>
      </c>
      <c r="H105" s="848">
        <f>SUM(H98:H104)</f>
        <v>0</v>
      </c>
      <c r="I105" s="848">
        <f>SUM(I98:I104)</f>
        <v>0</v>
      </c>
      <c r="J105" s="63">
        <f>D105</f>
        <v>0</v>
      </c>
      <c r="K105" s="93">
        <f>G105</f>
        <v>0</v>
      </c>
      <c r="L105" s="63">
        <f>H105</f>
        <v>0</v>
      </c>
      <c r="M105" s="63">
        <f>I105</f>
        <v>0</v>
      </c>
      <c r="N105" s="587" t="str" cm="1">
        <f t="array" ref="N105">IF(H105=0,"",SUMPRODUCT(IFERROR(INT(H100:H104/F100:F104),0)))</f>
        <v/>
      </c>
      <c r="O105" s="770" t="str">
        <f>IF(N105="","",MAX(0,G105-N105))</f>
        <v/>
      </c>
      <c r="AA105" t="s">
        <v>131</v>
      </c>
      <c r="AB105" t="s">
        <v>1423</v>
      </c>
    </row>
    <row r="106" spans="1:28" ht="6" customHeight="1" x14ac:dyDescent="0.3">
      <c r="C106" s="65"/>
      <c r="AA106" t="s">
        <v>1225</v>
      </c>
      <c r="AB106" t="s">
        <v>1426</v>
      </c>
    </row>
    <row r="107" spans="1:28" ht="15" customHeight="1" x14ac:dyDescent="0.3">
      <c r="A107" s="75">
        <v>46311</v>
      </c>
      <c r="B107" s="113" t="s">
        <v>49</v>
      </c>
      <c r="C107" s="112" t="s">
        <v>176</v>
      </c>
      <c r="D107" s="111" t="s">
        <v>177</v>
      </c>
      <c r="E107" s="111" t="s">
        <v>178</v>
      </c>
      <c r="F107" s="860" t="s">
        <v>179</v>
      </c>
      <c r="G107" s="111" t="s">
        <v>180</v>
      </c>
      <c r="H107" s="111" t="s">
        <v>181</v>
      </c>
      <c r="I107" s="111" t="s">
        <v>182</v>
      </c>
      <c r="AA107" t="s">
        <v>198</v>
      </c>
      <c r="AB107" t="s">
        <v>1425</v>
      </c>
    </row>
    <row r="108" spans="1:28" ht="21" customHeight="1" x14ac:dyDescent="0.3">
      <c r="A108" s="110"/>
      <c r="B108" s="109"/>
      <c r="C108" s="108"/>
      <c r="D108" s="104"/>
      <c r="E108" s="107" t="s">
        <v>184</v>
      </c>
      <c r="F108" s="871"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106" t="str">
        <f>IFERROR(ROUNDUP(D108/F108,0),"")</f>
        <v/>
      </c>
      <c r="H108" s="105"/>
      <c r="I108" s="104"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110"/>
      <c r="B110" s="109"/>
      <c r="C110" s="108"/>
      <c r="D110" s="104"/>
      <c r="E110" s="107" t="s">
        <v>184</v>
      </c>
      <c r="F110" s="871"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106" t="str">
        <f>IFERROR(ROUNDUP(D110/F110,0),"")</f>
        <v/>
      </c>
      <c r="H110" s="105"/>
      <c r="I110" s="104"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21" customHeight="1" x14ac:dyDescent="0.3">
      <c r="A111" s="11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817"/>
      <c r="B112" s="818"/>
      <c r="C112" s="819"/>
      <c r="D112" s="820"/>
      <c r="E112" s="821" t="s">
        <v>184</v>
      </c>
      <c r="F112" s="872"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822" t="str">
        <f>IFERROR(ROUNDUP(D112/F112,0),"")</f>
        <v/>
      </c>
      <c r="H112" s="823"/>
      <c r="I112" s="820"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15" customHeight="1" x14ac:dyDescent="0.3">
      <c r="A113" s="899"/>
      <c r="B113" s="846" t="s">
        <v>186</v>
      </c>
      <c r="C113" s="847"/>
      <c r="D113" s="848">
        <f>SUM(D106:D112)</f>
        <v>0</v>
      </c>
      <c r="E113" s="849"/>
      <c r="F113" s="856" t="s">
        <v>1400</v>
      </c>
      <c r="G113" s="850">
        <f>SUM(G106:G112)</f>
        <v>0</v>
      </c>
      <c r="H113" s="848">
        <f>SUM(H106:H112)</f>
        <v>0</v>
      </c>
      <c r="I113" s="848">
        <f>SUM(I106:I112)</f>
        <v>0</v>
      </c>
      <c r="J113" s="63">
        <f>D113</f>
        <v>0</v>
      </c>
      <c r="K113" s="93">
        <f>G113</f>
        <v>0</v>
      </c>
      <c r="L113" s="63">
        <f>H113</f>
        <v>0</v>
      </c>
      <c r="M113" s="63">
        <f>I113</f>
        <v>0</v>
      </c>
      <c r="N113" s="587" t="str" cm="1">
        <f t="array" ref="N113">IF(H113=0,"",SUMPRODUCT(IFERROR(INT(H108:H112/F108:F112),0)))</f>
        <v/>
      </c>
      <c r="O113" s="770" t="str">
        <f>IF(N113="","",MAX(0,G113-N113))</f>
        <v/>
      </c>
      <c r="AA113" t="s">
        <v>494</v>
      </c>
      <c r="AB113" t="s">
        <v>1426</v>
      </c>
    </row>
    <row r="114" spans="1:28" ht="6" customHeight="1" x14ac:dyDescent="0.3">
      <c r="C114" s="65"/>
      <c r="AA114" t="s">
        <v>404</v>
      </c>
      <c r="AB114" t="s">
        <v>1422</v>
      </c>
    </row>
    <row r="115" spans="1:28" ht="15" customHeight="1" x14ac:dyDescent="0.3">
      <c r="A115" s="135">
        <v>46312</v>
      </c>
      <c r="B115" s="113" t="s">
        <v>49</v>
      </c>
      <c r="C115" s="112" t="s">
        <v>176</v>
      </c>
      <c r="D115" s="111" t="s">
        <v>177</v>
      </c>
      <c r="E115" s="111" t="s">
        <v>178</v>
      </c>
      <c r="F115" s="862" t="s">
        <v>179</v>
      </c>
      <c r="G115" s="111" t="s">
        <v>180</v>
      </c>
      <c r="H115" s="111" t="s">
        <v>181</v>
      </c>
      <c r="I115" s="111" t="s">
        <v>182</v>
      </c>
      <c r="J115" s="128"/>
      <c r="K115" s="128"/>
      <c r="L115" s="128"/>
      <c r="M115" s="128"/>
      <c r="AA115" t="s">
        <v>493</v>
      </c>
      <c r="AB115" t="s">
        <v>1431</v>
      </c>
    </row>
    <row r="116" spans="1:28" ht="21" customHeight="1" x14ac:dyDescent="0.3">
      <c r="A116" s="110"/>
      <c r="B116" s="127"/>
      <c r="C116" s="126"/>
      <c r="D116" s="129"/>
      <c r="E116" s="131" t="s">
        <v>184</v>
      </c>
      <c r="F116" s="877"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30" t="str">
        <f>IFERROR(ROUNDUP(D116/F116,0),"")</f>
        <v/>
      </c>
      <c r="H116" s="105"/>
      <c r="I116" s="129"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J116" s="128"/>
      <c r="K116" s="128"/>
      <c r="L116" s="128"/>
      <c r="M116" s="128"/>
      <c r="AA116" t="s">
        <v>400</v>
      </c>
      <c r="AB116" t="s">
        <v>1430</v>
      </c>
    </row>
    <row r="117" spans="1:28" ht="21" customHeight="1" x14ac:dyDescent="0.3">
      <c r="A117" s="110"/>
      <c r="B117" s="127"/>
      <c r="C117" s="126"/>
      <c r="D117" s="129"/>
      <c r="E117" s="131" t="s">
        <v>184</v>
      </c>
      <c r="F117" s="877"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130" t="str">
        <f>IFERROR(ROUNDUP(D117/F117,0),"")</f>
        <v/>
      </c>
      <c r="H117" s="105"/>
      <c r="I117" s="129"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J117" s="128"/>
      <c r="K117" s="128"/>
      <c r="L117" s="128"/>
      <c r="M117" s="128"/>
      <c r="AA117" t="s">
        <v>492</v>
      </c>
      <c r="AB117" t="s">
        <v>1435</v>
      </c>
    </row>
    <row r="118" spans="1:28" ht="21" customHeight="1" x14ac:dyDescent="0.3">
      <c r="A118" s="110"/>
      <c r="B118" s="127"/>
      <c r="C118" s="126"/>
      <c r="D118" s="129"/>
      <c r="E118" s="131" t="s">
        <v>184</v>
      </c>
      <c r="F118" s="877"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30" t="str">
        <f>IFERROR(ROUNDUP(D118/F118,0),"")</f>
        <v/>
      </c>
      <c r="H118" s="105"/>
      <c r="I118" s="129"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J118" s="128"/>
      <c r="K118" s="128"/>
      <c r="L118" s="128"/>
      <c r="M118" s="128"/>
      <c r="AA118" t="s">
        <v>498</v>
      </c>
      <c r="AB118" t="s">
        <v>1423</v>
      </c>
    </row>
    <row r="119" spans="1:28" ht="21" customHeight="1" x14ac:dyDescent="0.3">
      <c r="A119" s="110"/>
      <c r="B119" s="127"/>
      <c r="C119" s="126"/>
      <c r="D119" s="129"/>
      <c r="E119" s="131" t="s">
        <v>184</v>
      </c>
      <c r="F119" s="877"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30" t="str">
        <f>IFERROR(ROUNDUP(D119/F119,0),"")</f>
        <v/>
      </c>
      <c r="H119" s="105"/>
      <c r="I119" s="129"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J119" s="128"/>
      <c r="K119" s="128"/>
      <c r="L119" s="128"/>
      <c r="M119" s="128"/>
      <c r="AA119" t="s">
        <v>995</v>
      </c>
      <c r="AB119" t="s">
        <v>1426</v>
      </c>
    </row>
    <row r="120" spans="1:28" ht="21" customHeight="1" x14ac:dyDescent="0.3">
      <c r="A120" s="817"/>
      <c r="B120" s="829"/>
      <c r="C120" s="830"/>
      <c r="D120" s="831"/>
      <c r="E120" s="832" t="s">
        <v>184</v>
      </c>
      <c r="F120" s="878"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33" t="str">
        <f>IFERROR(ROUNDUP(D120/F120,0),"")</f>
        <v/>
      </c>
      <c r="H120" s="823"/>
      <c r="I120" s="831"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J120" s="128"/>
      <c r="K120" s="128"/>
      <c r="L120" s="128"/>
      <c r="M120" s="128"/>
      <c r="AA120" t="s">
        <v>286</v>
      </c>
      <c r="AB120" t="s">
        <v>1426</v>
      </c>
    </row>
    <row r="121" spans="1:28" ht="15" customHeight="1" x14ac:dyDescent="0.3">
      <c r="A121" s="899"/>
      <c r="B121" s="846" t="s">
        <v>186</v>
      </c>
      <c r="C121" s="851"/>
      <c r="D121" s="848">
        <f>SUM(D114:D120)</f>
        <v>0</v>
      </c>
      <c r="E121" s="852"/>
      <c r="F121" s="857" t="s">
        <v>1400</v>
      </c>
      <c r="G121" s="850">
        <f>SUM(G114:G120)</f>
        <v>0</v>
      </c>
      <c r="H121" s="848">
        <f>SUM(H114:H120)</f>
        <v>0</v>
      </c>
      <c r="I121" s="848">
        <f>SUM(I114:I120)</f>
        <v>0</v>
      </c>
      <c r="J121" s="133">
        <f>D121</f>
        <v>0</v>
      </c>
      <c r="K121" s="134">
        <f>G121</f>
        <v>0</v>
      </c>
      <c r="L121" s="133">
        <f>H121</f>
        <v>0</v>
      </c>
      <c r="M121" s="133">
        <f>I121</f>
        <v>0</v>
      </c>
      <c r="N121" s="587" t="str" cm="1">
        <f t="array" ref="N121">IF(H121=0,"",SUMPRODUCT(IFERROR(INT(H116:H120/F116:F120),0)))</f>
        <v/>
      </c>
      <c r="O121" s="770" t="str">
        <f>IF(N121="","",MAX(0,G121-N121))</f>
        <v/>
      </c>
      <c r="AA121" t="s">
        <v>285</v>
      </c>
      <c r="AB121" t="s">
        <v>1426</v>
      </c>
    </row>
    <row r="122" spans="1:28" ht="6" customHeight="1" x14ac:dyDescent="0.3">
      <c r="A122" s="128"/>
      <c r="B122" s="128"/>
      <c r="C122" s="132"/>
      <c r="D122" s="128"/>
      <c r="E122" s="128"/>
      <c r="F122" s="128"/>
      <c r="G122" s="128"/>
      <c r="H122" s="128"/>
      <c r="I122" s="128"/>
      <c r="J122" s="128"/>
      <c r="K122" s="128"/>
      <c r="L122" s="128"/>
      <c r="M122" s="128"/>
      <c r="AA122" t="s">
        <v>103</v>
      </c>
      <c r="AB122" t="s">
        <v>1425</v>
      </c>
    </row>
    <row r="123" spans="1:28" ht="15" customHeight="1" x14ac:dyDescent="0.3">
      <c r="A123" s="75">
        <v>46314</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10"/>
      <c r="B124" s="109"/>
      <c r="C124" s="108"/>
      <c r="D124" s="104"/>
      <c r="E124" s="107" t="s">
        <v>184</v>
      </c>
      <c r="F124" s="871"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106" t="str">
        <f>IFERROR(ROUNDUP(D124/F124,0),"")</f>
        <v/>
      </c>
      <c r="H124" s="105"/>
      <c r="I124" s="104"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IFERROR(ROUNDUP(D125/F125,0),"")</f>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AA125" t="s">
        <v>135</v>
      </c>
      <c r="AB125" t="s">
        <v>1425</v>
      </c>
    </row>
    <row r="126" spans="1:28" ht="21" customHeight="1" x14ac:dyDescent="0.3">
      <c r="A126" s="110"/>
      <c r="B126" s="109"/>
      <c r="C126" s="108"/>
      <c r="D126" s="104"/>
      <c r="E126" s="107" t="s">
        <v>184</v>
      </c>
      <c r="F126" s="871"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106" t="str">
        <f>IFERROR(ROUNDUP(D126/F126,0),"")</f>
        <v/>
      </c>
      <c r="H126" s="105"/>
      <c r="I126" s="104"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817"/>
      <c r="B128" s="818"/>
      <c r="C128" s="819"/>
      <c r="D128" s="820"/>
      <c r="E128" s="821" t="s">
        <v>184</v>
      </c>
      <c r="F128" s="872"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822" t="str">
        <f>IFERROR(ROUNDUP(D128/F128,0),"")</f>
        <v/>
      </c>
      <c r="H128" s="823"/>
      <c r="I128" s="820"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15" customHeight="1" x14ac:dyDescent="0.3">
      <c r="A129" s="899"/>
      <c r="B129" s="846" t="s">
        <v>186</v>
      </c>
      <c r="C129" s="847"/>
      <c r="D129" s="848">
        <f>SUM(D122:D128)</f>
        <v>0</v>
      </c>
      <c r="E129" s="849"/>
      <c r="F129" s="856" t="s">
        <v>1400</v>
      </c>
      <c r="G129" s="850">
        <f>SUM(G122:G128)</f>
        <v>0</v>
      </c>
      <c r="H129" s="848">
        <f>SUM(H122:H128)</f>
        <v>0</v>
      </c>
      <c r="I129" s="848">
        <f>SUM(I122:I128)</f>
        <v>0</v>
      </c>
      <c r="J129" s="63">
        <f>D129</f>
        <v>0</v>
      </c>
      <c r="K129" s="93">
        <f>G129</f>
        <v>0</v>
      </c>
      <c r="L129" s="63">
        <f>H129</f>
        <v>0</v>
      </c>
      <c r="M129" s="63">
        <f>I129</f>
        <v>0</v>
      </c>
      <c r="N129" s="587" t="str" cm="1">
        <f t="array" ref="N129">IF(H129=0,"",SUMPRODUCT(IFERROR(INT(H124:H128/F124:F128),0)))</f>
        <v/>
      </c>
      <c r="O129" s="770" t="str">
        <f>IF(N129="","",MAX(0,G129-N129))</f>
        <v/>
      </c>
      <c r="AA129" t="s">
        <v>72</v>
      </c>
      <c r="AB129" t="s">
        <v>1432</v>
      </c>
    </row>
    <row r="130" spans="1:28" ht="6" customHeight="1" x14ac:dyDescent="0.3">
      <c r="C130" s="65"/>
      <c r="AA130" t="s">
        <v>395</v>
      </c>
      <c r="AB130" t="s">
        <v>1423</v>
      </c>
    </row>
    <row r="131" spans="1:28" ht="15" customHeight="1" x14ac:dyDescent="0.3">
      <c r="A131" s="75">
        <v>46315</v>
      </c>
      <c r="B131" s="113" t="s">
        <v>49</v>
      </c>
      <c r="C131" s="112" t="s">
        <v>176</v>
      </c>
      <c r="D131" s="111" t="s">
        <v>177</v>
      </c>
      <c r="E131" s="111" t="s">
        <v>178</v>
      </c>
      <c r="F131" s="860" t="s">
        <v>179</v>
      </c>
      <c r="G131" s="111" t="s">
        <v>180</v>
      </c>
      <c r="H131" s="111" t="s">
        <v>181</v>
      </c>
      <c r="I131" s="111" t="s">
        <v>182</v>
      </c>
      <c r="AA131" t="s">
        <v>25</v>
      </c>
      <c r="AB131" t="s">
        <v>1433</v>
      </c>
    </row>
    <row r="132" spans="1:28" ht="21" customHeight="1" x14ac:dyDescent="0.3">
      <c r="A132" s="110"/>
      <c r="B132" s="109"/>
      <c r="C132" s="108"/>
      <c r="D132" s="104"/>
      <c r="E132" s="107" t="s">
        <v>184</v>
      </c>
      <c r="F132" s="871"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06" t="str">
        <f>IFERROR(ROUNDUP(D132/F132,0),"")</f>
        <v/>
      </c>
      <c r="H132" s="105"/>
      <c r="I132" s="104"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AA132" t="s">
        <v>398</v>
      </c>
      <c r="AB132" t="s">
        <v>1424</v>
      </c>
    </row>
    <row r="133" spans="1:28" ht="21" customHeight="1" x14ac:dyDescent="0.3">
      <c r="A133" s="110"/>
      <c r="B133" s="109"/>
      <c r="C133" s="108"/>
      <c r="D133" s="104"/>
      <c r="E133" s="107" t="s">
        <v>184</v>
      </c>
      <c r="F133" s="871"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06" t="str">
        <f>IFERROR(ROUNDUP(D133/F133,0),"")</f>
        <v/>
      </c>
      <c r="H133" s="105"/>
      <c r="I133" s="104"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AA133" t="s">
        <v>396</v>
      </c>
      <c r="AB133" t="s">
        <v>1432</v>
      </c>
    </row>
    <row r="134" spans="1:28" ht="21" customHeight="1" x14ac:dyDescent="0.3">
      <c r="A134" s="110"/>
      <c r="B134" s="109"/>
      <c r="C134" s="108"/>
      <c r="D134" s="104"/>
      <c r="E134" s="107" t="s">
        <v>184</v>
      </c>
      <c r="F134" s="871"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06" t="str">
        <f>IFERROR(ROUNDUP(D134/F134,0),"")</f>
        <v/>
      </c>
      <c r="H134" s="105"/>
      <c r="I134" s="104"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AA134" t="s">
        <v>490</v>
      </c>
      <c r="AB134" t="s">
        <v>1425</v>
      </c>
    </row>
    <row r="135" spans="1:28" ht="21" customHeight="1" x14ac:dyDescent="0.3">
      <c r="A135" s="110"/>
      <c r="B135" s="109"/>
      <c r="C135" s="108"/>
      <c r="D135" s="104"/>
      <c r="E135" s="107" t="s">
        <v>184</v>
      </c>
      <c r="F135" s="871"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106" t="str">
        <f>IFERROR(ROUNDUP(D135/F135,0),"")</f>
        <v/>
      </c>
      <c r="H135" s="105"/>
      <c r="I135" s="104"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AA135" t="s">
        <v>1082</v>
      </c>
      <c r="AB135" t="s">
        <v>1424</v>
      </c>
    </row>
    <row r="136" spans="1:28" ht="21" customHeight="1" x14ac:dyDescent="0.3">
      <c r="A136" s="817"/>
      <c r="B136" s="818"/>
      <c r="C136" s="819"/>
      <c r="D136" s="820"/>
      <c r="E136" s="821" t="s">
        <v>184</v>
      </c>
      <c r="F136" s="872"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822" t="str">
        <f>IFERROR(ROUNDUP(D136/F136,0),"")</f>
        <v/>
      </c>
      <c r="H136" s="823"/>
      <c r="I136" s="820"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AA136" t="s">
        <v>598</v>
      </c>
      <c r="AB136" t="s">
        <v>1432</v>
      </c>
    </row>
    <row r="137" spans="1:28" ht="15" customHeight="1" x14ac:dyDescent="0.3">
      <c r="A137" s="899"/>
      <c r="B137" s="846" t="s">
        <v>186</v>
      </c>
      <c r="C137" s="847"/>
      <c r="D137" s="848">
        <f>SUM(D130:D136)</f>
        <v>0</v>
      </c>
      <c r="E137" s="849"/>
      <c r="F137" s="856" t="s">
        <v>1400</v>
      </c>
      <c r="G137" s="850">
        <f>SUM(G130:G136)</f>
        <v>0</v>
      </c>
      <c r="H137" s="848">
        <f>SUM(H130:H136)</f>
        <v>0</v>
      </c>
      <c r="I137" s="848">
        <f>SUM(I130:I136)</f>
        <v>0</v>
      </c>
      <c r="J137" s="63">
        <f>D137</f>
        <v>0</v>
      </c>
      <c r="K137" s="93">
        <f>G137</f>
        <v>0</v>
      </c>
      <c r="L137" s="63">
        <f>H137</f>
        <v>0</v>
      </c>
      <c r="M137" s="63">
        <f>I137</f>
        <v>0</v>
      </c>
      <c r="N137" s="587" t="str" cm="1">
        <f t="array" ref="N137">IF(H137=0,"",SUMPRODUCT(IFERROR(INT(H132:H136/F132:F136),0)))</f>
        <v/>
      </c>
      <c r="O137" s="770" t="str">
        <f>IF(N137="","",MAX(0,G137-N137))</f>
        <v/>
      </c>
      <c r="AA137" t="s">
        <v>397</v>
      </c>
      <c r="AB137" t="s">
        <v>1424</v>
      </c>
    </row>
    <row r="138" spans="1:28" ht="6" customHeight="1" x14ac:dyDescent="0.3">
      <c r="C138" s="65"/>
      <c r="AA138" t="s">
        <v>163</v>
      </c>
      <c r="AB138" t="s">
        <v>1423</v>
      </c>
    </row>
    <row r="139" spans="1:28" ht="15" customHeight="1" x14ac:dyDescent="0.3">
      <c r="A139" s="75">
        <v>46316</v>
      </c>
      <c r="B139" s="113" t="s">
        <v>49</v>
      </c>
      <c r="C139" s="112" t="s">
        <v>176</v>
      </c>
      <c r="D139" s="111" t="s">
        <v>177</v>
      </c>
      <c r="E139" s="111" t="s">
        <v>178</v>
      </c>
      <c r="F139" s="860" t="s">
        <v>179</v>
      </c>
      <c r="G139" s="111" t="s">
        <v>180</v>
      </c>
      <c r="H139" s="111" t="s">
        <v>181</v>
      </c>
      <c r="I139" s="111" t="s">
        <v>182</v>
      </c>
      <c r="AA139" t="s">
        <v>1361</v>
      </c>
      <c r="AB139" t="s">
        <v>1436</v>
      </c>
    </row>
    <row r="140" spans="1:28" ht="21" customHeight="1" x14ac:dyDescent="0.3">
      <c r="A140" s="110"/>
      <c r="B140" s="109"/>
      <c r="C140" s="108"/>
      <c r="D140" s="104"/>
      <c r="E140" s="107" t="s">
        <v>184</v>
      </c>
      <c r="F140" s="871"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06" t="str">
        <f>IFERROR(ROUNDUP(D140/F140,0),"")</f>
        <v/>
      </c>
      <c r="H140" s="105"/>
      <c r="I140" s="104"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row>
    <row r="141" spans="1:28" ht="21" customHeight="1" x14ac:dyDescent="0.3">
      <c r="A141" s="110"/>
      <c r="B141" s="109"/>
      <c r="C141" s="108"/>
      <c r="D141" s="104"/>
      <c r="E141" s="107" t="s">
        <v>184</v>
      </c>
      <c r="F141" s="871"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06" t="str">
        <f>IFERROR(ROUNDUP(D141/F141,0),"")</f>
        <v/>
      </c>
      <c r="H141" s="105"/>
      <c r="I141" s="104"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row>
    <row r="142" spans="1:28" ht="21" customHeight="1" x14ac:dyDescent="0.3">
      <c r="A142" s="110"/>
      <c r="B142" s="109"/>
      <c r="C142" s="108"/>
      <c r="D142" s="104"/>
      <c r="E142" s="107" t="s">
        <v>184</v>
      </c>
      <c r="F142" s="871"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06" t="str">
        <f>IFERROR(ROUNDUP(D142/F142,0),"")</f>
        <v/>
      </c>
      <c r="H142" s="105"/>
      <c r="I142" s="104"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IFERROR(ROUNDUP(D143/F143,0),"")</f>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row>
    <row r="144" spans="1:28" ht="21" customHeight="1" x14ac:dyDescent="0.3">
      <c r="A144" s="817"/>
      <c r="B144" s="818"/>
      <c r="C144" s="819"/>
      <c r="D144" s="820"/>
      <c r="E144" s="821" t="s">
        <v>184</v>
      </c>
      <c r="F144" s="872"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22" t="str">
        <f>IFERROR(ROUNDUP(D144/F144,0),"")</f>
        <v/>
      </c>
      <c r="H144" s="823"/>
      <c r="I144" s="820"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5" ht="15" customHeight="1" x14ac:dyDescent="0.3">
      <c r="A145" s="899"/>
      <c r="B145" s="846" t="s">
        <v>186</v>
      </c>
      <c r="C145" s="847"/>
      <c r="D145" s="848">
        <f>SUM(D138:D144)</f>
        <v>0</v>
      </c>
      <c r="E145" s="849"/>
      <c r="F145" s="856" t="s">
        <v>1400</v>
      </c>
      <c r="G145" s="850">
        <f>SUM(G138:G144)</f>
        <v>0</v>
      </c>
      <c r="H145" s="848">
        <f>SUM(H138:H144)</f>
        <v>0</v>
      </c>
      <c r="I145" s="848">
        <f>SUM(I138:I144)</f>
        <v>0</v>
      </c>
      <c r="J145" s="63">
        <f>D145</f>
        <v>0</v>
      </c>
      <c r="K145" s="93">
        <f>G145</f>
        <v>0</v>
      </c>
      <c r="L145" s="63">
        <f>H145</f>
        <v>0</v>
      </c>
      <c r="M145" s="63">
        <f>I145</f>
        <v>0</v>
      </c>
      <c r="N145" s="587" t="str" cm="1">
        <f t="array" ref="N145">IF(H145=0,"",SUMPRODUCT(IFERROR(INT(H140:H144/F140:F144),0)))</f>
        <v/>
      </c>
      <c r="O145" s="770" t="str">
        <f>IF(N145="","",MAX(0,G145-N145))</f>
        <v/>
      </c>
    </row>
    <row r="146" spans="1:15" ht="6" customHeight="1" x14ac:dyDescent="0.3">
      <c r="C146" s="65"/>
    </row>
    <row r="147" spans="1:15" ht="15" customHeight="1" x14ac:dyDescent="0.3">
      <c r="A147" s="75">
        <v>46317</v>
      </c>
      <c r="B147" s="113" t="s">
        <v>49</v>
      </c>
      <c r="C147" s="112" t="s">
        <v>176</v>
      </c>
      <c r="D147" s="111" t="s">
        <v>177</v>
      </c>
      <c r="E147" s="111" t="s">
        <v>178</v>
      </c>
      <c r="F147" s="860" t="s">
        <v>179</v>
      </c>
      <c r="G147" s="111" t="s">
        <v>180</v>
      </c>
      <c r="H147" s="111" t="s">
        <v>181</v>
      </c>
      <c r="I147" s="111" t="s">
        <v>182</v>
      </c>
    </row>
    <row r="148" spans="1:15" ht="21" customHeight="1" x14ac:dyDescent="0.3">
      <c r="A148" s="110"/>
      <c r="B148" s="109"/>
      <c r="C148" s="108"/>
      <c r="D148" s="104"/>
      <c r="E148" s="107" t="s">
        <v>184</v>
      </c>
      <c r="F148" s="871"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06" t="str">
        <f>IFERROR(ROUNDUP(D148/F148,0),"")</f>
        <v/>
      </c>
      <c r="H148" s="105"/>
      <c r="I148" s="104"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row>
    <row r="149" spans="1:15" ht="21" customHeight="1" x14ac:dyDescent="0.3">
      <c r="A149" s="110"/>
      <c r="B149" s="109"/>
      <c r="C149" s="108"/>
      <c r="D149" s="104"/>
      <c r="E149" s="107" t="s">
        <v>184</v>
      </c>
      <c r="F149" s="871"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106" t="str">
        <f>IFERROR(ROUNDUP(D149/F149,0),"")</f>
        <v/>
      </c>
      <c r="H149" s="105"/>
      <c r="I149" s="104"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row>
    <row r="150" spans="1:15" ht="21" customHeight="1" x14ac:dyDescent="0.3">
      <c r="A150" s="110"/>
      <c r="B150" s="109"/>
      <c r="C150" s="108"/>
      <c r="D150" s="104"/>
      <c r="E150" s="107" t="s">
        <v>184</v>
      </c>
      <c r="F150" s="871"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06" t="str">
        <f>IFERROR(ROUNDUP(D150/F150,0),"")</f>
        <v/>
      </c>
      <c r="H150" s="105"/>
      <c r="I150" s="104"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row>
    <row r="151" spans="1:15" ht="21" customHeight="1" x14ac:dyDescent="0.3">
      <c r="A151" s="110"/>
      <c r="B151" s="109"/>
      <c r="C151" s="108"/>
      <c r="D151" s="104"/>
      <c r="E151" s="107" t="s">
        <v>184</v>
      </c>
      <c r="F151" s="871"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06" t="str">
        <f>IFERROR(ROUNDUP(D151/F151,0),"")</f>
        <v/>
      </c>
      <c r="H151" s="105"/>
      <c r="I151" s="104"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row>
    <row r="152" spans="1:15" ht="21" customHeight="1" x14ac:dyDescent="0.3">
      <c r="A152" s="817"/>
      <c r="B152" s="818"/>
      <c r="C152" s="819"/>
      <c r="D152" s="820"/>
      <c r="E152" s="821" t="s">
        <v>184</v>
      </c>
      <c r="F152" s="872"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822" t="str">
        <f>IFERROR(ROUNDUP(D152/F152,0),"")</f>
        <v/>
      </c>
      <c r="H152" s="823"/>
      <c r="I152" s="820"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row>
    <row r="153" spans="1:15" ht="15" customHeight="1" x14ac:dyDescent="0.3">
      <c r="A153" s="899"/>
      <c r="B153" s="846" t="s">
        <v>186</v>
      </c>
      <c r="C153" s="847"/>
      <c r="D153" s="848">
        <f>SUM(D146:D152)</f>
        <v>0</v>
      </c>
      <c r="E153" s="849"/>
      <c r="F153" s="856" t="s">
        <v>1400</v>
      </c>
      <c r="G153" s="850">
        <f>SUM(G146:G152)</f>
        <v>0</v>
      </c>
      <c r="H153" s="848">
        <f>SUM(H146:H152)</f>
        <v>0</v>
      </c>
      <c r="I153" s="848">
        <f>SUM(I146:I152)</f>
        <v>0</v>
      </c>
      <c r="J153" s="63">
        <f>D153</f>
        <v>0</v>
      </c>
      <c r="K153" s="93">
        <f>G153</f>
        <v>0</v>
      </c>
      <c r="L153" s="63">
        <f>H153</f>
        <v>0</v>
      </c>
      <c r="M153" s="63">
        <f>I153</f>
        <v>0</v>
      </c>
      <c r="N153" s="587" t="str" cm="1">
        <f t="array" ref="N153">IF(H153=0,"",SUMPRODUCT(IFERROR(INT(H148:H152/F148:F152),0)))</f>
        <v/>
      </c>
      <c r="O153" s="770" t="str">
        <f>IF(N153="","",MAX(0,G153-N153))</f>
        <v/>
      </c>
    </row>
    <row r="154" spans="1:15" ht="6" customHeight="1" x14ac:dyDescent="0.3">
      <c r="C154" s="65"/>
    </row>
    <row r="155" spans="1:15" ht="15" customHeight="1" x14ac:dyDescent="0.3">
      <c r="A155" s="75">
        <v>46318</v>
      </c>
      <c r="B155" s="113" t="s">
        <v>49</v>
      </c>
      <c r="C155" s="112" t="s">
        <v>176</v>
      </c>
      <c r="D155" s="111" t="s">
        <v>177</v>
      </c>
      <c r="E155" s="111" t="s">
        <v>178</v>
      </c>
      <c r="F155" s="860" t="s">
        <v>179</v>
      </c>
      <c r="G155" s="111" t="s">
        <v>180</v>
      </c>
      <c r="H155" s="111" t="s">
        <v>181</v>
      </c>
      <c r="I155" s="111" t="s">
        <v>182</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IFERROR(ROUNDUP(D156/F156,0),"")</f>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IFERROR(ROUNDUP(D157/F157,0),"")</f>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IFERROR(ROUNDUP(D158/F158,0),"")</f>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11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IFERROR(ROUNDUP(D159/F159,0),"")</f>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817"/>
      <c r="B160" s="818"/>
      <c r="C160" s="819"/>
      <c r="D160" s="820"/>
      <c r="E160" s="821" t="s">
        <v>184</v>
      </c>
      <c r="F160" s="872"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822" t="str">
        <f>IFERROR(ROUNDUP(D160/F160,0),"")</f>
        <v/>
      </c>
      <c r="H160" s="823"/>
      <c r="I160" s="820"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15" customHeight="1" x14ac:dyDescent="0.3">
      <c r="A161" s="899"/>
      <c r="B161" s="846" t="s">
        <v>186</v>
      </c>
      <c r="C161" s="847"/>
      <c r="D161" s="848">
        <f>SUM(D154:D160)</f>
        <v>0</v>
      </c>
      <c r="E161" s="849"/>
      <c r="F161" s="856" t="s">
        <v>1400</v>
      </c>
      <c r="G161" s="850">
        <f>SUM(G154:G160)</f>
        <v>0</v>
      </c>
      <c r="H161" s="848">
        <f>SUM(H154:H160)</f>
        <v>0</v>
      </c>
      <c r="I161" s="848">
        <f>SUM(I154:I160)</f>
        <v>0</v>
      </c>
      <c r="J161" s="63">
        <f>D161</f>
        <v>0</v>
      </c>
      <c r="K161" s="93">
        <f>G161</f>
        <v>0</v>
      </c>
      <c r="L161" s="63">
        <f>H161</f>
        <v>0</v>
      </c>
      <c r="M161" s="63">
        <f>I161</f>
        <v>0</v>
      </c>
      <c r="N161" s="587" t="str" cm="1">
        <f t="array" ref="N161">IF(H161=0,"",SUMPRODUCT(IFERROR(INT(H156:H160/F156:F160),0)))</f>
        <v/>
      </c>
      <c r="O161" s="770" t="str">
        <f>IF(N161="","",MAX(0,G161-N161))</f>
        <v/>
      </c>
    </row>
    <row r="162" spans="1:15" ht="6" customHeight="1" x14ac:dyDescent="0.3">
      <c r="C162" s="65"/>
    </row>
    <row r="163" spans="1:15" ht="15" customHeight="1" x14ac:dyDescent="0.3">
      <c r="A163" s="135">
        <v>46319</v>
      </c>
      <c r="B163" s="113" t="s">
        <v>49</v>
      </c>
      <c r="C163" s="112" t="s">
        <v>176</v>
      </c>
      <c r="D163" s="111" t="s">
        <v>177</v>
      </c>
      <c r="E163" s="111" t="s">
        <v>178</v>
      </c>
      <c r="F163" s="862" t="s">
        <v>179</v>
      </c>
      <c r="G163" s="111" t="s">
        <v>180</v>
      </c>
      <c r="H163" s="111" t="s">
        <v>181</v>
      </c>
      <c r="I163" s="111" t="s">
        <v>182</v>
      </c>
      <c r="J163" s="128"/>
      <c r="K163" s="128"/>
      <c r="L163" s="128"/>
      <c r="M163" s="128"/>
    </row>
    <row r="164" spans="1:15" ht="21" customHeight="1" x14ac:dyDescent="0.3">
      <c r="A164" s="110"/>
      <c r="B164" s="127"/>
      <c r="C164" s="126"/>
      <c r="D164" s="129"/>
      <c r="E164" s="131" t="s">
        <v>184</v>
      </c>
      <c r="F164" s="877"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130" t="str">
        <f>IFERROR(ROUNDUP(D164/F164,0),"")</f>
        <v/>
      </c>
      <c r="H164" s="105"/>
      <c r="I164" s="129"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c r="J164" s="128"/>
      <c r="K164" s="128"/>
      <c r="L164" s="128"/>
      <c r="M164" s="128"/>
    </row>
    <row r="165" spans="1:15" ht="21" customHeight="1" x14ac:dyDescent="0.3">
      <c r="A165" s="110"/>
      <c r="B165" s="127"/>
      <c r="C165" s="126"/>
      <c r="D165" s="129"/>
      <c r="E165" s="131" t="s">
        <v>184</v>
      </c>
      <c r="F165" s="877" t="str">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
      </c>
      <c r="G165" s="130" t="str">
        <f>IFERROR(ROUNDUP(D165/F165,0),"")</f>
        <v/>
      </c>
      <c r="H165" s="105"/>
      <c r="I165" s="129"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c r="J165" s="128"/>
      <c r="K165" s="128"/>
      <c r="L165" s="128"/>
      <c r="M165" s="128"/>
    </row>
    <row r="166" spans="1:15" ht="21" customHeight="1" x14ac:dyDescent="0.3">
      <c r="A166" s="110"/>
      <c r="B166" s="127"/>
      <c r="C166" s="126"/>
      <c r="D166" s="129"/>
      <c r="E166" s="131" t="s">
        <v>184</v>
      </c>
      <c r="F166" s="877"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30" t="str">
        <f>IFERROR(ROUNDUP(D166/F166,0),"")</f>
        <v/>
      </c>
      <c r="H166" s="105"/>
      <c r="I166" s="129"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c r="J166" s="128"/>
      <c r="K166" s="128"/>
      <c r="L166" s="128"/>
      <c r="M166" s="128"/>
    </row>
    <row r="167" spans="1:15" ht="21" customHeight="1" x14ac:dyDescent="0.3">
      <c r="A167" s="110"/>
      <c r="B167" s="127"/>
      <c r="C167" s="126"/>
      <c r="D167" s="129"/>
      <c r="E167" s="131" t="s">
        <v>184</v>
      </c>
      <c r="F167" s="877"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30" t="str">
        <f>IFERROR(ROUNDUP(D167/F167,0),"")</f>
        <v/>
      </c>
      <c r="H167" s="105"/>
      <c r="I167" s="129"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c r="J167" s="128"/>
      <c r="K167" s="128"/>
      <c r="L167" s="128"/>
      <c r="M167" s="128"/>
    </row>
    <row r="168" spans="1:15" ht="21" customHeight="1" x14ac:dyDescent="0.3">
      <c r="A168" s="817"/>
      <c r="B168" s="829"/>
      <c r="C168" s="830"/>
      <c r="D168" s="831"/>
      <c r="E168" s="832" t="s">
        <v>184</v>
      </c>
      <c r="F168" s="878"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833" t="str">
        <f>IFERROR(ROUNDUP(D168/F168,0),"")</f>
        <v/>
      </c>
      <c r="H168" s="823"/>
      <c r="I168" s="831"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c r="J168" s="128"/>
      <c r="K168" s="128"/>
      <c r="L168" s="128"/>
      <c r="M168" s="128"/>
    </row>
    <row r="169" spans="1:15" ht="15" customHeight="1" x14ac:dyDescent="0.3">
      <c r="A169" s="899"/>
      <c r="B169" s="846" t="s">
        <v>186</v>
      </c>
      <c r="C169" s="851"/>
      <c r="D169" s="848">
        <f>SUM(D162:D168)</f>
        <v>0</v>
      </c>
      <c r="E169" s="852"/>
      <c r="F169" s="857" t="s">
        <v>1400</v>
      </c>
      <c r="G169" s="850">
        <f>SUM(G162:G168)</f>
        <v>0</v>
      </c>
      <c r="H169" s="848">
        <f>SUM(H162:H168)</f>
        <v>0</v>
      </c>
      <c r="I169" s="848">
        <f>SUM(I162:I168)</f>
        <v>0</v>
      </c>
      <c r="J169" s="133">
        <f>D169</f>
        <v>0</v>
      </c>
      <c r="K169" s="134">
        <f>G169</f>
        <v>0</v>
      </c>
      <c r="L169" s="133">
        <f>H169</f>
        <v>0</v>
      </c>
      <c r="M169" s="133">
        <f>I169</f>
        <v>0</v>
      </c>
      <c r="N169" s="587" t="str" cm="1">
        <f t="array" ref="N169">IF(H169=0,"",SUMPRODUCT(IFERROR(INT(H164:H168/F164:F168),0)))</f>
        <v/>
      </c>
      <c r="O169" s="770" t="str">
        <f>IF(N169="","",MAX(0,G169-N169))</f>
        <v/>
      </c>
    </row>
    <row r="170" spans="1:15" ht="6" customHeight="1" x14ac:dyDescent="0.3">
      <c r="A170" s="128"/>
      <c r="B170" s="128"/>
      <c r="C170" s="132"/>
      <c r="D170" s="128"/>
      <c r="E170" s="128"/>
      <c r="F170" s="128"/>
      <c r="G170" s="128"/>
      <c r="H170" s="128"/>
      <c r="I170" s="128"/>
      <c r="J170" s="128"/>
      <c r="K170" s="128"/>
      <c r="L170" s="128"/>
      <c r="M170" s="128"/>
    </row>
    <row r="171" spans="1:15" ht="15" customHeight="1" x14ac:dyDescent="0.3">
      <c r="A171" s="75">
        <v>46321</v>
      </c>
      <c r="B171" s="113" t="s">
        <v>49</v>
      </c>
      <c r="C171" s="112" t="s">
        <v>176</v>
      </c>
      <c r="D171" s="111" t="s">
        <v>177</v>
      </c>
      <c r="E171" s="111" t="s">
        <v>178</v>
      </c>
      <c r="F171" s="860" t="s">
        <v>179</v>
      </c>
      <c r="G171" s="111" t="s">
        <v>180</v>
      </c>
      <c r="H171" s="111" t="s">
        <v>181</v>
      </c>
      <c r="I171" s="111" t="s">
        <v>182</v>
      </c>
    </row>
    <row r="172" spans="1:15" ht="21" customHeight="1" x14ac:dyDescent="0.3">
      <c r="A172" s="110"/>
      <c r="B172" s="109"/>
      <c r="C172" s="108"/>
      <c r="D172" s="104"/>
      <c r="E172" s="107" t="s">
        <v>184</v>
      </c>
      <c r="F172" s="871"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106" t="str">
        <f>IFERROR(ROUNDUP(D172/F172,0),"")</f>
        <v/>
      </c>
      <c r="H172" s="105"/>
      <c r="I172" s="104"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21" customHeight="1" x14ac:dyDescent="0.3">
      <c r="A173" s="110"/>
      <c r="B173" s="109"/>
      <c r="C173" s="108"/>
      <c r="D173" s="104"/>
      <c r="E173" s="107" t="s">
        <v>184</v>
      </c>
      <c r="F173" s="871" t="str">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
      </c>
      <c r="G173" s="106" t="str">
        <f>IFERROR(ROUNDUP(D173/F173,0),"")</f>
        <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c r="C174" s="108"/>
      <c r="D174" s="104"/>
      <c r="E174" s="107" t="s">
        <v>184</v>
      </c>
      <c r="F174" s="871" t="str">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
      </c>
      <c r="G174" s="106" t="str">
        <f>IFERROR(ROUNDUP(D174/F174,0),"")</f>
        <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817"/>
      <c r="B176" s="818"/>
      <c r="C176" s="819"/>
      <c r="D176" s="820"/>
      <c r="E176" s="821" t="s">
        <v>184</v>
      </c>
      <c r="F176" s="872"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822" t="str">
        <f>IFERROR(ROUNDUP(D176/F176,0),"")</f>
        <v/>
      </c>
      <c r="H176" s="823"/>
      <c r="I176" s="820"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15" customHeight="1" x14ac:dyDescent="0.3">
      <c r="A177" s="899"/>
      <c r="B177" s="846" t="s">
        <v>186</v>
      </c>
      <c r="C177" s="847"/>
      <c r="D177" s="848">
        <f>SUM(D170:D176)</f>
        <v>0</v>
      </c>
      <c r="E177" s="849"/>
      <c r="F177" s="856" t="s">
        <v>1400</v>
      </c>
      <c r="G177" s="850">
        <f>SUM(G170:G176)</f>
        <v>0</v>
      </c>
      <c r="H177" s="848">
        <f>SUM(H170:H176)</f>
        <v>0</v>
      </c>
      <c r="I177" s="848">
        <f>SUM(I170:I176)</f>
        <v>0</v>
      </c>
      <c r="J177" s="63">
        <f>D177</f>
        <v>0</v>
      </c>
      <c r="K177" s="93">
        <f>G177</f>
        <v>0</v>
      </c>
      <c r="L177" s="63">
        <f>H177</f>
        <v>0</v>
      </c>
      <c r="M177" s="63">
        <f>I177</f>
        <v>0</v>
      </c>
      <c r="N177" s="587" t="str" cm="1">
        <f t="array" ref="N177">IF(H177=0,"",SUMPRODUCT(IFERROR(INT(H172:H176/F172:F176),0)))</f>
        <v/>
      </c>
      <c r="O177" s="770" t="str">
        <f>IF(N177="","",MAX(0,G177-N177))</f>
        <v/>
      </c>
    </row>
    <row r="178" spans="1:15" ht="15" customHeight="1" x14ac:dyDescent="0.3">
      <c r="C178" s="65"/>
    </row>
    <row r="179" spans="1:15" ht="21" customHeight="1" x14ac:dyDescent="0.3">
      <c r="A179" s="75">
        <v>46322</v>
      </c>
      <c r="B179" s="113" t="s">
        <v>49</v>
      </c>
      <c r="C179" s="112" t="s">
        <v>176</v>
      </c>
      <c r="D179" s="111" t="s">
        <v>177</v>
      </c>
      <c r="E179" s="111" t="s">
        <v>178</v>
      </c>
      <c r="F179" s="860" t="s">
        <v>179</v>
      </c>
      <c r="G179" s="111" t="s">
        <v>180</v>
      </c>
      <c r="H179" s="111" t="s">
        <v>181</v>
      </c>
      <c r="I179" s="111" t="s">
        <v>182</v>
      </c>
    </row>
    <row r="180" spans="1:15" ht="21" customHeight="1" x14ac:dyDescent="0.3">
      <c r="A180" s="110"/>
      <c r="B180" s="109"/>
      <c r="C180" s="108"/>
      <c r="D180" s="104"/>
      <c r="E180" s="107" t="s">
        <v>184</v>
      </c>
      <c r="F180" s="871"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106" t="str">
        <f>IFERROR(ROUNDUP(D180/F180,0),"")</f>
        <v/>
      </c>
      <c r="H180" s="105"/>
      <c r="I180" s="104"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row>
    <row r="181" spans="1:15" ht="21" customHeight="1" x14ac:dyDescent="0.3">
      <c r="A181" s="110"/>
      <c r="B181" s="109"/>
      <c r="C181" s="108"/>
      <c r="D181" s="104"/>
      <c r="E181" s="107" t="s">
        <v>184</v>
      </c>
      <c r="F181" s="871" t="str">
        <f>IF($B181="","",IF(SUMIFS(CONFIG_PALETES!$C:$C,CONFIG_PALETES!$A:$A,TRIM($B181),CONFIG_PALETES!$B:$B,$C181&amp;" ml")&gt;0,SUMIFS(CONFIG_PALETES!$C:$C,CONFIG_PALETES!$A:$A,TRIM($B181),CONFIG_PALETES!$B:$B,$C181&amp;" ml"),IF(SUMIFS(CONFIG_PALETES!$C:$C,CONFIG_PALETES!$A:$A,"GERAL",CONFIG_PALETES!$B:$B,$C181&amp;" ml")&gt;0,SUMIFS(CONFIG_PALETES!$C:$C,CONFIG_PALETES!$A:$A,"GERAL",CONFIG_PALETES!$B:$B,$C181&amp;" ml"),"")))</f>
        <v/>
      </c>
      <c r="G181" s="106" t="str">
        <f>IFERROR(ROUNDUP(D181/F181,0),"")</f>
        <v/>
      </c>
      <c r="H181" s="105"/>
      <c r="I181" s="104" t="str">
        <f>IF(H181="","",H181*IF(SUMIFS(CONFIG_PALETES!$D:$D,CONFIG_PALETES!$A:$A,IF(ISNUMBER(SEARCH("ESPUMA",$B181)),"ESPUMA",IF(OR(ISNUMBER(SEARCH("OLEO DE COCO",$B181)),ISNUMBER(SEARCH("ÓLEO DE COCO",$B181)),ISNUMBER(SEARCH("COPRA",$B181))),"ÓLEO DE COCO",IF(ISNUMBER(SEARCH("CORANTE",$B181)),"CORANTE",TRIM($B181)))),CONFIG_PALETES!$B:$B,$C181&amp;" ml")&gt;0,SUMIFS(CONFIG_PALETES!$D:$D,CONFIG_PALETES!$A:$A,IF(ISNUMBER(SEARCH("ESPUMA",$B181)),"ESPUMA",IF(OR(ISNUMBER(SEARCH("OLEO DE COCO",$B181)),ISNUMBER(SEARCH("ÓLEO DE COCO",$B181)),ISNUMBER(SEARCH("COPRA",$B181))),"ÓLEO DE COCO",IF(ISNUMBER(SEARCH("CORANTE",$B181)),"CORANTE",TRIM($B181)))),CONFIG_PALETES!$B:$B,$C181&amp;" ml"),IF(SUMIFS(CONFIG_PALETES!$D:$D,CONFIG_PALETES!$A:$A,"GERAL",CONFIG_PALETES!$B:$B,$C181&amp;" ml")&gt;0,SUMIFS(CONFIG_PALETES!$D:$D,CONFIG_PALETES!$A:$A,"GERAL",CONFIG_PALETES!$B:$B,$C181&amp;" ml"),12)))</f>
        <v/>
      </c>
    </row>
    <row r="182" spans="1:15" ht="21" customHeight="1" x14ac:dyDescent="0.3">
      <c r="A182" s="110"/>
      <c r="B182" s="109"/>
      <c r="C182" s="108"/>
      <c r="D182" s="104"/>
      <c r="E182" s="107" t="s">
        <v>184</v>
      </c>
      <c r="F182" s="871" t="str">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
      </c>
      <c r="G182" s="106" t="str">
        <f>IFERROR(ROUNDUP(D182/F182,0),"")</f>
        <v/>
      </c>
      <c r="H182" s="105"/>
      <c r="I182" s="104" t="str">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
      </c>
    </row>
    <row r="183" spans="1:15" ht="21" customHeight="1" x14ac:dyDescent="0.3">
      <c r="A183" s="110"/>
      <c r="B183" s="109"/>
      <c r="C183" s="108"/>
      <c r="D183" s="104"/>
      <c r="E183" s="107" t="s">
        <v>184</v>
      </c>
      <c r="F183" s="871" t="str">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
      </c>
      <c r="G183" s="106" t="str">
        <f>IFERROR(ROUNDUP(D183/F183,0),"")</f>
        <v/>
      </c>
      <c r="H183" s="105"/>
      <c r="I183" s="104"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row>
    <row r="184" spans="1:15" ht="15" customHeight="1" x14ac:dyDescent="0.3">
      <c r="A184" s="817"/>
      <c r="B184" s="818"/>
      <c r="C184" s="819"/>
      <c r="D184" s="820"/>
      <c r="E184" s="821" t="s">
        <v>184</v>
      </c>
      <c r="F184" s="872"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822" t="str">
        <f>IFERROR(ROUNDUP(D184/F184,0),"")</f>
        <v/>
      </c>
      <c r="H184" s="823"/>
      <c r="I184" s="820"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row>
    <row r="185" spans="1:15" ht="14.25" customHeight="1" x14ac:dyDescent="0.3">
      <c r="A185" s="899"/>
      <c r="B185" s="846" t="s">
        <v>186</v>
      </c>
      <c r="C185" s="847"/>
      <c r="D185" s="848">
        <f>SUM(D178:D184)</f>
        <v>0</v>
      </c>
      <c r="E185" s="849"/>
      <c r="F185" s="856" t="s">
        <v>1400</v>
      </c>
      <c r="G185" s="850">
        <f>SUM(G178:G184)</f>
        <v>0</v>
      </c>
      <c r="H185" s="848">
        <f>SUM(H178:H184)</f>
        <v>0</v>
      </c>
      <c r="I185" s="848">
        <f>SUM(I178:I184)</f>
        <v>0</v>
      </c>
      <c r="J185" s="63">
        <f>D185</f>
        <v>0</v>
      </c>
      <c r="K185" s="93">
        <f>G185</f>
        <v>0</v>
      </c>
      <c r="L185" s="63">
        <f>H185</f>
        <v>0</v>
      </c>
      <c r="M185" s="63">
        <f>I185</f>
        <v>0</v>
      </c>
      <c r="N185" s="587" t="str" cm="1">
        <f t="array" ref="N185">IF(H185=0,"",SUMPRODUCT(IFERROR(INT(H180:H184/F180:F184),0)))</f>
        <v/>
      </c>
      <c r="O185" s="770" t="str">
        <f>IF(N185="","",MAX(0,G185-N185))</f>
        <v/>
      </c>
    </row>
    <row r="186" spans="1:15" ht="14.25" customHeight="1" x14ac:dyDescent="0.3">
      <c r="C186" s="65"/>
    </row>
    <row r="187" spans="1:15" ht="14.25" customHeight="1" x14ac:dyDescent="0.3">
      <c r="A187" s="75">
        <v>46323</v>
      </c>
      <c r="B187" s="113" t="s">
        <v>49</v>
      </c>
      <c r="C187" s="112" t="s">
        <v>176</v>
      </c>
      <c r="D187" s="111" t="s">
        <v>177</v>
      </c>
      <c r="E187" s="111" t="s">
        <v>178</v>
      </c>
      <c r="F187" s="860" t="s">
        <v>179</v>
      </c>
      <c r="G187" s="111" t="s">
        <v>180</v>
      </c>
      <c r="H187" s="111" t="s">
        <v>181</v>
      </c>
      <c r="I187" s="111" t="s">
        <v>182</v>
      </c>
    </row>
    <row r="188" spans="1:15" ht="21" customHeight="1" x14ac:dyDescent="0.3">
      <c r="A188" s="11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IFERROR(ROUNDUP(D188/F188,0),"")</f>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21" customHeight="1" x14ac:dyDescent="0.3">
      <c r="A189" s="110"/>
      <c r="B189" s="109"/>
      <c r="C189" s="108"/>
      <c r="D189" s="104"/>
      <c r="E189" s="107" t="s">
        <v>184</v>
      </c>
      <c r="F189" s="871"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106" t="str">
        <f>IFERROR(ROUNDUP(D189/F189,0),"")</f>
        <v/>
      </c>
      <c r="H189" s="105"/>
      <c r="I189" s="104"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5" ht="21" customHeight="1" x14ac:dyDescent="0.3">
      <c r="A190" s="110"/>
      <c r="B190" s="109"/>
      <c r="C190" s="108"/>
      <c r="D190" s="104"/>
      <c r="E190" s="107" t="s">
        <v>184</v>
      </c>
      <c r="F190" s="871" t="str">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
      </c>
      <c r="G190" s="106" t="str">
        <f>IFERROR(ROUNDUP(D190/F190,0),"")</f>
        <v/>
      </c>
      <c r="H190" s="105"/>
      <c r="I190" s="104" t="str">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
      </c>
    </row>
    <row r="191" spans="1:15" ht="21" customHeight="1" x14ac:dyDescent="0.3">
      <c r="A191" s="110"/>
      <c r="B191" s="109"/>
      <c r="C191" s="108"/>
      <c r="D191" s="104"/>
      <c r="E191" s="107" t="s">
        <v>184</v>
      </c>
      <c r="F191" s="871"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06" t="str">
        <f>IFERROR(ROUNDUP(D191/F191,0),"")</f>
        <v/>
      </c>
      <c r="H191" s="105"/>
      <c r="I191" s="104"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row>
    <row r="192" spans="1:15" ht="21" customHeight="1" x14ac:dyDescent="0.3">
      <c r="A192" s="817"/>
      <c r="B192" s="818"/>
      <c r="C192" s="819"/>
      <c r="D192" s="820"/>
      <c r="E192" s="821" t="s">
        <v>184</v>
      </c>
      <c r="F192" s="872"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822" t="str">
        <f>IFERROR(ROUNDUP(D192/F192,0),"")</f>
        <v/>
      </c>
      <c r="H192" s="823"/>
      <c r="I192" s="820"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row>
    <row r="193" spans="1:15" ht="14.25" customHeight="1" x14ac:dyDescent="0.3">
      <c r="A193" s="899"/>
      <c r="B193" s="846" t="s">
        <v>186</v>
      </c>
      <c r="C193" s="847"/>
      <c r="D193" s="848">
        <f>SUM(D186:D192)</f>
        <v>0</v>
      </c>
      <c r="E193" s="849"/>
      <c r="F193" s="856" t="s">
        <v>1400</v>
      </c>
      <c r="G193" s="850">
        <f>SUM(G186:G192)</f>
        <v>0</v>
      </c>
      <c r="H193" s="848">
        <f>SUM(H186:H192)</f>
        <v>0</v>
      </c>
      <c r="I193" s="848">
        <f>SUM(I186:I192)</f>
        <v>0</v>
      </c>
      <c r="J193" s="63">
        <f>D193</f>
        <v>0</v>
      </c>
      <c r="K193" s="93">
        <f>G193</f>
        <v>0</v>
      </c>
      <c r="L193" s="63">
        <f>H193</f>
        <v>0</v>
      </c>
      <c r="M193" s="63">
        <f>I193</f>
        <v>0</v>
      </c>
      <c r="N193" s="587" t="str" cm="1">
        <f t="array" ref="N193">IF(H193=0,"",SUMPRODUCT(IFERROR(INT(H188:H192/F188:F192),0)))</f>
        <v/>
      </c>
      <c r="O193" s="770" t="str">
        <f>IF(N193="","",MAX(0,G193-N193))</f>
        <v/>
      </c>
    </row>
    <row r="194" spans="1:15" ht="14.25" customHeight="1" x14ac:dyDescent="0.3">
      <c r="C194" s="65"/>
    </row>
    <row r="195" spans="1:15" ht="14.25" customHeight="1" x14ac:dyDescent="0.3">
      <c r="A195" s="75">
        <v>46324</v>
      </c>
      <c r="B195" s="113" t="s">
        <v>49</v>
      </c>
      <c r="C195" s="112" t="s">
        <v>176</v>
      </c>
      <c r="D195" s="111" t="s">
        <v>177</v>
      </c>
      <c r="E195" s="111" t="s">
        <v>178</v>
      </c>
      <c r="F195" s="860" t="s">
        <v>179</v>
      </c>
      <c r="G195" s="111" t="s">
        <v>180</v>
      </c>
      <c r="H195" s="111" t="s">
        <v>181</v>
      </c>
      <c r="I195" s="111" t="s">
        <v>182</v>
      </c>
    </row>
    <row r="196" spans="1:15" ht="21" customHeight="1" x14ac:dyDescent="0.3">
      <c r="A196" s="110"/>
      <c r="B196" s="109"/>
      <c r="C196" s="108"/>
      <c r="D196" s="104"/>
      <c r="E196" s="107" t="s">
        <v>184</v>
      </c>
      <c r="F196" s="871"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06" t="str">
        <f>IFERROR(ROUNDUP(D196/F196,0),"")</f>
        <v/>
      </c>
      <c r="H196" s="105"/>
      <c r="I196" s="104"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21" customHeight="1" x14ac:dyDescent="0.3">
      <c r="A197" s="110"/>
      <c r="B197" s="109"/>
      <c r="C197" s="108"/>
      <c r="D197" s="104"/>
      <c r="E197" s="107" t="s">
        <v>184</v>
      </c>
      <c r="F197" s="871"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06" t="str">
        <f>IFERROR(ROUNDUP(D197/F197,0),"")</f>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row>
    <row r="198" spans="1:15" ht="21" customHeight="1" x14ac:dyDescent="0.3">
      <c r="A198" s="110"/>
      <c r="B198" s="109"/>
      <c r="C198" s="108"/>
      <c r="D198" s="104"/>
      <c r="E198" s="107" t="s">
        <v>184</v>
      </c>
      <c r="F198" s="871"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106" t="str">
        <f>IFERROR(ROUNDUP(D198/F198,0),"")</f>
        <v/>
      </c>
      <c r="H198" s="105"/>
      <c r="I198" s="104"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row>
    <row r="199" spans="1:15" ht="21" customHeight="1" x14ac:dyDescent="0.3">
      <c r="A199" s="110"/>
      <c r="B199" s="109"/>
      <c r="C199" s="108"/>
      <c r="D199" s="104"/>
      <c r="E199" s="107" t="s">
        <v>184</v>
      </c>
      <c r="F199" s="871"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06" t="str">
        <f>IFERROR(ROUNDUP(D199/F199,0),"")</f>
        <v/>
      </c>
      <c r="H199" s="105"/>
      <c r="I199" s="104"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row>
    <row r="200" spans="1:15" ht="21" customHeight="1" x14ac:dyDescent="0.3">
      <c r="A200" s="817"/>
      <c r="B200" s="818"/>
      <c r="C200" s="819"/>
      <c r="D200" s="820"/>
      <c r="E200" s="821" t="s">
        <v>184</v>
      </c>
      <c r="F200" s="872"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822" t="str">
        <f>IFERROR(ROUNDUP(D200/F200,0),"")</f>
        <v/>
      </c>
      <c r="H200" s="823"/>
      <c r="I200" s="820"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row>
    <row r="201" spans="1:15" ht="14.25" customHeight="1" x14ac:dyDescent="0.3">
      <c r="A201" s="899"/>
      <c r="B201" s="846" t="s">
        <v>186</v>
      </c>
      <c r="C201" s="847"/>
      <c r="D201" s="848">
        <f>SUM(D194:D200)</f>
        <v>0</v>
      </c>
      <c r="E201" s="849"/>
      <c r="F201" s="856" t="s">
        <v>1400</v>
      </c>
      <c r="G201" s="850">
        <f>SUM(G194:G200)</f>
        <v>0</v>
      </c>
      <c r="H201" s="848">
        <f>SUM(H194:H200)</f>
        <v>0</v>
      </c>
      <c r="I201" s="848">
        <f>SUM(I194:I200)</f>
        <v>0</v>
      </c>
      <c r="J201" s="63">
        <f>D201</f>
        <v>0</v>
      </c>
      <c r="K201" s="93">
        <f>G201</f>
        <v>0</v>
      </c>
      <c r="L201" s="63">
        <f>H201</f>
        <v>0</v>
      </c>
      <c r="M201" s="63">
        <f>I201</f>
        <v>0</v>
      </c>
      <c r="N201" s="587" t="str" cm="1">
        <f t="array" ref="N201">IF(H201=0,"",SUMPRODUCT(IFERROR(INT(H196:H200/F196:F200),0)))</f>
        <v/>
      </c>
      <c r="O201" s="770" t="str">
        <f>IF(N201="","",MAX(0,G201-N201))</f>
        <v/>
      </c>
    </row>
    <row r="202" spans="1:15" ht="14.25" customHeight="1" x14ac:dyDescent="0.3">
      <c r="C202" s="65"/>
    </row>
    <row r="203" spans="1:15" ht="14.25" customHeight="1" x14ac:dyDescent="0.3">
      <c r="A203" s="75">
        <v>46325</v>
      </c>
      <c r="B203" s="113" t="s">
        <v>49</v>
      </c>
      <c r="C203" s="112" t="s">
        <v>176</v>
      </c>
      <c r="D203" s="111" t="s">
        <v>177</v>
      </c>
      <c r="E203" s="111" t="s">
        <v>178</v>
      </c>
      <c r="F203" s="860" t="s">
        <v>179</v>
      </c>
      <c r="G203" s="111" t="s">
        <v>180</v>
      </c>
      <c r="H203" s="111" t="s">
        <v>181</v>
      </c>
      <c r="I203" s="111" t="s">
        <v>182</v>
      </c>
    </row>
    <row r="204" spans="1:15" ht="21" customHeight="1" x14ac:dyDescent="0.3">
      <c r="A204" s="110"/>
      <c r="B204" s="109"/>
      <c r="C204" s="108"/>
      <c r="D204" s="104"/>
      <c r="E204" s="107" t="s">
        <v>184</v>
      </c>
      <c r="F204" s="871"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106" t="str">
        <f>IFERROR(ROUNDUP(D204/F204,0),"")</f>
        <v/>
      </c>
      <c r="H204" s="105"/>
      <c r="I204" s="104"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21" customHeight="1" x14ac:dyDescent="0.3">
      <c r="A205" s="110"/>
      <c r="B205" s="109"/>
      <c r="C205" s="108"/>
      <c r="D205" s="104"/>
      <c r="E205" s="107" t="s">
        <v>184</v>
      </c>
      <c r="F205" s="871" t="str">
        <f>IF($B205="","",IF(SUMIFS(CONFIG_PALETES!$C:$C,CONFIG_PALETES!$A:$A,TRIM($B205),CONFIG_PALETES!$B:$B,$C205&amp;" ml")&gt;0,SUMIFS(CONFIG_PALETES!$C:$C,CONFIG_PALETES!$A:$A,TRIM($B205),CONFIG_PALETES!$B:$B,$C205&amp;" ml"),IF(SUMIFS(CONFIG_PALETES!$C:$C,CONFIG_PALETES!$A:$A,"GERAL",CONFIG_PALETES!$B:$B,$C205&amp;" ml")&gt;0,SUMIFS(CONFIG_PALETES!$C:$C,CONFIG_PALETES!$A:$A,"GERAL",CONFIG_PALETES!$B:$B,$C205&amp;" ml"),"")))</f>
        <v/>
      </c>
      <c r="G205" s="106" t="str">
        <f>IFERROR(ROUNDUP(D205/F205,0),"")</f>
        <v/>
      </c>
      <c r="H205" s="105"/>
      <c r="I205" s="104" t="str">
        <f>IF(H205="","",H205*IF(SUMIFS(CONFIG_PALETES!$D:$D,CONFIG_PALETES!$A:$A,IF(ISNUMBER(SEARCH("ESPUMA",$B205)),"ESPUMA",IF(OR(ISNUMBER(SEARCH("OLEO DE COCO",$B205)),ISNUMBER(SEARCH("ÓLEO DE COCO",$B205)),ISNUMBER(SEARCH("COPRA",$B205))),"ÓLEO DE COCO",IF(ISNUMBER(SEARCH("CORANTE",$B205)),"CORANTE",TRIM($B205)))),CONFIG_PALETES!$B:$B,$C205&amp;" ml")&gt;0,SUMIFS(CONFIG_PALETES!$D:$D,CONFIG_PALETES!$A:$A,IF(ISNUMBER(SEARCH("ESPUMA",$B205)),"ESPUMA",IF(OR(ISNUMBER(SEARCH("OLEO DE COCO",$B205)),ISNUMBER(SEARCH("ÓLEO DE COCO",$B205)),ISNUMBER(SEARCH("COPRA",$B205))),"ÓLEO DE COCO",IF(ISNUMBER(SEARCH("CORANTE",$B205)),"CORANTE",TRIM($B205)))),CONFIG_PALETES!$B:$B,$C205&amp;" ml"),IF(SUMIFS(CONFIG_PALETES!$D:$D,CONFIG_PALETES!$A:$A,"GERAL",CONFIG_PALETES!$B:$B,$C205&amp;" ml")&gt;0,SUMIFS(CONFIG_PALETES!$D:$D,CONFIG_PALETES!$A:$A,"GERAL",CONFIG_PALETES!$B:$B,$C205&amp;" ml"),12)))</f>
        <v/>
      </c>
    </row>
    <row r="206" spans="1:15" ht="21" customHeight="1" x14ac:dyDescent="0.3">
      <c r="A206" s="110"/>
      <c r="B206" s="109"/>
      <c r="C206" s="108"/>
      <c r="D206" s="104"/>
      <c r="E206" s="107" t="s">
        <v>184</v>
      </c>
      <c r="F206" s="871" t="str">
        <f>IF($B206="","",IF(SUMIFS(CONFIG_PALETES!$C:$C,CONFIG_PALETES!$A:$A,TRIM($B206),CONFIG_PALETES!$B:$B,$C206&amp;" ml")&gt;0,SUMIFS(CONFIG_PALETES!$C:$C,CONFIG_PALETES!$A:$A,TRIM($B206),CONFIG_PALETES!$B:$B,$C206&amp;" ml"),IF(SUMIFS(CONFIG_PALETES!$C:$C,CONFIG_PALETES!$A:$A,"GERAL",CONFIG_PALETES!$B:$B,$C206&amp;" ml")&gt;0,SUMIFS(CONFIG_PALETES!$C:$C,CONFIG_PALETES!$A:$A,"GERAL",CONFIG_PALETES!$B:$B,$C206&amp;" ml"),"")))</f>
        <v/>
      </c>
      <c r="G206" s="106" t="str">
        <f>IFERROR(ROUNDUP(D206/F206,0),"")</f>
        <v/>
      </c>
      <c r="H206" s="105"/>
      <c r="I206" s="104" t="str">
        <f>IF(H206="","",H206*IF(SUMIFS(CONFIG_PALETES!$D:$D,CONFIG_PALETES!$A:$A,IF(ISNUMBER(SEARCH("ESPUMA",$B206)),"ESPUMA",IF(OR(ISNUMBER(SEARCH("OLEO DE COCO",$B206)),ISNUMBER(SEARCH("ÓLEO DE COCO",$B206)),ISNUMBER(SEARCH("COPRA",$B206))),"ÓLEO DE COCO",IF(ISNUMBER(SEARCH("CORANTE",$B206)),"CORANTE",TRIM($B206)))),CONFIG_PALETES!$B:$B,$C206&amp;" ml")&gt;0,SUMIFS(CONFIG_PALETES!$D:$D,CONFIG_PALETES!$A:$A,IF(ISNUMBER(SEARCH("ESPUMA",$B206)),"ESPUMA",IF(OR(ISNUMBER(SEARCH("OLEO DE COCO",$B206)),ISNUMBER(SEARCH("ÓLEO DE COCO",$B206)),ISNUMBER(SEARCH("COPRA",$B206))),"ÓLEO DE COCO",IF(ISNUMBER(SEARCH("CORANTE",$B206)),"CORANTE",TRIM($B206)))),CONFIG_PALETES!$B:$B,$C206&amp;" ml"),IF(SUMIFS(CONFIG_PALETES!$D:$D,CONFIG_PALETES!$A:$A,"GERAL",CONFIG_PALETES!$B:$B,$C206&amp;" ml")&gt;0,SUMIFS(CONFIG_PALETES!$D:$D,CONFIG_PALETES!$A:$A,"GERAL",CONFIG_PALETES!$B:$B,$C206&amp;" ml"),12)))</f>
        <v/>
      </c>
    </row>
    <row r="207" spans="1:15" ht="21" customHeight="1" x14ac:dyDescent="0.3">
      <c r="A207" s="110"/>
      <c r="B207" s="109"/>
      <c r="C207" s="108"/>
      <c r="D207" s="104"/>
      <c r="E207" s="107" t="s">
        <v>184</v>
      </c>
      <c r="F207" s="871" t="str">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
      </c>
      <c r="G207" s="106" t="str">
        <f>IFERROR(ROUNDUP(D207/F207,0),"")</f>
        <v/>
      </c>
      <c r="H207" s="105"/>
      <c r="I207" s="104" t="str">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
      </c>
    </row>
    <row r="208" spans="1:15" ht="21" customHeight="1" x14ac:dyDescent="0.3">
      <c r="A208" s="817"/>
      <c r="B208" s="818"/>
      <c r="C208" s="819"/>
      <c r="D208" s="820"/>
      <c r="E208" s="821" t="s">
        <v>184</v>
      </c>
      <c r="F208" s="872" t="str">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
      </c>
      <c r="G208" s="822" t="str">
        <f>IFERROR(ROUNDUP(D208/F208,0),"")</f>
        <v/>
      </c>
      <c r="H208" s="823"/>
      <c r="I208" s="820" t="str">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
      </c>
    </row>
    <row r="209" spans="1:15" ht="14.25" customHeight="1" x14ac:dyDescent="0.3">
      <c r="A209" s="899"/>
      <c r="B209" s="846" t="s">
        <v>186</v>
      </c>
      <c r="C209" s="847"/>
      <c r="D209" s="848">
        <f>SUM(D202:D208)</f>
        <v>0</v>
      </c>
      <c r="E209" s="849"/>
      <c r="F209" s="856" t="s">
        <v>1400</v>
      </c>
      <c r="G209" s="850">
        <f>SUM(G202:G208)</f>
        <v>0</v>
      </c>
      <c r="H209" s="848">
        <f>SUM(H202:H208)</f>
        <v>0</v>
      </c>
      <c r="I209" s="848">
        <f>SUM(I202:I208)</f>
        <v>0</v>
      </c>
      <c r="J209" s="63">
        <f>D209</f>
        <v>0</v>
      </c>
      <c r="K209" s="93">
        <f>G209</f>
        <v>0</v>
      </c>
      <c r="L209" s="63">
        <f>H209</f>
        <v>0</v>
      </c>
      <c r="M209" s="63">
        <f>I209</f>
        <v>0</v>
      </c>
      <c r="N209" s="587" t="str" cm="1">
        <f t="array" ref="N209">IF(H209=0,"",SUMPRODUCT(IFERROR(INT(H204:H208/F204:F208),0)))</f>
        <v/>
      </c>
      <c r="O209" s="770" t="str">
        <f>IF(N209="","",MAX(0,G209-N209))</f>
        <v/>
      </c>
    </row>
    <row r="210" spans="1:15" ht="14.25" customHeight="1" x14ac:dyDescent="0.3">
      <c r="A210" s="135">
        <v>46326</v>
      </c>
      <c r="B210" s="834" t="s">
        <v>49</v>
      </c>
      <c r="C210" s="835" t="s">
        <v>176</v>
      </c>
      <c r="D210" s="836" t="s">
        <v>177</v>
      </c>
      <c r="E210" s="836" t="s">
        <v>178</v>
      </c>
      <c r="F210" s="863" t="s">
        <v>179</v>
      </c>
      <c r="G210" s="836" t="s">
        <v>180</v>
      </c>
      <c r="H210" s="836" t="s">
        <v>181</v>
      </c>
      <c r="I210" s="836" t="s">
        <v>182</v>
      </c>
      <c r="J210" s="128"/>
      <c r="K210" s="128"/>
      <c r="L210" s="128"/>
      <c r="M210" s="128"/>
    </row>
    <row r="211" spans="1:15" ht="21" customHeight="1" x14ac:dyDescent="0.3">
      <c r="A211" s="110"/>
      <c r="B211" s="127"/>
      <c r="C211" s="126"/>
      <c r="D211" s="129"/>
      <c r="E211" s="131" t="s">
        <v>184</v>
      </c>
      <c r="F211" s="877" t="str">
        <f>IF($B211="","",IF(SUMIFS(CONFIG_PALETES!$C:$C,CONFIG_PALETES!$A:$A,TRIM($B211),CONFIG_PALETES!$B:$B,$C211&amp;" ml")&gt;0,SUMIFS(CONFIG_PALETES!$C:$C,CONFIG_PALETES!$A:$A,TRIM($B211),CONFIG_PALETES!$B:$B,$C211&amp;" ml"),IF(SUMIFS(CONFIG_PALETES!$C:$C,CONFIG_PALETES!$A:$A,"GERAL",CONFIG_PALETES!$B:$B,$C211&amp;" ml")&gt;0,SUMIFS(CONFIG_PALETES!$C:$C,CONFIG_PALETES!$A:$A,"GERAL",CONFIG_PALETES!$B:$B,$C211&amp;" ml"),"")))</f>
        <v/>
      </c>
      <c r="G211" s="130" t="str">
        <f>IFERROR(ROUNDUP(D211/F211,0),"")</f>
        <v/>
      </c>
      <c r="H211" s="105"/>
      <c r="I211" s="129" t="str">
        <f>IF(H211="","",H211*IF(SUMIFS(CONFIG_PALETES!$D:$D,CONFIG_PALETES!$A:$A,IF(ISNUMBER(SEARCH("ESPUMA",$B211)),"ESPUMA",IF(OR(ISNUMBER(SEARCH("OLEO DE COCO",$B211)),ISNUMBER(SEARCH("ÓLEO DE COCO",$B211)),ISNUMBER(SEARCH("COPRA",$B211))),"ÓLEO DE COCO",IF(ISNUMBER(SEARCH("CORANTE",$B211)),"CORANTE",TRIM($B211)))),CONFIG_PALETES!$B:$B,$C211&amp;" ml")&gt;0,SUMIFS(CONFIG_PALETES!$D:$D,CONFIG_PALETES!$A:$A,IF(ISNUMBER(SEARCH("ESPUMA",$B211)),"ESPUMA",IF(OR(ISNUMBER(SEARCH("OLEO DE COCO",$B211)),ISNUMBER(SEARCH("ÓLEO DE COCO",$B211)),ISNUMBER(SEARCH("COPRA",$B211))),"ÓLEO DE COCO",IF(ISNUMBER(SEARCH("CORANTE",$B211)),"CORANTE",TRIM($B211)))),CONFIG_PALETES!$B:$B,$C211&amp;" ml"),IF(SUMIFS(CONFIG_PALETES!$D:$D,CONFIG_PALETES!$A:$A,"GERAL",CONFIG_PALETES!$B:$B,$C211&amp;" ml")&gt;0,SUMIFS(CONFIG_PALETES!$D:$D,CONFIG_PALETES!$A:$A,"GERAL",CONFIG_PALETES!$B:$B,$C211&amp;" ml"),12)))</f>
        <v/>
      </c>
      <c r="J211" s="128"/>
      <c r="K211" s="128"/>
      <c r="L211" s="128"/>
      <c r="M211" s="128"/>
    </row>
    <row r="212" spans="1:15" ht="21" customHeight="1" x14ac:dyDescent="0.3">
      <c r="A212" s="110"/>
      <c r="B212" s="127"/>
      <c r="C212" s="126"/>
      <c r="D212" s="129"/>
      <c r="E212" s="131" t="s">
        <v>184</v>
      </c>
      <c r="F212" s="877" t="str">
        <f>IF($B212="","",IF(SUMIFS(CONFIG_PALETES!$C:$C,CONFIG_PALETES!$A:$A,TRIM($B212),CONFIG_PALETES!$B:$B,$C212&amp;" ml")&gt;0,SUMIFS(CONFIG_PALETES!$C:$C,CONFIG_PALETES!$A:$A,TRIM($B212),CONFIG_PALETES!$B:$B,$C212&amp;" ml"),IF(SUMIFS(CONFIG_PALETES!$C:$C,CONFIG_PALETES!$A:$A,"GERAL",CONFIG_PALETES!$B:$B,$C212&amp;" ml")&gt;0,SUMIFS(CONFIG_PALETES!$C:$C,CONFIG_PALETES!$A:$A,"GERAL",CONFIG_PALETES!$B:$B,$C212&amp;" ml"),"")))</f>
        <v/>
      </c>
      <c r="G212" s="130" t="str">
        <f>IFERROR(ROUNDUP(D212/F212,0),"")</f>
        <v/>
      </c>
      <c r="H212" s="105"/>
      <c r="I212" s="129" t="str">
        <f>IF(H212="","",H212*IF(SUMIFS(CONFIG_PALETES!$D:$D,CONFIG_PALETES!$A:$A,IF(ISNUMBER(SEARCH("ESPUMA",$B212)),"ESPUMA",IF(OR(ISNUMBER(SEARCH("OLEO DE COCO",$B212)),ISNUMBER(SEARCH("ÓLEO DE COCO",$B212)),ISNUMBER(SEARCH("COPRA",$B212))),"ÓLEO DE COCO",IF(ISNUMBER(SEARCH("CORANTE",$B212)),"CORANTE",TRIM($B212)))),CONFIG_PALETES!$B:$B,$C212&amp;" ml")&gt;0,SUMIFS(CONFIG_PALETES!$D:$D,CONFIG_PALETES!$A:$A,IF(ISNUMBER(SEARCH("ESPUMA",$B212)),"ESPUMA",IF(OR(ISNUMBER(SEARCH("OLEO DE COCO",$B212)),ISNUMBER(SEARCH("ÓLEO DE COCO",$B212)),ISNUMBER(SEARCH("COPRA",$B212))),"ÓLEO DE COCO",IF(ISNUMBER(SEARCH("CORANTE",$B212)),"CORANTE",TRIM($B212)))),CONFIG_PALETES!$B:$B,$C212&amp;" ml"),IF(SUMIFS(CONFIG_PALETES!$D:$D,CONFIG_PALETES!$A:$A,"GERAL",CONFIG_PALETES!$B:$B,$C212&amp;" ml")&gt;0,SUMIFS(CONFIG_PALETES!$D:$D,CONFIG_PALETES!$A:$A,"GERAL",CONFIG_PALETES!$B:$B,$C212&amp;" ml"),12)))</f>
        <v/>
      </c>
      <c r="J212" s="128"/>
      <c r="K212" s="128"/>
      <c r="L212" s="128"/>
      <c r="M212" s="128"/>
    </row>
    <row r="213" spans="1:15" ht="21" customHeight="1" x14ac:dyDescent="0.3">
      <c r="A213" s="110"/>
      <c r="B213" s="127"/>
      <c r="C213" s="126"/>
      <c r="D213" s="129"/>
      <c r="E213" s="131" t="s">
        <v>184</v>
      </c>
      <c r="F213" s="877" t="str">
        <f>IF($B213="","",IF(SUMIFS(CONFIG_PALETES!$C:$C,CONFIG_PALETES!$A:$A,TRIM($B213),CONFIG_PALETES!$B:$B,$C213&amp;" ml")&gt;0,SUMIFS(CONFIG_PALETES!$C:$C,CONFIG_PALETES!$A:$A,TRIM($B213),CONFIG_PALETES!$B:$B,$C213&amp;" ml"),IF(SUMIFS(CONFIG_PALETES!$C:$C,CONFIG_PALETES!$A:$A,"GERAL",CONFIG_PALETES!$B:$B,$C213&amp;" ml")&gt;0,SUMIFS(CONFIG_PALETES!$C:$C,CONFIG_PALETES!$A:$A,"GERAL",CONFIG_PALETES!$B:$B,$C213&amp;" ml"),"")))</f>
        <v/>
      </c>
      <c r="G213" s="130" t="str">
        <f>IFERROR(ROUNDUP(D213/F213,0),"")</f>
        <v/>
      </c>
      <c r="H213" s="105"/>
      <c r="I213" s="129" t="str">
        <f>IF(H213="","",H213*IF(SUMIFS(CONFIG_PALETES!$D:$D,CONFIG_PALETES!$A:$A,IF(ISNUMBER(SEARCH("ESPUMA",$B213)),"ESPUMA",IF(OR(ISNUMBER(SEARCH("OLEO DE COCO",$B213)),ISNUMBER(SEARCH("ÓLEO DE COCO",$B213)),ISNUMBER(SEARCH("COPRA",$B213))),"ÓLEO DE COCO",IF(ISNUMBER(SEARCH("CORANTE",$B213)),"CORANTE",TRIM($B213)))),CONFIG_PALETES!$B:$B,$C213&amp;" ml")&gt;0,SUMIFS(CONFIG_PALETES!$D:$D,CONFIG_PALETES!$A:$A,IF(ISNUMBER(SEARCH("ESPUMA",$B213)),"ESPUMA",IF(OR(ISNUMBER(SEARCH("OLEO DE COCO",$B213)),ISNUMBER(SEARCH("ÓLEO DE COCO",$B213)),ISNUMBER(SEARCH("COPRA",$B213))),"ÓLEO DE COCO",IF(ISNUMBER(SEARCH("CORANTE",$B213)),"CORANTE",TRIM($B213)))),CONFIG_PALETES!$B:$B,$C213&amp;" ml"),IF(SUMIFS(CONFIG_PALETES!$D:$D,CONFIG_PALETES!$A:$A,"GERAL",CONFIG_PALETES!$B:$B,$C213&amp;" ml")&gt;0,SUMIFS(CONFIG_PALETES!$D:$D,CONFIG_PALETES!$A:$A,"GERAL",CONFIG_PALETES!$B:$B,$C213&amp;" ml"),12)))</f>
        <v/>
      </c>
      <c r="J213" s="128"/>
      <c r="K213" s="128"/>
      <c r="L213" s="128"/>
      <c r="M213" s="128"/>
    </row>
    <row r="214" spans="1:15" ht="21" customHeight="1" x14ac:dyDescent="0.3">
      <c r="A214" s="110"/>
      <c r="B214" s="127"/>
      <c r="C214" s="126"/>
      <c r="D214" s="129"/>
      <c r="E214" s="131" t="s">
        <v>184</v>
      </c>
      <c r="F214" s="877" t="str">
        <f>IF($B214="","",IF(SUMIFS(CONFIG_PALETES!$C:$C,CONFIG_PALETES!$A:$A,TRIM($B214),CONFIG_PALETES!$B:$B,$C214&amp;" ml")&gt;0,SUMIFS(CONFIG_PALETES!$C:$C,CONFIG_PALETES!$A:$A,TRIM($B214),CONFIG_PALETES!$B:$B,$C214&amp;" ml"),IF(SUMIFS(CONFIG_PALETES!$C:$C,CONFIG_PALETES!$A:$A,"GERAL",CONFIG_PALETES!$B:$B,$C214&amp;" ml")&gt;0,SUMIFS(CONFIG_PALETES!$C:$C,CONFIG_PALETES!$A:$A,"GERAL",CONFIG_PALETES!$B:$B,$C214&amp;" ml"),"")))</f>
        <v/>
      </c>
      <c r="G214" s="130" t="str">
        <f>IFERROR(ROUNDUP(D214/F214,0),"")</f>
        <v/>
      </c>
      <c r="H214" s="105"/>
      <c r="I214" s="129" t="str">
        <f>IF(H214="","",H214*IF(SUMIFS(CONFIG_PALETES!$D:$D,CONFIG_PALETES!$A:$A,IF(ISNUMBER(SEARCH("ESPUMA",$B214)),"ESPUMA",IF(OR(ISNUMBER(SEARCH("OLEO DE COCO",$B214)),ISNUMBER(SEARCH("ÓLEO DE COCO",$B214)),ISNUMBER(SEARCH("COPRA",$B214))),"ÓLEO DE COCO",IF(ISNUMBER(SEARCH("CORANTE",$B214)),"CORANTE",TRIM($B214)))),CONFIG_PALETES!$B:$B,$C214&amp;" ml")&gt;0,SUMIFS(CONFIG_PALETES!$D:$D,CONFIG_PALETES!$A:$A,IF(ISNUMBER(SEARCH("ESPUMA",$B214)),"ESPUMA",IF(OR(ISNUMBER(SEARCH("OLEO DE COCO",$B214)),ISNUMBER(SEARCH("ÓLEO DE COCO",$B214)),ISNUMBER(SEARCH("COPRA",$B214))),"ÓLEO DE COCO",IF(ISNUMBER(SEARCH("CORANTE",$B214)),"CORANTE",TRIM($B214)))),CONFIG_PALETES!$B:$B,$C214&amp;" ml"),IF(SUMIFS(CONFIG_PALETES!$D:$D,CONFIG_PALETES!$A:$A,"GERAL",CONFIG_PALETES!$B:$B,$C214&amp;" ml")&gt;0,SUMIFS(CONFIG_PALETES!$D:$D,CONFIG_PALETES!$A:$A,"GERAL",CONFIG_PALETES!$B:$B,$C214&amp;" ml"),12)))</f>
        <v/>
      </c>
      <c r="J214" s="128"/>
      <c r="K214" s="128"/>
      <c r="L214" s="128"/>
      <c r="M214" s="128"/>
    </row>
    <row r="215" spans="1:15" ht="21" customHeight="1" x14ac:dyDescent="0.3">
      <c r="A215" s="817"/>
      <c r="B215" s="829"/>
      <c r="C215" s="830"/>
      <c r="D215" s="831"/>
      <c r="E215" s="832" t="s">
        <v>184</v>
      </c>
      <c r="F215" s="878" t="str">
        <f>IF($B215="","",IF(SUMIFS(CONFIG_PALETES!$C:$C,CONFIG_PALETES!$A:$A,TRIM($B215),CONFIG_PALETES!$B:$B,$C215&amp;" ml")&gt;0,SUMIFS(CONFIG_PALETES!$C:$C,CONFIG_PALETES!$A:$A,TRIM($B215),CONFIG_PALETES!$B:$B,$C215&amp;" ml"),IF(SUMIFS(CONFIG_PALETES!$C:$C,CONFIG_PALETES!$A:$A,"GERAL",CONFIG_PALETES!$B:$B,$C215&amp;" ml")&gt;0,SUMIFS(CONFIG_PALETES!$C:$C,CONFIG_PALETES!$A:$A,"GERAL",CONFIG_PALETES!$B:$B,$C215&amp;" ml"),"")))</f>
        <v/>
      </c>
      <c r="G215" s="833" t="str">
        <f>IFERROR(ROUNDUP(D215/F215,0),"")</f>
        <v/>
      </c>
      <c r="H215" s="823"/>
      <c r="I215" s="831" t="str">
        <f>IF(H215="","",H215*IF(SUMIFS(CONFIG_PALETES!$D:$D,CONFIG_PALETES!$A:$A,IF(ISNUMBER(SEARCH("ESPUMA",$B215)),"ESPUMA",IF(OR(ISNUMBER(SEARCH("OLEO DE COCO",$B215)),ISNUMBER(SEARCH("ÓLEO DE COCO",$B215)),ISNUMBER(SEARCH("COPRA",$B215))),"ÓLEO DE COCO",IF(ISNUMBER(SEARCH("CORANTE",$B215)),"CORANTE",TRIM($B215)))),CONFIG_PALETES!$B:$B,$C215&amp;" ml")&gt;0,SUMIFS(CONFIG_PALETES!$D:$D,CONFIG_PALETES!$A:$A,IF(ISNUMBER(SEARCH("ESPUMA",$B215)),"ESPUMA",IF(OR(ISNUMBER(SEARCH("OLEO DE COCO",$B215)),ISNUMBER(SEARCH("ÓLEO DE COCO",$B215)),ISNUMBER(SEARCH("COPRA",$B215))),"ÓLEO DE COCO",IF(ISNUMBER(SEARCH("CORANTE",$B215)),"CORANTE",TRIM($B215)))),CONFIG_PALETES!$B:$B,$C215&amp;" ml"),IF(SUMIFS(CONFIG_PALETES!$D:$D,CONFIG_PALETES!$A:$A,"GERAL",CONFIG_PALETES!$B:$B,$C215&amp;" ml")&gt;0,SUMIFS(CONFIG_PALETES!$D:$D,CONFIG_PALETES!$A:$A,"GERAL",CONFIG_PALETES!$B:$B,$C215&amp;" ml"),12)))</f>
        <v/>
      </c>
      <c r="J215" s="128"/>
      <c r="K215" s="128"/>
      <c r="L215" s="128"/>
      <c r="M215" s="128"/>
    </row>
    <row r="216" spans="1:15" ht="14.25" customHeight="1" x14ac:dyDescent="0.3">
      <c r="A216" s="899"/>
      <c r="B216" s="846" t="s">
        <v>186</v>
      </c>
      <c r="C216" s="851"/>
      <c r="D216" s="848">
        <f>SUM(D209:D215)</f>
        <v>0</v>
      </c>
      <c r="E216" s="852"/>
      <c r="F216" s="857" t="s">
        <v>1400</v>
      </c>
      <c r="G216" s="850">
        <f>SUM(G209:G215)</f>
        <v>0</v>
      </c>
      <c r="H216" s="848">
        <f>SUM(H209:H215)</f>
        <v>0</v>
      </c>
      <c r="I216" s="848">
        <f>SUM(I209:I215)</f>
        <v>0</v>
      </c>
      <c r="J216" s="133">
        <f>D216</f>
        <v>0</v>
      </c>
      <c r="K216" s="134">
        <f>G216</f>
        <v>0</v>
      </c>
      <c r="L216" s="133">
        <f>H216</f>
        <v>0</v>
      </c>
      <c r="M216" s="133">
        <f>I216</f>
        <v>0</v>
      </c>
      <c r="N216" s="587" t="str" cm="1">
        <f t="array" ref="N216">IF(H216=0,"",SUMPRODUCT(IFERROR(INT(H211:H215/F211:F215),0)))</f>
        <v/>
      </c>
      <c r="O216" s="770" t="str">
        <f>IF(N216="","",MAX(0,G216-N216))</f>
        <v/>
      </c>
    </row>
  </sheetData>
  <mergeCells count="3">
    <mergeCell ref="A1:I1"/>
    <mergeCell ref="A2:F2"/>
    <mergeCell ref="G2:I2"/>
  </mergeCells>
  <dataValidations count="136">
    <dataValidation type="list" allowBlank="1" errorTitle="Embalagem inválida" error="Escolha uma embalagem compatível com o produto." promptTitle="Selecione a embalagem" prompt="As opções mudam conforme o produto escolhido." sqref="C1:C3 C9:C11 C17:C19 C25:C27 C33:C35 C41:C43 C49:C51 C57:C59 C65:C67 C73:C75 C81:C83 C89:C91 C97:C99 C105:C107 C113:C115 C121:C123 C129:C131 C137:C139 C145:C147 C153:C155 C161:C163 C169:C171 C177:C179 C185:C187 C193:C195 C201:C203 C209:C210 C216:C1177" xr:uid="{00000000-0002-0000-1F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487C8918-4424-4E96-9D3B-D5562CD836A1}">
      <formula1>INDIRECT(IF(OR(ISNUMBER(SEARCH("ICEBERG ICE",UPPER(TRIM($B4)))),ISNUMBER(SEARCH("ICE ICEBERG",UPPER(TRIM($B4)))),ISNUMBER(SEARCH("GELINHO ICEBERG",UPPER(TRIM($B4))))),"$AJ$2:$AJ$2",IF(ISNUMBER(SEARCH("ESPUMA",$B4)),"$AI$2:$AI$2",IF(ISNUMBER(SEARCH("CORANTE",$B4)),"$AN$2:$AN$2",IFERROR(INDEX($AB$2:$AB$139,MATCH(UPPER(TRIM($B4)),$AA$2:$AA$139,0)),"$AO$2:$AO$9")))))</formula1>
    </dataValidation>
    <dataValidation type="list" allowBlank="1" errorTitle="Embalagem inválida" error="Escolha uma embalagem compatível com o produto." promptTitle="Selecione a embalagem" prompt="As opções mudam conforme o produto digitado." sqref="C5" xr:uid="{DB1D8664-4ACA-4C14-AFC1-2CFD3C4818F5}">
      <formula1>INDIRECT(IF(OR(ISNUMBER(SEARCH("ICEBERG ICE",UPPER(TRIM($B5)))),ISNUMBER(SEARCH("ICE ICEBERG",UPPER(TRIM($B5)))),ISNUMBER(SEARCH("GELINHO ICEBERG",UPPER(TRIM($B5))))),"$AJ$2:$AJ$2",IF(ISNUMBER(SEARCH("ESPUMA",$B5)),"$AI$2:$AI$2",IF(ISNUMBER(SEARCH("CORANTE",$B5)),"$AN$2:$AN$2",IFERROR(INDEX($AB$2:$AB$139,MATCH(UPPER(TRIM($B5)),$AA$2:$AA$139,0)),"$AO$2:$AO$9")))))</formula1>
    </dataValidation>
    <dataValidation type="list" allowBlank="1" errorTitle="Embalagem inválida" error="Escolha uma embalagem compatível com o produto." promptTitle="Selecione a embalagem" prompt="As opções mudam conforme o produto digitado." sqref="C6" xr:uid="{DA1D68F1-E116-4D5D-9B25-40CFEA2E3359}">
      <formula1>INDIRECT(IF(OR(ISNUMBER(SEARCH("ICEBERG ICE",UPPER(TRIM($B6)))),ISNUMBER(SEARCH("ICE ICEBERG",UPPER(TRIM($B6)))),ISNUMBER(SEARCH("GELINHO ICEBERG",UPPER(TRIM($B6))))),"$AJ$2:$AJ$2",IF(ISNUMBER(SEARCH("ESPUMA",$B6)),"$AI$2:$AI$2",IF(ISNUMBER(SEARCH("CORANTE",$B6)),"$AN$2:$AN$2",IFERROR(INDEX($AB$2:$AB$139,MATCH(UPPER(TRIM($B6)),$AA$2:$AA$139,0)),"$AO$2:$AO$9")))))</formula1>
    </dataValidation>
    <dataValidation type="list" allowBlank="1" errorTitle="Embalagem inválida" error="Escolha uma embalagem compatível com o produto." promptTitle="Selecione a embalagem" prompt="As opções mudam conforme o produto digitado." sqref="C7" xr:uid="{29632664-2C72-4020-B8EF-1C4C3B73C8F1}">
      <formula1>INDIRECT(IF(OR(ISNUMBER(SEARCH("ICEBERG ICE",UPPER(TRIM($B7)))),ISNUMBER(SEARCH("ICE ICEBERG",UPPER(TRIM($B7)))),ISNUMBER(SEARCH("GELINHO ICEBERG",UPPER(TRIM($B7))))),"$AJ$2:$AJ$2",IF(ISNUMBER(SEARCH("ESPUMA",$B7)),"$AI$2:$AI$2",IF(ISNUMBER(SEARCH("CORANTE",$B7)),"$AN$2:$AN$2",IFERROR(INDEX($AB$2:$AB$139,MATCH(UPPER(TRIM($B7)),$AA$2:$AA$139,0)),"$AO$2:$AO$9")))))</formula1>
    </dataValidation>
    <dataValidation type="list" allowBlank="1" errorTitle="Embalagem inválida" error="Escolha uma embalagem compatível com o produto." promptTitle="Selecione a embalagem" prompt="As opções mudam conforme o produto digitado." sqref="C8" xr:uid="{269B3008-416F-4B9E-8E32-4E57978C0F23}">
      <formula1>INDIRECT(IF(OR(ISNUMBER(SEARCH("ICEBERG ICE",UPPER(TRIM($B8)))),ISNUMBER(SEARCH("ICE ICEBERG",UPPER(TRIM($B8)))),ISNUMBER(SEARCH("GELINHO ICEBERG",UPPER(TRIM($B8))))),"$AJ$2:$AJ$2",IF(ISNUMBER(SEARCH("ESPUMA",$B8)),"$AI$2:$AI$2",IF(ISNUMBER(SEARCH("CORANTE",$B8)),"$AN$2:$AN$2",IFERROR(INDEX($AB$2:$AB$139,MATCH(UPPER(TRIM($B8)),$AA$2:$AA$139,0)),"$AO$2:$AO$9")))))</formula1>
    </dataValidation>
    <dataValidation type="list" allowBlank="1" errorTitle="Embalagem inválida" error="Escolha uma embalagem compatível com o produto." promptTitle="Selecione a embalagem" prompt="As opções mudam conforme o produto digitado." sqref="C12" xr:uid="{F2CEF383-83F5-4760-885A-32E5ABF35BBF}">
      <formula1>INDIRECT(IF(OR(ISNUMBER(SEARCH("ICEBERG ICE",UPPER(TRIM($B12)))),ISNUMBER(SEARCH("ICE ICEBERG",UPPER(TRIM($B12)))),ISNUMBER(SEARCH("GELINHO ICEBERG",UPPER(TRIM($B12))))),"$AJ$2:$AJ$2",IF(ISNUMBER(SEARCH("ESPUMA",$B12)),"$AI$2:$AI$2",IF(ISNUMBER(SEARCH("CORANTE",$B12)),"$AN$2:$AN$2",IFERROR(INDEX($AB$2:$AB$139,MATCH(UPPER(TRIM($B12)),$AA$2:$AA$139,0)),"$AO$2:$AO$9")))))</formula1>
    </dataValidation>
    <dataValidation type="list" allowBlank="1" errorTitle="Embalagem inválida" error="Escolha uma embalagem compatível com o produto." promptTitle="Selecione a embalagem" prompt="As opções mudam conforme o produto digitado." sqref="C13" xr:uid="{670E6AEB-1F3A-42B5-9BEC-2A3F1BE77E10}">
      <formula1>INDIRECT(IF(OR(ISNUMBER(SEARCH("ICEBERG ICE",UPPER(TRIM($B13)))),ISNUMBER(SEARCH("ICE ICEBERG",UPPER(TRIM($B13)))),ISNUMBER(SEARCH("GELINHO ICEBERG",UPPER(TRIM($B13))))),"$AJ$2:$AJ$2",IF(ISNUMBER(SEARCH("ESPUMA",$B13)),"$AI$2:$AI$2",IF(ISNUMBER(SEARCH("CORANTE",$B13)),"$AN$2:$AN$2",IFERROR(INDEX($AB$2:$AB$139,MATCH(UPPER(TRIM($B13)),$AA$2:$AA$139,0)),"$AO$2:$AO$9")))))</formula1>
    </dataValidation>
    <dataValidation type="list" allowBlank="1" errorTitle="Embalagem inválida" error="Escolha uma embalagem compatível com o produto." promptTitle="Selecione a embalagem" prompt="As opções mudam conforme o produto digitado." sqref="C14" xr:uid="{30A0172C-D024-4F1D-B03E-0B7AFBE3C2A3}">
      <formula1>INDIRECT(IF(OR(ISNUMBER(SEARCH("ICEBERG ICE",UPPER(TRIM($B14)))),ISNUMBER(SEARCH("ICE ICEBERG",UPPER(TRIM($B14)))),ISNUMBER(SEARCH("GELINHO ICEBERG",UPPER(TRIM($B14))))),"$AJ$2:$AJ$2",IF(ISNUMBER(SEARCH("ESPUMA",$B14)),"$AI$2:$AI$2",IF(ISNUMBER(SEARCH("CORANTE",$B14)),"$AN$2:$AN$2",IFERROR(INDEX($AB$2:$AB$139,MATCH(UPPER(TRIM($B14)),$AA$2:$AA$139,0)),"$AO$2:$AO$9")))))</formula1>
    </dataValidation>
    <dataValidation type="list" allowBlank="1" errorTitle="Embalagem inválida" error="Escolha uma embalagem compatível com o produto." promptTitle="Selecione a embalagem" prompt="As opções mudam conforme o produto digitado." sqref="C15" xr:uid="{016079FD-D99D-4676-8796-7AC40B878C60}">
      <formula1>INDIRECT(IF(OR(ISNUMBER(SEARCH("ICEBERG ICE",UPPER(TRIM($B15)))),ISNUMBER(SEARCH("ICE ICEBERG",UPPER(TRIM($B15)))),ISNUMBER(SEARCH("GELINHO ICEBERG",UPPER(TRIM($B15))))),"$AJ$2:$AJ$2",IF(ISNUMBER(SEARCH("ESPUMA",$B15)),"$AI$2:$AI$2",IF(ISNUMBER(SEARCH("CORANTE",$B15)),"$AN$2:$AN$2",IFERROR(INDEX($AB$2:$AB$139,MATCH(UPPER(TRIM($B15)),$AA$2:$AA$139,0)),"$AO$2:$AO$9")))))</formula1>
    </dataValidation>
    <dataValidation type="list" allowBlank="1" errorTitle="Embalagem inválida" error="Escolha uma embalagem compatível com o produto." promptTitle="Selecione a embalagem" prompt="As opções mudam conforme o produto digitado." sqref="C16" xr:uid="{BBE7C7A1-79BA-44E4-98A3-91271FB4C9C4}">
      <formula1>INDIRECT(IF(OR(ISNUMBER(SEARCH("ICEBERG ICE",UPPER(TRIM($B16)))),ISNUMBER(SEARCH("ICE ICEBERG",UPPER(TRIM($B16)))),ISNUMBER(SEARCH("GELINHO ICEBERG",UPPER(TRIM($B16))))),"$AJ$2:$AJ$2",IF(ISNUMBER(SEARCH("ESPUMA",$B16)),"$AI$2:$AI$2",IF(ISNUMBER(SEARCH("CORANTE",$B16)),"$AN$2:$AN$2",IFERROR(INDEX($AB$2:$AB$139,MATCH(UPPER(TRIM($B16)),$AA$2:$AA$139,0)),"$AO$2:$AO$9")))))</formula1>
    </dataValidation>
    <dataValidation type="list" allowBlank="1" errorTitle="Embalagem inválida" error="Escolha uma embalagem compatível com o produto." promptTitle="Selecione a embalagem" prompt="As opções mudam conforme o produto digitado." sqref="C20" xr:uid="{8F02B5CF-316A-4CBD-89F5-CFCF9B60471D}">
      <formula1>INDIRECT(IF(OR(ISNUMBER(SEARCH("ICEBERG ICE",UPPER(TRIM($B20)))),ISNUMBER(SEARCH("ICE ICEBERG",UPPER(TRIM($B20)))),ISNUMBER(SEARCH("GELINHO ICEBERG",UPPER(TRIM($B20))))),"$AJ$2:$AJ$2",IF(ISNUMBER(SEARCH("ESPUMA",$B20)),"$AI$2:$AI$2",IF(ISNUMBER(SEARCH("CORANTE",$B20)),"$AN$2:$AN$2",IFERROR(INDEX($AB$2:$AB$139,MATCH(UPPER(TRIM($B20)),$AA$2:$AA$139,0)),"$AO$2:$AO$9")))))</formula1>
    </dataValidation>
    <dataValidation type="list" allowBlank="1" errorTitle="Embalagem inválida" error="Escolha uma embalagem compatível com o produto." promptTitle="Selecione a embalagem" prompt="As opções mudam conforme o produto digitado." sqref="C21" xr:uid="{A52BB098-5A83-4297-BEDC-4722FF17E9AA}">
      <formula1>INDIRECT(IF(OR(ISNUMBER(SEARCH("ICEBERG ICE",UPPER(TRIM($B21)))),ISNUMBER(SEARCH("ICE ICEBERG",UPPER(TRIM($B21)))),ISNUMBER(SEARCH("GELINHO ICEBERG",UPPER(TRIM($B21))))),"$AJ$2:$AJ$2",IF(ISNUMBER(SEARCH("ESPUMA",$B21)),"$AI$2:$AI$2",IF(ISNUMBER(SEARCH("CORANTE",$B21)),"$AN$2:$AN$2",IFERROR(INDEX($AB$2:$AB$139,MATCH(UPPER(TRIM($B21)),$AA$2:$AA$139,0)),"$AO$2:$AO$9")))))</formula1>
    </dataValidation>
    <dataValidation type="list" allowBlank="1" errorTitle="Embalagem inválida" error="Escolha uma embalagem compatível com o produto." promptTitle="Selecione a embalagem" prompt="As opções mudam conforme o produto digitado." sqref="C22" xr:uid="{FE07016E-F457-439B-9493-7414D1067CFB}">
      <formula1>INDIRECT(IF(OR(ISNUMBER(SEARCH("ICEBERG ICE",UPPER(TRIM($B22)))),ISNUMBER(SEARCH("ICE ICEBERG",UPPER(TRIM($B22)))),ISNUMBER(SEARCH("GELINHO ICEBERG",UPPER(TRIM($B22))))),"$AJ$2:$AJ$2",IF(ISNUMBER(SEARCH("ESPUMA",$B22)),"$AI$2:$AI$2",IF(ISNUMBER(SEARCH("CORANTE",$B22)),"$AN$2:$AN$2",IFERROR(INDEX($AB$2:$AB$139,MATCH(UPPER(TRIM($B22)),$AA$2:$AA$139,0)),"$AO$2:$AO$9")))))</formula1>
    </dataValidation>
    <dataValidation type="list" allowBlank="1" errorTitle="Embalagem inválida" error="Escolha uma embalagem compatível com o produto." promptTitle="Selecione a embalagem" prompt="As opções mudam conforme o produto digitado." sqref="C23" xr:uid="{7891C3C4-332E-45A2-A76D-66064E104321}">
      <formula1>INDIRECT(IF(OR(ISNUMBER(SEARCH("ICEBERG ICE",UPPER(TRIM($B23)))),ISNUMBER(SEARCH("ICE ICEBERG",UPPER(TRIM($B23)))),ISNUMBER(SEARCH("GELINHO ICEBERG",UPPER(TRIM($B23))))),"$AJ$2:$AJ$2",IF(ISNUMBER(SEARCH("ESPUMA",$B23)),"$AI$2:$AI$2",IF(ISNUMBER(SEARCH("CORANTE",$B23)),"$AN$2:$AN$2",IFERROR(INDEX($AB$2:$AB$139,MATCH(UPPER(TRIM($B23)),$AA$2:$AA$139,0)),"$AO$2:$AO$9")))))</formula1>
    </dataValidation>
    <dataValidation type="list" allowBlank="1" errorTitle="Embalagem inválida" error="Escolha uma embalagem compatível com o produto." promptTitle="Selecione a embalagem" prompt="As opções mudam conforme o produto digitado." sqref="C24" xr:uid="{D5AAC424-4472-428E-9EDE-7ED6DB2B711A}">
      <formula1>INDIRECT(IF(OR(ISNUMBER(SEARCH("ICEBERG ICE",UPPER(TRIM($B24)))),ISNUMBER(SEARCH("ICE ICEBERG",UPPER(TRIM($B24)))),ISNUMBER(SEARCH("GELINHO ICEBERG",UPPER(TRIM($B24))))),"$AJ$2:$AJ$2",IF(ISNUMBER(SEARCH("ESPUMA",$B24)),"$AI$2:$AI$2",IF(ISNUMBER(SEARCH("CORANTE",$B24)),"$AN$2:$AN$2",IFERROR(INDEX($AB$2:$AB$139,MATCH(UPPER(TRIM($B24)),$AA$2:$AA$139,0)),"$AO$2:$AO$9")))))</formula1>
    </dataValidation>
    <dataValidation type="list" allowBlank="1" errorTitle="Embalagem inválida" error="Escolha uma embalagem compatível com o produto." promptTitle="Selecione a embalagem" prompt="As opções mudam conforme o produto digitado." sqref="C28" xr:uid="{0E0B3EE4-A5FC-4EC4-AACB-5AD2E2E38E30}">
      <formula1>INDIRECT(IF(OR(ISNUMBER(SEARCH("ICEBERG ICE",UPPER(TRIM($B28)))),ISNUMBER(SEARCH("ICE ICEBERG",UPPER(TRIM($B28)))),ISNUMBER(SEARCH("GELINHO ICEBERG",UPPER(TRIM($B28))))),"$AJ$2:$AJ$2",IF(ISNUMBER(SEARCH("ESPUMA",$B28)),"$AI$2:$AI$2",IF(ISNUMBER(SEARCH("CORANTE",$B28)),"$AN$2:$AN$2",IFERROR(INDEX($AB$2:$AB$139,MATCH(UPPER(TRIM($B28)),$AA$2:$AA$139,0)),"$AO$2:$AO$9")))))</formula1>
    </dataValidation>
    <dataValidation type="list" allowBlank="1" errorTitle="Embalagem inválida" error="Escolha uma embalagem compatível com o produto." promptTitle="Selecione a embalagem" prompt="As opções mudam conforme o produto digitado." sqref="C29" xr:uid="{19122917-BD49-4BC2-9D16-5FA9D3162EE5}">
      <formula1>INDIRECT(IF(OR(ISNUMBER(SEARCH("ICEBERG ICE",UPPER(TRIM($B29)))),ISNUMBER(SEARCH("ICE ICEBERG",UPPER(TRIM($B29)))),ISNUMBER(SEARCH("GELINHO ICEBERG",UPPER(TRIM($B29))))),"$AJ$2:$AJ$2",IF(ISNUMBER(SEARCH("ESPUMA",$B29)),"$AI$2:$AI$2",IF(ISNUMBER(SEARCH("CORANTE",$B29)),"$AN$2:$AN$2",IFERROR(INDEX($AB$2:$AB$139,MATCH(UPPER(TRIM($B29)),$AA$2:$AA$139,0)),"$AO$2:$AO$9")))))</formula1>
    </dataValidation>
    <dataValidation type="list" allowBlank="1" errorTitle="Embalagem inválida" error="Escolha uma embalagem compatível com o produto." promptTitle="Selecione a embalagem" prompt="As opções mudam conforme o produto digitado." sqref="C30" xr:uid="{CFB7F953-568B-4911-8DAE-96B2C6334951}">
      <formula1>INDIRECT(IF(OR(ISNUMBER(SEARCH("ICEBERG ICE",UPPER(TRIM($B30)))),ISNUMBER(SEARCH("ICE ICEBERG",UPPER(TRIM($B30)))),ISNUMBER(SEARCH("GELINHO ICEBERG",UPPER(TRIM($B30))))),"$AJ$2:$AJ$2",IF(ISNUMBER(SEARCH("ESPUMA",$B30)),"$AI$2:$AI$2",IF(ISNUMBER(SEARCH("CORANTE",$B30)),"$AN$2:$AN$2",IFERROR(INDEX($AB$2:$AB$139,MATCH(UPPER(TRIM($B30)),$AA$2:$AA$139,0)),"$AO$2:$AO$9")))))</formula1>
    </dataValidation>
    <dataValidation type="list" allowBlank="1" errorTitle="Embalagem inválida" error="Escolha uma embalagem compatível com o produto." promptTitle="Selecione a embalagem" prompt="As opções mudam conforme o produto digitado." sqref="C31" xr:uid="{68DF59C2-82BC-43AC-A062-4859397BA14B}">
      <formula1>INDIRECT(IF(OR(ISNUMBER(SEARCH("ICEBERG ICE",UPPER(TRIM($B31)))),ISNUMBER(SEARCH("ICE ICEBERG",UPPER(TRIM($B31)))),ISNUMBER(SEARCH("GELINHO ICEBERG",UPPER(TRIM($B31))))),"$AJ$2:$AJ$2",IF(ISNUMBER(SEARCH("ESPUMA",$B31)),"$AI$2:$AI$2",IF(ISNUMBER(SEARCH("CORANTE",$B31)),"$AN$2:$AN$2",IFERROR(INDEX($AB$2:$AB$139,MATCH(UPPER(TRIM($B31)),$AA$2:$AA$139,0)),"$AO$2:$AO$9")))))</formula1>
    </dataValidation>
    <dataValidation type="list" allowBlank="1" errorTitle="Embalagem inválida" error="Escolha uma embalagem compatível com o produto." promptTitle="Selecione a embalagem" prompt="As opções mudam conforme o produto digitado." sqref="C32" xr:uid="{D94B4C64-A7D2-45D2-BED7-A76D35D2818B}">
      <formula1>INDIRECT(IF(OR(ISNUMBER(SEARCH("ICEBERG ICE",UPPER(TRIM($B32)))),ISNUMBER(SEARCH("ICE ICEBERG",UPPER(TRIM($B32)))),ISNUMBER(SEARCH("GELINHO ICEBERG",UPPER(TRIM($B32))))),"$AJ$2:$AJ$2",IF(ISNUMBER(SEARCH("ESPUMA",$B32)),"$AI$2:$AI$2",IF(ISNUMBER(SEARCH("CORANTE",$B32)),"$AN$2:$AN$2",IFERROR(INDEX($AB$2:$AB$139,MATCH(UPPER(TRIM($B32)),$AA$2:$AA$139,0)),"$AO$2:$AO$9")))))</formula1>
    </dataValidation>
    <dataValidation type="list" allowBlank="1" errorTitle="Embalagem inválida" error="Escolha uma embalagem compatível com o produto." promptTitle="Selecione a embalagem" prompt="As opções mudam conforme o produto digitado." sqref="C36" xr:uid="{7C4A0671-441C-44C4-A091-5A985A47EE55}">
      <formula1>INDIRECT(IF(OR(ISNUMBER(SEARCH("ICEBERG ICE",UPPER(TRIM($B36)))),ISNUMBER(SEARCH("ICE ICEBERG",UPPER(TRIM($B36)))),ISNUMBER(SEARCH("GELINHO ICEBERG",UPPER(TRIM($B36))))),"$AJ$2:$AJ$2",IF(ISNUMBER(SEARCH("ESPUMA",$B36)),"$AI$2:$AI$2",IF(ISNUMBER(SEARCH("CORANTE",$B36)),"$AN$2:$AN$2",IFERROR(INDEX($AB$2:$AB$139,MATCH(UPPER(TRIM($B36)),$AA$2:$AA$139,0)),"$AO$2:$AO$9")))))</formula1>
    </dataValidation>
    <dataValidation type="list" allowBlank="1" errorTitle="Embalagem inválida" error="Escolha uma embalagem compatível com o produto." promptTitle="Selecione a embalagem" prompt="As opções mudam conforme o produto digitado." sqref="C37" xr:uid="{0FD31705-51B8-4EA0-8AC1-5EFF1FFC11CE}">
      <formula1>INDIRECT(IF(OR(ISNUMBER(SEARCH("ICEBERG ICE",UPPER(TRIM($B37)))),ISNUMBER(SEARCH("ICE ICEBERG",UPPER(TRIM($B37)))),ISNUMBER(SEARCH("GELINHO ICEBERG",UPPER(TRIM($B37))))),"$AJ$2:$AJ$2",IF(ISNUMBER(SEARCH("ESPUMA",$B37)),"$AI$2:$AI$2",IF(ISNUMBER(SEARCH("CORANTE",$B37)),"$AN$2:$AN$2",IFERROR(INDEX($AB$2:$AB$139,MATCH(UPPER(TRIM($B37)),$AA$2:$AA$139,0)),"$AO$2:$AO$9")))))</formula1>
    </dataValidation>
    <dataValidation type="list" allowBlank="1" errorTitle="Embalagem inválida" error="Escolha uma embalagem compatível com o produto." promptTitle="Selecione a embalagem" prompt="As opções mudam conforme o produto digitado." sqref="C38" xr:uid="{8F2F061C-F4F0-4AB9-B12D-59F087BC76F9}">
      <formula1>INDIRECT(IF(OR(ISNUMBER(SEARCH("ICEBERG ICE",UPPER(TRIM($B38)))),ISNUMBER(SEARCH("ICE ICEBERG",UPPER(TRIM($B38)))),ISNUMBER(SEARCH("GELINHO ICEBERG",UPPER(TRIM($B38))))),"$AJ$2:$AJ$2",IF(ISNUMBER(SEARCH("ESPUMA",$B38)),"$AI$2:$AI$2",IF(ISNUMBER(SEARCH("CORANTE",$B38)),"$AN$2:$AN$2",IFERROR(INDEX($AB$2:$AB$139,MATCH(UPPER(TRIM($B38)),$AA$2:$AA$139,0)),"$AO$2:$AO$9")))))</formula1>
    </dataValidation>
    <dataValidation type="list" allowBlank="1" errorTitle="Embalagem inválida" error="Escolha uma embalagem compatível com o produto." promptTitle="Selecione a embalagem" prompt="As opções mudam conforme o produto digitado." sqref="C39" xr:uid="{89BEC112-8403-42DA-ABC6-5AA4E683BE5C}">
      <formula1>INDIRECT(IF(OR(ISNUMBER(SEARCH("ICEBERG ICE",UPPER(TRIM($B39)))),ISNUMBER(SEARCH("ICE ICEBERG",UPPER(TRIM($B39)))),ISNUMBER(SEARCH("GELINHO ICEBERG",UPPER(TRIM($B39))))),"$AJ$2:$AJ$2",IF(ISNUMBER(SEARCH("ESPUMA",$B39)),"$AI$2:$AI$2",IF(ISNUMBER(SEARCH("CORANTE",$B39)),"$AN$2:$AN$2",IFERROR(INDEX($AB$2:$AB$139,MATCH(UPPER(TRIM($B39)),$AA$2:$AA$139,0)),"$AO$2:$AO$9")))))</formula1>
    </dataValidation>
    <dataValidation type="list" allowBlank="1" errorTitle="Embalagem inválida" error="Escolha uma embalagem compatível com o produto." promptTitle="Selecione a embalagem" prompt="As opções mudam conforme o produto digitado." sqref="C40" xr:uid="{8C12FD6C-3E6B-4235-AE7C-C63DABD9EBA9}">
      <formula1>INDIRECT(IF(OR(ISNUMBER(SEARCH("ICEBERG ICE",UPPER(TRIM($B40)))),ISNUMBER(SEARCH("ICE ICEBERG",UPPER(TRIM($B40)))),ISNUMBER(SEARCH("GELINHO ICEBERG",UPPER(TRIM($B40))))),"$AJ$2:$AJ$2",IF(ISNUMBER(SEARCH("ESPUMA",$B40)),"$AI$2:$AI$2",IF(ISNUMBER(SEARCH("CORANTE",$B40)),"$AN$2:$AN$2",IFERROR(INDEX($AB$2:$AB$139,MATCH(UPPER(TRIM($B40)),$AA$2:$AA$139,0)),"$AO$2:$AO$9")))))</formula1>
    </dataValidation>
    <dataValidation type="list" allowBlank="1" errorTitle="Embalagem inválida" error="Escolha uma embalagem compatível com o produto." promptTitle="Selecione a embalagem" prompt="As opções mudam conforme o produto digitado." sqref="C44" xr:uid="{93B64823-DD6A-4FE7-99BD-2CA436BA7E46}">
      <formula1>INDIRECT(IF(OR(ISNUMBER(SEARCH("ICEBERG ICE",UPPER(TRIM($B44)))),ISNUMBER(SEARCH("ICE ICEBERG",UPPER(TRIM($B44)))),ISNUMBER(SEARCH("GELINHO ICEBERG",UPPER(TRIM($B44))))),"$AJ$2:$AJ$2",IF(ISNUMBER(SEARCH("ESPUMA",$B44)),"$AI$2:$AI$2",IF(ISNUMBER(SEARCH("CORANTE",$B44)),"$AN$2:$AN$2",IFERROR(INDEX($AB$2:$AB$139,MATCH(UPPER(TRIM($B44)),$AA$2:$AA$139,0)),"$AO$2:$AO$9")))))</formula1>
    </dataValidation>
    <dataValidation type="list" allowBlank="1" errorTitle="Embalagem inválida" error="Escolha uma embalagem compatível com o produto." promptTitle="Selecione a embalagem" prompt="As opções mudam conforme o produto digitado." sqref="C45" xr:uid="{09BB31D4-C711-4239-ACF6-79F6443A234C}">
      <formula1>INDIRECT(IF(OR(ISNUMBER(SEARCH("ICEBERG ICE",UPPER(TRIM($B45)))),ISNUMBER(SEARCH("ICE ICEBERG",UPPER(TRIM($B45)))),ISNUMBER(SEARCH("GELINHO ICEBERG",UPPER(TRIM($B45))))),"$AJ$2:$AJ$2",IF(ISNUMBER(SEARCH("ESPUMA",$B45)),"$AI$2:$AI$2",IF(ISNUMBER(SEARCH("CORANTE",$B45)),"$AN$2:$AN$2",IFERROR(INDEX($AB$2:$AB$139,MATCH(UPPER(TRIM($B45)),$AA$2:$AA$139,0)),"$AO$2:$AO$9")))))</formula1>
    </dataValidation>
    <dataValidation type="list" allowBlank="1" errorTitle="Embalagem inválida" error="Escolha uma embalagem compatível com o produto." promptTitle="Selecione a embalagem" prompt="As opções mudam conforme o produto digitado." sqref="C46" xr:uid="{AB2CE2FD-944A-4B5C-9CBE-710A81596480}">
      <formula1>INDIRECT(IF(OR(ISNUMBER(SEARCH("ICEBERG ICE",UPPER(TRIM($B46)))),ISNUMBER(SEARCH("ICE ICEBERG",UPPER(TRIM($B46)))),ISNUMBER(SEARCH("GELINHO ICEBERG",UPPER(TRIM($B46))))),"$AJ$2:$AJ$2",IF(ISNUMBER(SEARCH("ESPUMA",$B46)),"$AI$2:$AI$2",IF(ISNUMBER(SEARCH("CORANTE",$B46)),"$AN$2:$AN$2",IFERROR(INDEX($AB$2:$AB$139,MATCH(UPPER(TRIM($B46)),$AA$2:$AA$139,0)),"$AO$2:$AO$9")))))</formula1>
    </dataValidation>
    <dataValidation type="list" allowBlank="1" errorTitle="Embalagem inválida" error="Escolha uma embalagem compatível com o produto." promptTitle="Selecione a embalagem" prompt="As opções mudam conforme o produto digitado." sqref="C47" xr:uid="{06C35D00-8F84-42D0-89D8-66DC01BBE4E3}">
      <formula1>INDIRECT(IF(OR(ISNUMBER(SEARCH("ICEBERG ICE",UPPER(TRIM($B47)))),ISNUMBER(SEARCH("ICE ICEBERG",UPPER(TRIM($B47)))),ISNUMBER(SEARCH("GELINHO ICEBERG",UPPER(TRIM($B47))))),"$AJ$2:$AJ$2",IF(ISNUMBER(SEARCH("ESPUMA",$B47)),"$AI$2:$AI$2",IF(ISNUMBER(SEARCH("CORANTE",$B47)),"$AN$2:$AN$2",IFERROR(INDEX($AB$2:$AB$139,MATCH(UPPER(TRIM($B47)),$AA$2:$AA$139,0)),"$AO$2:$AO$9")))))</formula1>
    </dataValidation>
    <dataValidation type="list" allowBlank="1" errorTitle="Embalagem inválida" error="Escolha uma embalagem compatível com o produto." promptTitle="Selecione a embalagem" prompt="As opções mudam conforme o produto digitado." sqref="C48" xr:uid="{A4A401E3-1834-4222-8882-DFCB0458F29A}">
      <formula1>INDIRECT(IF(OR(ISNUMBER(SEARCH("ICEBERG ICE",UPPER(TRIM($B48)))),ISNUMBER(SEARCH("ICE ICEBERG",UPPER(TRIM($B48)))),ISNUMBER(SEARCH("GELINHO ICEBERG",UPPER(TRIM($B48))))),"$AJ$2:$AJ$2",IF(ISNUMBER(SEARCH("ESPUMA",$B48)),"$AI$2:$AI$2",IF(ISNUMBER(SEARCH("CORANTE",$B48)),"$AN$2:$AN$2",IFERROR(INDEX($AB$2:$AB$139,MATCH(UPPER(TRIM($B48)),$AA$2:$AA$139,0)),"$AO$2:$AO$9")))))</formula1>
    </dataValidation>
    <dataValidation type="list" allowBlank="1" errorTitle="Embalagem inválida" error="Escolha uma embalagem compatível com o produto." promptTitle="Selecione a embalagem" prompt="As opções mudam conforme o produto digitado." sqref="C52" xr:uid="{EA7CC534-4C31-41BC-A6D9-337BFF8C1BA6}">
      <formula1>INDIRECT(IF(OR(ISNUMBER(SEARCH("ICEBERG ICE",UPPER(TRIM($B52)))),ISNUMBER(SEARCH("ICE ICEBERG",UPPER(TRIM($B52)))),ISNUMBER(SEARCH("GELINHO ICEBERG",UPPER(TRIM($B52))))),"$AJ$2:$AJ$2",IF(ISNUMBER(SEARCH("ESPUMA",$B52)),"$AI$2:$AI$2",IF(ISNUMBER(SEARCH("CORANTE",$B52)),"$AN$2:$AN$2",IFERROR(INDEX($AB$2:$AB$139,MATCH(UPPER(TRIM($B52)),$AA$2:$AA$139,0)),"$AO$2:$AO$9")))))</formula1>
    </dataValidation>
    <dataValidation type="list" allowBlank="1" errorTitle="Embalagem inválida" error="Escolha uma embalagem compatível com o produto." promptTitle="Selecione a embalagem" prompt="As opções mudam conforme o produto digitado." sqref="C53" xr:uid="{337228C3-7A28-445B-9B20-FCF13F04D2ED}">
      <formula1>INDIRECT(IF(OR(ISNUMBER(SEARCH("ICEBERG ICE",UPPER(TRIM($B53)))),ISNUMBER(SEARCH("ICE ICEBERG",UPPER(TRIM($B53)))),ISNUMBER(SEARCH("GELINHO ICEBERG",UPPER(TRIM($B53))))),"$AJ$2:$AJ$2",IF(ISNUMBER(SEARCH("ESPUMA",$B53)),"$AI$2:$AI$2",IF(ISNUMBER(SEARCH("CORANTE",$B53)),"$AN$2:$AN$2",IFERROR(INDEX($AB$2:$AB$139,MATCH(UPPER(TRIM($B53)),$AA$2:$AA$139,0)),"$AO$2:$AO$9")))))</formula1>
    </dataValidation>
    <dataValidation type="list" allowBlank="1" errorTitle="Embalagem inválida" error="Escolha uma embalagem compatível com o produto." promptTitle="Selecione a embalagem" prompt="As opções mudam conforme o produto digitado." sqref="C54" xr:uid="{3C521C87-D4B4-452D-87B1-8C6E1274DB51}">
      <formula1>INDIRECT(IF(OR(ISNUMBER(SEARCH("ICEBERG ICE",UPPER(TRIM($B54)))),ISNUMBER(SEARCH("ICE ICEBERG",UPPER(TRIM($B54)))),ISNUMBER(SEARCH("GELINHO ICEBERG",UPPER(TRIM($B54))))),"$AJ$2:$AJ$2",IF(ISNUMBER(SEARCH("ESPUMA",$B54)),"$AI$2:$AI$2",IF(ISNUMBER(SEARCH("CORANTE",$B54)),"$AN$2:$AN$2",IFERROR(INDEX($AB$2:$AB$139,MATCH(UPPER(TRIM($B54)),$AA$2:$AA$139,0)),"$AO$2:$AO$9")))))</formula1>
    </dataValidation>
    <dataValidation type="list" allowBlank="1" errorTitle="Embalagem inválida" error="Escolha uma embalagem compatível com o produto." promptTitle="Selecione a embalagem" prompt="As opções mudam conforme o produto digitado." sqref="C55" xr:uid="{CB1E30A9-6713-43C0-B4D0-98B5E1A10CE2}">
      <formula1>INDIRECT(IF(OR(ISNUMBER(SEARCH("ICEBERG ICE",UPPER(TRIM($B55)))),ISNUMBER(SEARCH("ICE ICEBERG",UPPER(TRIM($B55)))),ISNUMBER(SEARCH("GELINHO ICEBERG",UPPER(TRIM($B55))))),"$AJ$2:$AJ$2",IF(ISNUMBER(SEARCH("ESPUMA",$B55)),"$AI$2:$AI$2",IF(ISNUMBER(SEARCH("CORANTE",$B55)),"$AN$2:$AN$2",IFERROR(INDEX($AB$2:$AB$139,MATCH(UPPER(TRIM($B55)),$AA$2:$AA$139,0)),"$AO$2:$AO$9")))))</formula1>
    </dataValidation>
    <dataValidation type="list" allowBlank="1" errorTitle="Embalagem inválida" error="Escolha uma embalagem compatível com o produto." promptTitle="Selecione a embalagem" prompt="As opções mudam conforme o produto digitado." sqref="C56" xr:uid="{DA4FDFE1-BA4B-4BFC-9DC0-5B1305CB37A4}">
      <formula1>INDIRECT(IF(OR(ISNUMBER(SEARCH("ICEBERG ICE",UPPER(TRIM($B56)))),ISNUMBER(SEARCH("ICE ICEBERG",UPPER(TRIM($B56)))),ISNUMBER(SEARCH("GELINHO ICEBERG",UPPER(TRIM($B56))))),"$AJ$2:$AJ$2",IF(ISNUMBER(SEARCH("ESPUMA",$B56)),"$AI$2:$AI$2",IF(ISNUMBER(SEARCH("CORANTE",$B56)),"$AN$2:$AN$2",IFERROR(INDEX($AB$2:$AB$139,MATCH(UPPER(TRIM($B56)),$AA$2:$AA$139,0)),"$AO$2:$AO$9")))))</formula1>
    </dataValidation>
    <dataValidation type="list" allowBlank="1" errorTitle="Embalagem inválida" error="Escolha uma embalagem compatível com o produto." promptTitle="Selecione a embalagem" prompt="As opções mudam conforme o produto digitado." sqref="C60" xr:uid="{509FFFA7-8D85-44E7-9921-05A17D114D5E}">
      <formula1>INDIRECT(IF(OR(ISNUMBER(SEARCH("ICEBERG ICE",UPPER(TRIM($B60)))),ISNUMBER(SEARCH("ICE ICEBERG",UPPER(TRIM($B60)))),ISNUMBER(SEARCH("GELINHO ICEBERG",UPPER(TRIM($B60))))),"$AJ$2:$AJ$2",IF(ISNUMBER(SEARCH("ESPUMA",$B60)),"$AI$2:$AI$2",IF(ISNUMBER(SEARCH("CORANTE",$B60)),"$AN$2:$AN$2",IFERROR(INDEX($AB$2:$AB$139,MATCH(UPPER(TRIM($B60)),$AA$2:$AA$139,0)),"$AO$2:$AO$9")))))</formula1>
    </dataValidation>
    <dataValidation type="list" allowBlank="1" errorTitle="Embalagem inválida" error="Escolha uma embalagem compatível com o produto." promptTitle="Selecione a embalagem" prompt="As opções mudam conforme o produto digitado." sqref="C61" xr:uid="{6A44F31E-091A-4CB3-8EE2-04C25096689C}">
      <formula1>INDIRECT(IF(OR(ISNUMBER(SEARCH("ICEBERG ICE",UPPER(TRIM($B61)))),ISNUMBER(SEARCH("ICE ICEBERG",UPPER(TRIM($B61)))),ISNUMBER(SEARCH("GELINHO ICEBERG",UPPER(TRIM($B61))))),"$AJ$2:$AJ$2",IF(ISNUMBER(SEARCH("ESPUMA",$B61)),"$AI$2:$AI$2",IF(ISNUMBER(SEARCH("CORANTE",$B61)),"$AN$2:$AN$2",IFERROR(INDEX($AB$2:$AB$139,MATCH(UPPER(TRIM($B61)),$AA$2:$AA$139,0)),"$AO$2:$AO$9")))))</formula1>
    </dataValidation>
    <dataValidation type="list" allowBlank="1" errorTitle="Embalagem inválida" error="Escolha uma embalagem compatível com o produto." promptTitle="Selecione a embalagem" prompt="As opções mudam conforme o produto digitado." sqref="C62" xr:uid="{B329177F-ED80-40E7-800E-0261D715A11E}">
      <formula1>INDIRECT(IF(OR(ISNUMBER(SEARCH("ICEBERG ICE",UPPER(TRIM($B62)))),ISNUMBER(SEARCH("ICE ICEBERG",UPPER(TRIM($B62)))),ISNUMBER(SEARCH("GELINHO ICEBERG",UPPER(TRIM($B62))))),"$AJ$2:$AJ$2",IF(ISNUMBER(SEARCH("ESPUMA",$B62)),"$AI$2:$AI$2",IF(ISNUMBER(SEARCH("CORANTE",$B62)),"$AN$2:$AN$2",IFERROR(INDEX($AB$2:$AB$139,MATCH(UPPER(TRIM($B62)),$AA$2:$AA$139,0)),"$AO$2:$AO$9")))))</formula1>
    </dataValidation>
    <dataValidation type="list" allowBlank="1" errorTitle="Embalagem inválida" error="Escolha uma embalagem compatível com o produto." promptTitle="Selecione a embalagem" prompt="As opções mudam conforme o produto digitado." sqref="C63" xr:uid="{62478E91-BA6C-4AE1-973D-498944623B8D}">
      <formula1>INDIRECT(IF(OR(ISNUMBER(SEARCH("ICEBERG ICE",UPPER(TRIM($B63)))),ISNUMBER(SEARCH("ICE ICEBERG",UPPER(TRIM($B63)))),ISNUMBER(SEARCH("GELINHO ICEBERG",UPPER(TRIM($B63))))),"$AJ$2:$AJ$2",IF(ISNUMBER(SEARCH("ESPUMA",$B63)),"$AI$2:$AI$2",IF(ISNUMBER(SEARCH("CORANTE",$B63)),"$AN$2:$AN$2",IFERROR(INDEX($AB$2:$AB$139,MATCH(UPPER(TRIM($B63)),$AA$2:$AA$139,0)),"$AO$2:$AO$9")))))</formula1>
    </dataValidation>
    <dataValidation type="list" allowBlank="1" errorTitle="Embalagem inválida" error="Escolha uma embalagem compatível com o produto." promptTitle="Selecione a embalagem" prompt="As opções mudam conforme o produto digitado." sqref="C64" xr:uid="{BF132750-9221-410F-BA72-002522508957}">
      <formula1>INDIRECT(IF(OR(ISNUMBER(SEARCH("ICEBERG ICE",UPPER(TRIM($B64)))),ISNUMBER(SEARCH("ICE ICEBERG",UPPER(TRIM($B64)))),ISNUMBER(SEARCH("GELINHO ICEBERG",UPPER(TRIM($B64))))),"$AJ$2:$AJ$2",IF(ISNUMBER(SEARCH("ESPUMA",$B64)),"$AI$2:$AI$2",IF(ISNUMBER(SEARCH("CORANTE",$B64)),"$AN$2:$AN$2",IFERROR(INDEX($AB$2:$AB$139,MATCH(UPPER(TRIM($B64)),$AA$2:$AA$139,0)),"$AO$2:$AO$9")))))</formula1>
    </dataValidation>
    <dataValidation type="list" allowBlank="1" errorTitle="Embalagem inválida" error="Escolha uma embalagem compatível com o produto." promptTitle="Selecione a embalagem" prompt="As opções mudam conforme o produto digitado." sqref="C68" xr:uid="{E138ADB6-F25B-4A8F-9A6F-CCB907E16C90}">
      <formula1>INDIRECT(IF(OR(ISNUMBER(SEARCH("ICEBERG ICE",UPPER(TRIM($B68)))),ISNUMBER(SEARCH("ICE ICEBERG",UPPER(TRIM($B68)))),ISNUMBER(SEARCH("GELINHO ICEBERG",UPPER(TRIM($B68))))),"$AJ$2:$AJ$2",IF(ISNUMBER(SEARCH("ESPUMA",$B68)),"$AI$2:$AI$2",IF(ISNUMBER(SEARCH("CORANTE",$B68)),"$AN$2:$AN$2",IFERROR(INDEX($AB$2:$AB$139,MATCH(UPPER(TRIM($B68)),$AA$2:$AA$139,0)),"$AO$2:$AO$9")))))</formula1>
    </dataValidation>
    <dataValidation type="list" allowBlank="1" errorTitle="Embalagem inválida" error="Escolha uma embalagem compatível com o produto." promptTitle="Selecione a embalagem" prompt="As opções mudam conforme o produto digitado." sqref="C69" xr:uid="{2CF6DA89-EB99-4F34-86CD-20F698078BFB}">
      <formula1>INDIRECT(IF(OR(ISNUMBER(SEARCH("ICEBERG ICE",UPPER(TRIM($B69)))),ISNUMBER(SEARCH("ICE ICEBERG",UPPER(TRIM($B69)))),ISNUMBER(SEARCH("GELINHO ICEBERG",UPPER(TRIM($B69))))),"$AJ$2:$AJ$2",IF(ISNUMBER(SEARCH("ESPUMA",$B69)),"$AI$2:$AI$2",IF(ISNUMBER(SEARCH("CORANTE",$B69)),"$AN$2:$AN$2",IFERROR(INDEX($AB$2:$AB$139,MATCH(UPPER(TRIM($B69)),$AA$2:$AA$139,0)),"$AO$2:$AO$9")))))</formula1>
    </dataValidation>
    <dataValidation type="list" allowBlank="1" errorTitle="Embalagem inválida" error="Escolha uma embalagem compatível com o produto." promptTitle="Selecione a embalagem" prompt="As opções mudam conforme o produto digitado." sqref="C70" xr:uid="{188DE4EA-85BF-4B41-831C-4975AC906421}">
      <formula1>INDIRECT(IF(OR(ISNUMBER(SEARCH("ICEBERG ICE",UPPER(TRIM($B70)))),ISNUMBER(SEARCH("ICE ICEBERG",UPPER(TRIM($B70)))),ISNUMBER(SEARCH("GELINHO ICEBERG",UPPER(TRIM($B70))))),"$AJ$2:$AJ$2",IF(ISNUMBER(SEARCH("ESPUMA",$B70)),"$AI$2:$AI$2",IF(ISNUMBER(SEARCH("CORANTE",$B70)),"$AN$2:$AN$2",IFERROR(INDEX($AB$2:$AB$139,MATCH(UPPER(TRIM($B70)),$AA$2:$AA$139,0)),"$AO$2:$AO$9")))))</formula1>
    </dataValidation>
    <dataValidation type="list" allowBlank="1" errorTitle="Embalagem inválida" error="Escolha uma embalagem compatível com o produto." promptTitle="Selecione a embalagem" prompt="As opções mudam conforme o produto digitado." sqref="C71" xr:uid="{2D7F1A8A-392A-4321-8B5E-7B0AC5A286CC}">
      <formula1>INDIRECT(IF(OR(ISNUMBER(SEARCH("ICEBERG ICE",UPPER(TRIM($B71)))),ISNUMBER(SEARCH("ICE ICEBERG",UPPER(TRIM($B71)))),ISNUMBER(SEARCH("GELINHO ICEBERG",UPPER(TRIM($B71))))),"$AJ$2:$AJ$2",IF(ISNUMBER(SEARCH("ESPUMA",$B71)),"$AI$2:$AI$2",IF(ISNUMBER(SEARCH("CORANTE",$B71)),"$AN$2:$AN$2",IFERROR(INDEX($AB$2:$AB$139,MATCH(UPPER(TRIM($B71)),$AA$2:$AA$139,0)),"$AO$2:$AO$9")))))</formula1>
    </dataValidation>
    <dataValidation type="list" allowBlank="1" errorTitle="Embalagem inválida" error="Escolha uma embalagem compatível com o produto." promptTitle="Selecione a embalagem" prompt="As opções mudam conforme o produto digitado." sqref="C72" xr:uid="{C8A0C3D0-9D49-4B71-A737-787E7BEB96E6}">
      <formula1>INDIRECT(IF(OR(ISNUMBER(SEARCH("ICEBERG ICE",UPPER(TRIM($B72)))),ISNUMBER(SEARCH("ICE ICEBERG",UPPER(TRIM($B72)))),ISNUMBER(SEARCH("GELINHO ICEBERG",UPPER(TRIM($B72))))),"$AJ$2:$AJ$2",IF(ISNUMBER(SEARCH("ESPUMA",$B72)),"$AI$2:$AI$2",IF(ISNUMBER(SEARCH("CORANTE",$B72)),"$AN$2:$AN$2",IFERROR(INDEX($AB$2:$AB$139,MATCH(UPPER(TRIM($B72)),$AA$2:$AA$139,0)),"$AO$2:$AO$9")))))</formula1>
    </dataValidation>
    <dataValidation type="list" allowBlank="1" errorTitle="Embalagem inválida" error="Escolha uma embalagem compatível com o produto." promptTitle="Selecione a embalagem" prompt="As opções mudam conforme o produto digitado." sqref="C76" xr:uid="{A9AFD1C0-5BDC-4608-B7AE-752A0410206D}">
      <formula1>INDIRECT(IF(OR(ISNUMBER(SEARCH("ICEBERG ICE",UPPER(TRIM($B76)))),ISNUMBER(SEARCH("ICE ICEBERG",UPPER(TRIM($B76)))),ISNUMBER(SEARCH("GELINHO ICEBERG",UPPER(TRIM($B76))))),"$AJ$2:$AJ$2",IF(ISNUMBER(SEARCH("ESPUMA",$B76)),"$AI$2:$AI$2",IF(ISNUMBER(SEARCH("CORANTE",$B76)),"$AN$2:$AN$2",IFERROR(INDEX($AB$2:$AB$139,MATCH(UPPER(TRIM($B76)),$AA$2:$AA$139,0)),"$AO$2:$AO$9")))))</formula1>
    </dataValidation>
    <dataValidation type="list" allowBlank="1" errorTitle="Embalagem inválida" error="Escolha uma embalagem compatível com o produto." promptTitle="Selecione a embalagem" prompt="As opções mudam conforme o produto digitado." sqref="C77" xr:uid="{CD5DCB38-6713-41AD-8ACE-922A65F461BD}">
      <formula1>INDIRECT(IF(OR(ISNUMBER(SEARCH("ICEBERG ICE",UPPER(TRIM($B77)))),ISNUMBER(SEARCH("ICE ICEBERG",UPPER(TRIM($B77)))),ISNUMBER(SEARCH("GELINHO ICEBERG",UPPER(TRIM($B77))))),"$AJ$2:$AJ$2",IF(ISNUMBER(SEARCH("ESPUMA",$B77)),"$AI$2:$AI$2",IF(ISNUMBER(SEARCH("CORANTE",$B77)),"$AN$2:$AN$2",IFERROR(INDEX($AB$2:$AB$139,MATCH(UPPER(TRIM($B77)),$AA$2:$AA$139,0)),"$AO$2:$AO$9")))))</formula1>
    </dataValidation>
    <dataValidation type="list" allowBlank="1" errorTitle="Embalagem inválida" error="Escolha uma embalagem compatível com o produto." promptTitle="Selecione a embalagem" prompt="As opções mudam conforme o produto digitado." sqref="C78" xr:uid="{774F4B0F-B535-4969-86AB-100EA660FBA5}">
      <formula1>INDIRECT(IF(OR(ISNUMBER(SEARCH("ICEBERG ICE",UPPER(TRIM($B78)))),ISNUMBER(SEARCH("ICE ICEBERG",UPPER(TRIM($B78)))),ISNUMBER(SEARCH("GELINHO ICEBERG",UPPER(TRIM($B78))))),"$AJ$2:$AJ$2",IF(ISNUMBER(SEARCH("ESPUMA",$B78)),"$AI$2:$AI$2",IF(ISNUMBER(SEARCH("CORANTE",$B78)),"$AN$2:$AN$2",IFERROR(INDEX($AB$2:$AB$139,MATCH(UPPER(TRIM($B78)),$AA$2:$AA$139,0)),"$AO$2:$AO$9")))))</formula1>
    </dataValidation>
    <dataValidation type="list" allowBlank="1" errorTitle="Embalagem inválida" error="Escolha uma embalagem compatível com o produto." promptTitle="Selecione a embalagem" prompt="As opções mudam conforme o produto digitado." sqref="C79" xr:uid="{5CDE79B5-EECC-409C-9FF8-F4186C07E124}">
      <formula1>INDIRECT(IF(OR(ISNUMBER(SEARCH("ICEBERG ICE",UPPER(TRIM($B79)))),ISNUMBER(SEARCH("ICE ICEBERG",UPPER(TRIM($B79)))),ISNUMBER(SEARCH("GELINHO ICEBERG",UPPER(TRIM($B79))))),"$AJ$2:$AJ$2",IF(ISNUMBER(SEARCH("ESPUMA",$B79)),"$AI$2:$AI$2",IF(ISNUMBER(SEARCH("CORANTE",$B79)),"$AN$2:$AN$2",IFERROR(INDEX($AB$2:$AB$139,MATCH(UPPER(TRIM($B79)),$AA$2:$AA$139,0)),"$AO$2:$AO$9")))))</formula1>
    </dataValidation>
    <dataValidation type="list" allowBlank="1" errorTitle="Embalagem inválida" error="Escolha uma embalagem compatível com o produto." promptTitle="Selecione a embalagem" prompt="As opções mudam conforme o produto digitado." sqref="C80" xr:uid="{D7D0D3A1-C1CA-4CC6-9C8F-CA419D91978E}">
      <formula1>INDIRECT(IF(OR(ISNUMBER(SEARCH("ICEBERG ICE",UPPER(TRIM($B80)))),ISNUMBER(SEARCH("ICE ICEBERG",UPPER(TRIM($B80)))),ISNUMBER(SEARCH("GELINHO ICEBERG",UPPER(TRIM($B80))))),"$AJ$2:$AJ$2",IF(ISNUMBER(SEARCH("ESPUMA",$B80)),"$AI$2:$AI$2",IF(ISNUMBER(SEARCH("CORANTE",$B80)),"$AN$2:$AN$2",IFERROR(INDEX($AB$2:$AB$139,MATCH(UPPER(TRIM($B80)),$AA$2:$AA$139,0)),"$AO$2:$AO$9")))))</formula1>
    </dataValidation>
    <dataValidation type="list" allowBlank="1" errorTitle="Embalagem inválida" error="Escolha uma embalagem compatível com o produto." promptTitle="Selecione a embalagem" prompt="As opções mudam conforme o produto digitado." sqref="C84" xr:uid="{B06D0ECD-9B37-417B-AAB9-B089543B408A}">
      <formula1>INDIRECT(IF(OR(ISNUMBER(SEARCH("ICEBERG ICE",UPPER(TRIM($B84)))),ISNUMBER(SEARCH("ICE ICEBERG",UPPER(TRIM($B84)))),ISNUMBER(SEARCH("GELINHO ICEBERG",UPPER(TRIM($B84))))),"$AJ$2:$AJ$2",IF(ISNUMBER(SEARCH("ESPUMA",$B84)),"$AI$2:$AI$2",IF(ISNUMBER(SEARCH("CORANTE",$B84)),"$AN$2:$AN$2",IFERROR(INDEX($AB$2:$AB$139,MATCH(UPPER(TRIM($B84)),$AA$2:$AA$139,0)),"$AO$2:$AO$9")))))</formula1>
    </dataValidation>
    <dataValidation type="list" allowBlank="1" errorTitle="Embalagem inválida" error="Escolha uma embalagem compatível com o produto." promptTitle="Selecione a embalagem" prompt="As opções mudam conforme o produto digitado." sqref="C85" xr:uid="{309F6C6F-F0E2-467B-8B36-3DB7CEDBBFD7}">
      <formula1>INDIRECT(IF(OR(ISNUMBER(SEARCH("ICEBERG ICE",UPPER(TRIM($B85)))),ISNUMBER(SEARCH("ICE ICEBERG",UPPER(TRIM($B85)))),ISNUMBER(SEARCH("GELINHO ICEBERG",UPPER(TRIM($B85))))),"$AJ$2:$AJ$2",IF(ISNUMBER(SEARCH("ESPUMA",$B85)),"$AI$2:$AI$2",IF(ISNUMBER(SEARCH("CORANTE",$B85)),"$AN$2:$AN$2",IFERROR(INDEX($AB$2:$AB$139,MATCH(UPPER(TRIM($B85)),$AA$2:$AA$139,0)),"$AO$2:$AO$9")))))</formula1>
    </dataValidation>
    <dataValidation type="list" allowBlank="1" errorTitle="Embalagem inválida" error="Escolha uma embalagem compatível com o produto." promptTitle="Selecione a embalagem" prompt="As opções mudam conforme o produto digitado." sqref="C86" xr:uid="{0CD98EB4-084D-4CC8-A986-71ADD687605E}">
      <formula1>INDIRECT(IF(OR(ISNUMBER(SEARCH("ICEBERG ICE",UPPER(TRIM($B86)))),ISNUMBER(SEARCH("ICE ICEBERG",UPPER(TRIM($B86)))),ISNUMBER(SEARCH("GELINHO ICEBERG",UPPER(TRIM($B86))))),"$AJ$2:$AJ$2",IF(ISNUMBER(SEARCH("ESPUMA",$B86)),"$AI$2:$AI$2",IF(ISNUMBER(SEARCH("CORANTE",$B86)),"$AN$2:$AN$2",IFERROR(INDEX($AB$2:$AB$139,MATCH(UPPER(TRIM($B86)),$AA$2:$AA$139,0)),"$AO$2:$AO$9")))))</formula1>
    </dataValidation>
    <dataValidation type="list" allowBlank="1" errorTitle="Embalagem inválida" error="Escolha uma embalagem compatível com o produto." promptTitle="Selecione a embalagem" prompt="As opções mudam conforme o produto digitado." sqref="C87" xr:uid="{BA52EE30-79A2-471C-98AF-CC4CEE254AE0}">
      <formula1>INDIRECT(IF(OR(ISNUMBER(SEARCH("ICEBERG ICE",UPPER(TRIM($B87)))),ISNUMBER(SEARCH("ICE ICEBERG",UPPER(TRIM($B87)))),ISNUMBER(SEARCH("GELINHO ICEBERG",UPPER(TRIM($B87))))),"$AJ$2:$AJ$2",IF(ISNUMBER(SEARCH("ESPUMA",$B87)),"$AI$2:$AI$2",IF(ISNUMBER(SEARCH("CORANTE",$B87)),"$AN$2:$AN$2",IFERROR(INDEX($AB$2:$AB$139,MATCH(UPPER(TRIM($B87)),$AA$2:$AA$139,0)),"$AO$2:$AO$9")))))</formula1>
    </dataValidation>
    <dataValidation type="list" allowBlank="1" errorTitle="Embalagem inválida" error="Escolha uma embalagem compatível com o produto." promptTitle="Selecione a embalagem" prompt="As opções mudam conforme o produto digitado." sqref="C88" xr:uid="{818123E1-2C98-487A-ACBD-BEEE6A363665}">
      <formula1>INDIRECT(IF(OR(ISNUMBER(SEARCH("ICEBERG ICE",UPPER(TRIM($B88)))),ISNUMBER(SEARCH("ICE ICEBERG",UPPER(TRIM($B88)))),ISNUMBER(SEARCH("GELINHO ICEBERG",UPPER(TRIM($B88))))),"$AJ$2:$AJ$2",IF(ISNUMBER(SEARCH("ESPUMA",$B88)),"$AI$2:$AI$2",IF(ISNUMBER(SEARCH("CORANTE",$B88)),"$AN$2:$AN$2",IFERROR(INDEX($AB$2:$AB$139,MATCH(UPPER(TRIM($B88)),$AA$2:$AA$139,0)),"$AO$2:$AO$9")))))</formula1>
    </dataValidation>
    <dataValidation type="list" allowBlank="1" errorTitle="Embalagem inválida" error="Escolha uma embalagem compatível com o produto." promptTitle="Selecione a embalagem" prompt="As opções mudam conforme o produto digitado." sqref="C92" xr:uid="{19E0EF1D-42D6-42D5-89CC-43EB0F3E2C77}">
      <formula1>INDIRECT(IF(OR(ISNUMBER(SEARCH("ICEBERG ICE",UPPER(TRIM($B92)))),ISNUMBER(SEARCH("ICE ICEBERG",UPPER(TRIM($B92)))),ISNUMBER(SEARCH("GELINHO ICEBERG",UPPER(TRIM($B92))))),"$AJ$2:$AJ$2",IF(ISNUMBER(SEARCH("ESPUMA",$B92)),"$AI$2:$AI$2",IF(ISNUMBER(SEARCH("CORANTE",$B92)),"$AN$2:$AN$2",IFERROR(INDEX($AB$2:$AB$139,MATCH(UPPER(TRIM($B92)),$AA$2:$AA$139,0)),"$AO$2:$AO$9")))))</formula1>
    </dataValidation>
    <dataValidation type="list" allowBlank="1" errorTitle="Embalagem inválida" error="Escolha uma embalagem compatível com o produto." promptTitle="Selecione a embalagem" prompt="As opções mudam conforme o produto digitado." sqref="C93" xr:uid="{2A17A274-C1B3-4BED-882F-8C59C325BEC5}">
      <formula1>INDIRECT(IF(OR(ISNUMBER(SEARCH("ICEBERG ICE",UPPER(TRIM($B93)))),ISNUMBER(SEARCH("ICE ICEBERG",UPPER(TRIM($B93)))),ISNUMBER(SEARCH("GELINHO ICEBERG",UPPER(TRIM($B93))))),"$AJ$2:$AJ$2",IF(ISNUMBER(SEARCH("ESPUMA",$B93)),"$AI$2:$AI$2",IF(ISNUMBER(SEARCH("CORANTE",$B93)),"$AN$2:$AN$2",IFERROR(INDEX($AB$2:$AB$139,MATCH(UPPER(TRIM($B93)),$AA$2:$AA$139,0)),"$AO$2:$AO$9")))))</formula1>
    </dataValidation>
    <dataValidation type="list" allowBlank="1" errorTitle="Embalagem inválida" error="Escolha uma embalagem compatível com o produto." promptTitle="Selecione a embalagem" prompt="As opções mudam conforme o produto digitado." sqref="C94" xr:uid="{C72AC136-28F2-48A3-B31F-6639DDB2B40A}">
      <formula1>INDIRECT(IF(OR(ISNUMBER(SEARCH("ICEBERG ICE",UPPER(TRIM($B94)))),ISNUMBER(SEARCH("ICE ICEBERG",UPPER(TRIM($B94)))),ISNUMBER(SEARCH("GELINHO ICEBERG",UPPER(TRIM($B94))))),"$AJ$2:$AJ$2",IF(ISNUMBER(SEARCH("ESPUMA",$B94)),"$AI$2:$AI$2",IF(ISNUMBER(SEARCH("CORANTE",$B94)),"$AN$2:$AN$2",IFERROR(INDEX($AB$2:$AB$139,MATCH(UPPER(TRIM($B94)),$AA$2:$AA$139,0)),"$AO$2:$AO$9")))))</formula1>
    </dataValidation>
    <dataValidation type="list" allowBlank="1" errorTitle="Embalagem inválida" error="Escolha uma embalagem compatível com o produto." promptTitle="Selecione a embalagem" prompt="As opções mudam conforme o produto digitado." sqref="C95" xr:uid="{3314E630-CF16-41EC-92A0-BF6EE50DD275}">
      <formula1>INDIRECT(IF(OR(ISNUMBER(SEARCH("ICEBERG ICE",UPPER(TRIM($B95)))),ISNUMBER(SEARCH("ICE ICEBERG",UPPER(TRIM($B95)))),ISNUMBER(SEARCH("GELINHO ICEBERG",UPPER(TRIM($B95))))),"$AJ$2:$AJ$2",IF(ISNUMBER(SEARCH("ESPUMA",$B95)),"$AI$2:$AI$2",IF(ISNUMBER(SEARCH("CORANTE",$B95)),"$AN$2:$AN$2",IFERROR(INDEX($AB$2:$AB$139,MATCH(UPPER(TRIM($B95)),$AA$2:$AA$139,0)),"$AO$2:$AO$9")))))</formula1>
    </dataValidation>
    <dataValidation type="list" allowBlank="1" errorTitle="Embalagem inválida" error="Escolha uma embalagem compatível com o produto." promptTitle="Selecione a embalagem" prompt="As opções mudam conforme o produto digitado." sqref="C96" xr:uid="{9B44C90F-C90D-4FC9-8884-5660A4E3DA35}">
      <formula1>INDIRECT(IF(OR(ISNUMBER(SEARCH("ICEBERG ICE",UPPER(TRIM($B96)))),ISNUMBER(SEARCH("ICE ICEBERG",UPPER(TRIM($B96)))),ISNUMBER(SEARCH("GELINHO ICEBERG",UPPER(TRIM($B96))))),"$AJ$2:$AJ$2",IF(ISNUMBER(SEARCH("ESPUMA",$B96)),"$AI$2:$AI$2",IF(ISNUMBER(SEARCH("CORANTE",$B96)),"$AN$2:$AN$2",IFERROR(INDEX($AB$2:$AB$139,MATCH(UPPER(TRIM($B96)),$AA$2:$AA$139,0)),"$AO$2:$AO$9")))))</formula1>
    </dataValidation>
    <dataValidation type="list" allowBlank="1" errorTitle="Embalagem inválida" error="Escolha uma embalagem compatível com o produto." promptTitle="Selecione a embalagem" prompt="As opções mudam conforme o produto digitado." sqref="C100" xr:uid="{22AAE0DB-AEAF-4192-8167-EE281813A096}">
      <formula1>INDIRECT(IF(OR(ISNUMBER(SEARCH("ICEBERG ICE",UPPER(TRIM($B100)))),ISNUMBER(SEARCH("ICE ICEBERG",UPPER(TRIM($B100)))),ISNUMBER(SEARCH("GELINHO ICEBERG",UPPER(TRIM($B100))))),"$AJ$2:$AJ$2",IF(ISNUMBER(SEARCH("ESPUMA",$B100)),"$AI$2:$AI$2",IF(ISNUMBER(SEARCH("CORANTE",$B100)),"$AN$2:$AN$2",IFERROR(INDEX($AB$2:$AB$139,MATCH(UPPER(TRIM($B100)),$AA$2:$AA$139,0)),"$AO$2:$AO$9")))))</formula1>
    </dataValidation>
    <dataValidation type="list" allowBlank="1" errorTitle="Embalagem inválida" error="Escolha uma embalagem compatível com o produto." promptTitle="Selecione a embalagem" prompt="As opções mudam conforme o produto digitado." sqref="C101" xr:uid="{52BACD66-FBB2-4CD1-82AA-A376767DAE63}">
      <formula1>INDIRECT(IF(OR(ISNUMBER(SEARCH("ICEBERG ICE",UPPER(TRIM($B101)))),ISNUMBER(SEARCH("ICE ICEBERG",UPPER(TRIM($B101)))),ISNUMBER(SEARCH("GELINHO ICEBERG",UPPER(TRIM($B101))))),"$AJ$2:$AJ$2",IF(ISNUMBER(SEARCH("ESPUMA",$B101)),"$AI$2:$AI$2",IF(ISNUMBER(SEARCH("CORANTE",$B101)),"$AN$2:$AN$2",IFERROR(INDEX($AB$2:$AB$139,MATCH(UPPER(TRIM($B101)),$AA$2:$AA$139,0)),"$AO$2:$AO$9")))))</formula1>
    </dataValidation>
    <dataValidation type="list" allowBlank="1" errorTitle="Embalagem inválida" error="Escolha uma embalagem compatível com o produto." promptTitle="Selecione a embalagem" prompt="As opções mudam conforme o produto digitado." sqref="C102" xr:uid="{B4253325-5DDD-411A-9F32-4EC8482CDE25}">
      <formula1>INDIRECT(IF(OR(ISNUMBER(SEARCH("ICEBERG ICE",UPPER(TRIM($B102)))),ISNUMBER(SEARCH("ICE ICEBERG",UPPER(TRIM($B102)))),ISNUMBER(SEARCH("GELINHO ICEBERG",UPPER(TRIM($B102))))),"$AJ$2:$AJ$2",IF(ISNUMBER(SEARCH("ESPUMA",$B102)),"$AI$2:$AI$2",IF(ISNUMBER(SEARCH("CORANTE",$B102)),"$AN$2:$AN$2",IFERROR(INDEX($AB$2:$AB$139,MATCH(UPPER(TRIM($B102)),$AA$2:$AA$139,0)),"$AO$2:$AO$9")))))</formula1>
    </dataValidation>
    <dataValidation type="list" allowBlank="1" errorTitle="Embalagem inválida" error="Escolha uma embalagem compatível com o produto." promptTitle="Selecione a embalagem" prompt="As opções mudam conforme o produto digitado." sqref="C103" xr:uid="{3E511E62-7C85-4A24-8F84-AB2423BE0C3E}">
      <formula1>INDIRECT(IF(OR(ISNUMBER(SEARCH("ICEBERG ICE",UPPER(TRIM($B103)))),ISNUMBER(SEARCH("ICE ICEBERG",UPPER(TRIM($B103)))),ISNUMBER(SEARCH("GELINHO ICEBERG",UPPER(TRIM($B103))))),"$AJ$2:$AJ$2",IF(ISNUMBER(SEARCH("ESPUMA",$B103)),"$AI$2:$AI$2",IF(ISNUMBER(SEARCH("CORANTE",$B103)),"$AN$2:$AN$2",IFERROR(INDEX($AB$2:$AB$139,MATCH(UPPER(TRIM($B103)),$AA$2:$AA$139,0)),"$AO$2:$AO$9")))))</formula1>
    </dataValidation>
    <dataValidation type="list" allowBlank="1" errorTitle="Embalagem inválida" error="Escolha uma embalagem compatível com o produto." promptTitle="Selecione a embalagem" prompt="As opções mudam conforme o produto digitado." sqref="C104" xr:uid="{A843E810-42B5-41DA-98F1-CD22DD47095C}">
      <formula1>INDIRECT(IF(OR(ISNUMBER(SEARCH("ICEBERG ICE",UPPER(TRIM($B104)))),ISNUMBER(SEARCH("ICE ICEBERG",UPPER(TRIM($B104)))),ISNUMBER(SEARCH("GELINHO ICEBERG",UPPER(TRIM($B104))))),"$AJ$2:$AJ$2",IF(ISNUMBER(SEARCH("ESPUMA",$B104)),"$AI$2:$AI$2",IF(ISNUMBER(SEARCH("CORANTE",$B104)),"$AN$2:$AN$2",IFERROR(INDEX($AB$2:$AB$139,MATCH(UPPER(TRIM($B104)),$AA$2:$AA$139,0)),"$AO$2:$AO$9")))))</formula1>
    </dataValidation>
    <dataValidation type="list" allowBlank="1" errorTitle="Embalagem inválida" error="Escolha uma embalagem compatível com o produto." promptTitle="Selecione a embalagem" prompt="As opções mudam conforme o produto digitado." sqref="C108" xr:uid="{38FE6F52-4A86-40B5-B266-4B8BB6FA2004}">
      <formula1>INDIRECT(IF(OR(ISNUMBER(SEARCH("ICEBERG ICE",UPPER(TRIM($B108)))),ISNUMBER(SEARCH("ICE ICEBERG",UPPER(TRIM($B108)))),ISNUMBER(SEARCH("GELINHO ICEBERG",UPPER(TRIM($B108))))),"$AJ$2:$AJ$2",IF(ISNUMBER(SEARCH("ESPUMA",$B108)),"$AI$2:$AI$2",IF(ISNUMBER(SEARCH("CORANTE",$B108)),"$AN$2:$AN$2",IFERROR(INDEX($AB$2:$AB$139,MATCH(UPPER(TRIM($B108)),$AA$2:$AA$139,0)),"$AO$2:$AO$9")))))</formula1>
    </dataValidation>
    <dataValidation type="list" allowBlank="1" errorTitle="Embalagem inválida" error="Escolha uma embalagem compatível com o produto." promptTitle="Selecione a embalagem" prompt="As opções mudam conforme o produto digitado." sqref="C109" xr:uid="{5E375A9C-61C9-421C-8293-4531B4A70333}">
      <formula1>INDIRECT(IF(OR(ISNUMBER(SEARCH("ICEBERG ICE",UPPER(TRIM($B109)))),ISNUMBER(SEARCH("ICE ICEBERG",UPPER(TRIM($B109)))),ISNUMBER(SEARCH("GELINHO ICEBERG",UPPER(TRIM($B109))))),"$AJ$2:$AJ$2",IF(ISNUMBER(SEARCH("ESPUMA",$B109)),"$AI$2:$AI$2",IF(ISNUMBER(SEARCH("CORANTE",$B109)),"$AN$2:$AN$2",IFERROR(INDEX($AB$2:$AB$139,MATCH(UPPER(TRIM($B109)),$AA$2:$AA$139,0)),"$AO$2:$AO$9")))))</formula1>
    </dataValidation>
    <dataValidation type="list" allowBlank="1" errorTitle="Embalagem inválida" error="Escolha uma embalagem compatível com o produto." promptTitle="Selecione a embalagem" prompt="As opções mudam conforme o produto digitado." sqref="C110" xr:uid="{7B54F12D-5C62-42F9-B446-ECC3BA0CD0B9}">
      <formula1>INDIRECT(IF(OR(ISNUMBER(SEARCH("ICEBERG ICE",UPPER(TRIM($B110)))),ISNUMBER(SEARCH("ICE ICEBERG",UPPER(TRIM($B110)))),ISNUMBER(SEARCH("GELINHO ICEBERG",UPPER(TRIM($B110))))),"$AJ$2:$AJ$2",IF(ISNUMBER(SEARCH("ESPUMA",$B110)),"$AI$2:$AI$2",IF(ISNUMBER(SEARCH("CORANTE",$B110)),"$AN$2:$AN$2",IFERROR(INDEX($AB$2:$AB$139,MATCH(UPPER(TRIM($B110)),$AA$2:$AA$139,0)),"$AO$2:$AO$9")))))</formula1>
    </dataValidation>
    <dataValidation type="list" allowBlank="1" errorTitle="Embalagem inválida" error="Escolha uma embalagem compatível com o produto." promptTitle="Selecione a embalagem" prompt="As opções mudam conforme o produto digitado." sqref="C111" xr:uid="{DF770775-A3B1-4343-B238-4F5F9EB38E5F}">
      <formula1>INDIRECT(IF(OR(ISNUMBER(SEARCH("ICEBERG ICE",UPPER(TRIM($B111)))),ISNUMBER(SEARCH("ICE ICEBERG",UPPER(TRIM($B111)))),ISNUMBER(SEARCH("GELINHO ICEBERG",UPPER(TRIM($B111))))),"$AJ$2:$AJ$2",IF(ISNUMBER(SEARCH("ESPUMA",$B111)),"$AI$2:$AI$2",IF(ISNUMBER(SEARCH("CORANTE",$B111)),"$AN$2:$AN$2",IFERROR(INDEX($AB$2:$AB$139,MATCH(UPPER(TRIM($B111)),$AA$2:$AA$139,0)),"$AO$2:$AO$9")))))</formula1>
    </dataValidation>
    <dataValidation type="list" allowBlank="1" errorTitle="Embalagem inválida" error="Escolha uma embalagem compatível com o produto." promptTitle="Selecione a embalagem" prompt="As opções mudam conforme o produto digitado." sqref="C112" xr:uid="{F8A35B92-AD6A-4D54-AE17-41B4DD335234}">
      <formula1>INDIRECT(IF(OR(ISNUMBER(SEARCH("ICEBERG ICE",UPPER(TRIM($B112)))),ISNUMBER(SEARCH("ICE ICEBERG",UPPER(TRIM($B112)))),ISNUMBER(SEARCH("GELINHO ICEBERG",UPPER(TRIM($B112))))),"$AJ$2:$AJ$2",IF(ISNUMBER(SEARCH("ESPUMA",$B112)),"$AI$2:$AI$2",IF(ISNUMBER(SEARCH("CORANTE",$B112)),"$AN$2:$AN$2",IFERROR(INDEX($AB$2:$AB$139,MATCH(UPPER(TRIM($B112)),$AA$2:$AA$139,0)),"$AO$2:$AO$9")))))</formula1>
    </dataValidation>
    <dataValidation type="list" allowBlank="1" errorTitle="Embalagem inválida" error="Escolha uma embalagem compatível com o produto." promptTitle="Selecione a embalagem" prompt="As opções mudam conforme o produto digitado." sqref="C116" xr:uid="{1C715AF1-3D31-446E-BC2D-0625B6AEFE66}">
      <formula1>INDIRECT(IF(OR(ISNUMBER(SEARCH("ICEBERG ICE",UPPER(TRIM($B116)))),ISNUMBER(SEARCH("ICE ICEBERG",UPPER(TRIM($B116)))),ISNUMBER(SEARCH("GELINHO ICEBERG",UPPER(TRIM($B116))))),"$AJ$2:$AJ$2",IF(ISNUMBER(SEARCH("ESPUMA",$B116)),"$AI$2:$AI$2",IF(ISNUMBER(SEARCH("CORANTE",$B116)),"$AN$2:$AN$2",IFERROR(INDEX($AB$2:$AB$138,MATCH(UPPER(TRIM($B116)),$AA$2:$AA$138,0)),"$AO$2:$AO$9")))))</formula1>
    </dataValidation>
    <dataValidation type="list" allowBlank="1" errorTitle="Embalagem inválida" error="Escolha uma embalagem compatível com o produto." promptTitle="Selecione a embalagem" prompt="As opções mudam conforme o produto digitado." sqref="C117" xr:uid="{BB8BA358-304A-481A-9EDA-468AAE70911B}">
      <formula1>INDIRECT(IF(OR(ISNUMBER(SEARCH("ICEBERG ICE",UPPER(TRIM($B117)))),ISNUMBER(SEARCH("ICE ICEBERG",UPPER(TRIM($B117)))),ISNUMBER(SEARCH("GELINHO ICEBERG",UPPER(TRIM($B117))))),"$AJ$2:$AJ$2",IF(ISNUMBER(SEARCH("ESPUMA",$B117)),"$AI$2:$AI$2",IF(ISNUMBER(SEARCH("CORANTE",$B117)),"$AN$2:$AN$2",IFERROR(INDEX($AB$2:$AB$138,MATCH(UPPER(TRIM($B117)),$AA$2:$AA$138,0)),"$AO$2:$AO$9")))))</formula1>
    </dataValidation>
    <dataValidation type="list" allowBlank="1" errorTitle="Embalagem inválida" error="Escolha uma embalagem compatível com o produto." promptTitle="Selecione a embalagem" prompt="As opções mudam conforme o produto digitado." sqref="C118" xr:uid="{20DC8BB5-A7DB-48AC-AEE6-9A4CF82A0F05}">
      <formula1>INDIRECT(IF(OR(ISNUMBER(SEARCH("ICEBERG ICE",UPPER(TRIM($B118)))),ISNUMBER(SEARCH("ICE ICEBERG",UPPER(TRIM($B118)))),ISNUMBER(SEARCH("GELINHO ICEBERG",UPPER(TRIM($B118))))),"$AJ$2:$AJ$2",IF(ISNUMBER(SEARCH("ESPUMA",$B118)),"$AI$2:$AI$2",IF(ISNUMBER(SEARCH("CORANTE",$B118)),"$AN$2:$AN$2",IFERROR(INDEX($AB$2:$AB$138,MATCH(UPPER(TRIM($B118)),$AA$2:$AA$138,0)),"$AO$2:$AO$9")))))</formula1>
    </dataValidation>
    <dataValidation type="list" allowBlank="1" errorTitle="Embalagem inválida" error="Escolha uma embalagem compatível com o produto." promptTitle="Selecione a embalagem" prompt="As opções mudam conforme o produto digitado." sqref="C119" xr:uid="{AE5D443E-05DD-4CC3-A3BF-526BAF069EBA}">
      <formula1>INDIRECT(IF(OR(ISNUMBER(SEARCH("ICEBERG ICE",UPPER(TRIM($B119)))),ISNUMBER(SEARCH("ICE ICEBERG",UPPER(TRIM($B119)))),ISNUMBER(SEARCH("GELINHO ICEBERG",UPPER(TRIM($B119))))),"$AJ$2:$AJ$2",IF(ISNUMBER(SEARCH("ESPUMA",$B119)),"$AI$2:$AI$2",IF(ISNUMBER(SEARCH("CORANTE",$B119)),"$AN$2:$AN$2",IFERROR(INDEX($AB$2:$AB$138,MATCH(UPPER(TRIM($B119)),$AA$2:$AA$138,0)),"$AO$2:$AO$9")))))</formula1>
    </dataValidation>
    <dataValidation type="list" allowBlank="1" errorTitle="Embalagem inválida" error="Escolha uma embalagem compatível com o produto." promptTitle="Selecione a embalagem" prompt="As opções mudam conforme o produto digitado." sqref="C120" xr:uid="{4C48AC58-7155-472A-B86A-E1855CBBEF16}">
      <formula1>INDIRECT(IF(OR(ISNUMBER(SEARCH("ICEBERG ICE",UPPER(TRIM($B120)))),ISNUMBER(SEARCH("ICE ICEBERG",UPPER(TRIM($B120)))),ISNUMBER(SEARCH("GELINHO ICEBERG",UPPER(TRIM($B120))))),"$AJ$2:$AJ$2",IF(ISNUMBER(SEARCH("ESPUMA",$B120)),"$AI$2:$AI$2",IF(ISNUMBER(SEARCH("CORANTE",$B120)),"$AN$2:$AN$2",IFERROR(INDEX($AB$2:$AB$138,MATCH(UPPER(TRIM($B120)),$AA$2:$AA$138,0)),"$AO$2:$AO$9")))))</formula1>
    </dataValidation>
    <dataValidation type="list" allowBlank="1" errorTitle="Embalagem inválida" error="Escolha uma embalagem compatível com o produto." promptTitle="Selecione a embalagem" prompt="As opções mudam conforme o produto digitado." sqref="C124" xr:uid="{1F049343-FCF1-44F1-ACC1-4C5B0DA583B6}">
      <formula1>INDIRECT(IF(OR(ISNUMBER(SEARCH("ICEBERG ICE",UPPER(TRIM($B124)))),ISNUMBER(SEARCH("ICE ICEBERG",UPPER(TRIM($B124)))),ISNUMBER(SEARCH("GELINHO ICEBERG",UPPER(TRIM($B124))))),"$AJ$2:$AJ$2",IF(ISNUMBER(SEARCH("ESPUMA",$B124)),"$AI$2:$AI$2",IF(ISNUMBER(SEARCH("CORANTE",$B124)),"$AN$2:$AN$2",IFERROR(INDEX($AB$2:$AB$138,MATCH(UPPER(TRIM($B124)),$AA$2:$AA$138,0)),"$AO$2:$AO$9")))))</formula1>
    </dataValidation>
    <dataValidation type="list" allowBlank="1" errorTitle="Embalagem inválida" error="Escolha uma embalagem compatível com o produto." promptTitle="Selecione a embalagem" prompt="As opções mudam conforme o produto digitado." sqref="C125" xr:uid="{3BBE34F8-9DD8-4467-AB10-149B0A9D8EA3}">
      <formula1>INDIRECT(IF(OR(ISNUMBER(SEARCH("ICEBERG ICE",UPPER(TRIM($B125)))),ISNUMBER(SEARCH("ICE ICEBERG",UPPER(TRIM($B125)))),ISNUMBER(SEARCH("GELINHO ICEBERG",UPPER(TRIM($B125))))),"$AJ$2:$AJ$2",IF(ISNUMBER(SEARCH("ESPUMA",$B125)),"$AI$2:$AI$2",IF(ISNUMBER(SEARCH("CORANTE",$B125)),"$AN$2:$AN$2",IFERROR(INDEX($AB$2:$AB$138,MATCH(UPPER(TRIM($B125)),$AA$2:$AA$138,0)),"$AO$2:$AO$9")))))</formula1>
    </dataValidation>
    <dataValidation type="list" allowBlank="1" errorTitle="Embalagem inválida" error="Escolha uma embalagem compatível com o produto." promptTitle="Selecione a embalagem" prompt="As opções mudam conforme o produto digitado." sqref="C126" xr:uid="{62AACD4A-4628-4BE8-9BDE-E3303577EA45}">
      <formula1>INDIRECT(IF(OR(ISNUMBER(SEARCH("ICEBERG ICE",UPPER(TRIM($B126)))),ISNUMBER(SEARCH("ICE ICEBERG",UPPER(TRIM($B126)))),ISNUMBER(SEARCH("GELINHO ICEBERG",UPPER(TRIM($B126))))),"$AJ$2:$AJ$2",IF(ISNUMBER(SEARCH("ESPUMA",$B126)),"$AI$2:$AI$2",IF(ISNUMBER(SEARCH("CORANTE",$B126)),"$AN$2:$AN$2",IFERROR(INDEX($AB$2:$AB$138,MATCH(UPPER(TRIM($B126)),$AA$2:$AA$138,0)),"$AO$2:$AO$9")))))</formula1>
    </dataValidation>
    <dataValidation type="list" allowBlank="1" errorTitle="Embalagem inválida" error="Escolha uma embalagem compatível com o produto." promptTitle="Selecione a embalagem" prompt="As opções mudam conforme o produto digitado." sqref="C127" xr:uid="{6B244652-DD56-4E73-8E7D-F3C9D52601B0}">
      <formula1>INDIRECT(IF(OR(ISNUMBER(SEARCH("ICEBERG ICE",UPPER(TRIM($B127)))),ISNUMBER(SEARCH("ICE ICEBERG",UPPER(TRIM($B127)))),ISNUMBER(SEARCH("GELINHO ICEBERG",UPPER(TRIM($B127))))),"$AJ$2:$AJ$2",IF(ISNUMBER(SEARCH("ESPUMA",$B127)),"$AI$2:$AI$2",IF(ISNUMBER(SEARCH("CORANTE",$B127)),"$AN$2:$AN$2",IFERROR(INDEX($AB$2:$AB$138,MATCH(UPPER(TRIM($B127)),$AA$2:$AA$138,0)),"$AO$2:$AO$9")))))</formula1>
    </dataValidation>
    <dataValidation type="list" allowBlank="1" errorTitle="Embalagem inválida" error="Escolha uma embalagem compatível com o produto." promptTitle="Selecione a embalagem" prompt="As opções mudam conforme o produto digitado." sqref="C128" xr:uid="{BA14F5B4-6D02-4F8B-8054-78671A180487}">
      <formula1>INDIRECT(IF(OR(ISNUMBER(SEARCH("ICEBERG ICE",UPPER(TRIM($B128)))),ISNUMBER(SEARCH("ICE ICEBERG",UPPER(TRIM($B128)))),ISNUMBER(SEARCH("GELINHO ICEBERG",UPPER(TRIM($B128))))),"$AJ$2:$AJ$2",IF(ISNUMBER(SEARCH("ESPUMA",$B128)),"$AI$2:$AI$2",IF(ISNUMBER(SEARCH("CORANTE",$B128)),"$AN$2:$AN$2",IFERROR(INDEX($AB$2:$AB$138,MATCH(UPPER(TRIM($B128)),$AA$2:$AA$138,0)),"$AO$2:$AO$9")))))</formula1>
    </dataValidation>
    <dataValidation type="list" allowBlank="1" errorTitle="Embalagem inválida" error="Escolha uma embalagem compatível com o produto." promptTitle="Selecione a embalagem" prompt="As opções mudam conforme o produto digitado." sqref="C132" xr:uid="{7E706F10-3574-4772-8941-B5CB2AE6D4A3}">
      <formula1>INDIRECT(IF(OR(ISNUMBER(SEARCH("ICEBERG ICE",UPPER(TRIM($B132)))),ISNUMBER(SEARCH("ICE ICEBERG",UPPER(TRIM($B132)))),ISNUMBER(SEARCH("GELINHO ICEBERG",UPPER(TRIM($B132))))),"$AJ$2:$AJ$2",IF(ISNUMBER(SEARCH("ESPUMA",$B132)),"$AI$2:$AI$2",IF(ISNUMBER(SEARCH("CORANTE",$B132)),"$AN$2:$AN$2",IFERROR(INDEX($AB$2:$AB$138,MATCH(UPPER(TRIM($B132)),$AA$2:$AA$138,0)),"$AO$2:$AO$9")))))</formula1>
    </dataValidation>
    <dataValidation type="list" allowBlank="1" errorTitle="Embalagem inválida" error="Escolha uma embalagem compatível com o produto." promptTitle="Selecione a embalagem" prompt="As opções mudam conforme o produto digitado." sqref="C133" xr:uid="{06D234DE-0305-4295-BB1C-1F976A1E153B}">
      <formula1>INDIRECT(IF(OR(ISNUMBER(SEARCH("ICEBERG ICE",UPPER(TRIM($B133)))),ISNUMBER(SEARCH("ICE ICEBERG",UPPER(TRIM($B133)))),ISNUMBER(SEARCH("GELINHO ICEBERG",UPPER(TRIM($B133))))),"$AJ$2:$AJ$2",IF(ISNUMBER(SEARCH("ESPUMA",$B133)),"$AI$2:$AI$2",IF(ISNUMBER(SEARCH("CORANTE",$B133)),"$AN$2:$AN$2",IFERROR(INDEX($AB$2:$AB$138,MATCH(UPPER(TRIM($B133)),$AA$2:$AA$138,0)),"$AO$2:$AO$9")))))</formula1>
    </dataValidation>
    <dataValidation type="list" allowBlank="1" errorTitle="Embalagem inválida" error="Escolha uma embalagem compatível com o produto." promptTitle="Selecione a embalagem" prompt="As opções mudam conforme o produto digitado." sqref="C134" xr:uid="{C7E88A2F-4C0B-4DDE-ACD3-DBE8D1ED84B6}">
      <formula1>INDIRECT(IF(OR(ISNUMBER(SEARCH("ICEBERG ICE",UPPER(TRIM($B134)))),ISNUMBER(SEARCH("ICE ICEBERG",UPPER(TRIM($B134)))),ISNUMBER(SEARCH("GELINHO ICEBERG",UPPER(TRIM($B134))))),"$AJ$2:$AJ$2",IF(ISNUMBER(SEARCH("ESPUMA",$B134)),"$AI$2:$AI$2",IF(ISNUMBER(SEARCH("CORANTE",$B134)),"$AN$2:$AN$2",IFERROR(INDEX($AB$2:$AB$138,MATCH(UPPER(TRIM($B134)),$AA$2:$AA$138,0)),"$AO$2:$AO$9")))))</formula1>
    </dataValidation>
    <dataValidation type="list" allowBlank="1" errorTitle="Embalagem inválida" error="Escolha uma embalagem compatível com o produto." promptTitle="Selecione a embalagem" prompt="As opções mudam conforme o produto digitado." sqref="C135" xr:uid="{1098FA4E-F9E0-4500-AEBB-30E7DA87A180}">
      <formula1>INDIRECT(IF(OR(ISNUMBER(SEARCH("ICEBERG ICE",UPPER(TRIM($B135)))),ISNUMBER(SEARCH("ICE ICEBERG",UPPER(TRIM($B135)))),ISNUMBER(SEARCH("GELINHO ICEBERG",UPPER(TRIM($B135))))),"$AJ$2:$AJ$2",IF(ISNUMBER(SEARCH("ESPUMA",$B135)),"$AI$2:$AI$2",IF(ISNUMBER(SEARCH("CORANTE",$B135)),"$AN$2:$AN$2",IFERROR(INDEX($AB$2:$AB$138,MATCH(UPPER(TRIM($B135)),$AA$2:$AA$138,0)),"$AO$2:$AO$9")))))</formula1>
    </dataValidation>
    <dataValidation type="list" allowBlank="1" errorTitle="Embalagem inválida" error="Escolha uma embalagem compatível com o produto." promptTitle="Selecione a embalagem" prompt="As opções mudam conforme o produto digitado." sqref="C136" xr:uid="{4184CFE5-303A-42F6-9DFB-054510A561E0}">
      <formula1>INDIRECT(IF(OR(ISNUMBER(SEARCH("ICEBERG ICE",UPPER(TRIM($B136)))),ISNUMBER(SEARCH("ICE ICEBERG",UPPER(TRIM($B136)))),ISNUMBER(SEARCH("GELINHO ICEBERG",UPPER(TRIM($B136))))),"$AJ$2:$AJ$2",IF(ISNUMBER(SEARCH("ESPUMA",$B136)),"$AI$2:$AI$2",IF(ISNUMBER(SEARCH("CORANTE",$B136)),"$AN$2:$AN$2",IFERROR(INDEX($AB$2:$AB$138,MATCH(UPPER(TRIM($B136)),$AA$2:$AA$138,0)),"$AO$2:$AO$9")))))</formula1>
    </dataValidation>
    <dataValidation type="list" allowBlank="1" errorTitle="Embalagem inválida" error="Escolha uma embalagem compatível com o produto." promptTitle="Selecione a embalagem" prompt="As opções mudam conforme o produto digitado." sqref="C140" xr:uid="{9395FC1A-AB8E-4760-8919-7A964F8D442B}">
      <formula1>INDIRECT(IF(OR(ISNUMBER(SEARCH("ICEBERG ICE",UPPER(TRIM($B140)))),ISNUMBER(SEARCH("ICE ICEBERG",UPPER(TRIM($B140)))),ISNUMBER(SEARCH("GELINHO ICEBERG",UPPER(TRIM($B140))))),"$AJ$2:$AJ$2",IF(ISNUMBER(SEARCH("ESPUMA",$B140)),"$AI$2:$AI$2",IF(ISNUMBER(SEARCH("CORANTE",$B140)),"$AN$2:$AN$2",IFERROR(INDEX($AB$2:$AB$138,MATCH(UPPER(TRIM($B140)),$AA$2:$AA$138,0)),"$AO$2:$AO$9")))))</formula1>
    </dataValidation>
    <dataValidation type="list" allowBlank="1" errorTitle="Embalagem inválida" error="Escolha uma embalagem compatível com o produto." promptTitle="Selecione a embalagem" prompt="As opções mudam conforme o produto digitado." sqref="C141" xr:uid="{7B07EB99-2305-48DF-AB94-22C1C5301199}">
      <formula1>INDIRECT(IF(OR(ISNUMBER(SEARCH("ICEBERG ICE",UPPER(TRIM($B141)))),ISNUMBER(SEARCH("ICE ICEBERG",UPPER(TRIM($B141)))),ISNUMBER(SEARCH("GELINHO ICEBERG",UPPER(TRIM($B141))))),"$AJ$2:$AJ$2",IF(ISNUMBER(SEARCH("ESPUMA",$B141)),"$AI$2:$AI$2",IF(ISNUMBER(SEARCH("CORANTE",$B141)),"$AN$2:$AN$2",IFERROR(INDEX($AB$2:$AB$138,MATCH(UPPER(TRIM($B141)),$AA$2:$AA$138,0)),"$AO$2:$AO$9")))))</formula1>
    </dataValidation>
    <dataValidation type="list" allowBlank="1" errorTitle="Embalagem inválida" error="Escolha uma embalagem compatível com o produto." promptTitle="Selecione a embalagem" prompt="As opções mudam conforme o produto digitado." sqref="C142" xr:uid="{7E931A41-A4A8-49F8-B46F-5A7B9AA110A6}">
      <formula1>INDIRECT(IF(OR(ISNUMBER(SEARCH("ICEBERG ICE",UPPER(TRIM($B142)))),ISNUMBER(SEARCH("ICE ICEBERG",UPPER(TRIM($B142)))),ISNUMBER(SEARCH("GELINHO ICEBERG",UPPER(TRIM($B142))))),"$AJ$2:$AJ$2",IF(ISNUMBER(SEARCH("ESPUMA",$B142)),"$AI$2:$AI$2",IF(ISNUMBER(SEARCH("CORANTE",$B142)),"$AN$2:$AN$2",IFERROR(INDEX($AB$2:$AB$138,MATCH(UPPER(TRIM($B142)),$AA$2:$AA$138,0)),"$AO$2:$AO$9")))))</formula1>
    </dataValidation>
    <dataValidation type="list" allowBlank="1" errorTitle="Embalagem inválida" error="Escolha uma embalagem compatível com o produto." promptTitle="Selecione a embalagem" prompt="As opções mudam conforme o produto digitado." sqref="C143" xr:uid="{764A1D29-8935-49AC-8B79-A7935D3751DB}">
      <formula1>INDIRECT(IF(OR(ISNUMBER(SEARCH("ICEBERG ICE",UPPER(TRIM($B143)))),ISNUMBER(SEARCH("ICE ICEBERG",UPPER(TRIM($B143)))),ISNUMBER(SEARCH("GELINHO ICEBERG",UPPER(TRIM($B143))))),"$AJ$2:$AJ$2",IF(ISNUMBER(SEARCH("ESPUMA",$B143)),"$AI$2:$AI$2",IF(ISNUMBER(SEARCH("CORANTE",$B143)),"$AN$2:$AN$2",IFERROR(INDEX($AB$2:$AB$138,MATCH(UPPER(TRIM($B143)),$AA$2:$AA$138,0)),"$AO$2:$AO$9")))))</formula1>
    </dataValidation>
    <dataValidation type="list" allowBlank="1" errorTitle="Embalagem inválida" error="Escolha uma embalagem compatível com o produto." promptTitle="Selecione a embalagem" prompt="As opções mudam conforme o produto digitado." sqref="C144" xr:uid="{B27D7DAB-1828-4BDB-ABD4-F98D5CB2A362}">
      <formula1>INDIRECT(IF(OR(ISNUMBER(SEARCH("ICEBERG ICE",UPPER(TRIM($B144)))),ISNUMBER(SEARCH("ICE ICEBERG",UPPER(TRIM($B144)))),ISNUMBER(SEARCH("GELINHO ICEBERG",UPPER(TRIM($B144))))),"$AJ$2:$AJ$2",IF(ISNUMBER(SEARCH("ESPUMA",$B144)),"$AI$2:$AI$2",IF(ISNUMBER(SEARCH("CORANTE",$B144)),"$AN$2:$AN$2",IFERROR(INDEX($AB$2:$AB$138,MATCH(UPPER(TRIM($B144)),$AA$2:$AA$138,0)),"$AO$2:$AO$9")))))</formula1>
    </dataValidation>
    <dataValidation type="list" allowBlank="1" errorTitle="Embalagem inválida" error="Escolha uma embalagem compatível com o produto." promptTitle="Selecione a embalagem" prompt="As opções mudam conforme o produto digitado." sqref="C148" xr:uid="{2A8BF4EC-CA9E-4A26-B179-E62F7D5A3F02}">
      <formula1>INDIRECT(IF(OR(ISNUMBER(SEARCH("ICEBERG ICE",UPPER(TRIM($B148)))),ISNUMBER(SEARCH("ICE ICEBERG",UPPER(TRIM($B148)))),ISNUMBER(SEARCH("GELINHO ICEBERG",UPPER(TRIM($B148))))),"$AJ$2:$AJ$2",IF(ISNUMBER(SEARCH("ESPUMA",$B148)),"$AI$2:$AI$2",IF(ISNUMBER(SEARCH("CORANTE",$B148)),"$AN$2:$AN$2",IFERROR(INDEX($AB$2:$AB$138,MATCH(UPPER(TRIM($B148)),$AA$2:$AA$138,0)),"$AO$2:$AO$9")))))</formula1>
    </dataValidation>
    <dataValidation type="list" allowBlank="1" errorTitle="Embalagem inválida" error="Escolha uma embalagem compatível com o produto." promptTitle="Selecione a embalagem" prompt="As opções mudam conforme o produto digitado." sqref="C149" xr:uid="{1323A0E9-4BD1-4055-8BE1-DCD6F865B656}">
      <formula1>INDIRECT(IF(OR(ISNUMBER(SEARCH("ICEBERG ICE",UPPER(TRIM($B149)))),ISNUMBER(SEARCH("ICE ICEBERG",UPPER(TRIM($B149)))),ISNUMBER(SEARCH("GELINHO ICEBERG",UPPER(TRIM($B149))))),"$AJ$2:$AJ$2",IF(ISNUMBER(SEARCH("ESPUMA",$B149)),"$AI$2:$AI$2",IF(ISNUMBER(SEARCH("CORANTE",$B149)),"$AN$2:$AN$2",IFERROR(INDEX($AB$2:$AB$138,MATCH(UPPER(TRIM($B149)),$AA$2:$AA$138,0)),"$AO$2:$AO$9")))))</formula1>
    </dataValidation>
    <dataValidation type="list" allowBlank="1" errorTitle="Embalagem inválida" error="Escolha uma embalagem compatível com o produto." promptTitle="Selecione a embalagem" prompt="As opções mudam conforme o produto digitado." sqref="C150" xr:uid="{DA086271-7D04-4446-961E-D16E40F524CA}">
      <formula1>INDIRECT(IF(OR(ISNUMBER(SEARCH("ICEBERG ICE",UPPER(TRIM($B150)))),ISNUMBER(SEARCH("ICE ICEBERG",UPPER(TRIM($B150)))),ISNUMBER(SEARCH("GELINHO ICEBERG",UPPER(TRIM($B150))))),"$AJ$2:$AJ$2",IF(ISNUMBER(SEARCH("ESPUMA",$B150)),"$AI$2:$AI$2",IF(ISNUMBER(SEARCH("CORANTE",$B150)),"$AN$2:$AN$2",IFERROR(INDEX($AB$2:$AB$138,MATCH(UPPER(TRIM($B150)),$AA$2:$AA$138,0)),"$AO$2:$AO$9")))))</formula1>
    </dataValidation>
    <dataValidation type="list" allowBlank="1" errorTitle="Embalagem inválida" error="Escolha uma embalagem compatível com o produto." promptTitle="Selecione a embalagem" prompt="As opções mudam conforme o produto digitado." sqref="C151" xr:uid="{F7F44F9D-BA40-4691-BC4A-0F603C6C188A}">
      <formula1>INDIRECT(IF(OR(ISNUMBER(SEARCH("ICEBERG ICE",UPPER(TRIM($B151)))),ISNUMBER(SEARCH("ICE ICEBERG",UPPER(TRIM($B151)))),ISNUMBER(SEARCH("GELINHO ICEBERG",UPPER(TRIM($B151))))),"$AJ$2:$AJ$2",IF(ISNUMBER(SEARCH("ESPUMA",$B151)),"$AI$2:$AI$2",IF(ISNUMBER(SEARCH("CORANTE",$B151)),"$AN$2:$AN$2",IFERROR(INDEX($AB$2:$AB$138,MATCH(UPPER(TRIM($B151)),$AA$2:$AA$138,0)),"$AO$2:$AO$9")))))</formula1>
    </dataValidation>
    <dataValidation type="list" allowBlank="1" errorTitle="Embalagem inválida" error="Escolha uma embalagem compatível com o produto." promptTitle="Selecione a embalagem" prompt="As opções mudam conforme o produto digitado." sqref="C152" xr:uid="{C3EC1C74-0211-40DD-9F05-896238C86E79}">
      <formula1>INDIRECT(IF(OR(ISNUMBER(SEARCH("ICEBERG ICE",UPPER(TRIM($B152)))),ISNUMBER(SEARCH("ICE ICEBERG",UPPER(TRIM($B152)))),ISNUMBER(SEARCH("GELINHO ICEBERG",UPPER(TRIM($B152))))),"$AJ$2:$AJ$2",IF(ISNUMBER(SEARCH("ESPUMA",$B152)),"$AI$2:$AI$2",IF(ISNUMBER(SEARCH("CORANTE",$B152)),"$AN$2:$AN$2",IFERROR(INDEX($AB$2:$AB$138,MATCH(UPPER(TRIM($B152)),$AA$2:$AA$138,0)),"$AO$2:$AO$9")))))</formula1>
    </dataValidation>
    <dataValidation type="list" allowBlank="1" errorTitle="Embalagem inválida" error="Escolha uma embalagem compatível com o produto." promptTitle="Selecione a embalagem" prompt="As opções mudam conforme o produto digitado." sqref="C156" xr:uid="{BC03198E-D77A-4FC3-8427-AC029FBD2A04}">
      <formula1>INDIRECT(IF(OR(ISNUMBER(SEARCH("ICEBERG ICE",UPPER(TRIM($B156)))),ISNUMBER(SEARCH("ICE ICEBERG",UPPER(TRIM($B156)))),ISNUMBER(SEARCH("GELINHO ICEBERG",UPPER(TRIM($B156))))),"$AJ$2:$AJ$2",IF(ISNUMBER(SEARCH("ESPUMA",$B156)),"$AI$2:$AI$2",IF(ISNUMBER(SEARCH("CORANTE",$B156)),"$AN$2:$AN$2",IFERROR(INDEX($AB$2:$AB$138,MATCH(UPPER(TRIM($B156)),$AA$2:$AA$138,0)),"$AO$2:$AO$9")))))</formula1>
    </dataValidation>
    <dataValidation type="list" allowBlank="1" errorTitle="Embalagem inválida" error="Escolha uma embalagem compatível com o produto." promptTitle="Selecione a embalagem" prompt="As opções mudam conforme o produto digitado." sqref="C157" xr:uid="{7C0578B1-B723-4503-9E1C-2404B41A741A}">
      <formula1>INDIRECT(IF(OR(ISNUMBER(SEARCH("ICEBERG ICE",UPPER(TRIM($B157)))),ISNUMBER(SEARCH("ICE ICEBERG",UPPER(TRIM($B157)))),ISNUMBER(SEARCH("GELINHO ICEBERG",UPPER(TRIM($B157))))),"$AJ$2:$AJ$2",IF(ISNUMBER(SEARCH("ESPUMA",$B157)),"$AI$2:$AI$2",IF(ISNUMBER(SEARCH("CORANTE",$B157)),"$AN$2:$AN$2",IFERROR(INDEX($AB$2:$AB$138,MATCH(UPPER(TRIM($B157)),$AA$2:$AA$138,0)),"$AO$2:$AO$9")))))</formula1>
    </dataValidation>
    <dataValidation type="list" allowBlank="1" errorTitle="Embalagem inválida" error="Escolha uma embalagem compatível com o produto." promptTitle="Selecione a embalagem" prompt="As opções mudam conforme o produto digitado." sqref="C158" xr:uid="{0C53AC9B-4B36-467D-8517-16BAC121C739}">
      <formula1>INDIRECT(IF(OR(ISNUMBER(SEARCH("ICEBERG ICE",UPPER(TRIM($B158)))),ISNUMBER(SEARCH("ICE ICEBERG",UPPER(TRIM($B158)))),ISNUMBER(SEARCH("GELINHO ICEBERG",UPPER(TRIM($B158))))),"$AJ$2:$AJ$2",IF(ISNUMBER(SEARCH("ESPUMA",$B158)),"$AI$2:$AI$2",IF(ISNUMBER(SEARCH("CORANTE",$B158)),"$AN$2:$AN$2",IFERROR(INDEX($AB$2:$AB$138,MATCH(UPPER(TRIM($B158)),$AA$2:$AA$138,0)),"$AO$2:$AO$9")))))</formula1>
    </dataValidation>
    <dataValidation type="list" allowBlank="1" errorTitle="Embalagem inválida" error="Escolha uma embalagem compatível com o produto." promptTitle="Selecione a embalagem" prompt="As opções mudam conforme o produto digitado." sqref="C159" xr:uid="{5C07EC7B-4F4F-45DB-9C59-E9097B885EB3}">
      <formula1>INDIRECT(IF(OR(ISNUMBER(SEARCH("ICEBERG ICE",UPPER(TRIM($B159)))),ISNUMBER(SEARCH("ICE ICEBERG",UPPER(TRIM($B159)))),ISNUMBER(SEARCH("GELINHO ICEBERG",UPPER(TRIM($B159))))),"$AJ$2:$AJ$2",IF(ISNUMBER(SEARCH("ESPUMA",$B159)),"$AI$2:$AI$2",IF(ISNUMBER(SEARCH("CORANTE",$B159)),"$AN$2:$AN$2",IFERROR(INDEX($AB$2:$AB$138,MATCH(UPPER(TRIM($B159)),$AA$2:$AA$138,0)),"$AO$2:$AO$9")))))</formula1>
    </dataValidation>
    <dataValidation type="list" allowBlank="1" errorTitle="Embalagem inválida" error="Escolha uma embalagem compatível com o produto." promptTitle="Selecione a embalagem" prompt="As opções mudam conforme o produto digitado." sqref="C160" xr:uid="{4CC61007-AE56-4431-BC41-BD8012E7AB08}">
      <formula1>INDIRECT(IF(OR(ISNUMBER(SEARCH("ICEBERG ICE",UPPER(TRIM($B160)))),ISNUMBER(SEARCH("ICE ICEBERG",UPPER(TRIM($B160)))),ISNUMBER(SEARCH("GELINHO ICEBERG",UPPER(TRIM($B160))))),"$AJ$2:$AJ$2",IF(ISNUMBER(SEARCH("ESPUMA",$B160)),"$AI$2:$AI$2",IF(ISNUMBER(SEARCH("CORANTE",$B160)),"$AN$2:$AN$2",IFERROR(INDEX($AB$2:$AB$138,MATCH(UPPER(TRIM($B160)),$AA$2:$AA$138,0)),"$AO$2:$AO$9")))))</formula1>
    </dataValidation>
    <dataValidation type="list" allowBlank="1" errorTitle="Embalagem inválida" error="Escolha uma embalagem compatível com o produto." promptTitle="Selecione a embalagem" prompt="As opções mudam conforme o produto digitado." sqref="C164" xr:uid="{397C791F-3F0D-4A51-AE25-313C0C780239}">
      <formula1>INDIRECT(IF(OR(ISNUMBER(SEARCH("ICEBERG ICE",UPPER(TRIM($B164)))),ISNUMBER(SEARCH("ICE ICEBERG",UPPER(TRIM($B164)))),ISNUMBER(SEARCH("GELINHO ICEBERG",UPPER(TRIM($B164))))),"$AJ$2:$AJ$2",IF(ISNUMBER(SEARCH("ESPUMA",$B164)),"$AI$2:$AI$2",IF(ISNUMBER(SEARCH("CORANTE",$B164)),"$AN$2:$AN$2",IFERROR(INDEX($AB$2:$AB$138,MATCH(UPPER(TRIM($B164)),$AA$2:$AA$138,0)),"$AO$2:$AO$9")))))</formula1>
    </dataValidation>
    <dataValidation type="list" allowBlank="1" errorTitle="Embalagem inválida" error="Escolha uma embalagem compatível com o produto." promptTitle="Selecione a embalagem" prompt="As opções mudam conforme o produto digitado." sqref="C165" xr:uid="{E8B687A3-F35D-4508-8DAB-CA5CFE5259B1}">
      <formula1>INDIRECT(IF(OR(ISNUMBER(SEARCH("ICEBERG ICE",UPPER(TRIM($B165)))),ISNUMBER(SEARCH("ICE ICEBERG",UPPER(TRIM($B165)))),ISNUMBER(SEARCH("GELINHO ICEBERG",UPPER(TRIM($B165))))),"$AJ$2:$AJ$2",IF(ISNUMBER(SEARCH("ESPUMA",$B165)),"$AI$2:$AI$2",IF(ISNUMBER(SEARCH("CORANTE",$B165)),"$AN$2:$AN$2",IFERROR(INDEX($AB$2:$AB$138,MATCH(UPPER(TRIM($B165)),$AA$2:$AA$138,0)),"$AO$2:$AO$9")))))</formula1>
    </dataValidation>
    <dataValidation type="list" allowBlank="1" errorTitle="Embalagem inválida" error="Escolha uma embalagem compatível com o produto." promptTitle="Selecione a embalagem" prompt="As opções mudam conforme o produto digitado." sqref="C166" xr:uid="{0BECEED5-BAE3-41FB-AA6D-EFC1A716DC99}">
      <formula1>INDIRECT(IF(OR(ISNUMBER(SEARCH("ICEBERG ICE",UPPER(TRIM($B166)))),ISNUMBER(SEARCH("ICE ICEBERG",UPPER(TRIM($B166)))),ISNUMBER(SEARCH("GELINHO ICEBERG",UPPER(TRIM($B166))))),"$AJ$2:$AJ$2",IF(ISNUMBER(SEARCH("ESPUMA",$B166)),"$AI$2:$AI$2",IF(ISNUMBER(SEARCH("CORANTE",$B166)),"$AN$2:$AN$2",IFERROR(INDEX($AB$2:$AB$138,MATCH(UPPER(TRIM($B166)),$AA$2:$AA$138,0)),"$AO$2:$AO$9")))))</formula1>
    </dataValidation>
    <dataValidation type="list" allowBlank="1" errorTitle="Embalagem inválida" error="Escolha uma embalagem compatível com o produto." promptTitle="Selecione a embalagem" prompt="As opções mudam conforme o produto digitado." sqref="C167" xr:uid="{30BA265A-468E-4F0F-B5F1-35AD59B36758}">
      <formula1>INDIRECT(IF(OR(ISNUMBER(SEARCH("ICEBERG ICE",UPPER(TRIM($B167)))),ISNUMBER(SEARCH("ICE ICEBERG",UPPER(TRIM($B167)))),ISNUMBER(SEARCH("GELINHO ICEBERG",UPPER(TRIM($B167))))),"$AJ$2:$AJ$2",IF(ISNUMBER(SEARCH("ESPUMA",$B167)),"$AI$2:$AI$2",IF(ISNUMBER(SEARCH("CORANTE",$B167)),"$AN$2:$AN$2",IFERROR(INDEX($AB$2:$AB$138,MATCH(UPPER(TRIM($B167)),$AA$2:$AA$138,0)),"$AO$2:$AO$9")))))</formula1>
    </dataValidation>
    <dataValidation type="list" allowBlank="1" errorTitle="Embalagem inválida" error="Escolha uma embalagem compatível com o produto." promptTitle="Selecione a embalagem" prompt="As opções mudam conforme o produto digitado." sqref="C168" xr:uid="{187D520A-43AD-48B9-A9FF-CD64EBB4AB0E}">
      <formula1>INDIRECT(IF(OR(ISNUMBER(SEARCH("ICEBERG ICE",UPPER(TRIM($B168)))),ISNUMBER(SEARCH("ICE ICEBERG",UPPER(TRIM($B168)))),ISNUMBER(SEARCH("GELINHO ICEBERG",UPPER(TRIM($B168))))),"$AJ$2:$AJ$2",IF(ISNUMBER(SEARCH("ESPUMA",$B168)),"$AI$2:$AI$2",IF(ISNUMBER(SEARCH("CORANTE",$B168)),"$AN$2:$AN$2",IFERROR(INDEX($AB$2:$AB$138,MATCH(UPPER(TRIM($B168)),$AA$2:$AA$138,0)),"$AO$2:$AO$9")))))</formula1>
    </dataValidation>
    <dataValidation type="list" allowBlank="1" errorTitle="Embalagem inválida" error="Escolha uma embalagem compatível com o produto." promptTitle="Selecione a embalagem" prompt="As opções mudam conforme o produto digitado." sqref="C172" xr:uid="{D08E40C4-395B-4E5D-B1D9-7120FCD76F05}">
      <formula1>INDIRECT(IF(OR(ISNUMBER(SEARCH("ICEBERG ICE",UPPER(TRIM($B172)))),ISNUMBER(SEARCH("ICE ICEBERG",UPPER(TRIM($B172)))),ISNUMBER(SEARCH("GELINHO ICEBERG",UPPER(TRIM($B172))))),"$AJ$2:$AJ$2",IF(ISNUMBER(SEARCH("ESPUMA",$B172)),"$AI$2:$AI$2",IF(ISNUMBER(SEARCH("CORANTE",$B172)),"$AN$2:$AN$2",IFERROR(INDEX($AB$2:$AB$138,MATCH(UPPER(TRIM($B172)),$AA$2:$AA$138,0)),"$AO$2:$AO$9")))))</formula1>
    </dataValidation>
    <dataValidation type="list" allowBlank="1" errorTitle="Embalagem inválida" error="Escolha uma embalagem compatível com o produto." promptTitle="Selecione a embalagem" prompt="As opções mudam conforme o produto digitado." sqref="C173" xr:uid="{E7C1F22F-DCE1-49E7-8901-E1CFFDBC11F0}">
      <formula1>INDIRECT(IF(OR(ISNUMBER(SEARCH("ICEBERG ICE",UPPER(TRIM($B173)))),ISNUMBER(SEARCH("ICE ICEBERG",UPPER(TRIM($B173)))),ISNUMBER(SEARCH("GELINHO ICEBERG",UPPER(TRIM($B173))))),"$AJ$2:$AJ$2",IF(ISNUMBER(SEARCH("ESPUMA",$B173)),"$AI$2:$AI$2",IF(ISNUMBER(SEARCH("CORANTE",$B173)),"$AN$2:$AN$2",IFERROR(INDEX($AB$2:$AB$138,MATCH(UPPER(TRIM($B173)),$AA$2:$AA$138,0)),"$AO$2:$AO$9")))))</formula1>
    </dataValidation>
    <dataValidation type="list" allowBlank="1" errorTitle="Embalagem inválida" error="Escolha uma embalagem compatível com o produto." promptTitle="Selecione a embalagem" prompt="As opções mudam conforme o produto digitado." sqref="C174" xr:uid="{6A4707D5-E3D1-456A-B0F7-C63DF923D9DE}">
      <formula1>INDIRECT(IF(OR(ISNUMBER(SEARCH("ICEBERG ICE",UPPER(TRIM($B174)))),ISNUMBER(SEARCH("ICE ICEBERG",UPPER(TRIM($B174)))),ISNUMBER(SEARCH("GELINHO ICEBERG",UPPER(TRIM($B174))))),"$AJ$2:$AJ$2",IF(ISNUMBER(SEARCH("ESPUMA",$B174)),"$AI$2:$AI$2",IF(ISNUMBER(SEARCH("CORANTE",$B174)),"$AN$2:$AN$2",IFERROR(INDEX($AB$2:$AB$138,MATCH(UPPER(TRIM($B174)),$AA$2:$AA$138,0)),"$AO$2:$AO$9")))))</formula1>
    </dataValidation>
    <dataValidation type="list" allowBlank="1" errorTitle="Embalagem inválida" error="Escolha uma embalagem compatível com o produto." promptTitle="Selecione a embalagem" prompt="As opções mudam conforme o produto digitado." sqref="C175" xr:uid="{FB6BBE42-358E-4337-8655-93CF42A02D91}">
      <formula1>INDIRECT(IF(OR(ISNUMBER(SEARCH("ICEBERG ICE",UPPER(TRIM($B175)))),ISNUMBER(SEARCH("ICE ICEBERG",UPPER(TRIM($B175)))),ISNUMBER(SEARCH("GELINHO ICEBERG",UPPER(TRIM($B175))))),"$AJ$2:$AJ$2",IF(ISNUMBER(SEARCH("ESPUMA",$B175)),"$AI$2:$AI$2",IF(ISNUMBER(SEARCH("CORANTE",$B175)),"$AN$2:$AN$2",IFERROR(INDEX($AB$2:$AB$138,MATCH(UPPER(TRIM($B175)),$AA$2:$AA$138,0)),"$AO$2:$AO$9")))))</formula1>
    </dataValidation>
    <dataValidation type="list" allowBlank="1" errorTitle="Embalagem inválida" error="Escolha uma embalagem compatível com o produto." promptTitle="Selecione a embalagem" prompt="As opções mudam conforme o produto digitado." sqref="C176" xr:uid="{49FF89DC-580A-465E-BE13-B51FB919B5DE}">
      <formula1>INDIRECT(IF(OR(ISNUMBER(SEARCH("ICEBERG ICE",UPPER(TRIM($B176)))),ISNUMBER(SEARCH("ICE ICEBERG",UPPER(TRIM($B176)))),ISNUMBER(SEARCH("GELINHO ICEBERG",UPPER(TRIM($B176))))),"$AJ$2:$AJ$2",IF(ISNUMBER(SEARCH("ESPUMA",$B176)),"$AI$2:$AI$2",IF(ISNUMBER(SEARCH("CORANTE",$B176)),"$AN$2:$AN$2",IFERROR(INDEX($AB$2:$AB$138,MATCH(UPPER(TRIM($B176)),$AA$2:$AA$138,0)),"$AO$2:$AO$9")))))</formula1>
    </dataValidation>
    <dataValidation type="list" allowBlank="1" errorTitle="Embalagem inválida" error="Escolha uma embalagem compatível com o produto." promptTitle="Selecione a embalagem" prompt="As opções mudam conforme o produto digitado." sqref="C180" xr:uid="{E6E3532D-1C95-4B85-B7DA-4612DB16615B}">
      <formula1>INDIRECT(IF(OR(ISNUMBER(SEARCH("ICEBERG ICE",UPPER(TRIM($B180)))),ISNUMBER(SEARCH("ICE ICEBERG",UPPER(TRIM($B180)))),ISNUMBER(SEARCH("GELINHO ICEBERG",UPPER(TRIM($B180))))),"$AJ$2:$AJ$2",IF(ISNUMBER(SEARCH("ESPUMA",$B180)),"$AI$2:$AI$2",IF(ISNUMBER(SEARCH("CORANTE",$B180)),"$AN$2:$AN$2",IFERROR(INDEX($AB$2:$AB$138,MATCH(UPPER(TRIM($B180)),$AA$2:$AA$138,0)),"$AO$2:$AO$9")))))</formula1>
    </dataValidation>
    <dataValidation type="list" allowBlank="1" errorTitle="Embalagem inválida" error="Escolha uma embalagem compatível com o produto." promptTitle="Selecione a embalagem" prompt="As opções mudam conforme o produto digitado." sqref="C181" xr:uid="{93E6D7E3-9AB2-431F-B516-C4F05BCA7425}">
      <formula1>INDIRECT(IF(OR(ISNUMBER(SEARCH("ICEBERG ICE",UPPER(TRIM($B181)))),ISNUMBER(SEARCH("ICE ICEBERG",UPPER(TRIM($B181)))),ISNUMBER(SEARCH("GELINHO ICEBERG",UPPER(TRIM($B181))))),"$AJ$2:$AJ$2",IF(ISNUMBER(SEARCH("ESPUMA",$B181)),"$AI$2:$AI$2",IF(ISNUMBER(SEARCH("CORANTE",$B181)),"$AN$2:$AN$2",IFERROR(INDEX($AB$2:$AB$138,MATCH(UPPER(TRIM($B181)),$AA$2:$AA$138,0)),"$AO$2:$AO$9")))))</formula1>
    </dataValidation>
    <dataValidation type="list" allowBlank="1" errorTitle="Embalagem inválida" error="Escolha uma embalagem compatível com o produto." promptTitle="Selecione a embalagem" prompt="As opções mudam conforme o produto digitado." sqref="C182" xr:uid="{D7E104BD-897E-4C46-B454-262250260363}">
      <formula1>INDIRECT(IF(OR(ISNUMBER(SEARCH("ICEBERG ICE",UPPER(TRIM($B182)))),ISNUMBER(SEARCH("ICE ICEBERG",UPPER(TRIM($B182)))),ISNUMBER(SEARCH("GELINHO ICEBERG",UPPER(TRIM($B182))))),"$AJ$2:$AJ$2",IF(ISNUMBER(SEARCH("ESPUMA",$B182)),"$AI$2:$AI$2",IF(ISNUMBER(SEARCH("CORANTE",$B182)),"$AN$2:$AN$2",IFERROR(INDEX($AB$2:$AB$138,MATCH(UPPER(TRIM($B182)),$AA$2:$AA$138,0)),"$AO$2:$AO$9")))))</formula1>
    </dataValidation>
    <dataValidation type="list" allowBlank="1" errorTitle="Embalagem inválida" error="Escolha uma embalagem compatível com o produto." promptTitle="Selecione a embalagem" prompt="As opções mudam conforme o produto digitado." sqref="C183" xr:uid="{F42A7B1D-6B64-49DE-AC57-9955B7F0652A}">
      <formula1>INDIRECT(IF(OR(ISNUMBER(SEARCH("ICEBERG ICE",UPPER(TRIM($B183)))),ISNUMBER(SEARCH("ICE ICEBERG",UPPER(TRIM($B183)))),ISNUMBER(SEARCH("GELINHO ICEBERG",UPPER(TRIM($B183))))),"$AJ$2:$AJ$2",IF(ISNUMBER(SEARCH("ESPUMA",$B183)),"$AI$2:$AI$2",IF(ISNUMBER(SEARCH("CORANTE",$B183)),"$AN$2:$AN$2",IFERROR(INDEX($AB$2:$AB$138,MATCH(UPPER(TRIM($B183)),$AA$2:$AA$138,0)),"$AO$2:$AO$9")))))</formula1>
    </dataValidation>
    <dataValidation type="list" allowBlank="1" errorTitle="Embalagem inválida" error="Escolha uma embalagem compatível com o produto." promptTitle="Selecione a embalagem" prompt="As opções mudam conforme o produto digitado." sqref="C184" xr:uid="{F162AB91-0887-41AC-8773-26099AA88F42}">
      <formula1>INDIRECT(IF(OR(ISNUMBER(SEARCH("ICEBERG ICE",UPPER(TRIM($B184)))),ISNUMBER(SEARCH("ICE ICEBERG",UPPER(TRIM($B184)))),ISNUMBER(SEARCH("GELINHO ICEBERG",UPPER(TRIM($B184))))),"$AJ$2:$AJ$2",IF(ISNUMBER(SEARCH("ESPUMA",$B184)),"$AI$2:$AI$2",IF(ISNUMBER(SEARCH("CORANTE",$B184)),"$AN$2:$AN$2",IFERROR(INDEX($AB$2:$AB$138,MATCH(UPPER(TRIM($B184)),$AA$2:$AA$138,0)),"$AO$2:$AO$9")))))</formula1>
    </dataValidation>
    <dataValidation type="list" allowBlank="1" errorTitle="Embalagem inválida" error="Escolha uma embalagem compatível com o produto." promptTitle="Selecione a embalagem" prompt="As opções mudam conforme o produto digitado." sqref="C188" xr:uid="{219C8C59-931F-41A5-8433-87AFF6308674}">
      <formula1>INDIRECT(IF(OR(ISNUMBER(SEARCH("ICEBERG ICE",UPPER(TRIM($B188)))),ISNUMBER(SEARCH("ICE ICEBERG",UPPER(TRIM($B188)))),ISNUMBER(SEARCH("GELINHO ICEBERG",UPPER(TRIM($B188))))),"$AJ$2:$AJ$2",IF(ISNUMBER(SEARCH("ESPUMA",$B188)),"$AI$2:$AI$2",IF(ISNUMBER(SEARCH("CORANTE",$B188)),"$AN$2:$AN$2",IFERROR(INDEX($AB$2:$AB$138,MATCH(UPPER(TRIM($B188)),$AA$2:$AA$138,0)),"$AO$2:$AO$9")))))</formula1>
    </dataValidation>
    <dataValidation type="list" allowBlank="1" errorTitle="Embalagem inválida" error="Escolha uma embalagem compatível com o produto." promptTitle="Selecione a embalagem" prompt="As opções mudam conforme o produto digitado." sqref="C189" xr:uid="{FE79D6F2-2E27-4BBA-BC7C-D8A79291D278}">
      <formula1>INDIRECT(IF(OR(ISNUMBER(SEARCH("ICEBERG ICE",UPPER(TRIM($B189)))),ISNUMBER(SEARCH("ICE ICEBERG",UPPER(TRIM($B189)))),ISNUMBER(SEARCH("GELINHO ICEBERG",UPPER(TRIM($B189))))),"$AJ$2:$AJ$2",IF(ISNUMBER(SEARCH("ESPUMA",$B189)),"$AI$2:$AI$2",IF(ISNUMBER(SEARCH("CORANTE",$B189)),"$AN$2:$AN$2",IFERROR(INDEX($AB$2:$AB$138,MATCH(UPPER(TRIM($B189)),$AA$2:$AA$138,0)),"$AO$2:$AO$9")))))</formula1>
    </dataValidation>
    <dataValidation type="list" allowBlank="1" errorTitle="Embalagem inválida" error="Escolha uma embalagem compatível com o produto." promptTitle="Selecione a embalagem" prompt="As opções mudam conforme o produto digitado." sqref="C190" xr:uid="{00533BA9-090F-4A41-BAD4-FA42914D5411}">
      <formula1>INDIRECT(IF(OR(ISNUMBER(SEARCH("ICEBERG ICE",UPPER(TRIM($B190)))),ISNUMBER(SEARCH("ICE ICEBERG",UPPER(TRIM($B190)))),ISNUMBER(SEARCH("GELINHO ICEBERG",UPPER(TRIM($B190))))),"$AJ$2:$AJ$2",IF(ISNUMBER(SEARCH("ESPUMA",$B190)),"$AI$2:$AI$2",IF(ISNUMBER(SEARCH("CORANTE",$B190)),"$AN$2:$AN$2",IFERROR(INDEX($AB$2:$AB$138,MATCH(UPPER(TRIM($B190)),$AA$2:$AA$138,0)),"$AO$2:$AO$9")))))</formula1>
    </dataValidation>
    <dataValidation type="list" allowBlank="1" errorTitle="Embalagem inválida" error="Escolha uma embalagem compatível com o produto." promptTitle="Selecione a embalagem" prompt="As opções mudam conforme o produto digitado." sqref="C191" xr:uid="{4409B9E7-54D2-4949-8A6E-52439D86BF75}">
      <formula1>INDIRECT(IF(OR(ISNUMBER(SEARCH("ICEBERG ICE",UPPER(TRIM($B191)))),ISNUMBER(SEARCH("ICE ICEBERG",UPPER(TRIM($B191)))),ISNUMBER(SEARCH("GELINHO ICEBERG",UPPER(TRIM($B191))))),"$AJ$2:$AJ$2",IF(ISNUMBER(SEARCH("ESPUMA",$B191)),"$AI$2:$AI$2",IF(ISNUMBER(SEARCH("CORANTE",$B191)),"$AN$2:$AN$2",IFERROR(INDEX($AB$2:$AB$138,MATCH(UPPER(TRIM($B191)),$AA$2:$AA$138,0)),"$AO$2:$AO$9")))))</formula1>
    </dataValidation>
    <dataValidation type="list" allowBlank="1" errorTitle="Embalagem inválida" error="Escolha uma embalagem compatível com o produto." promptTitle="Selecione a embalagem" prompt="As opções mudam conforme o produto digitado." sqref="C192" xr:uid="{D11D0A92-BCA1-48B9-B55D-3B73C65C3F56}">
      <formula1>INDIRECT(IF(OR(ISNUMBER(SEARCH("ICEBERG ICE",UPPER(TRIM($B192)))),ISNUMBER(SEARCH("ICE ICEBERG",UPPER(TRIM($B192)))),ISNUMBER(SEARCH("GELINHO ICEBERG",UPPER(TRIM($B192))))),"$AJ$2:$AJ$2",IF(ISNUMBER(SEARCH("ESPUMA",$B192)),"$AI$2:$AI$2",IF(ISNUMBER(SEARCH("CORANTE",$B192)),"$AN$2:$AN$2",IFERROR(INDEX($AB$2:$AB$138,MATCH(UPPER(TRIM($B192)),$AA$2:$AA$138,0)),"$AO$2:$AO$9")))))</formula1>
    </dataValidation>
    <dataValidation type="list" allowBlank="1" errorTitle="Embalagem inválida" error="Escolha uma embalagem compatível com o produto." promptTitle="Selecione a embalagem" prompt="As opções mudam conforme o produto digitado." sqref="C196" xr:uid="{404382E8-F143-41C9-804F-74695BEC7978}">
      <formula1>INDIRECT(IF(OR(ISNUMBER(SEARCH("ICEBERG ICE",UPPER(TRIM($B196)))),ISNUMBER(SEARCH("ICE ICEBERG",UPPER(TRIM($B196)))),ISNUMBER(SEARCH("GELINHO ICEBERG",UPPER(TRIM($B196))))),"$AJ$2:$AJ$2",IF(ISNUMBER(SEARCH("ESPUMA",$B196)),"$AI$2:$AI$2",IF(ISNUMBER(SEARCH("CORANTE",$B196)),"$AN$2:$AN$2",IFERROR(INDEX($AB$2:$AB$138,MATCH(UPPER(TRIM($B196)),$AA$2:$AA$138,0)),"$AO$2:$AO$9")))))</formula1>
    </dataValidation>
    <dataValidation type="list" allowBlank="1" errorTitle="Embalagem inválida" error="Escolha uma embalagem compatível com o produto." promptTitle="Selecione a embalagem" prompt="As opções mudam conforme o produto digitado." sqref="C197" xr:uid="{23146E38-81B4-4813-8259-09B5BD086552}">
      <formula1>INDIRECT(IF(OR(ISNUMBER(SEARCH("ICEBERG ICE",UPPER(TRIM($B197)))),ISNUMBER(SEARCH("ICE ICEBERG",UPPER(TRIM($B197)))),ISNUMBER(SEARCH("GELINHO ICEBERG",UPPER(TRIM($B197))))),"$AJ$2:$AJ$2",IF(ISNUMBER(SEARCH("ESPUMA",$B197)),"$AI$2:$AI$2",IF(ISNUMBER(SEARCH("CORANTE",$B197)),"$AN$2:$AN$2",IFERROR(INDEX($AB$2:$AB$138,MATCH(UPPER(TRIM($B197)),$AA$2:$AA$138,0)),"$AO$2:$AO$9")))))</formula1>
    </dataValidation>
    <dataValidation type="list" allowBlank="1" errorTitle="Embalagem inválida" error="Escolha uma embalagem compatível com o produto." promptTitle="Selecione a embalagem" prompt="As opções mudam conforme o produto digitado." sqref="C198" xr:uid="{09667E16-13D7-40D4-BE8E-A023C861464B}">
      <formula1>INDIRECT(IF(OR(ISNUMBER(SEARCH("ICEBERG ICE",UPPER(TRIM($B198)))),ISNUMBER(SEARCH("ICE ICEBERG",UPPER(TRIM($B198)))),ISNUMBER(SEARCH("GELINHO ICEBERG",UPPER(TRIM($B198))))),"$AJ$2:$AJ$2",IF(ISNUMBER(SEARCH("ESPUMA",$B198)),"$AI$2:$AI$2",IF(ISNUMBER(SEARCH("CORANTE",$B198)),"$AN$2:$AN$2",IFERROR(INDEX($AB$2:$AB$138,MATCH(UPPER(TRIM($B198)),$AA$2:$AA$138,0)),"$AO$2:$AO$9")))))</formula1>
    </dataValidation>
    <dataValidation type="list" allowBlank="1" errorTitle="Embalagem inválida" error="Escolha uma embalagem compatível com o produto." promptTitle="Selecione a embalagem" prompt="As opções mudam conforme o produto digitado." sqref="C199" xr:uid="{656B620A-1B2C-4774-8D4E-858B322FF172}">
      <formula1>INDIRECT(IF(OR(ISNUMBER(SEARCH("ICEBERG ICE",UPPER(TRIM($B199)))),ISNUMBER(SEARCH("ICE ICEBERG",UPPER(TRIM($B199)))),ISNUMBER(SEARCH("GELINHO ICEBERG",UPPER(TRIM($B199))))),"$AJ$2:$AJ$2",IF(ISNUMBER(SEARCH("ESPUMA",$B199)),"$AI$2:$AI$2",IF(ISNUMBER(SEARCH("CORANTE",$B199)),"$AN$2:$AN$2",IFERROR(INDEX($AB$2:$AB$138,MATCH(UPPER(TRIM($B199)),$AA$2:$AA$138,0)),"$AO$2:$AO$9")))))</formula1>
    </dataValidation>
    <dataValidation type="list" allowBlank="1" errorTitle="Embalagem inválida" error="Escolha uma embalagem compatível com o produto." promptTitle="Selecione a embalagem" prompt="As opções mudam conforme o produto digitado." sqref="C200" xr:uid="{C568E57B-67A2-4CBB-BFBF-4D3FE8A6D431}">
      <formula1>INDIRECT(IF(OR(ISNUMBER(SEARCH("ICEBERG ICE",UPPER(TRIM($B200)))),ISNUMBER(SEARCH("ICE ICEBERG",UPPER(TRIM($B200)))),ISNUMBER(SEARCH("GELINHO ICEBERG",UPPER(TRIM($B200))))),"$AJ$2:$AJ$2",IF(ISNUMBER(SEARCH("ESPUMA",$B200)),"$AI$2:$AI$2",IF(ISNUMBER(SEARCH("CORANTE",$B200)),"$AN$2:$AN$2",IFERROR(INDEX($AB$2:$AB$138,MATCH(UPPER(TRIM($B200)),$AA$2:$AA$138,0)),"$AO$2:$AO$9")))))</formula1>
    </dataValidation>
    <dataValidation type="list" allowBlank="1" errorTitle="Embalagem inválida" error="Escolha uma embalagem compatível com o produto." promptTitle="Selecione a embalagem" prompt="As opções mudam conforme o produto digitado." sqref="C204" xr:uid="{DA3801BC-DC59-4CA9-AE80-2A9776E3D306}">
      <formula1>INDIRECT(IF(OR(ISNUMBER(SEARCH("ICEBERG ICE",UPPER(TRIM($B204)))),ISNUMBER(SEARCH("ICE ICEBERG",UPPER(TRIM($B204)))),ISNUMBER(SEARCH("GELINHO ICEBERG",UPPER(TRIM($B204))))),"$AJ$2:$AJ$2",IF(ISNUMBER(SEARCH("ESPUMA",$B204)),"$AI$2:$AI$2",IF(ISNUMBER(SEARCH("CORANTE",$B204)),"$AN$2:$AN$2",IFERROR(INDEX($AB$2:$AB$138,MATCH(UPPER(TRIM($B204)),$AA$2:$AA$138,0)),"$AO$2:$AO$9")))))</formula1>
    </dataValidation>
    <dataValidation type="list" allowBlank="1" errorTitle="Embalagem inválida" error="Escolha uma embalagem compatível com o produto." promptTitle="Selecione a embalagem" prompt="As opções mudam conforme o produto digitado." sqref="C205" xr:uid="{5F3CE543-1274-4C11-A2E8-7B4A6885AB7C}">
      <formula1>INDIRECT(IF(OR(ISNUMBER(SEARCH("ICEBERG ICE",UPPER(TRIM($B205)))),ISNUMBER(SEARCH("ICE ICEBERG",UPPER(TRIM($B205)))),ISNUMBER(SEARCH("GELINHO ICEBERG",UPPER(TRIM($B205))))),"$AJ$2:$AJ$2",IF(ISNUMBER(SEARCH("ESPUMA",$B205)),"$AI$2:$AI$2",IF(ISNUMBER(SEARCH("CORANTE",$B205)),"$AN$2:$AN$2",IFERROR(INDEX($AB$2:$AB$138,MATCH(UPPER(TRIM($B205)),$AA$2:$AA$138,0)),"$AO$2:$AO$9")))))</formula1>
    </dataValidation>
    <dataValidation type="list" allowBlank="1" errorTitle="Embalagem inválida" error="Escolha uma embalagem compatível com o produto." promptTitle="Selecione a embalagem" prompt="As opções mudam conforme o produto digitado." sqref="C206" xr:uid="{B0709F17-A57C-415E-89C7-2CD8BFD1C744}">
      <formula1>INDIRECT(IF(OR(ISNUMBER(SEARCH("ICEBERG ICE",UPPER(TRIM($B206)))),ISNUMBER(SEARCH("ICE ICEBERG",UPPER(TRIM($B206)))),ISNUMBER(SEARCH("GELINHO ICEBERG",UPPER(TRIM($B206))))),"$AJ$2:$AJ$2",IF(ISNUMBER(SEARCH("ESPUMA",$B206)),"$AI$2:$AI$2",IF(ISNUMBER(SEARCH("CORANTE",$B206)),"$AN$2:$AN$2",IFERROR(INDEX($AB$2:$AB$138,MATCH(UPPER(TRIM($B206)),$AA$2:$AA$138,0)),"$AO$2:$AO$9")))))</formula1>
    </dataValidation>
    <dataValidation type="list" allowBlank="1" errorTitle="Embalagem inválida" error="Escolha uma embalagem compatível com o produto." promptTitle="Selecione a embalagem" prompt="As opções mudam conforme o produto digitado." sqref="C207" xr:uid="{EBA57F7C-EC63-4756-A729-2DE58ADA2FD4}">
      <formula1>INDIRECT(IF(OR(ISNUMBER(SEARCH("ICEBERG ICE",UPPER(TRIM($B207)))),ISNUMBER(SEARCH("ICE ICEBERG",UPPER(TRIM($B207)))),ISNUMBER(SEARCH("GELINHO ICEBERG",UPPER(TRIM($B207))))),"$AJ$2:$AJ$2",IF(ISNUMBER(SEARCH("ESPUMA",$B207)),"$AI$2:$AI$2",IF(ISNUMBER(SEARCH("CORANTE",$B207)),"$AN$2:$AN$2",IFERROR(INDEX($AB$2:$AB$138,MATCH(UPPER(TRIM($B207)),$AA$2:$AA$138,0)),"$AO$2:$AO$9")))))</formula1>
    </dataValidation>
    <dataValidation type="list" allowBlank="1" errorTitle="Embalagem inválida" error="Escolha uma embalagem compatível com o produto." promptTitle="Selecione a embalagem" prompt="As opções mudam conforme o produto digitado." sqref="C208" xr:uid="{114F72DC-4766-4495-A643-DE05BFC40B9B}">
      <formula1>INDIRECT(IF(OR(ISNUMBER(SEARCH("ICEBERG ICE",UPPER(TRIM($B208)))),ISNUMBER(SEARCH("ICE ICEBERG",UPPER(TRIM($B208)))),ISNUMBER(SEARCH("GELINHO ICEBERG",UPPER(TRIM($B208))))),"$AJ$2:$AJ$2",IF(ISNUMBER(SEARCH("ESPUMA",$B208)),"$AI$2:$AI$2",IF(ISNUMBER(SEARCH("CORANTE",$B208)),"$AN$2:$AN$2",IFERROR(INDEX($AB$2:$AB$138,MATCH(UPPER(TRIM($B208)),$AA$2:$AA$138,0)),"$AO$2:$AO$9")))))</formula1>
    </dataValidation>
    <dataValidation type="list" allowBlank="1" errorTitle="Embalagem inválida" error="Escolha uma embalagem compatível com o produto." promptTitle="Selecione a embalagem" prompt="As opções mudam conforme o produto digitado." sqref="C211" xr:uid="{8D3990BA-F6DC-4524-BF87-760E5FCAA133}">
      <formula1>INDIRECT(IF(OR(ISNUMBER(SEARCH("ICEBERG ICE",UPPER(TRIM($B211)))),ISNUMBER(SEARCH("ICE ICEBERG",UPPER(TRIM($B211)))),ISNUMBER(SEARCH("GELINHO ICEBERG",UPPER(TRIM($B211))))),"$AJ$2:$AJ$2",IF(ISNUMBER(SEARCH("ESPUMA",$B211)),"$AI$2:$AI$2",IF(ISNUMBER(SEARCH("CORANTE",$B211)),"$AN$2:$AN$2",IFERROR(INDEX($AB$2:$AB$138,MATCH(UPPER(TRIM($B211)),$AA$2:$AA$138,0)),"$AO$2:$AO$9")))))</formula1>
    </dataValidation>
    <dataValidation type="list" allowBlank="1" errorTitle="Embalagem inválida" error="Escolha uma embalagem compatível com o produto." promptTitle="Selecione a embalagem" prompt="As opções mudam conforme o produto digitado." sqref="C212" xr:uid="{3BF91FBE-1345-4A8E-A884-F62A7F451807}">
      <formula1>INDIRECT(IF(OR(ISNUMBER(SEARCH("ICEBERG ICE",UPPER(TRIM($B212)))),ISNUMBER(SEARCH("ICE ICEBERG",UPPER(TRIM($B212)))),ISNUMBER(SEARCH("GELINHO ICEBERG",UPPER(TRIM($B212))))),"$AJ$2:$AJ$2",IF(ISNUMBER(SEARCH("ESPUMA",$B212)),"$AI$2:$AI$2",IF(ISNUMBER(SEARCH("CORANTE",$B212)),"$AN$2:$AN$2",IFERROR(INDEX($AB$2:$AB$138,MATCH(UPPER(TRIM($B212)),$AA$2:$AA$138,0)),"$AO$2:$AO$9")))))</formula1>
    </dataValidation>
    <dataValidation type="list" allowBlank="1" errorTitle="Embalagem inválida" error="Escolha uma embalagem compatível com o produto." promptTitle="Selecione a embalagem" prompt="As opções mudam conforme o produto digitado." sqref="C213" xr:uid="{18FA06AC-3E8B-45EA-A8FB-F212ECAAC56E}">
      <formula1>INDIRECT(IF(OR(ISNUMBER(SEARCH("ICEBERG ICE",UPPER(TRIM($B213)))),ISNUMBER(SEARCH("ICE ICEBERG",UPPER(TRIM($B213)))),ISNUMBER(SEARCH("GELINHO ICEBERG",UPPER(TRIM($B213))))),"$AJ$2:$AJ$2",IF(ISNUMBER(SEARCH("ESPUMA",$B213)),"$AI$2:$AI$2",IF(ISNUMBER(SEARCH("CORANTE",$B213)),"$AN$2:$AN$2",IFERROR(INDEX($AB$2:$AB$138,MATCH(UPPER(TRIM($B213)),$AA$2:$AA$138,0)),"$AO$2:$AO$9")))))</formula1>
    </dataValidation>
    <dataValidation type="list" allowBlank="1" errorTitle="Embalagem inválida" error="Escolha uma embalagem compatível com o produto." promptTitle="Selecione a embalagem" prompt="As opções mudam conforme o produto digitado." sqref="C214" xr:uid="{BE2DAE21-1CB2-4A9D-B853-0CAFD988514C}">
      <formula1>INDIRECT(IF(OR(ISNUMBER(SEARCH("ICEBERG ICE",UPPER(TRIM($B214)))),ISNUMBER(SEARCH("ICE ICEBERG",UPPER(TRIM($B214)))),ISNUMBER(SEARCH("GELINHO ICEBERG",UPPER(TRIM($B214))))),"$AJ$2:$AJ$2",IF(ISNUMBER(SEARCH("ESPUMA",$B214)),"$AI$2:$AI$2",IF(ISNUMBER(SEARCH("CORANTE",$B214)),"$AN$2:$AN$2",IFERROR(INDEX($AB$2:$AB$138,MATCH(UPPER(TRIM($B214)),$AA$2:$AA$138,0)),"$AO$2:$AO$9")))))</formula1>
    </dataValidation>
    <dataValidation type="list" allowBlank="1" errorTitle="Embalagem inválida" error="Escolha uma embalagem compatível com o produto." promptTitle="Selecione a embalagem" prompt="As opções mudam conforme o produto digitado." sqref="C215" xr:uid="{809C9E42-C501-4FF7-A245-3294531408D6}">
      <formula1>INDIRECT(IF(OR(ISNUMBER(SEARCH("ICEBERG ICE",UPPER(TRIM($B215)))),ISNUMBER(SEARCH("ICE ICEBERG",UPPER(TRIM($B215)))),ISNUMBER(SEARCH("GELINHO ICEBERG",UPPER(TRIM($B215))))),"$AJ$2:$AJ$2",IF(ISNUMBER(SEARCH("ESPUMA",$B215)),"$AI$2:$AI$2",IF(ISNUMBER(SEARCH("CORANTE",$B215)),"$AN$2:$AN$2",IFERROR(INDEX($AB$2:$AB$138,MATCH(UPPER(TRIM($B215)),$AA$2:$AA$138,0)),"$AO$2:$AO$9")))))</formula1>
    </dataValidation>
  </dataValidation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FBB6-0A0F-45E0-B060-C6A11E35B70F}">
  <sheetPr>
    <tabColor rgb="FF0F766E"/>
  </sheetPr>
  <dimension ref="A1:Y59"/>
  <sheetViews>
    <sheetView showGridLines="0" topLeftCell="A14"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617</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SUM(C9:C35)</f>
        <v>0</v>
      </c>
      <c r="C4" s="424"/>
      <c r="D4" s="435">
        <f>SUM(D9:D35)</f>
        <v>0</v>
      </c>
      <c r="E4" s="424"/>
      <c r="F4" s="435">
        <f>IFERROR(SUM(C9:C35)/COUNTIF(C9:C35,"&gt;0"),0)</f>
        <v>0</v>
      </c>
      <c r="G4" s="424"/>
      <c r="H4" s="435">
        <f>IFERROR(MAX(C9:C35),0)</f>
        <v>0</v>
      </c>
      <c r="I4" s="424"/>
      <c r="J4" s="436">
        <f>IFERROR(B4/D4,0)</f>
        <v>0</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46296</v>
      </c>
      <c r="B9" s="414" t="str">
        <f>IF(D9&gt;0,COUNTIF($D$9:D9,"&gt;0"),"")</f>
        <v/>
      </c>
      <c r="C9" s="888">
        <f>'SEMANA OUTUBRO'!$M$9</f>
        <v>0</v>
      </c>
      <c r="D9" s="888">
        <f>IF(C9&gt;0,CONFIG!$B$3,0)</f>
        <v>0</v>
      </c>
      <c r="E9" s="889">
        <f t="shared" ref="E9:E35" si="0">IF(C9&gt;0,C9-D9,0)</f>
        <v>0</v>
      </c>
      <c r="F9" s="444"/>
      <c r="G9" s="424"/>
      <c r="H9" s="424"/>
      <c r="I9" s="424"/>
      <c r="J9" s="424"/>
      <c r="K9" s="424"/>
      <c r="L9" s="424"/>
      <c r="M9" s="424"/>
      <c r="N9" s="424"/>
      <c r="O9" s="424"/>
      <c r="P9" s="93" t="str">
        <f t="shared" ref="P9:P35" si="1">B9</f>
        <v/>
      </c>
      <c r="Q9" s="1" t="e">
        <f t="shared" ref="Q9:Q35" si="2">IF(AND($C9&gt;0,$C9&lt;$D9),$C9,NA())</f>
        <v>#N/A</v>
      </c>
      <c r="R9" s="1" t="e">
        <f t="shared" ref="R9:R35" si="3">IF(AND($C9&gt;0,$C9=$D9),$C9,NA())</f>
        <v>#N/A</v>
      </c>
      <c r="S9" s="1" t="e">
        <f t="shared" ref="S9:S35" si="4">IF(AND($C9&gt;0,$C9&gt;$D9),$C9,NA())</f>
        <v>#N/A</v>
      </c>
      <c r="X9" s="63">
        <f t="shared" ref="X9:X30" si="5">IF(COUNTIF($F9,"*Feriado*")&gt;0,NA(),$C9)</f>
        <v>0</v>
      </c>
      <c r="Y9" s="63">
        <f t="shared" ref="Y9:Y30" si="6">IF(COUNTIF($F9,"*Feriado*")&gt;0,NA(),$D9)</f>
        <v>0</v>
      </c>
    </row>
    <row r="10" spans="1:25" x14ac:dyDescent="0.3">
      <c r="A10" s="412">
        <v>46297</v>
      </c>
      <c r="B10" s="414" t="str">
        <f>IF(D10&gt;0,COUNTIF($D$9:D10,"&gt;0"),"")</f>
        <v/>
      </c>
      <c r="C10" s="888">
        <f>'SEMANA OUTUBRO'!$M$17</f>
        <v>0</v>
      </c>
      <c r="D10" s="888">
        <f>IF(C10&gt;0,CONFIG!$B$3,0)</f>
        <v>0</v>
      </c>
      <c r="E10" s="889">
        <f t="shared" si="0"/>
        <v>0</v>
      </c>
      <c r="F10" s="444"/>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x14ac:dyDescent="0.3">
      <c r="A11" s="412">
        <v>46298</v>
      </c>
      <c r="B11" s="414" t="str">
        <f>IF(D11&gt;0,COUNTIF($D$9:D11,"&gt;0"),"")</f>
        <v/>
      </c>
      <c r="C11" s="888">
        <f>'SEMANA OUTUBRO'!$M$25</f>
        <v>0</v>
      </c>
      <c r="D11" s="888">
        <f>IF(C11&gt;0,CONFIG!$B$3,0)</f>
        <v>0</v>
      </c>
      <c r="E11" s="889">
        <f t="shared" si="0"/>
        <v>0</v>
      </c>
      <c r="F11" s="459" t="s">
        <v>512</v>
      </c>
      <c r="G11" s="424"/>
      <c r="H11" s="424"/>
      <c r="I11" s="424"/>
      <c r="J11" s="424"/>
      <c r="K11" s="424"/>
      <c r="L11" s="424"/>
      <c r="M11" s="424"/>
      <c r="N11" s="424"/>
      <c r="O11" s="424"/>
      <c r="P11" s="93" t="str">
        <f t="shared" si="1"/>
        <v/>
      </c>
      <c r="Q11" s="1" t="e">
        <f t="shared" si="2"/>
        <v>#N/A</v>
      </c>
      <c r="R11" s="1" t="e">
        <f t="shared" si="3"/>
        <v>#N/A</v>
      </c>
      <c r="S11" s="1" t="e">
        <f t="shared" si="4"/>
        <v>#N/A</v>
      </c>
      <c r="X11" s="63">
        <f t="shared" si="5"/>
        <v>0</v>
      </c>
      <c r="Y11" s="63">
        <f t="shared" si="6"/>
        <v>0</v>
      </c>
    </row>
    <row r="12" spans="1:25" x14ac:dyDescent="0.3">
      <c r="A12" s="412">
        <v>46300</v>
      </c>
      <c r="B12" s="414" t="str">
        <f>IF(D12&gt;0,COUNTIF($D$9:D12,"&gt;0"),"")</f>
        <v/>
      </c>
      <c r="C12" s="888">
        <f>'SEMANA OUTUBRO'!$M$33</f>
        <v>0</v>
      </c>
      <c r="D12" s="888">
        <f>IF(C12&gt;0,CONFIG!$B$3,0)</f>
        <v>0</v>
      </c>
      <c r="E12" s="889">
        <f t="shared" si="0"/>
        <v>0</v>
      </c>
      <c r="F12" s="444"/>
      <c r="G12" s="424"/>
      <c r="H12" s="424"/>
      <c r="I12" s="424"/>
      <c r="J12" s="424"/>
      <c r="K12" s="424"/>
      <c r="L12" s="424"/>
      <c r="M12" s="424"/>
      <c r="N12" s="424"/>
      <c r="O12" s="424"/>
      <c r="P12" s="93" t="str">
        <f t="shared" si="1"/>
        <v/>
      </c>
      <c r="Q12" s="1" t="e">
        <f t="shared" si="2"/>
        <v>#N/A</v>
      </c>
      <c r="R12" s="1" t="e">
        <f t="shared" si="3"/>
        <v>#N/A</v>
      </c>
      <c r="S12" s="1" t="e">
        <f t="shared" si="4"/>
        <v>#N/A</v>
      </c>
      <c r="X12" s="63">
        <f t="shared" si="5"/>
        <v>0</v>
      </c>
      <c r="Y12" s="63">
        <f t="shared" si="6"/>
        <v>0</v>
      </c>
    </row>
    <row r="13" spans="1:25" x14ac:dyDescent="0.3">
      <c r="A13" s="412">
        <v>46301</v>
      </c>
      <c r="B13" s="414" t="str">
        <f>IF(D13&gt;0,COUNTIF($D$9:D13,"&gt;0"),"")</f>
        <v/>
      </c>
      <c r="C13" s="888">
        <f>'SEMANA OUTUBRO'!$M$41</f>
        <v>0</v>
      </c>
      <c r="D13" s="888">
        <f>IF(C13&gt;0,CONFIG!$B$3,0)</f>
        <v>0</v>
      </c>
      <c r="E13" s="889">
        <f t="shared" si="0"/>
        <v>0</v>
      </c>
      <c r="F13" s="444"/>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12">
        <v>46302</v>
      </c>
      <c r="B14" s="414" t="str">
        <f>IF(D14&gt;0,COUNTIF($D$9:D14,"&gt;0"),"")</f>
        <v/>
      </c>
      <c r="C14" s="888">
        <f>'SEMANA OUTUBRO'!$M$49</f>
        <v>0</v>
      </c>
      <c r="D14" s="888">
        <f>IF(C14&gt;0,CONFIG!$B$3,0)</f>
        <v>0</v>
      </c>
      <c r="E14" s="889">
        <f t="shared" si="0"/>
        <v>0</v>
      </c>
      <c r="F14" s="444"/>
      <c r="G14" s="424"/>
      <c r="H14" s="424"/>
      <c r="I14" s="424"/>
      <c r="J14" s="424"/>
      <c r="K14" s="424"/>
      <c r="L14" s="424"/>
      <c r="M14" s="424"/>
      <c r="N14" s="424"/>
      <c r="O14" s="424"/>
      <c r="P14" s="93" t="str">
        <f t="shared" si="1"/>
        <v/>
      </c>
      <c r="Q14" s="1" t="e">
        <f t="shared" si="2"/>
        <v>#N/A</v>
      </c>
      <c r="R14" s="1" t="e">
        <f t="shared" si="3"/>
        <v>#N/A</v>
      </c>
      <c r="S14" s="1" t="e">
        <f t="shared" si="4"/>
        <v>#N/A</v>
      </c>
      <c r="X14" s="63">
        <f t="shared" si="5"/>
        <v>0</v>
      </c>
      <c r="Y14" s="63">
        <f t="shared" si="6"/>
        <v>0</v>
      </c>
    </row>
    <row r="15" spans="1:25" x14ac:dyDescent="0.3">
      <c r="A15" s="412">
        <v>46303</v>
      </c>
      <c r="B15" s="414" t="str">
        <f>IF(D15&gt;0,COUNTIF($D$9:D15,"&gt;0"),"")</f>
        <v/>
      </c>
      <c r="C15" s="888">
        <f>'SEMANA OUTUBRO'!$M$57</f>
        <v>0</v>
      </c>
      <c r="D15" s="888">
        <f>IF(C15&gt;0,CONFIG!$B$3,0)</f>
        <v>0</v>
      </c>
      <c r="E15" s="889">
        <f t="shared" si="0"/>
        <v>0</v>
      </c>
      <c r="F15" s="444"/>
      <c r="G15" s="424"/>
      <c r="H15" s="424"/>
      <c r="I15" s="424"/>
      <c r="J15" s="424"/>
      <c r="K15" s="424"/>
      <c r="L15" s="424"/>
      <c r="M15" s="424"/>
      <c r="N15" s="424"/>
      <c r="O15" s="424"/>
      <c r="P15" s="93" t="str">
        <f t="shared" si="1"/>
        <v/>
      </c>
      <c r="Q15" s="1" t="e">
        <f t="shared" si="2"/>
        <v>#N/A</v>
      </c>
      <c r="R15" s="1" t="e">
        <f t="shared" si="3"/>
        <v>#N/A</v>
      </c>
      <c r="S15" s="1" t="e">
        <f t="shared" si="4"/>
        <v>#N/A</v>
      </c>
      <c r="X15" s="63">
        <f t="shared" si="5"/>
        <v>0</v>
      </c>
      <c r="Y15" s="63">
        <f t="shared" si="6"/>
        <v>0</v>
      </c>
    </row>
    <row r="16" spans="1:25" x14ac:dyDescent="0.3">
      <c r="A16" s="412">
        <v>46304</v>
      </c>
      <c r="B16" s="414" t="str">
        <f>IF(D16&gt;0,COUNTIF($D$9:D16,"&gt;0"),"")</f>
        <v/>
      </c>
      <c r="C16" s="888">
        <f>'SEMANA OUTUBRO'!$M$65</f>
        <v>0</v>
      </c>
      <c r="D16" s="888">
        <f>IF(C16&gt;0,CONFIG!$B$3,0)</f>
        <v>0</v>
      </c>
      <c r="E16" s="889">
        <f t="shared" si="0"/>
        <v>0</v>
      </c>
      <c r="F16" s="444"/>
      <c r="G16" s="424"/>
      <c r="H16" s="424"/>
      <c r="I16" s="424"/>
      <c r="J16" s="424"/>
      <c r="K16" s="424"/>
      <c r="L16" s="424"/>
      <c r="M16" s="424"/>
      <c r="N16" s="424"/>
      <c r="O16" s="424"/>
      <c r="P16" s="93" t="str">
        <f t="shared" si="1"/>
        <v/>
      </c>
      <c r="Q16" s="1" t="e">
        <f t="shared" si="2"/>
        <v>#N/A</v>
      </c>
      <c r="R16" s="1" t="e">
        <f t="shared" si="3"/>
        <v>#N/A</v>
      </c>
      <c r="S16" s="1" t="e">
        <f t="shared" si="4"/>
        <v>#N/A</v>
      </c>
      <c r="X16" s="63">
        <f t="shared" si="5"/>
        <v>0</v>
      </c>
      <c r="Y16" s="63">
        <f t="shared" si="6"/>
        <v>0</v>
      </c>
    </row>
    <row r="17" spans="1:25" x14ac:dyDescent="0.3">
      <c r="A17" s="412">
        <v>46305</v>
      </c>
      <c r="B17" s="414" t="str">
        <f>IF(D17&gt;0,COUNTIF($D$9:D17,"&gt;0"),"")</f>
        <v/>
      </c>
      <c r="C17" s="888">
        <f>'SEMANA OUTUBRO'!$M$73</f>
        <v>0</v>
      </c>
      <c r="D17" s="888">
        <f>IF(C17&gt;0,CONFIG!$B$3,0)</f>
        <v>0</v>
      </c>
      <c r="E17" s="889">
        <f t="shared" si="0"/>
        <v>0</v>
      </c>
      <c r="F17" s="459" t="s">
        <v>512</v>
      </c>
      <c r="G17" s="424"/>
      <c r="H17" s="424"/>
      <c r="I17" s="424"/>
      <c r="J17" s="424"/>
      <c r="K17" s="424"/>
      <c r="L17" s="424"/>
      <c r="M17" s="424"/>
      <c r="N17" s="424"/>
      <c r="O17" s="424"/>
      <c r="P17" s="93" t="str">
        <f t="shared" si="1"/>
        <v/>
      </c>
      <c r="Q17" s="1" t="e">
        <f t="shared" si="2"/>
        <v>#N/A</v>
      </c>
      <c r="R17" s="1" t="e">
        <f t="shared" si="3"/>
        <v>#N/A</v>
      </c>
      <c r="S17" s="1" t="e">
        <f t="shared" si="4"/>
        <v>#N/A</v>
      </c>
      <c r="X17" s="63">
        <f t="shared" si="5"/>
        <v>0</v>
      </c>
      <c r="Y17" s="63">
        <f t="shared" si="6"/>
        <v>0</v>
      </c>
    </row>
    <row r="18" spans="1:25" x14ac:dyDescent="0.3">
      <c r="A18" s="412">
        <v>46307</v>
      </c>
      <c r="B18" s="414" t="str">
        <f>IF(D18&gt;0,COUNTIF($D$9:D18,"&gt;0"),"")</f>
        <v/>
      </c>
      <c r="C18" s="888">
        <f>'SEMANA OUTUBRO'!$M$81</f>
        <v>0</v>
      </c>
      <c r="D18" s="888">
        <f>IF(C18&gt;0,CONFIG!$B$3,0)</f>
        <v>0</v>
      </c>
      <c r="E18" s="889">
        <f t="shared" si="0"/>
        <v>0</v>
      </c>
      <c r="F18" s="459" t="s">
        <v>618</v>
      </c>
      <c r="G18" s="424"/>
      <c r="H18" s="424"/>
      <c r="I18" s="424"/>
      <c r="J18" s="424"/>
      <c r="K18" s="424"/>
      <c r="L18" s="424"/>
      <c r="M18" s="424"/>
      <c r="N18" s="424"/>
      <c r="O18" s="424"/>
      <c r="P18" s="93" t="str">
        <f t="shared" si="1"/>
        <v/>
      </c>
      <c r="Q18" s="1" t="e">
        <f t="shared" si="2"/>
        <v>#N/A</v>
      </c>
      <c r="R18" s="1" t="e">
        <f t="shared" si="3"/>
        <v>#N/A</v>
      </c>
      <c r="S18" s="1" t="e">
        <f t="shared" si="4"/>
        <v>#N/A</v>
      </c>
      <c r="X18" s="63" t="e">
        <f t="shared" si="5"/>
        <v>#N/A</v>
      </c>
      <c r="Y18" s="63" t="e">
        <f t="shared" si="6"/>
        <v>#N/A</v>
      </c>
    </row>
    <row r="19" spans="1:25" x14ac:dyDescent="0.3">
      <c r="A19" s="412">
        <v>46308</v>
      </c>
      <c r="B19" s="414" t="str">
        <f>IF(D19&gt;0,COUNTIF($D$9:D19,"&gt;0"),"")</f>
        <v/>
      </c>
      <c r="C19" s="888">
        <f>'SEMANA OUTUBRO'!$M$89</f>
        <v>0</v>
      </c>
      <c r="D19" s="888">
        <f>IF(C19&gt;0,CONFIG!$B$3,0)</f>
        <v>0</v>
      </c>
      <c r="E19" s="889">
        <f t="shared" si="0"/>
        <v>0</v>
      </c>
      <c r="F19" s="444"/>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12">
        <v>46309</v>
      </c>
      <c r="B20" s="414" t="str">
        <f>IF(D20&gt;0,COUNTIF($D$9:D20,"&gt;0"),"")</f>
        <v/>
      </c>
      <c r="C20" s="888">
        <f>'SEMANA OUTUBRO'!$M$97</f>
        <v>0</v>
      </c>
      <c r="D20" s="888">
        <f>IF(C20&gt;0,CONFIG!$B$3,0)</f>
        <v>0</v>
      </c>
      <c r="E20" s="889">
        <f t="shared" si="0"/>
        <v>0</v>
      </c>
      <c r="F20" s="444"/>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12">
        <v>46310</v>
      </c>
      <c r="B21" s="414" t="str">
        <f>IF(D21&gt;0,COUNTIF($D$9:D21,"&gt;0"),"")</f>
        <v/>
      </c>
      <c r="C21" s="888">
        <f>'SEMANA OUTUBRO'!$M$105</f>
        <v>0</v>
      </c>
      <c r="D21" s="888">
        <f>IF(C21&gt;0,CONFIG!$B$3,0)</f>
        <v>0</v>
      </c>
      <c r="E21" s="889">
        <f t="shared" si="0"/>
        <v>0</v>
      </c>
      <c r="F21" s="444"/>
      <c r="G21" s="424"/>
      <c r="H21" s="424"/>
      <c r="I21" s="424"/>
      <c r="J21" s="424"/>
      <c r="K21" s="424"/>
      <c r="L21" s="424"/>
      <c r="M21" s="424"/>
      <c r="N21" s="424"/>
      <c r="O21" s="424"/>
      <c r="P21" s="93" t="str">
        <f t="shared" si="1"/>
        <v/>
      </c>
      <c r="Q21" s="1" t="e">
        <f t="shared" si="2"/>
        <v>#N/A</v>
      </c>
      <c r="R21" s="1" t="e">
        <f t="shared" si="3"/>
        <v>#N/A</v>
      </c>
      <c r="S21" s="1" t="e">
        <f t="shared" si="4"/>
        <v>#N/A</v>
      </c>
      <c r="X21" s="63">
        <f t="shared" si="5"/>
        <v>0</v>
      </c>
      <c r="Y21" s="63">
        <f t="shared" si="6"/>
        <v>0</v>
      </c>
    </row>
    <row r="22" spans="1:25" x14ac:dyDescent="0.3">
      <c r="A22" s="412">
        <v>46311</v>
      </c>
      <c r="B22" s="414" t="str">
        <f>IF(D22&gt;0,COUNTIF($D$9:D22,"&gt;0"),"")</f>
        <v/>
      </c>
      <c r="C22" s="888">
        <f>'SEMANA OUTUBRO'!$M$113</f>
        <v>0</v>
      </c>
      <c r="D22" s="888">
        <f>IF(C22&gt;0,CONFIG!$B$3,0)</f>
        <v>0</v>
      </c>
      <c r="E22" s="889">
        <f t="shared" si="0"/>
        <v>0</v>
      </c>
      <c r="F22" s="444"/>
      <c r="G22" s="424"/>
      <c r="H22" s="424"/>
      <c r="I22" s="424"/>
      <c r="J22" s="424"/>
      <c r="K22" s="424"/>
      <c r="L22" s="424"/>
      <c r="M22" s="424"/>
      <c r="N22" s="424"/>
      <c r="O22" s="424"/>
      <c r="P22" s="93" t="str">
        <f t="shared" si="1"/>
        <v/>
      </c>
      <c r="Q22" s="1" t="e">
        <f t="shared" si="2"/>
        <v>#N/A</v>
      </c>
      <c r="R22" s="1" t="e">
        <f t="shared" si="3"/>
        <v>#N/A</v>
      </c>
      <c r="S22" s="1" t="e">
        <f t="shared" si="4"/>
        <v>#N/A</v>
      </c>
      <c r="X22" s="63">
        <f t="shared" si="5"/>
        <v>0</v>
      </c>
      <c r="Y22" s="63">
        <f t="shared" si="6"/>
        <v>0</v>
      </c>
    </row>
    <row r="23" spans="1:25" x14ac:dyDescent="0.3">
      <c r="A23" s="412">
        <v>46312</v>
      </c>
      <c r="B23" s="414" t="str">
        <f>IF(D23&gt;0,COUNTIF($D$9:D23,"&gt;0"),"")</f>
        <v/>
      </c>
      <c r="C23" s="888">
        <f>'SEMANA OUTUBRO'!$M$121</f>
        <v>0</v>
      </c>
      <c r="D23" s="888">
        <f>IF(C23&gt;0,CONFIG!$B$3,0)</f>
        <v>0</v>
      </c>
      <c r="E23" s="889">
        <f t="shared" si="0"/>
        <v>0</v>
      </c>
      <c r="F23" s="459" t="s">
        <v>512</v>
      </c>
      <c r="G23" s="424"/>
      <c r="H23" s="424"/>
      <c r="I23" s="424"/>
      <c r="J23" s="424"/>
      <c r="K23" s="424"/>
      <c r="L23" s="424"/>
      <c r="M23" s="424"/>
      <c r="N23" s="424"/>
      <c r="O23" s="424"/>
      <c r="P23" s="93" t="str">
        <f t="shared" si="1"/>
        <v/>
      </c>
      <c r="Q23" s="1" t="e">
        <f t="shared" si="2"/>
        <v>#N/A</v>
      </c>
      <c r="R23" s="1" t="e">
        <f t="shared" si="3"/>
        <v>#N/A</v>
      </c>
      <c r="S23" s="1" t="e">
        <f t="shared" si="4"/>
        <v>#N/A</v>
      </c>
      <c r="X23" s="63">
        <f t="shared" si="5"/>
        <v>0</v>
      </c>
      <c r="Y23" s="63">
        <f t="shared" si="6"/>
        <v>0</v>
      </c>
    </row>
    <row r="24" spans="1:25" x14ac:dyDescent="0.3">
      <c r="A24" s="412">
        <v>46314</v>
      </c>
      <c r="B24" s="414" t="str">
        <f>IF(D24&gt;0,COUNTIF($D$9:D24,"&gt;0"),"")</f>
        <v/>
      </c>
      <c r="C24" s="888">
        <f>'SEMANA OUTUBRO'!$M$129</f>
        <v>0</v>
      </c>
      <c r="D24" s="888">
        <f>IF(C24&gt;0,CONFIG!$B$3,0)</f>
        <v>0</v>
      </c>
      <c r="E24" s="889">
        <f t="shared" si="0"/>
        <v>0</v>
      </c>
      <c r="F24" s="444"/>
      <c r="G24" s="424"/>
      <c r="H24" s="424"/>
      <c r="I24" s="424"/>
      <c r="J24" s="424"/>
      <c r="K24" s="424"/>
      <c r="L24" s="424"/>
      <c r="M24" s="424"/>
      <c r="N24" s="424"/>
      <c r="O24" s="424"/>
      <c r="P24" s="93" t="str">
        <f t="shared" si="1"/>
        <v/>
      </c>
      <c r="Q24" s="1" t="e">
        <f t="shared" si="2"/>
        <v>#N/A</v>
      </c>
      <c r="R24" s="1" t="e">
        <f t="shared" si="3"/>
        <v>#N/A</v>
      </c>
      <c r="S24" s="1" t="e">
        <f t="shared" si="4"/>
        <v>#N/A</v>
      </c>
      <c r="X24" s="63">
        <f t="shared" si="5"/>
        <v>0</v>
      </c>
      <c r="Y24" s="63">
        <f t="shared" si="6"/>
        <v>0</v>
      </c>
    </row>
    <row r="25" spans="1:25" x14ac:dyDescent="0.3">
      <c r="A25" s="412">
        <v>46315</v>
      </c>
      <c r="B25" s="414" t="str">
        <f>IF(D25&gt;0,COUNTIF($D$9:D25,"&gt;0"),"")</f>
        <v/>
      </c>
      <c r="C25" s="888">
        <f>'SEMANA OUTUBRO'!$M$137</f>
        <v>0</v>
      </c>
      <c r="D25" s="888">
        <f>IF(C25&gt;0,CONFIG!$B$3,0)</f>
        <v>0</v>
      </c>
      <c r="E25" s="889">
        <f t="shared" si="0"/>
        <v>0</v>
      </c>
      <c r="F25" s="444"/>
      <c r="G25" s="424"/>
      <c r="H25" s="424"/>
      <c r="I25" s="424"/>
      <c r="J25" s="424"/>
      <c r="K25" s="424"/>
      <c r="L25" s="424"/>
      <c r="M25" s="424"/>
      <c r="N25" s="424"/>
      <c r="O25" s="424"/>
      <c r="P25" s="93" t="str">
        <f t="shared" si="1"/>
        <v/>
      </c>
      <c r="Q25" s="1" t="e">
        <f t="shared" si="2"/>
        <v>#N/A</v>
      </c>
      <c r="R25" s="1" t="e">
        <f t="shared" si="3"/>
        <v>#N/A</v>
      </c>
      <c r="S25" s="1" t="e">
        <f t="shared" si="4"/>
        <v>#N/A</v>
      </c>
      <c r="X25" s="63">
        <f t="shared" si="5"/>
        <v>0</v>
      </c>
      <c r="Y25" s="63">
        <f t="shared" si="6"/>
        <v>0</v>
      </c>
    </row>
    <row r="26" spans="1:25" x14ac:dyDescent="0.3">
      <c r="A26" s="412">
        <v>46316</v>
      </c>
      <c r="B26" s="414" t="str">
        <f>IF(D26&gt;0,COUNTIF($D$9:D26,"&gt;0"),"")</f>
        <v/>
      </c>
      <c r="C26" s="888">
        <f>'SEMANA OUTUBRO'!$M$145</f>
        <v>0</v>
      </c>
      <c r="D26" s="888">
        <f>IF(C26&gt;0,CONFIG!$B$3,0)</f>
        <v>0</v>
      </c>
      <c r="E26" s="889">
        <f t="shared" si="0"/>
        <v>0</v>
      </c>
      <c r="F26" s="444"/>
      <c r="G26" s="424"/>
      <c r="H26" s="424"/>
      <c r="I26" s="424"/>
      <c r="J26" s="424"/>
      <c r="K26" s="424"/>
      <c r="L26" s="424"/>
      <c r="M26" s="424"/>
      <c r="N26" s="424"/>
      <c r="O26" s="424"/>
      <c r="P26" s="93" t="str">
        <f t="shared" si="1"/>
        <v/>
      </c>
      <c r="Q26" s="1" t="e">
        <f t="shared" si="2"/>
        <v>#N/A</v>
      </c>
      <c r="R26" s="1" t="e">
        <f t="shared" si="3"/>
        <v>#N/A</v>
      </c>
      <c r="S26" s="1" t="e">
        <f t="shared" si="4"/>
        <v>#N/A</v>
      </c>
      <c r="X26" s="63">
        <f t="shared" si="5"/>
        <v>0</v>
      </c>
      <c r="Y26" s="63">
        <f t="shared" si="6"/>
        <v>0</v>
      </c>
    </row>
    <row r="27" spans="1:25" x14ac:dyDescent="0.3">
      <c r="A27" s="412">
        <v>46317</v>
      </c>
      <c r="B27" s="414" t="str">
        <f>IF(D27&gt;0,COUNTIF($D$9:D27,"&gt;0"),"")</f>
        <v/>
      </c>
      <c r="C27" s="888">
        <f>'SEMANA OUTUBRO'!$M$153</f>
        <v>0</v>
      </c>
      <c r="D27" s="888">
        <f>IF(C27&gt;0,CONFIG!$B$3,0)</f>
        <v>0</v>
      </c>
      <c r="E27" s="889">
        <f t="shared" si="0"/>
        <v>0</v>
      </c>
      <c r="F27" s="444"/>
      <c r="G27" s="424"/>
      <c r="H27" s="424"/>
      <c r="I27" s="424"/>
      <c r="J27" s="424"/>
      <c r="K27" s="424"/>
      <c r="L27" s="424"/>
      <c r="M27" s="424"/>
      <c r="N27" s="424"/>
      <c r="O27" s="424"/>
      <c r="P27" s="93" t="str">
        <f t="shared" si="1"/>
        <v/>
      </c>
      <c r="Q27" s="1" t="e">
        <f t="shared" si="2"/>
        <v>#N/A</v>
      </c>
      <c r="R27" s="1" t="e">
        <f t="shared" si="3"/>
        <v>#N/A</v>
      </c>
      <c r="S27" s="1" t="e">
        <f t="shared" si="4"/>
        <v>#N/A</v>
      </c>
      <c r="X27" s="63">
        <f t="shared" si="5"/>
        <v>0</v>
      </c>
      <c r="Y27" s="63">
        <f t="shared" si="6"/>
        <v>0</v>
      </c>
    </row>
    <row r="28" spans="1:25" x14ac:dyDescent="0.3">
      <c r="A28" s="412">
        <v>46318</v>
      </c>
      <c r="B28" s="414" t="str">
        <f>IF(D28&gt;0,COUNTIF($D$9:D28,"&gt;0"),"")</f>
        <v/>
      </c>
      <c r="C28" s="888">
        <f>'SEMANA OUTUBRO'!$M$161</f>
        <v>0</v>
      </c>
      <c r="D28" s="888">
        <f>IF(C28&gt;0,CONFIG!$B$3,0)</f>
        <v>0</v>
      </c>
      <c r="E28" s="889">
        <f t="shared" si="0"/>
        <v>0</v>
      </c>
      <c r="F28" s="444"/>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12">
        <v>46319</v>
      </c>
      <c r="B29" s="414" t="str">
        <f>IF(D29&gt;0,COUNTIF($D$9:D29,"&gt;0"),"")</f>
        <v/>
      </c>
      <c r="C29" s="888">
        <f>'SEMANA OUTUBRO'!$M$169</f>
        <v>0</v>
      </c>
      <c r="D29" s="888">
        <f>IF(C29&gt;0,CONFIG!$B$3,0)</f>
        <v>0</v>
      </c>
      <c r="E29" s="889">
        <f t="shared" si="0"/>
        <v>0</v>
      </c>
      <c r="F29" s="459" t="s">
        <v>512</v>
      </c>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46321</v>
      </c>
      <c r="B30" s="414" t="str">
        <f>IF(D30&gt;0,COUNTIF($D$9:D30,"&gt;0"),"")</f>
        <v/>
      </c>
      <c r="C30" s="888">
        <f>'SEMANA OUTUBRO'!$M$177</f>
        <v>0</v>
      </c>
      <c r="D30" s="888">
        <f>IF(C30&gt;0,CONFIG!$B$3,0)</f>
        <v>0</v>
      </c>
      <c r="E30" s="889">
        <f t="shared" si="0"/>
        <v>0</v>
      </c>
      <c r="F30" s="444"/>
      <c r="G30" s="424"/>
      <c r="H30" s="424"/>
      <c r="I30" s="424"/>
      <c r="J30" s="424"/>
      <c r="K30" s="424"/>
      <c r="L30" s="424"/>
      <c r="M30" s="424"/>
      <c r="N30" s="424"/>
      <c r="O30" s="424"/>
      <c r="P30" s="93" t="str">
        <f t="shared" si="1"/>
        <v/>
      </c>
      <c r="Q30" s="1" t="e">
        <f t="shared" si="2"/>
        <v>#N/A</v>
      </c>
      <c r="R30" s="1" t="e">
        <f t="shared" si="3"/>
        <v>#N/A</v>
      </c>
      <c r="S30" s="1" t="e">
        <f t="shared" si="4"/>
        <v>#N/A</v>
      </c>
      <c r="X30" s="63">
        <f t="shared" si="5"/>
        <v>0</v>
      </c>
      <c r="Y30" s="63">
        <f t="shared" si="6"/>
        <v>0</v>
      </c>
    </row>
    <row r="31" spans="1:25" x14ac:dyDescent="0.3">
      <c r="A31" s="412">
        <v>46322</v>
      </c>
      <c r="B31" s="414" t="str">
        <f>IF(D31&gt;0,COUNTIF($D$9:D31,"&gt;0"),"")</f>
        <v/>
      </c>
      <c r="C31" s="888">
        <f>'SEMANA OUTUBRO'!$M$185</f>
        <v>0</v>
      </c>
      <c r="D31" s="888">
        <f>IF(C31&gt;0,CONFIG!$B$3,0)</f>
        <v>0</v>
      </c>
      <c r="E31" s="889">
        <f t="shared" si="0"/>
        <v>0</v>
      </c>
      <c r="F31" s="444"/>
      <c r="G31" s="424"/>
      <c r="H31" s="424"/>
      <c r="I31" s="424"/>
      <c r="J31" s="424"/>
      <c r="K31" s="424"/>
      <c r="L31" s="424"/>
      <c r="M31" s="424"/>
      <c r="N31" s="424"/>
      <c r="O31" s="424"/>
      <c r="P31" s="93" t="str">
        <f t="shared" si="1"/>
        <v/>
      </c>
      <c r="Q31" s="1" t="e">
        <f t="shared" si="2"/>
        <v>#N/A</v>
      </c>
      <c r="R31" s="1" t="e">
        <f t="shared" si="3"/>
        <v>#N/A</v>
      </c>
      <c r="S31" s="1" t="e">
        <f t="shared" si="4"/>
        <v>#N/A</v>
      </c>
    </row>
    <row r="32" spans="1:25" x14ac:dyDescent="0.3">
      <c r="A32" s="412">
        <v>46323</v>
      </c>
      <c r="B32" s="414" t="str">
        <f>IF(D32&gt;0,COUNTIF($D$9:D32,"&gt;0"),"")</f>
        <v/>
      </c>
      <c r="C32" s="888">
        <f>'SEMANA OUTUBRO'!$M$193</f>
        <v>0</v>
      </c>
      <c r="D32" s="888">
        <f>IF(C32&gt;0,CONFIG!$B$3,0)</f>
        <v>0</v>
      </c>
      <c r="E32" s="889">
        <f t="shared" si="0"/>
        <v>0</v>
      </c>
      <c r="F32" s="444"/>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46324</v>
      </c>
      <c r="B33" s="414" t="str">
        <f>IF(D33&gt;0,COUNTIF($D$9:D33,"&gt;0"),"")</f>
        <v/>
      </c>
      <c r="C33" s="888">
        <f>'SEMANA OUTUBRO'!$M$201</f>
        <v>0</v>
      </c>
      <c r="D33" s="888">
        <f>IF(C33&gt;0,CONFIG!$B$3,0)</f>
        <v>0</v>
      </c>
      <c r="E33" s="889">
        <f t="shared" si="0"/>
        <v>0</v>
      </c>
      <c r="F33" s="444"/>
      <c r="G33" s="424"/>
      <c r="H33" s="424"/>
      <c r="I33" s="424"/>
      <c r="J33" s="424"/>
      <c r="K33" s="424"/>
      <c r="L33" s="424"/>
      <c r="M33" s="424"/>
      <c r="N33" s="424"/>
      <c r="O33" s="424"/>
      <c r="P33" s="93" t="str">
        <f t="shared" si="1"/>
        <v/>
      </c>
      <c r="Q33" s="1" t="e">
        <f t="shared" si="2"/>
        <v>#N/A</v>
      </c>
      <c r="R33" s="1" t="e">
        <f t="shared" si="3"/>
        <v>#N/A</v>
      </c>
      <c r="S33" s="1" t="e">
        <f t="shared" si="4"/>
        <v>#N/A</v>
      </c>
    </row>
    <row r="34" spans="1:19" x14ac:dyDescent="0.3">
      <c r="A34" s="412">
        <v>46325</v>
      </c>
      <c r="B34" s="414" t="str">
        <f>IF(D34&gt;0,COUNTIF($D$9:D34,"&gt;0"),"")</f>
        <v/>
      </c>
      <c r="C34" s="888">
        <f>'SEMANA OUTUBRO'!$M$209</f>
        <v>0</v>
      </c>
      <c r="D34" s="888">
        <f>IF(C34&gt;0,CONFIG!$B$3,0)</f>
        <v>0</v>
      </c>
      <c r="E34" s="889">
        <f t="shared" si="0"/>
        <v>0</v>
      </c>
      <c r="F34" s="444"/>
      <c r="G34" s="424"/>
      <c r="H34" s="424"/>
      <c r="I34" s="424"/>
      <c r="J34" s="424"/>
      <c r="K34" s="424"/>
      <c r="L34" s="424"/>
      <c r="M34" s="424"/>
      <c r="N34" s="424"/>
      <c r="O34" s="424"/>
      <c r="P34" s="93" t="str">
        <f t="shared" si="1"/>
        <v/>
      </c>
      <c r="Q34" s="1" t="e">
        <f t="shared" si="2"/>
        <v>#N/A</v>
      </c>
      <c r="R34" s="1" t="e">
        <f t="shared" si="3"/>
        <v>#N/A</v>
      </c>
      <c r="S34" s="1" t="e">
        <f t="shared" si="4"/>
        <v>#N/A</v>
      </c>
    </row>
    <row r="35" spans="1:19" x14ac:dyDescent="0.3">
      <c r="A35" s="412">
        <v>46326</v>
      </c>
      <c r="B35" s="414" t="str">
        <f>IF(D35&gt;0,COUNTIF($D$9:D35,"&gt;0"),"")</f>
        <v/>
      </c>
      <c r="C35" s="888">
        <f>'SEMANA OUTUBRO'!$M$216</f>
        <v>0</v>
      </c>
      <c r="D35" s="888">
        <f>IF(C35&gt;0,CONFIG!$B$3,0)</f>
        <v>0</v>
      </c>
      <c r="E35" s="889">
        <f t="shared" si="0"/>
        <v>0</v>
      </c>
      <c r="F35" s="459" t="s">
        <v>512</v>
      </c>
      <c r="G35" s="424"/>
      <c r="H35" s="424"/>
      <c r="I35" s="424"/>
      <c r="J35" s="424"/>
      <c r="K35" s="424"/>
      <c r="L35" s="424"/>
      <c r="M35" s="424"/>
      <c r="N35" s="424"/>
      <c r="O35" s="424"/>
      <c r="P35" s="93" t="str">
        <f t="shared" si="1"/>
        <v/>
      </c>
      <c r="Q35" s="1" t="e">
        <f t="shared" si="2"/>
        <v>#N/A</v>
      </c>
      <c r="R35" s="1" t="e">
        <f t="shared" si="3"/>
        <v>#N/A</v>
      </c>
      <c r="S35" s="1" t="e">
        <f t="shared" si="4"/>
        <v>#N/A</v>
      </c>
    </row>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38" priority="1" operator="greaterThan">
      <formula>0</formula>
    </cfRule>
    <cfRule type="cellIs" dxfId="37" priority="2" operator="lessThan">
      <formula>0</formula>
    </cfRule>
    <cfRule type="cellIs" dxfId="36"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0018-6A44-4989-8BEA-BD4300820021}">
  <sheetPr>
    <tabColor rgb="FFC96B0A"/>
  </sheetPr>
  <dimension ref="B1:O300"/>
  <sheetViews>
    <sheetView showGridLines="0" zoomScale="90" zoomScaleNormal="90" workbookViewId="0">
      <selection activeCell="A127" sqref="A127:D12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619</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c r="C4" s="638"/>
      <c r="D4" s="638"/>
      <c r="E4" s="638"/>
      <c r="F4" s="638"/>
      <c r="G4" s="638"/>
      <c r="H4" s="638"/>
      <c r="I4" s="638"/>
      <c r="J4" s="638"/>
      <c r="K4" s="638"/>
      <c r="L4" s="638"/>
      <c r="M4" s="497"/>
      <c r="N4" s="533"/>
      <c r="O4" s="493"/>
    </row>
    <row r="5" spans="2:15" ht="17.25" customHeight="1" x14ac:dyDescent="0.3">
      <c r="B5" s="499"/>
      <c r="C5" s="637"/>
      <c r="D5" s="637"/>
      <c r="E5" s="637"/>
      <c r="F5" s="637"/>
      <c r="G5" s="637"/>
      <c r="H5" s="637"/>
      <c r="I5" s="637"/>
      <c r="J5" s="637"/>
      <c r="K5" s="637"/>
      <c r="L5" s="637"/>
      <c r="M5" s="499"/>
      <c r="N5" s="525"/>
      <c r="O5" s="493"/>
    </row>
    <row r="6" spans="2:15" ht="17.25" customHeight="1" x14ac:dyDescent="0.3">
      <c r="B6" s="496"/>
      <c r="C6" s="638"/>
      <c r="D6" s="638"/>
      <c r="E6" s="638"/>
      <c r="F6" s="638"/>
      <c r="G6" s="638"/>
      <c r="H6" s="638"/>
      <c r="I6" s="638"/>
      <c r="J6" s="638"/>
      <c r="K6" s="638"/>
      <c r="L6" s="638"/>
      <c r="M6" s="497"/>
      <c r="N6" s="525"/>
      <c r="O6" s="493"/>
    </row>
    <row r="7" spans="2:15" ht="17.25" customHeight="1" x14ac:dyDescent="0.3">
      <c r="B7" s="499"/>
      <c r="C7" s="637"/>
      <c r="D7" s="637"/>
      <c r="E7" s="637"/>
      <c r="F7" s="637"/>
      <c r="G7" s="637"/>
      <c r="H7" s="637"/>
      <c r="I7" s="637"/>
      <c r="J7" s="637"/>
      <c r="K7" s="637"/>
      <c r="L7" s="637"/>
      <c r="M7" s="500"/>
      <c r="N7" s="525"/>
      <c r="O7" s="493"/>
    </row>
    <row r="8" spans="2:15" ht="17.25" customHeight="1" x14ac:dyDescent="0.3">
      <c r="B8" s="496"/>
      <c r="C8" s="638"/>
      <c r="D8" s="638"/>
      <c r="E8" s="638"/>
      <c r="F8" s="638"/>
      <c r="G8" s="638"/>
      <c r="H8" s="638"/>
      <c r="I8" s="638"/>
      <c r="J8" s="638"/>
      <c r="K8" s="638"/>
      <c r="L8" s="638"/>
      <c r="M8" s="497"/>
      <c r="N8" s="525"/>
      <c r="O8" s="493"/>
    </row>
    <row r="9" spans="2:15" ht="17.25" customHeight="1" x14ac:dyDescent="0.3">
      <c r="B9" s="499"/>
      <c r="C9" s="637"/>
      <c r="D9" s="637"/>
      <c r="E9" s="637"/>
      <c r="F9" s="637"/>
      <c r="G9" s="637"/>
      <c r="H9" s="637"/>
      <c r="I9" s="637"/>
      <c r="J9" s="637"/>
      <c r="K9" s="637"/>
      <c r="L9" s="637"/>
      <c r="M9" s="499"/>
      <c r="N9" s="525"/>
      <c r="O9" s="493"/>
    </row>
    <row r="10" spans="2:15" ht="17.25" customHeight="1" x14ac:dyDescent="0.3">
      <c r="B10" s="496"/>
      <c r="C10" s="638"/>
      <c r="D10" s="638"/>
      <c r="E10" s="638"/>
      <c r="F10" s="638"/>
      <c r="G10" s="638"/>
      <c r="H10" s="638"/>
      <c r="I10" s="638"/>
      <c r="J10" s="638"/>
      <c r="K10" s="638"/>
      <c r="L10" s="638"/>
      <c r="M10" s="496"/>
      <c r="N10" s="525"/>
      <c r="O10" s="493"/>
    </row>
    <row r="11" spans="2:15" ht="17.25" customHeight="1" x14ac:dyDescent="0.3">
      <c r="B11" s="499"/>
      <c r="C11" s="637"/>
      <c r="D11" s="637"/>
      <c r="E11" s="637"/>
      <c r="F11" s="637"/>
      <c r="G11" s="637"/>
      <c r="H11" s="637"/>
      <c r="I11" s="637"/>
      <c r="J11" s="637"/>
      <c r="K11" s="637"/>
      <c r="L11" s="637"/>
      <c r="M11" s="499"/>
      <c r="N11" s="525"/>
      <c r="O11" s="493"/>
    </row>
    <row r="12" spans="2:15" ht="17.25" customHeight="1" x14ac:dyDescent="0.3">
      <c r="B12" s="496"/>
      <c r="C12" s="638"/>
      <c r="D12" s="638"/>
      <c r="E12" s="638"/>
      <c r="F12" s="638"/>
      <c r="G12" s="638"/>
      <c r="H12" s="638"/>
      <c r="I12" s="638"/>
      <c r="J12" s="638"/>
      <c r="K12" s="638"/>
      <c r="L12" s="638"/>
      <c r="M12" s="496"/>
      <c r="N12" s="525"/>
      <c r="O12" s="493"/>
    </row>
    <row r="13" spans="2:15" ht="17.25" customHeight="1" x14ac:dyDescent="0.3">
      <c r="B13" s="499"/>
      <c r="C13" s="637"/>
      <c r="D13" s="637"/>
      <c r="E13" s="637"/>
      <c r="F13" s="637"/>
      <c r="G13" s="637"/>
      <c r="H13" s="637"/>
      <c r="I13" s="637"/>
      <c r="J13" s="637"/>
      <c r="K13" s="637"/>
      <c r="L13" s="637"/>
      <c r="M13" s="499"/>
      <c r="N13" s="525"/>
      <c r="O13" s="493"/>
    </row>
    <row r="14" spans="2:15" ht="17.25" customHeight="1" x14ac:dyDescent="0.3">
      <c r="B14" s="496"/>
      <c r="C14" s="638"/>
      <c r="D14" s="638"/>
      <c r="E14" s="638"/>
      <c r="F14" s="638"/>
      <c r="G14" s="638"/>
      <c r="H14" s="638"/>
      <c r="I14" s="638"/>
      <c r="J14" s="638"/>
      <c r="K14" s="638"/>
      <c r="L14" s="638"/>
      <c r="M14" s="496"/>
      <c r="N14" s="525"/>
      <c r="O14" s="493"/>
    </row>
    <row r="15" spans="2:15" ht="17.25" customHeight="1" x14ac:dyDescent="0.3">
      <c r="B15" s="499"/>
      <c r="C15" s="637"/>
      <c r="D15" s="637"/>
      <c r="E15" s="637"/>
      <c r="F15" s="637"/>
      <c r="G15" s="637"/>
      <c r="H15" s="637"/>
      <c r="I15" s="637"/>
      <c r="J15" s="637"/>
      <c r="K15" s="637"/>
      <c r="L15" s="637"/>
      <c r="M15" s="499"/>
      <c r="N15" s="525"/>
      <c r="O15" s="493"/>
    </row>
    <row r="16" spans="2:15" ht="17.25" customHeight="1" x14ac:dyDescent="0.3">
      <c r="B16" s="496"/>
      <c r="C16" s="638"/>
      <c r="D16" s="638"/>
      <c r="E16" s="638"/>
      <c r="F16" s="638"/>
      <c r="G16" s="638"/>
      <c r="H16" s="638"/>
      <c r="I16" s="638"/>
      <c r="J16" s="638"/>
      <c r="K16" s="638"/>
      <c r="L16" s="638"/>
      <c r="M16" s="496"/>
      <c r="N16" s="525"/>
      <c r="O16" s="493"/>
    </row>
    <row r="17" spans="2:15" ht="17.25" customHeight="1" x14ac:dyDescent="0.3">
      <c r="B17" s="499"/>
      <c r="C17" s="637"/>
      <c r="D17" s="637"/>
      <c r="E17" s="637"/>
      <c r="F17" s="637"/>
      <c r="G17" s="637"/>
      <c r="H17" s="637"/>
      <c r="I17" s="637"/>
      <c r="J17" s="637"/>
      <c r="K17" s="637"/>
      <c r="L17" s="637"/>
      <c r="M17" s="500"/>
      <c r="N17" s="525"/>
      <c r="O17" s="493"/>
    </row>
    <row r="18" spans="2:15" ht="17.25" customHeight="1" x14ac:dyDescent="0.3">
      <c r="B18" s="496"/>
      <c r="C18" s="638"/>
      <c r="D18" s="638"/>
      <c r="E18" s="638"/>
      <c r="F18" s="638"/>
      <c r="G18" s="638"/>
      <c r="H18" s="638"/>
      <c r="I18" s="638"/>
      <c r="J18" s="638"/>
      <c r="K18" s="638"/>
      <c r="L18" s="638"/>
      <c r="M18" s="496"/>
      <c r="N18" s="525"/>
      <c r="O18" s="493"/>
    </row>
    <row r="19" spans="2:15" ht="17.25" customHeight="1" x14ac:dyDescent="0.3">
      <c r="B19" s="499"/>
      <c r="C19" s="637"/>
      <c r="D19" s="637"/>
      <c r="E19" s="637"/>
      <c r="F19" s="637"/>
      <c r="G19" s="637"/>
      <c r="H19" s="637"/>
      <c r="I19" s="637"/>
      <c r="J19" s="637"/>
      <c r="K19" s="637"/>
      <c r="L19" s="637"/>
      <c r="M19" s="499"/>
      <c r="N19" s="525"/>
      <c r="O19" s="493"/>
    </row>
    <row r="20" spans="2:15" ht="17.25" customHeight="1" x14ac:dyDescent="0.3">
      <c r="B20" s="496"/>
      <c r="C20" s="638"/>
      <c r="D20" s="638"/>
      <c r="E20" s="638"/>
      <c r="F20" s="638"/>
      <c r="G20" s="638"/>
      <c r="H20" s="638"/>
      <c r="I20" s="638"/>
      <c r="J20" s="638"/>
      <c r="K20" s="638"/>
      <c r="L20" s="638"/>
      <c r="M20" s="496"/>
      <c r="N20" s="525"/>
      <c r="O20" s="493"/>
    </row>
    <row r="21" spans="2:15" ht="17.25" customHeight="1" x14ac:dyDescent="0.3">
      <c r="B21" s="499"/>
      <c r="C21" s="637"/>
      <c r="D21" s="637"/>
      <c r="E21" s="637"/>
      <c r="F21" s="637"/>
      <c r="G21" s="637"/>
      <c r="H21" s="637"/>
      <c r="I21" s="637"/>
      <c r="J21" s="637"/>
      <c r="K21" s="637"/>
      <c r="L21" s="637"/>
      <c r="M21" s="499"/>
      <c r="N21" s="525"/>
      <c r="O21" s="493"/>
    </row>
    <row r="22" spans="2:15" ht="17.25" customHeight="1" x14ac:dyDescent="0.3">
      <c r="B22" s="496"/>
      <c r="C22" s="638"/>
      <c r="D22" s="638"/>
      <c r="E22" s="638"/>
      <c r="F22" s="638"/>
      <c r="G22" s="638"/>
      <c r="H22" s="638"/>
      <c r="I22" s="638"/>
      <c r="J22" s="638"/>
      <c r="K22" s="638"/>
      <c r="L22" s="638"/>
      <c r="M22" s="496"/>
      <c r="N22" s="525"/>
      <c r="O22" s="493"/>
    </row>
    <row r="23" spans="2:15" ht="17.25" customHeight="1" x14ac:dyDescent="0.3">
      <c r="B23" s="499"/>
      <c r="C23" s="637"/>
      <c r="D23" s="637"/>
      <c r="E23" s="637"/>
      <c r="F23" s="637"/>
      <c r="G23" s="637"/>
      <c r="H23" s="637"/>
      <c r="I23" s="637"/>
      <c r="J23" s="637"/>
      <c r="K23" s="637"/>
      <c r="L23" s="637"/>
      <c r="M23" s="499"/>
      <c r="N23" s="525"/>
      <c r="O23" s="493"/>
    </row>
    <row r="24" spans="2:15" ht="17.25" customHeight="1" x14ac:dyDescent="0.3">
      <c r="B24" s="496"/>
      <c r="C24" s="638"/>
      <c r="D24" s="638"/>
      <c r="E24" s="638"/>
      <c r="F24" s="638"/>
      <c r="G24" s="638"/>
      <c r="H24" s="638"/>
      <c r="I24" s="638"/>
      <c r="J24" s="638"/>
      <c r="K24" s="638"/>
      <c r="L24" s="638"/>
      <c r="M24" s="496"/>
      <c r="N24" s="525"/>
      <c r="O24" s="493"/>
    </row>
    <row r="25" spans="2:15" ht="17.25" customHeight="1" x14ac:dyDescent="0.3">
      <c r="B25" s="499"/>
      <c r="C25" s="637"/>
      <c r="D25" s="637"/>
      <c r="E25" s="637"/>
      <c r="F25" s="637"/>
      <c r="G25" s="637"/>
      <c r="H25" s="637"/>
      <c r="I25" s="637"/>
      <c r="J25" s="637"/>
      <c r="K25" s="637"/>
      <c r="L25" s="637"/>
      <c r="M25" s="500"/>
      <c r="N25" s="525"/>
      <c r="O25" s="493"/>
    </row>
    <row r="26" spans="2:15" ht="17.25" customHeight="1" x14ac:dyDescent="0.3">
      <c r="B26" s="496"/>
      <c r="C26" s="638"/>
      <c r="D26" s="638"/>
      <c r="E26" s="638"/>
      <c r="F26" s="638"/>
      <c r="G26" s="638"/>
      <c r="H26" s="638"/>
      <c r="I26" s="638"/>
      <c r="J26" s="638"/>
      <c r="K26" s="638"/>
      <c r="L26" s="638"/>
      <c r="M26" s="496"/>
      <c r="N26" s="525"/>
      <c r="O26" s="493"/>
    </row>
    <row r="27" spans="2:15" ht="17.25" customHeight="1" x14ac:dyDescent="0.3">
      <c r="B27" s="499"/>
      <c r="C27" s="637"/>
      <c r="D27" s="637"/>
      <c r="E27" s="637"/>
      <c r="F27" s="637"/>
      <c r="G27" s="637"/>
      <c r="H27" s="637"/>
      <c r="I27" s="637"/>
      <c r="J27" s="637"/>
      <c r="K27" s="637"/>
      <c r="L27" s="637"/>
      <c r="M27" s="499"/>
      <c r="N27" s="525"/>
      <c r="O27" s="493"/>
    </row>
    <row r="28" spans="2:15" ht="17.25" customHeight="1" x14ac:dyDescent="0.3">
      <c r="B28" s="496"/>
      <c r="C28" s="638"/>
      <c r="D28" s="638"/>
      <c r="E28" s="638"/>
      <c r="F28" s="638"/>
      <c r="G28" s="638"/>
      <c r="H28" s="638"/>
      <c r="I28" s="638"/>
      <c r="J28" s="638"/>
      <c r="K28" s="638"/>
      <c r="L28" s="638"/>
      <c r="M28" s="496"/>
      <c r="N28" s="525"/>
      <c r="O28" s="493"/>
    </row>
    <row r="29" spans="2:15" ht="17.25" customHeight="1" x14ac:dyDescent="0.3">
      <c r="B29" s="499"/>
      <c r="C29" s="637"/>
      <c r="D29" s="637"/>
      <c r="E29" s="637"/>
      <c r="F29" s="637"/>
      <c r="G29" s="637"/>
      <c r="H29" s="637"/>
      <c r="I29" s="637"/>
      <c r="J29" s="637"/>
      <c r="K29" s="637"/>
      <c r="L29" s="637"/>
      <c r="M29" s="499"/>
      <c r="N29" s="525"/>
      <c r="O29" s="493"/>
    </row>
    <row r="30" spans="2:15" ht="17.25" customHeight="1" x14ac:dyDescent="0.3">
      <c r="B30" s="496"/>
      <c r="C30" s="638"/>
      <c r="D30" s="638"/>
      <c r="E30" s="638"/>
      <c r="F30" s="638"/>
      <c r="G30" s="638"/>
      <c r="H30" s="638"/>
      <c r="I30" s="638"/>
      <c r="J30" s="638"/>
      <c r="K30" s="638"/>
      <c r="L30" s="638"/>
      <c r="M30" s="496"/>
      <c r="N30" s="525"/>
      <c r="O30" s="493"/>
    </row>
    <row r="31" spans="2:15" ht="17.25" customHeight="1" x14ac:dyDescent="0.3">
      <c r="B31" s="499"/>
      <c r="C31" s="637"/>
      <c r="D31" s="637"/>
      <c r="E31" s="637"/>
      <c r="F31" s="637"/>
      <c r="G31" s="637"/>
      <c r="H31" s="637"/>
      <c r="I31" s="637"/>
      <c r="J31" s="637"/>
      <c r="K31" s="637"/>
      <c r="L31" s="637"/>
      <c r="M31" s="499"/>
      <c r="N31" s="525"/>
      <c r="O31" s="493"/>
    </row>
    <row r="32" spans="2:15" ht="17.25" customHeight="1" x14ac:dyDescent="0.3">
      <c r="B32" s="496"/>
      <c r="C32" s="638"/>
      <c r="D32" s="638"/>
      <c r="E32" s="638"/>
      <c r="F32" s="638"/>
      <c r="G32" s="638"/>
      <c r="H32" s="638"/>
      <c r="I32" s="638"/>
      <c r="J32" s="638"/>
      <c r="K32" s="638"/>
      <c r="L32" s="638"/>
      <c r="M32" s="496"/>
      <c r="N32" s="525"/>
      <c r="O32" s="493"/>
    </row>
    <row r="33" spans="2:15" ht="17.25" customHeight="1" x14ac:dyDescent="0.3">
      <c r="B33" s="499"/>
      <c r="C33" s="637"/>
      <c r="D33" s="637"/>
      <c r="E33" s="637"/>
      <c r="F33" s="637"/>
      <c r="G33" s="637"/>
      <c r="H33" s="637"/>
      <c r="I33" s="637"/>
      <c r="J33" s="637"/>
      <c r="K33" s="637"/>
      <c r="L33" s="637"/>
      <c r="M33" s="499"/>
      <c r="N33" s="525"/>
      <c r="O33" s="493"/>
    </row>
    <row r="34" spans="2:15" ht="17.25" customHeight="1" x14ac:dyDescent="0.3">
      <c r="B34" s="496"/>
      <c r="C34" s="638"/>
      <c r="D34" s="638"/>
      <c r="E34" s="638"/>
      <c r="F34" s="638"/>
      <c r="G34" s="638"/>
      <c r="H34" s="638"/>
      <c r="I34" s="638"/>
      <c r="J34" s="638"/>
      <c r="K34" s="638"/>
      <c r="L34" s="638"/>
      <c r="M34" s="497"/>
      <c r="N34" s="525"/>
      <c r="O34" s="493"/>
    </row>
    <row r="35" spans="2:15" ht="17.25" customHeight="1" x14ac:dyDescent="0.3">
      <c r="B35" s="499"/>
      <c r="C35" s="637"/>
      <c r="D35" s="637"/>
      <c r="E35" s="637"/>
      <c r="F35" s="637"/>
      <c r="G35" s="637"/>
      <c r="H35" s="637"/>
      <c r="I35" s="637"/>
      <c r="J35" s="637"/>
      <c r="K35" s="637"/>
      <c r="L35" s="637"/>
      <c r="M35" s="499"/>
      <c r="N35" s="525"/>
      <c r="O35" s="493"/>
    </row>
    <row r="36" spans="2:15" ht="17.25" customHeight="1" x14ac:dyDescent="0.3">
      <c r="B36" s="496"/>
      <c r="C36" s="638"/>
      <c r="D36" s="638"/>
      <c r="E36" s="638"/>
      <c r="F36" s="638"/>
      <c r="G36" s="638"/>
      <c r="H36" s="638"/>
      <c r="I36" s="638"/>
      <c r="J36" s="638"/>
      <c r="K36" s="638"/>
      <c r="L36" s="638"/>
      <c r="M36" s="496"/>
      <c r="N36" s="525"/>
      <c r="O36" s="493"/>
    </row>
    <row r="37" spans="2:15" ht="17.25" customHeight="1" x14ac:dyDescent="0.3">
      <c r="B37" s="499"/>
      <c r="C37" s="637"/>
      <c r="D37" s="637"/>
      <c r="E37" s="637"/>
      <c r="F37" s="637"/>
      <c r="G37" s="637"/>
      <c r="H37" s="637"/>
      <c r="I37" s="637"/>
      <c r="J37" s="637"/>
      <c r="K37" s="637"/>
      <c r="L37" s="637"/>
      <c r="M37" s="499"/>
      <c r="N37" s="525"/>
      <c r="O37" s="493"/>
    </row>
    <row r="38" spans="2:15" ht="17.25" customHeight="1" x14ac:dyDescent="0.3">
      <c r="B38" s="496"/>
      <c r="C38" s="638"/>
      <c r="D38" s="638"/>
      <c r="E38" s="638"/>
      <c r="F38" s="638"/>
      <c r="G38" s="638"/>
      <c r="H38" s="638"/>
      <c r="I38" s="638"/>
      <c r="J38" s="638"/>
      <c r="K38" s="638"/>
      <c r="L38" s="638"/>
      <c r="M38" s="496"/>
      <c r="N38" s="525"/>
      <c r="O38" s="493"/>
    </row>
    <row r="39" spans="2:15" ht="17.25" customHeight="1" x14ac:dyDescent="0.3">
      <c r="B39" s="499"/>
      <c r="C39" s="637"/>
      <c r="D39" s="637"/>
      <c r="E39" s="637"/>
      <c r="F39" s="637"/>
      <c r="G39" s="637"/>
      <c r="H39" s="637"/>
      <c r="I39" s="637"/>
      <c r="J39" s="637"/>
      <c r="K39" s="637"/>
      <c r="L39" s="637"/>
      <c r="M39" s="499"/>
      <c r="N39" s="525"/>
      <c r="O39" s="493"/>
    </row>
    <row r="40" spans="2:15" ht="17.25" customHeight="1" x14ac:dyDescent="0.3">
      <c r="B40" s="496"/>
      <c r="C40" s="638"/>
      <c r="D40" s="638"/>
      <c r="E40" s="638"/>
      <c r="F40" s="638"/>
      <c r="G40" s="638"/>
      <c r="H40" s="638"/>
      <c r="I40" s="638"/>
      <c r="J40" s="638"/>
      <c r="K40" s="638"/>
      <c r="L40" s="638"/>
      <c r="M40" s="496"/>
      <c r="N40" s="525"/>
      <c r="O40" s="493"/>
    </row>
    <row r="41" spans="2:15" ht="17.25" customHeight="1" x14ac:dyDescent="0.3">
      <c r="B41" s="499"/>
      <c r="C41" s="637"/>
      <c r="D41" s="637"/>
      <c r="E41" s="637"/>
      <c r="F41" s="637"/>
      <c r="G41" s="637"/>
      <c r="H41" s="637"/>
      <c r="I41" s="637"/>
      <c r="J41" s="637"/>
      <c r="K41" s="637"/>
      <c r="L41" s="637"/>
      <c r="M41" s="499"/>
      <c r="N41" s="525"/>
      <c r="O41" s="493"/>
    </row>
    <row r="42" spans="2:15" ht="17.25" customHeight="1" x14ac:dyDescent="0.3">
      <c r="B42" s="496"/>
      <c r="C42" s="638"/>
      <c r="D42" s="638"/>
      <c r="E42" s="638"/>
      <c r="F42" s="638"/>
      <c r="G42" s="638"/>
      <c r="H42" s="638"/>
      <c r="I42" s="638"/>
      <c r="J42" s="638"/>
      <c r="K42" s="638"/>
      <c r="L42" s="638"/>
      <c r="M42" s="497"/>
      <c r="N42" s="525"/>
      <c r="O42" s="493"/>
    </row>
    <row r="43" spans="2:15" ht="17.25" customHeight="1" x14ac:dyDescent="0.3">
      <c r="B43" s="499"/>
      <c r="C43" s="637"/>
      <c r="D43" s="637"/>
      <c r="E43" s="637"/>
      <c r="F43" s="637"/>
      <c r="G43" s="637"/>
      <c r="H43" s="637"/>
      <c r="I43" s="637"/>
      <c r="J43" s="637"/>
      <c r="K43" s="637"/>
      <c r="L43" s="637"/>
      <c r="M43" s="499"/>
      <c r="N43" s="525"/>
      <c r="O43" s="493"/>
    </row>
    <row r="44" spans="2:15" ht="17.25" customHeight="1" x14ac:dyDescent="0.3">
      <c r="B44" s="496"/>
      <c r="C44" s="638"/>
      <c r="D44" s="638"/>
      <c r="E44" s="638"/>
      <c r="F44" s="638"/>
      <c r="G44" s="638"/>
      <c r="H44" s="638"/>
      <c r="I44" s="638"/>
      <c r="J44" s="638"/>
      <c r="K44" s="638"/>
      <c r="L44" s="638"/>
      <c r="M44" s="496"/>
      <c r="N44" s="525"/>
      <c r="O44" s="493"/>
    </row>
    <row r="45" spans="2:15" ht="17.25" customHeight="1" x14ac:dyDescent="0.3">
      <c r="B45" s="499"/>
      <c r="C45" s="637"/>
      <c r="D45" s="637"/>
      <c r="E45" s="637"/>
      <c r="F45" s="637"/>
      <c r="G45" s="637"/>
      <c r="H45" s="637"/>
      <c r="I45" s="637"/>
      <c r="J45" s="637"/>
      <c r="K45" s="637"/>
      <c r="L45" s="637"/>
      <c r="M45" s="499"/>
      <c r="N45" s="525"/>
      <c r="O45" s="493"/>
    </row>
    <row r="46" spans="2:15" ht="17.25" customHeight="1" x14ac:dyDescent="0.3">
      <c r="B46" s="496"/>
      <c r="C46" s="638"/>
      <c r="D46" s="638"/>
      <c r="E46" s="638"/>
      <c r="F46" s="638"/>
      <c r="G46" s="638"/>
      <c r="H46" s="638"/>
      <c r="I46" s="638"/>
      <c r="J46" s="638"/>
      <c r="K46" s="638"/>
      <c r="L46" s="638"/>
      <c r="M46" s="496"/>
      <c r="N46" s="525"/>
      <c r="O46" s="493"/>
    </row>
    <row r="47" spans="2:15" ht="17.25" customHeight="1" x14ac:dyDescent="0.3">
      <c r="B47" s="499"/>
      <c r="C47" s="637"/>
      <c r="D47" s="637"/>
      <c r="E47" s="637"/>
      <c r="F47" s="637"/>
      <c r="G47" s="637"/>
      <c r="H47" s="637"/>
      <c r="I47" s="637"/>
      <c r="J47" s="637"/>
      <c r="K47" s="637"/>
      <c r="L47" s="637"/>
      <c r="M47" s="499"/>
      <c r="N47" s="525"/>
      <c r="O47" s="493"/>
    </row>
    <row r="48" spans="2:15" ht="17.25" customHeight="1" x14ac:dyDescent="0.3">
      <c r="B48" s="496"/>
      <c r="C48" s="638"/>
      <c r="D48" s="638"/>
      <c r="E48" s="638"/>
      <c r="F48" s="638"/>
      <c r="G48" s="638"/>
      <c r="H48" s="638"/>
      <c r="I48" s="638"/>
      <c r="J48" s="638"/>
      <c r="K48" s="638"/>
      <c r="L48" s="638"/>
      <c r="M48" s="496"/>
      <c r="N48" s="525"/>
      <c r="O48" s="493"/>
    </row>
    <row r="49" spans="2:15" ht="17.25" customHeight="1" x14ac:dyDescent="0.3">
      <c r="B49" s="499"/>
      <c r="C49" s="637"/>
      <c r="D49" s="637"/>
      <c r="E49" s="637"/>
      <c r="F49" s="637"/>
      <c r="G49" s="637"/>
      <c r="H49" s="637"/>
      <c r="I49" s="637"/>
      <c r="J49" s="637"/>
      <c r="K49" s="637"/>
      <c r="L49" s="637"/>
      <c r="M49" s="499"/>
      <c r="N49" s="525"/>
      <c r="O49" s="493"/>
    </row>
    <row r="50" spans="2:15" ht="17.25" customHeight="1" x14ac:dyDescent="0.3">
      <c r="B50" s="496"/>
      <c r="C50" s="638"/>
      <c r="D50" s="638"/>
      <c r="E50" s="638"/>
      <c r="F50" s="638"/>
      <c r="G50" s="638"/>
      <c r="H50" s="638"/>
      <c r="I50" s="638"/>
      <c r="J50" s="638"/>
      <c r="K50" s="638"/>
      <c r="L50" s="638"/>
      <c r="M50" s="496"/>
      <c r="N50" s="525"/>
      <c r="O50" s="493"/>
    </row>
    <row r="51" spans="2:15" ht="17.25" customHeight="1" x14ac:dyDescent="0.3">
      <c r="B51" s="499"/>
      <c r="C51" s="637"/>
      <c r="D51" s="637"/>
      <c r="E51" s="637"/>
      <c r="F51" s="637"/>
      <c r="G51" s="637"/>
      <c r="H51" s="637"/>
      <c r="I51" s="637"/>
      <c r="J51" s="637"/>
      <c r="K51" s="637"/>
      <c r="L51" s="637"/>
      <c r="M51" s="500"/>
      <c r="N51" s="525"/>
      <c r="O51" s="493"/>
    </row>
    <row r="52" spans="2:15" ht="17.25" customHeight="1" x14ac:dyDescent="0.3">
      <c r="B52" s="496"/>
      <c r="C52" s="638"/>
      <c r="D52" s="638"/>
      <c r="E52" s="638"/>
      <c r="F52" s="638"/>
      <c r="G52" s="638"/>
      <c r="H52" s="638"/>
      <c r="I52" s="638"/>
      <c r="J52" s="638"/>
      <c r="K52" s="638"/>
      <c r="L52" s="638"/>
      <c r="M52" s="496"/>
      <c r="N52" s="525"/>
      <c r="O52" s="493"/>
    </row>
    <row r="53" spans="2:15" ht="17.25" customHeight="1" x14ac:dyDescent="0.3">
      <c r="B53" s="499"/>
      <c r="C53" s="637"/>
      <c r="D53" s="637"/>
      <c r="E53" s="637"/>
      <c r="F53" s="637"/>
      <c r="G53" s="637"/>
      <c r="H53" s="637"/>
      <c r="I53" s="637"/>
      <c r="J53" s="637"/>
      <c r="K53" s="637"/>
      <c r="L53" s="637"/>
      <c r="M53" s="499"/>
      <c r="N53" s="525"/>
      <c r="O53" s="493"/>
    </row>
    <row r="54" spans="2:15" ht="17.25" customHeight="1" x14ac:dyDescent="0.3">
      <c r="B54" s="496"/>
      <c r="C54" s="638"/>
      <c r="D54" s="638"/>
      <c r="E54" s="638"/>
      <c r="F54" s="638"/>
      <c r="G54" s="638"/>
      <c r="H54" s="638"/>
      <c r="I54" s="638"/>
      <c r="J54" s="638"/>
      <c r="K54" s="638"/>
      <c r="L54" s="638"/>
      <c r="M54" s="496"/>
      <c r="N54" s="525"/>
      <c r="O54" s="493"/>
    </row>
    <row r="55" spans="2:15" ht="17.25" customHeight="1" x14ac:dyDescent="0.3">
      <c r="B55" s="499"/>
      <c r="C55" s="637"/>
      <c r="D55" s="637"/>
      <c r="E55" s="637"/>
      <c r="F55" s="637"/>
      <c r="G55" s="637"/>
      <c r="H55" s="637"/>
      <c r="I55" s="637"/>
      <c r="J55" s="637"/>
      <c r="K55" s="637"/>
      <c r="L55" s="637"/>
      <c r="M55" s="499"/>
      <c r="N55" s="525"/>
      <c r="O55" s="493"/>
    </row>
    <row r="56" spans="2:15" ht="17.25" customHeight="1" x14ac:dyDescent="0.3">
      <c r="B56" s="496"/>
      <c r="C56" s="638"/>
      <c r="D56" s="638"/>
      <c r="E56" s="638"/>
      <c r="F56" s="638"/>
      <c r="G56" s="638"/>
      <c r="H56" s="638"/>
      <c r="I56" s="638"/>
      <c r="J56" s="638"/>
      <c r="K56" s="638"/>
      <c r="L56" s="638"/>
      <c r="M56" s="496"/>
      <c r="N56" s="525"/>
      <c r="O56" s="493"/>
    </row>
    <row r="57" spans="2:15" ht="17.25" customHeight="1" x14ac:dyDescent="0.3">
      <c r="B57" s="499"/>
      <c r="C57" s="637"/>
      <c r="D57" s="637"/>
      <c r="E57" s="637"/>
      <c r="F57" s="637"/>
      <c r="G57" s="637"/>
      <c r="H57" s="637"/>
      <c r="I57" s="637"/>
      <c r="J57" s="637"/>
      <c r="K57" s="637"/>
      <c r="L57" s="637"/>
      <c r="M57" s="499"/>
      <c r="N57" s="525"/>
      <c r="O57" s="493"/>
    </row>
    <row r="58" spans="2:15" ht="17.25" customHeight="1" x14ac:dyDescent="0.3">
      <c r="B58" s="496"/>
      <c r="C58" s="638"/>
      <c r="D58" s="638"/>
      <c r="E58" s="638"/>
      <c r="F58" s="638"/>
      <c r="G58" s="638"/>
      <c r="H58" s="638"/>
      <c r="I58" s="638"/>
      <c r="J58" s="638"/>
      <c r="K58" s="638"/>
      <c r="L58" s="638"/>
      <c r="M58" s="496"/>
      <c r="N58" s="525"/>
      <c r="O58" s="493"/>
    </row>
    <row r="59" spans="2:15" ht="17.25" customHeight="1" x14ac:dyDescent="0.3">
      <c r="B59" s="499"/>
      <c r="C59" s="637"/>
      <c r="D59" s="637"/>
      <c r="E59" s="637"/>
      <c r="F59" s="637"/>
      <c r="G59" s="637"/>
      <c r="H59" s="637"/>
      <c r="I59" s="637"/>
      <c r="J59" s="637"/>
      <c r="K59" s="637"/>
      <c r="L59" s="637"/>
      <c r="M59" s="500"/>
      <c r="N59" s="525"/>
      <c r="O59" s="493"/>
    </row>
    <row r="60" spans="2:15" ht="17.25" customHeight="1" x14ac:dyDescent="0.3">
      <c r="B60" s="496"/>
      <c r="C60" s="638"/>
      <c r="D60" s="638"/>
      <c r="E60" s="638"/>
      <c r="F60" s="638"/>
      <c r="G60" s="638"/>
      <c r="H60" s="638"/>
      <c r="I60" s="638"/>
      <c r="J60" s="638"/>
      <c r="K60" s="638"/>
      <c r="L60" s="638"/>
      <c r="M60" s="496"/>
      <c r="N60" s="525"/>
      <c r="O60" s="493"/>
    </row>
    <row r="61" spans="2:15" ht="17.25" customHeight="1" x14ac:dyDescent="0.3">
      <c r="B61" s="499"/>
      <c r="C61" s="637"/>
      <c r="D61" s="637"/>
      <c r="E61" s="637"/>
      <c r="F61" s="637"/>
      <c r="G61" s="637"/>
      <c r="H61" s="637"/>
      <c r="I61" s="637"/>
      <c r="J61" s="637"/>
      <c r="K61" s="637"/>
      <c r="L61" s="637"/>
      <c r="M61" s="499"/>
      <c r="N61" s="525"/>
      <c r="O61" s="493"/>
    </row>
    <row r="62" spans="2:15" ht="17.25" customHeight="1" x14ac:dyDescent="0.3">
      <c r="B62" s="496"/>
      <c r="C62" s="638"/>
      <c r="D62" s="638"/>
      <c r="E62" s="638"/>
      <c r="F62" s="638"/>
      <c r="G62" s="638"/>
      <c r="H62" s="638"/>
      <c r="I62" s="638"/>
      <c r="J62" s="638"/>
      <c r="K62" s="638"/>
      <c r="L62" s="638"/>
      <c r="M62" s="496"/>
      <c r="N62" s="525"/>
      <c r="O62" s="493"/>
    </row>
    <row r="63" spans="2:15" ht="17.25" customHeight="1" x14ac:dyDescent="0.3">
      <c r="B63" s="499"/>
      <c r="C63" s="637"/>
      <c r="D63" s="637"/>
      <c r="E63" s="637"/>
      <c r="F63" s="637"/>
      <c r="G63" s="637"/>
      <c r="H63" s="637"/>
      <c r="I63" s="637"/>
      <c r="J63" s="637"/>
      <c r="K63" s="637"/>
      <c r="L63" s="637"/>
      <c r="M63" s="499"/>
      <c r="N63" s="525"/>
      <c r="O63" s="493"/>
    </row>
    <row r="64" spans="2:15" ht="17.25" customHeight="1" x14ac:dyDescent="0.3">
      <c r="B64" s="496"/>
      <c r="C64" s="638"/>
      <c r="D64" s="638"/>
      <c r="E64" s="638"/>
      <c r="F64" s="638"/>
      <c r="G64" s="638"/>
      <c r="H64" s="638"/>
      <c r="I64" s="638"/>
      <c r="J64" s="638"/>
      <c r="K64" s="638"/>
      <c r="L64" s="638"/>
      <c r="M64" s="496"/>
      <c r="N64" s="525"/>
      <c r="O64" s="493"/>
    </row>
    <row r="65" spans="2:15" ht="17.25" customHeight="1" x14ac:dyDescent="0.3">
      <c r="B65" s="499"/>
      <c r="C65" s="637"/>
      <c r="D65" s="637"/>
      <c r="E65" s="637"/>
      <c r="F65" s="637"/>
      <c r="G65" s="637"/>
      <c r="H65" s="637"/>
      <c r="I65" s="637"/>
      <c r="J65" s="637"/>
      <c r="K65" s="637"/>
      <c r="L65" s="637"/>
      <c r="M65" s="499"/>
      <c r="N65" s="525"/>
      <c r="O65" s="493"/>
    </row>
    <row r="66" spans="2:15" ht="17.25" customHeight="1" x14ac:dyDescent="0.3">
      <c r="B66" s="496"/>
      <c r="C66" s="638"/>
      <c r="D66" s="638"/>
      <c r="E66" s="638"/>
      <c r="F66" s="638"/>
      <c r="G66" s="638"/>
      <c r="H66" s="638"/>
      <c r="I66" s="638"/>
      <c r="J66" s="638"/>
      <c r="K66" s="638"/>
      <c r="L66" s="638"/>
      <c r="M66" s="496"/>
      <c r="N66" s="525"/>
      <c r="O66" s="493"/>
    </row>
    <row r="67" spans="2:15" ht="17.25" customHeight="1" x14ac:dyDescent="0.3">
      <c r="B67" s="499"/>
      <c r="C67" s="637"/>
      <c r="D67" s="637"/>
      <c r="E67" s="637"/>
      <c r="F67" s="637"/>
      <c r="G67" s="637"/>
      <c r="H67" s="637"/>
      <c r="I67" s="637"/>
      <c r="J67" s="637"/>
      <c r="K67" s="637"/>
      <c r="L67" s="637"/>
      <c r="M67" s="499"/>
      <c r="N67" s="525"/>
      <c r="O67" s="493"/>
    </row>
    <row r="68" spans="2:15" ht="17.25" customHeight="1" x14ac:dyDescent="0.3">
      <c r="B68" s="496"/>
      <c r="C68" s="638"/>
      <c r="D68" s="638"/>
      <c r="E68" s="638"/>
      <c r="F68" s="638"/>
      <c r="G68" s="638"/>
      <c r="H68" s="638"/>
      <c r="I68" s="638"/>
      <c r="J68" s="638"/>
      <c r="K68" s="638"/>
      <c r="L68" s="638"/>
      <c r="M68" s="497"/>
      <c r="N68" s="525"/>
      <c r="O68" s="493"/>
    </row>
    <row r="69" spans="2:15" ht="17.25" customHeight="1" x14ac:dyDescent="0.3">
      <c r="B69" s="499"/>
      <c r="C69" s="637"/>
      <c r="D69" s="637"/>
      <c r="E69" s="637"/>
      <c r="F69" s="637"/>
      <c r="G69" s="637"/>
      <c r="H69" s="637"/>
      <c r="I69" s="637"/>
      <c r="J69" s="637"/>
      <c r="K69" s="637"/>
      <c r="L69" s="637"/>
      <c r="M69" s="499"/>
      <c r="N69" s="525"/>
      <c r="O69" s="493"/>
    </row>
    <row r="70" spans="2:15" ht="17.25" customHeight="1" x14ac:dyDescent="0.3">
      <c r="B70" s="496"/>
      <c r="C70" s="638"/>
      <c r="D70" s="638"/>
      <c r="E70" s="638"/>
      <c r="F70" s="638"/>
      <c r="G70" s="638"/>
      <c r="H70" s="638"/>
      <c r="I70" s="638"/>
      <c r="J70" s="638"/>
      <c r="K70" s="638"/>
      <c r="L70" s="638"/>
      <c r="M70" s="496"/>
      <c r="N70" s="525"/>
      <c r="O70" s="493"/>
    </row>
    <row r="71" spans="2:15" ht="17.25" customHeight="1" x14ac:dyDescent="0.3">
      <c r="B71" s="499"/>
      <c r="C71" s="637"/>
      <c r="D71" s="637"/>
      <c r="E71" s="637"/>
      <c r="F71" s="637"/>
      <c r="G71" s="637"/>
      <c r="H71" s="637"/>
      <c r="I71" s="637"/>
      <c r="J71" s="637"/>
      <c r="K71" s="637"/>
      <c r="L71" s="637"/>
      <c r="M71" s="499"/>
      <c r="N71" s="525"/>
      <c r="O71" s="493"/>
    </row>
    <row r="72" spans="2:15" ht="17.25" customHeight="1" x14ac:dyDescent="0.3">
      <c r="B72" s="496"/>
      <c r="C72" s="638"/>
      <c r="D72" s="638"/>
      <c r="E72" s="638"/>
      <c r="F72" s="638"/>
      <c r="G72" s="638"/>
      <c r="H72" s="638"/>
      <c r="I72" s="638"/>
      <c r="J72" s="638"/>
      <c r="K72" s="638"/>
      <c r="L72" s="638"/>
      <c r="M72" s="496"/>
      <c r="N72" s="525"/>
      <c r="O72" s="493"/>
    </row>
    <row r="73" spans="2:15" ht="17.25" customHeight="1" x14ac:dyDescent="0.3">
      <c r="B73" s="499"/>
      <c r="C73" s="637"/>
      <c r="D73" s="637"/>
      <c r="E73" s="637"/>
      <c r="F73" s="637"/>
      <c r="G73" s="637"/>
      <c r="H73" s="637"/>
      <c r="I73" s="637"/>
      <c r="J73" s="637"/>
      <c r="K73" s="637"/>
      <c r="L73" s="637"/>
      <c r="M73" s="499"/>
      <c r="N73" s="525"/>
      <c r="O73" s="493"/>
    </row>
    <row r="74" spans="2:15" ht="17.25" customHeight="1" x14ac:dyDescent="0.3">
      <c r="B74" s="496"/>
      <c r="C74" s="638"/>
      <c r="D74" s="638"/>
      <c r="E74" s="638"/>
      <c r="F74" s="638"/>
      <c r="G74" s="638"/>
      <c r="H74" s="638"/>
      <c r="I74" s="638"/>
      <c r="J74" s="638"/>
      <c r="K74" s="638"/>
      <c r="L74" s="638"/>
      <c r="M74" s="496"/>
      <c r="N74" s="525"/>
      <c r="O74" s="493"/>
    </row>
    <row r="75" spans="2:15" ht="17.25" customHeight="1" x14ac:dyDescent="0.3">
      <c r="B75" s="499"/>
      <c r="C75" s="637"/>
      <c r="D75" s="637"/>
      <c r="E75" s="637"/>
      <c r="F75" s="637"/>
      <c r="G75" s="637"/>
      <c r="H75" s="637"/>
      <c r="I75" s="637"/>
      <c r="J75" s="637"/>
      <c r="K75" s="637"/>
      <c r="L75" s="637"/>
      <c r="M75" s="499"/>
      <c r="N75" s="525"/>
      <c r="O75" s="493"/>
    </row>
    <row r="76" spans="2:15" ht="17.25" customHeight="1" x14ac:dyDescent="0.3">
      <c r="B76" s="496"/>
      <c r="C76" s="638"/>
      <c r="D76" s="638"/>
      <c r="E76" s="638"/>
      <c r="F76" s="638"/>
      <c r="G76" s="638"/>
      <c r="H76" s="638"/>
      <c r="I76" s="638"/>
      <c r="J76" s="638"/>
      <c r="K76" s="638"/>
      <c r="L76" s="638"/>
      <c r="M76" s="497"/>
      <c r="N76" s="525"/>
      <c r="O76" s="493"/>
    </row>
    <row r="77" spans="2:15" ht="17.25" customHeight="1" x14ac:dyDescent="0.3">
      <c r="B77" s="499"/>
      <c r="C77" s="637"/>
      <c r="D77" s="637"/>
      <c r="E77" s="637"/>
      <c r="F77" s="637"/>
      <c r="G77" s="637"/>
      <c r="H77" s="637"/>
      <c r="I77" s="637"/>
      <c r="J77" s="637"/>
      <c r="K77" s="637"/>
      <c r="L77" s="637"/>
      <c r="M77" s="499"/>
      <c r="N77" s="525"/>
      <c r="O77" s="493"/>
    </row>
    <row r="78" spans="2:15" ht="17.25" customHeight="1" x14ac:dyDescent="0.3">
      <c r="B78" s="496"/>
      <c r="C78" s="638"/>
      <c r="D78" s="638"/>
      <c r="E78" s="638"/>
      <c r="F78" s="638"/>
      <c r="G78" s="638"/>
      <c r="H78" s="638"/>
      <c r="I78" s="638"/>
      <c r="J78" s="638"/>
      <c r="K78" s="638"/>
      <c r="L78" s="638"/>
      <c r="M78" s="496"/>
      <c r="N78" s="525"/>
      <c r="O78" s="493"/>
    </row>
    <row r="79" spans="2:15" ht="17.25" customHeight="1" x14ac:dyDescent="0.3">
      <c r="B79" s="499"/>
      <c r="C79" s="637"/>
      <c r="D79" s="637"/>
      <c r="E79" s="637"/>
      <c r="F79" s="637"/>
      <c r="G79" s="637"/>
      <c r="H79" s="637"/>
      <c r="I79" s="637"/>
      <c r="J79" s="637"/>
      <c r="K79" s="637"/>
      <c r="L79" s="637"/>
      <c r="M79" s="499"/>
      <c r="N79" s="525"/>
      <c r="O79" s="493"/>
    </row>
    <row r="80" spans="2:15" ht="17.25" customHeight="1" x14ac:dyDescent="0.3">
      <c r="B80" s="496"/>
      <c r="C80" s="638"/>
      <c r="D80" s="638"/>
      <c r="E80" s="638"/>
      <c r="F80" s="638"/>
      <c r="G80" s="638"/>
      <c r="H80" s="638"/>
      <c r="I80" s="638"/>
      <c r="J80" s="638"/>
      <c r="K80" s="638"/>
      <c r="L80" s="638"/>
      <c r="M80" s="496"/>
      <c r="N80" s="525"/>
      <c r="O80" s="493"/>
    </row>
    <row r="81" spans="2:15" ht="17.25" customHeight="1" x14ac:dyDescent="0.3">
      <c r="B81" s="499"/>
      <c r="C81" s="637"/>
      <c r="D81" s="637"/>
      <c r="E81" s="637"/>
      <c r="F81" s="637"/>
      <c r="G81" s="637"/>
      <c r="H81" s="637"/>
      <c r="I81" s="637"/>
      <c r="J81" s="637"/>
      <c r="K81" s="637"/>
      <c r="L81" s="637"/>
      <c r="M81" s="499"/>
      <c r="N81" s="525"/>
      <c r="O81" s="493"/>
    </row>
    <row r="82" spans="2:15" ht="17.25" customHeight="1" x14ac:dyDescent="0.3">
      <c r="B82" s="496"/>
      <c r="C82" s="638"/>
      <c r="D82" s="638"/>
      <c r="E82" s="638"/>
      <c r="F82" s="638"/>
      <c r="G82" s="638"/>
      <c r="H82" s="638"/>
      <c r="I82" s="638"/>
      <c r="J82" s="638"/>
      <c r="K82" s="638"/>
      <c r="L82" s="638"/>
      <c r="M82" s="496"/>
      <c r="N82" s="525"/>
      <c r="O82" s="493"/>
    </row>
    <row r="83" spans="2:15" ht="17.25" customHeight="1" x14ac:dyDescent="0.3">
      <c r="B83" s="499"/>
      <c r="C83" s="637"/>
      <c r="D83" s="637"/>
      <c r="E83" s="637"/>
      <c r="F83" s="637"/>
      <c r="G83" s="637"/>
      <c r="H83" s="637"/>
      <c r="I83" s="637"/>
      <c r="J83" s="637"/>
      <c r="K83" s="637"/>
      <c r="L83" s="637"/>
      <c r="M83" s="499"/>
      <c r="N83" s="525"/>
      <c r="O83" s="493"/>
    </row>
    <row r="84" spans="2:15" ht="17.25" customHeight="1" x14ac:dyDescent="0.3">
      <c r="B84" s="496"/>
      <c r="C84" s="638"/>
      <c r="D84" s="638"/>
      <c r="E84" s="638"/>
      <c r="F84" s="638"/>
      <c r="G84" s="638"/>
      <c r="H84" s="638"/>
      <c r="I84" s="638"/>
      <c r="J84" s="638"/>
      <c r="K84" s="638"/>
      <c r="L84" s="638"/>
      <c r="M84" s="496"/>
      <c r="N84" s="525"/>
      <c r="O84" s="493"/>
    </row>
    <row r="85" spans="2:15" ht="17.25" customHeight="1" x14ac:dyDescent="0.3">
      <c r="B85" s="499"/>
      <c r="C85" s="637"/>
      <c r="D85" s="637"/>
      <c r="E85" s="637"/>
      <c r="F85" s="637"/>
      <c r="G85" s="637"/>
      <c r="H85" s="637"/>
      <c r="I85" s="637"/>
      <c r="J85" s="637"/>
      <c r="K85" s="637"/>
      <c r="L85" s="637"/>
      <c r="M85" s="500"/>
      <c r="N85" s="525"/>
      <c r="O85" s="493"/>
    </row>
    <row r="86" spans="2:15" ht="17.25" customHeight="1" x14ac:dyDescent="0.3">
      <c r="B86" s="496"/>
      <c r="C86" s="638"/>
      <c r="D86" s="638"/>
      <c r="E86" s="638"/>
      <c r="F86" s="638"/>
      <c r="G86" s="638"/>
      <c r="H86" s="638"/>
      <c r="I86" s="638"/>
      <c r="J86" s="638"/>
      <c r="K86" s="638"/>
      <c r="L86" s="638"/>
      <c r="M86" s="496"/>
      <c r="N86" s="525"/>
      <c r="O86" s="493"/>
    </row>
    <row r="87" spans="2:15" ht="17.25" customHeight="1" x14ac:dyDescent="0.3">
      <c r="B87" s="499"/>
      <c r="C87" s="637"/>
      <c r="D87" s="637"/>
      <c r="E87" s="637"/>
      <c r="F87" s="637"/>
      <c r="G87" s="637"/>
      <c r="H87" s="637"/>
      <c r="I87" s="637"/>
      <c r="J87" s="637"/>
      <c r="K87" s="637"/>
      <c r="L87" s="637"/>
      <c r="M87" s="499"/>
      <c r="N87" s="525"/>
      <c r="O87" s="493"/>
    </row>
    <row r="88" spans="2:15" ht="17.25" customHeight="1" x14ac:dyDescent="0.3">
      <c r="B88" s="496"/>
      <c r="C88" s="638"/>
      <c r="D88" s="638"/>
      <c r="E88" s="638"/>
      <c r="F88" s="638"/>
      <c r="G88" s="638"/>
      <c r="H88" s="638"/>
      <c r="I88" s="638"/>
      <c r="J88" s="638"/>
      <c r="K88" s="638"/>
      <c r="L88" s="638"/>
      <c r="M88" s="496"/>
      <c r="N88" s="525"/>
      <c r="O88" s="493"/>
    </row>
    <row r="89" spans="2:15" ht="17.25" customHeight="1" x14ac:dyDescent="0.3">
      <c r="B89" s="499"/>
      <c r="C89" s="637"/>
      <c r="D89" s="637"/>
      <c r="E89" s="637"/>
      <c r="F89" s="637"/>
      <c r="G89" s="637"/>
      <c r="H89" s="637"/>
      <c r="I89" s="637"/>
      <c r="J89" s="637"/>
      <c r="K89" s="637"/>
      <c r="L89" s="637"/>
      <c r="M89" s="499"/>
      <c r="N89" s="525"/>
      <c r="O89" s="493"/>
    </row>
    <row r="90" spans="2:15" ht="17.25" customHeight="1" x14ac:dyDescent="0.3">
      <c r="B90" s="496"/>
      <c r="C90" s="638"/>
      <c r="D90" s="638"/>
      <c r="E90" s="638"/>
      <c r="F90" s="638"/>
      <c r="G90" s="638"/>
      <c r="H90" s="638"/>
      <c r="I90" s="638"/>
      <c r="J90" s="638"/>
      <c r="K90" s="638"/>
      <c r="L90" s="638"/>
      <c r="M90" s="496"/>
      <c r="N90" s="525"/>
      <c r="O90" s="493"/>
    </row>
    <row r="91" spans="2:15" ht="17.25" customHeight="1" x14ac:dyDescent="0.3">
      <c r="B91" s="499"/>
      <c r="C91" s="637"/>
      <c r="D91" s="637"/>
      <c r="E91" s="637"/>
      <c r="F91" s="637"/>
      <c r="G91" s="637"/>
      <c r="H91" s="637"/>
      <c r="I91" s="637"/>
      <c r="J91" s="637"/>
      <c r="K91" s="637"/>
      <c r="L91" s="637"/>
      <c r="M91" s="499"/>
      <c r="N91" s="525"/>
      <c r="O91" s="493"/>
    </row>
    <row r="92" spans="2:15" ht="17.25" customHeight="1" x14ac:dyDescent="0.3">
      <c r="B92" s="496"/>
      <c r="C92" s="638"/>
      <c r="D92" s="638"/>
      <c r="E92" s="638"/>
      <c r="F92" s="638"/>
      <c r="G92" s="638"/>
      <c r="H92" s="638"/>
      <c r="I92" s="638"/>
      <c r="J92" s="638"/>
      <c r="K92" s="638"/>
      <c r="L92" s="638"/>
      <c r="M92" s="496"/>
      <c r="N92" s="525"/>
      <c r="O92" s="493"/>
    </row>
    <row r="93" spans="2:15" ht="17.25" customHeight="1" x14ac:dyDescent="0.3">
      <c r="B93" s="499"/>
      <c r="C93" s="637"/>
      <c r="D93" s="637"/>
      <c r="E93" s="637"/>
      <c r="F93" s="637"/>
      <c r="G93" s="637"/>
      <c r="H93" s="637"/>
      <c r="I93" s="637"/>
      <c r="J93" s="637"/>
      <c r="K93" s="637"/>
      <c r="L93" s="637"/>
      <c r="M93" s="500"/>
      <c r="N93" s="525"/>
      <c r="O93" s="493"/>
    </row>
    <row r="94" spans="2:15" ht="17.25" customHeight="1" x14ac:dyDescent="0.3">
      <c r="B94" s="496"/>
      <c r="C94" s="638"/>
      <c r="D94" s="638"/>
      <c r="E94" s="638"/>
      <c r="F94" s="638"/>
      <c r="G94" s="638"/>
      <c r="H94" s="638"/>
      <c r="I94" s="638"/>
      <c r="J94" s="638"/>
      <c r="K94" s="638"/>
      <c r="L94" s="638"/>
      <c r="M94" s="496"/>
      <c r="N94" s="525"/>
      <c r="O94" s="493"/>
    </row>
    <row r="95" spans="2:15" ht="18" customHeight="1" x14ac:dyDescent="0.3">
      <c r="N95" s="62"/>
    </row>
    <row r="96" spans="2:15" ht="18" customHeight="1" x14ac:dyDescent="0.3">
      <c r="N96" s="62"/>
    </row>
    <row r="97" spans="14:14" ht="18" customHeight="1" x14ac:dyDescent="0.3">
      <c r="N97" s="62"/>
    </row>
    <row r="98" spans="14:14" ht="18" customHeight="1" x14ac:dyDescent="0.3">
      <c r="N98" s="62"/>
    </row>
    <row r="99" spans="14:14" ht="18" customHeight="1" x14ac:dyDescent="0.3">
      <c r="N99" s="62"/>
    </row>
    <row r="100" spans="14:14" ht="18" customHeight="1" x14ac:dyDescent="0.3">
      <c r="N100" s="62"/>
    </row>
    <row r="101" spans="14:14" ht="18" customHeight="1" x14ac:dyDescent="0.3">
      <c r="N101" s="62"/>
    </row>
    <row r="102" spans="14:14" ht="18" customHeight="1" x14ac:dyDescent="0.3">
      <c r="N102" s="62"/>
    </row>
    <row r="103" spans="14:14" ht="18" customHeight="1" x14ac:dyDescent="0.3">
      <c r="N103" s="62"/>
    </row>
    <row r="104" spans="14:14" ht="18" customHeight="1" x14ac:dyDescent="0.3">
      <c r="N104" s="62"/>
    </row>
    <row r="105" spans="14:14" ht="18" customHeight="1" x14ac:dyDescent="0.3">
      <c r="N105" s="62"/>
    </row>
    <row r="106" spans="14:14" ht="18" customHeight="1" x14ac:dyDescent="0.3">
      <c r="N106" s="62"/>
    </row>
    <row r="107" spans="14:14" ht="18" customHeight="1" x14ac:dyDescent="0.3">
      <c r="N107" s="62"/>
    </row>
    <row r="108" spans="14:14" ht="18" customHeight="1" x14ac:dyDescent="0.3">
      <c r="N108" s="62"/>
    </row>
    <row r="109" spans="14:14" ht="18" customHeight="1" x14ac:dyDescent="0.3">
      <c r="N109" s="62"/>
    </row>
    <row r="110" spans="14:14" ht="18" customHeight="1" x14ac:dyDescent="0.3">
      <c r="N110" s="62"/>
    </row>
    <row r="111" spans="14:14" ht="18" customHeight="1" x14ac:dyDescent="0.3">
      <c r="N111" s="62"/>
    </row>
    <row r="112" spans="14:14"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8"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8" customHeight="1" x14ac:dyDescent="0.3">
      <c r="N283" s="62"/>
    </row>
    <row r="284" spans="14:14" ht="18" customHeight="1" x14ac:dyDescent="0.3">
      <c r="N284" s="62"/>
    </row>
    <row r="285" spans="14:14" ht="18" customHeight="1" x14ac:dyDescent="0.3">
      <c r="N285" s="62"/>
    </row>
    <row r="286" spans="14:14" ht="18" customHeight="1" x14ac:dyDescent="0.3">
      <c r="N286" s="62"/>
    </row>
    <row r="287" spans="14:14" ht="18" customHeight="1" x14ac:dyDescent="0.3">
      <c r="N287" s="62"/>
    </row>
    <row r="288" spans="14:14" ht="18" customHeight="1" x14ac:dyDescent="0.3">
      <c r="N288" s="62"/>
    </row>
    <row r="289" spans="14:14" ht="18" customHeight="1" x14ac:dyDescent="0.3">
      <c r="N289" s="62"/>
    </row>
    <row r="290" spans="14:14" ht="18" customHeight="1" x14ac:dyDescent="0.3">
      <c r="N290" s="62"/>
    </row>
    <row r="291" spans="14:14" ht="18" customHeight="1" x14ac:dyDescent="0.3">
      <c r="N291" s="62"/>
    </row>
    <row r="292" spans="14:14" ht="18" customHeight="1" x14ac:dyDescent="0.3">
      <c r="N292" s="62"/>
    </row>
    <row r="293" spans="14:14" ht="18" customHeight="1" x14ac:dyDescent="0.3">
      <c r="N293" s="62"/>
    </row>
    <row r="294" spans="14:14" ht="18" customHeight="1" x14ac:dyDescent="0.3">
      <c r="N294" s="62"/>
    </row>
    <row r="295" spans="14:14" ht="18" customHeight="1" x14ac:dyDescent="0.3">
      <c r="N295" s="62"/>
    </row>
    <row r="296" spans="14:14" ht="18" customHeight="1" x14ac:dyDescent="0.3">
      <c r="N296" s="62"/>
    </row>
    <row r="297" spans="14:14" ht="18" customHeight="1" x14ac:dyDescent="0.3">
      <c r="N297" s="62"/>
    </row>
    <row r="298" spans="14:14" ht="18" customHeight="1" x14ac:dyDescent="0.3">
      <c r="N298" s="62"/>
    </row>
    <row r="299" spans="14:14" ht="18" customHeight="1" x14ac:dyDescent="0.3">
      <c r="N299" s="62"/>
    </row>
    <row r="300" spans="14:14" ht="18" customHeight="1" x14ac:dyDescent="0.3">
      <c r="N300" s="62"/>
    </row>
  </sheetData>
  <mergeCells count="369">
    <mergeCell ref="C93:D93"/>
    <mergeCell ref="E93:F93"/>
    <mergeCell ref="G93:J93"/>
    <mergeCell ref="K93:L93"/>
    <mergeCell ref="C94:D94"/>
    <mergeCell ref="E94:F94"/>
    <mergeCell ref="G94:J94"/>
    <mergeCell ref="K94:L94"/>
    <mergeCell ref="C91:D91"/>
    <mergeCell ref="E91:F91"/>
    <mergeCell ref="G91:J91"/>
    <mergeCell ref="K91:L91"/>
    <mergeCell ref="C92:D92"/>
    <mergeCell ref="E92:F92"/>
    <mergeCell ref="G92:J92"/>
    <mergeCell ref="K92:L92"/>
    <mergeCell ref="C89:D89"/>
    <mergeCell ref="E89:F89"/>
    <mergeCell ref="G89:J89"/>
    <mergeCell ref="K89:L89"/>
    <mergeCell ref="C90:D90"/>
    <mergeCell ref="E90:F90"/>
    <mergeCell ref="G90:J90"/>
    <mergeCell ref="K90:L90"/>
    <mergeCell ref="C87:D87"/>
    <mergeCell ref="E87:F87"/>
    <mergeCell ref="G87:J87"/>
    <mergeCell ref="K87:L87"/>
    <mergeCell ref="C88:D88"/>
    <mergeCell ref="E88:F88"/>
    <mergeCell ref="G88:J88"/>
    <mergeCell ref="K88:L88"/>
    <mergeCell ref="C85:D85"/>
    <mergeCell ref="E85:F85"/>
    <mergeCell ref="G85:J85"/>
    <mergeCell ref="K85:L85"/>
    <mergeCell ref="C86:D86"/>
    <mergeCell ref="E86:F86"/>
    <mergeCell ref="G86:J86"/>
    <mergeCell ref="K86:L86"/>
    <mergeCell ref="C83:D83"/>
    <mergeCell ref="E83:F83"/>
    <mergeCell ref="G83:J83"/>
    <mergeCell ref="K83:L83"/>
    <mergeCell ref="C84:D84"/>
    <mergeCell ref="E84:F84"/>
    <mergeCell ref="G84:J84"/>
    <mergeCell ref="K84:L84"/>
    <mergeCell ref="C81:D81"/>
    <mergeCell ref="E81:F81"/>
    <mergeCell ref="G81:J81"/>
    <mergeCell ref="K81:L81"/>
    <mergeCell ref="C82:D82"/>
    <mergeCell ref="E82:F82"/>
    <mergeCell ref="G82:J82"/>
    <mergeCell ref="K82:L82"/>
    <mergeCell ref="C79:D79"/>
    <mergeCell ref="E79:F79"/>
    <mergeCell ref="G79:J79"/>
    <mergeCell ref="K79:L79"/>
    <mergeCell ref="C80:D80"/>
    <mergeCell ref="E80:F80"/>
    <mergeCell ref="G80:J80"/>
    <mergeCell ref="K80:L80"/>
    <mergeCell ref="C77:D77"/>
    <mergeCell ref="E77:F77"/>
    <mergeCell ref="G77:J77"/>
    <mergeCell ref="K77:L77"/>
    <mergeCell ref="C78:D78"/>
    <mergeCell ref="E78:F78"/>
    <mergeCell ref="G78:J78"/>
    <mergeCell ref="K78:L78"/>
    <mergeCell ref="C75:D75"/>
    <mergeCell ref="E75:F75"/>
    <mergeCell ref="G75:J75"/>
    <mergeCell ref="K75:L75"/>
    <mergeCell ref="C76:D76"/>
    <mergeCell ref="E76:F76"/>
    <mergeCell ref="G76:J76"/>
    <mergeCell ref="K76:L76"/>
    <mergeCell ref="C73:D73"/>
    <mergeCell ref="E73:F73"/>
    <mergeCell ref="G73:J73"/>
    <mergeCell ref="K73:L73"/>
    <mergeCell ref="C74:D74"/>
    <mergeCell ref="E74:F74"/>
    <mergeCell ref="G74:J74"/>
    <mergeCell ref="K74:L74"/>
    <mergeCell ref="C71:D71"/>
    <mergeCell ref="E71:F71"/>
    <mergeCell ref="G71:J71"/>
    <mergeCell ref="K71:L71"/>
    <mergeCell ref="C72:D72"/>
    <mergeCell ref="E72:F72"/>
    <mergeCell ref="G72:J72"/>
    <mergeCell ref="K72:L72"/>
    <mergeCell ref="C69:D69"/>
    <mergeCell ref="E69:F69"/>
    <mergeCell ref="G69:J69"/>
    <mergeCell ref="K69:L69"/>
    <mergeCell ref="C70:D70"/>
    <mergeCell ref="E70:F70"/>
    <mergeCell ref="G70:J70"/>
    <mergeCell ref="K70:L70"/>
    <mergeCell ref="C67:D67"/>
    <mergeCell ref="E67:F67"/>
    <mergeCell ref="G67:J67"/>
    <mergeCell ref="K67:L67"/>
    <mergeCell ref="C68:D68"/>
    <mergeCell ref="E68:F68"/>
    <mergeCell ref="G68:J68"/>
    <mergeCell ref="K68:L68"/>
    <mergeCell ref="C65:D65"/>
    <mergeCell ref="E65:F65"/>
    <mergeCell ref="G65:J65"/>
    <mergeCell ref="K65:L65"/>
    <mergeCell ref="C66:D66"/>
    <mergeCell ref="E66:F66"/>
    <mergeCell ref="G66:J66"/>
    <mergeCell ref="K66:L66"/>
    <mergeCell ref="C63:D63"/>
    <mergeCell ref="E63:F63"/>
    <mergeCell ref="G63:J63"/>
    <mergeCell ref="K63:L63"/>
    <mergeCell ref="C64:D64"/>
    <mergeCell ref="E64:F64"/>
    <mergeCell ref="G64:J64"/>
    <mergeCell ref="K64:L64"/>
    <mergeCell ref="C61:D61"/>
    <mergeCell ref="E61:F61"/>
    <mergeCell ref="G61:J61"/>
    <mergeCell ref="K61:L61"/>
    <mergeCell ref="C62:D62"/>
    <mergeCell ref="E62:F62"/>
    <mergeCell ref="G62:J62"/>
    <mergeCell ref="K62:L62"/>
    <mergeCell ref="C59:D59"/>
    <mergeCell ref="E59:F59"/>
    <mergeCell ref="G59:J59"/>
    <mergeCell ref="K59:L59"/>
    <mergeCell ref="C60:D60"/>
    <mergeCell ref="E60:F60"/>
    <mergeCell ref="G60:J60"/>
    <mergeCell ref="K60:L60"/>
    <mergeCell ref="C57:D57"/>
    <mergeCell ref="E57:F57"/>
    <mergeCell ref="G57:J57"/>
    <mergeCell ref="K57:L57"/>
    <mergeCell ref="C58:D58"/>
    <mergeCell ref="E58:F58"/>
    <mergeCell ref="G58:J58"/>
    <mergeCell ref="K58:L58"/>
    <mergeCell ref="C55:D55"/>
    <mergeCell ref="E55:F55"/>
    <mergeCell ref="G55:J55"/>
    <mergeCell ref="K55:L55"/>
    <mergeCell ref="C56:D56"/>
    <mergeCell ref="E56:F56"/>
    <mergeCell ref="G56:J56"/>
    <mergeCell ref="K56:L56"/>
    <mergeCell ref="C53:D53"/>
    <mergeCell ref="E53:F53"/>
    <mergeCell ref="G53:J53"/>
    <mergeCell ref="K53:L53"/>
    <mergeCell ref="C54:D54"/>
    <mergeCell ref="E54:F54"/>
    <mergeCell ref="G54:J54"/>
    <mergeCell ref="K54:L54"/>
    <mergeCell ref="C51:D51"/>
    <mergeCell ref="E51:F51"/>
    <mergeCell ref="G51:J51"/>
    <mergeCell ref="K51:L51"/>
    <mergeCell ref="C52:D52"/>
    <mergeCell ref="E52:F52"/>
    <mergeCell ref="G52:J52"/>
    <mergeCell ref="K52:L52"/>
    <mergeCell ref="C49:D49"/>
    <mergeCell ref="E49:F49"/>
    <mergeCell ref="G49:J49"/>
    <mergeCell ref="K49:L49"/>
    <mergeCell ref="C50:D50"/>
    <mergeCell ref="E50:F50"/>
    <mergeCell ref="G50:J50"/>
    <mergeCell ref="K50:L50"/>
    <mergeCell ref="C47:D47"/>
    <mergeCell ref="E47:F47"/>
    <mergeCell ref="G47:J47"/>
    <mergeCell ref="K47:L47"/>
    <mergeCell ref="C48:D48"/>
    <mergeCell ref="E48:F48"/>
    <mergeCell ref="G48:J48"/>
    <mergeCell ref="K48:L48"/>
    <mergeCell ref="C45:D45"/>
    <mergeCell ref="E45:F45"/>
    <mergeCell ref="G45:J45"/>
    <mergeCell ref="K45:L45"/>
    <mergeCell ref="C46:D46"/>
    <mergeCell ref="E46:F46"/>
    <mergeCell ref="G46:J46"/>
    <mergeCell ref="K46:L46"/>
    <mergeCell ref="C43:D43"/>
    <mergeCell ref="E43:F43"/>
    <mergeCell ref="G43:J43"/>
    <mergeCell ref="K43:L43"/>
    <mergeCell ref="C44:D44"/>
    <mergeCell ref="E44:F44"/>
    <mergeCell ref="G44:J44"/>
    <mergeCell ref="K44:L44"/>
    <mergeCell ref="C41:D41"/>
    <mergeCell ref="E41:F41"/>
    <mergeCell ref="G41:J41"/>
    <mergeCell ref="K41:L41"/>
    <mergeCell ref="C42:D42"/>
    <mergeCell ref="E42:F42"/>
    <mergeCell ref="G42:J42"/>
    <mergeCell ref="K42:L42"/>
    <mergeCell ref="C39:D39"/>
    <mergeCell ref="E39:F39"/>
    <mergeCell ref="G39:J39"/>
    <mergeCell ref="K39:L39"/>
    <mergeCell ref="C40:D40"/>
    <mergeCell ref="E40:F40"/>
    <mergeCell ref="G40:J40"/>
    <mergeCell ref="K40:L40"/>
    <mergeCell ref="C37:D37"/>
    <mergeCell ref="E37:F37"/>
    <mergeCell ref="G37:J37"/>
    <mergeCell ref="K37:L37"/>
    <mergeCell ref="C38:D38"/>
    <mergeCell ref="E38:F38"/>
    <mergeCell ref="G38:J38"/>
    <mergeCell ref="K38:L38"/>
    <mergeCell ref="C35:D35"/>
    <mergeCell ref="E35:F35"/>
    <mergeCell ref="G35:J35"/>
    <mergeCell ref="K35:L35"/>
    <mergeCell ref="C36:D36"/>
    <mergeCell ref="E36:F36"/>
    <mergeCell ref="G36:J36"/>
    <mergeCell ref="K36:L36"/>
    <mergeCell ref="C33:D33"/>
    <mergeCell ref="E33:F33"/>
    <mergeCell ref="G33:J33"/>
    <mergeCell ref="K33:L33"/>
    <mergeCell ref="C34:D34"/>
    <mergeCell ref="E34:F34"/>
    <mergeCell ref="G34:J34"/>
    <mergeCell ref="K34:L34"/>
    <mergeCell ref="C31:D31"/>
    <mergeCell ref="E31:F31"/>
    <mergeCell ref="G31:J31"/>
    <mergeCell ref="K31:L31"/>
    <mergeCell ref="C32:D32"/>
    <mergeCell ref="E32:F32"/>
    <mergeCell ref="G32:J32"/>
    <mergeCell ref="K32:L32"/>
    <mergeCell ref="C29:D29"/>
    <mergeCell ref="E29:F29"/>
    <mergeCell ref="G29:J29"/>
    <mergeCell ref="K29:L29"/>
    <mergeCell ref="C30:D30"/>
    <mergeCell ref="E30:F30"/>
    <mergeCell ref="G30:J30"/>
    <mergeCell ref="K30:L30"/>
    <mergeCell ref="C27:D27"/>
    <mergeCell ref="E27:F27"/>
    <mergeCell ref="G27:J27"/>
    <mergeCell ref="K27:L27"/>
    <mergeCell ref="C28:D28"/>
    <mergeCell ref="E28:F28"/>
    <mergeCell ref="G28:J28"/>
    <mergeCell ref="K28:L28"/>
    <mergeCell ref="C25:D25"/>
    <mergeCell ref="E25:F25"/>
    <mergeCell ref="G25:J25"/>
    <mergeCell ref="K25:L25"/>
    <mergeCell ref="C26:D26"/>
    <mergeCell ref="E26:F26"/>
    <mergeCell ref="G26:J26"/>
    <mergeCell ref="K26:L26"/>
    <mergeCell ref="C23:D23"/>
    <mergeCell ref="E23:F23"/>
    <mergeCell ref="G23:J23"/>
    <mergeCell ref="K23:L23"/>
    <mergeCell ref="C24:D24"/>
    <mergeCell ref="E24:F24"/>
    <mergeCell ref="G24:J24"/>
    <mergeCell ref="K24:L24"/>
    <mergeCell ref="C21:D21"/>
    <mergeCell ref="E21:F21"/>
    <mergeCell ref="G21:J21"/>
    <mergeCell ref="K21:L21"/>
    <mergeCell ref="C22:D22"/>
    <mergeCell ref="E22:F22"/>
    <mergeCell ref="G22:J22"/>
    <mergeCell ref="K22:L22"/>
    <mergeCell ref="C19:D19"/>
    <mergeCell ref="E19:F19"/>
    <mergeCell ref="G19:J19"/>
    <mergeCell ref="K19:L19"/>
    <mergeCell ref="C20:D20"/>
    <mergeCell ref="E20:F20"/>
    <mergeCell ref="G20:J20"/>
    <mergeCell ref="K20:L20"/>
    <mergeCell ref="C17:D17"/>
    <mergeCell ref="E17:F17"/>
    <mergeCell ref="G17:J17"/>
    <mergeCell ref="K17:L17"/>
    <mergeCell ref="C18:D18"/>
    <mergeCell ref="E18:F18"/>
    <mergeCell ref="G18:J18"/>
    <mergeCell ref="K18:L18"/>
    <mergeCell ref="C15:D15"/>
    <mergeCell ref="E15:F15"/>
    <mergeCell ref="G15:J15"/>
    <mergeCell ref="K15:L15"/>
    <mergeCell ref="C16:D16"/>
    <mergeCell ref="E16:F16"/>
    <mergeCell ref="G16:J16"/>
    <mergeCell ref="K16:L16"/>
    <mergeCell ref="C13:D13"/>
    <mergeCell ref="E13:F13"/>
    <mergeCell ref="G13:J13"/>
    <mergeCell ref="K13:L13"/>
    <mergeCell ref="C14:D14"/>
    <mergeCell ref="E14:F14"/>
    <mergeCell ref="G14:J14"/>
    <mergeCell ref="K14:L14"/>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C4:J500">
    <cfRule type="expression" dxfId="35" priority="1">
      <formula>$N4&lt;&gt;""</formula>
    </cfRule>
  </conditionalFormatting>
  <conditionalFormatting sqref="M4:N500">
    <cfRule type="expression" dxfId="34" priority="2">
      <formula>$N4&lt;&gt;""</formula>
    </cfRule>
  </conditionalFormatting>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D7C3-9D1F-4074-84E6-8C86F5C41C17}">
  <sheetPr>
    <tabColor rgb="FF2F3A4A"/>
  </sheetPr>
  <dimension ref="A1:AO201"/>
  <sheetViews>
    <sheetView showGridLines="0" topLeftCell="A7" zoomScale="90" zoomScaleNormal="90" workbookViewId="0">
      <selection activeCell="A127" sqref="A127:D127"/>
    </sheetView>
  </sheetViews>
  <sheetFormatPr defaultColWidth="8.5546875" defaultRowHeight="14.4" x14ac:dyDescent="0.3"/>
  <cols>
    <col min="1" max="1" width="36.5546875"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16384" width="8.5546875" style="1"/>
  </cols>
  <sheetData>
    <row r="1" spans="1:41"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row>
    <row r="2" spans="1:41"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row>
    <row r="3" spans="1:41" ht="15" customHeight="1" x14ac:dyDescent="0.3">
      <c r="A3" s="75">
        <v>46328</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row>
    <row r="4" spans="1:41" ht="21" customHeight="1" x14ac:dyDescent="0.3">
      <c r="A4" s="110"/>
      <c r="B4" s="109"/>
      <c r="C4" s="108"/>
      <c r="D4" s="104"/>
      <c r="E4" s="107" t="s">
        <v>184</v>
      </c>
      <c r="F4" s="871" t="str">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
      </c>
      <c r="G4" s="106" t="str">
        <f>IFERROR(ROUNDUP(D4/F4,0),"")</f>
        <v/>
      </c>
      <c r="H4" s="105"/>
      <c r="I4" s="104" t="str">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
      </c>
      <c r="AA4" t="s">
        <v>185</v>
      </c>
      <c r="AB4" t="s">
        <v>1423</v>
      </c>
      <c r="AH4" s="900">
        <v>600</v>
      </c>
      <c r="AO4" s="900">
        <v>125</v>
      </c>
    </row>
    <row r="5" spans="1:41" ht="21" customHeight="1" x14ac:dyDescent="0.3">
      <c r="A5" s="110"/>
      <c r="B5" s="109"/>
      <c r="C5" s="108"/>
      <c r="D5" s="104"/>
      <c r="E5" s="107" t="s">
        <v>184</v>
      </c>
      <c r="F5" s="871"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06" t="str">
        <f>IFERROR(ROUNDUP(D5/F5,0),"")</f>
        <v/>
      </c>
      <c r="H5" s="105"/>
      <c r="I5" s="104"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AA5" t="s">
        <v>183</v>
      </c>
      <c r="AB5" t="s">
        <v>1423</v>
      </c>
      <c r="AO5" s="900">
        <v>180</v>
      </c>
    </row>
    <row r="6" spans="1:41"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1"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1"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1" ht="15" customHeight="1" x14ac:dyDescent="0.3">
      <c r="A9" s="899"/>
      <c r="B9" s="846" t="s">
        <v>186</v>
      </c>
      <c r="C9" s="847"/>
      <c r="D9" s="848">
        <f>SUM(D2:D8)</f>
        <v>0</v>
      </c>
      <c r="E9" s="849"/>
      <c r="F9" s="856" t="s">
        <v>1400</v>
      </c>
      <c r="G9" s="850">
        <f>SUM(G2:G8)</f>
        <v>0</v>
      </c>
      <c r="H9" s="848">
        <f>SUM(H2:H8)</f>
        <v>0</v>
      </c>
      <c r="I9" s="848">
        <f>SUM(I2:I8)</f>
        <v>0</v>
      </c>
      <c r="J9" s="63">
        <f>D9</f>
        <v>0</v>
      </c>
      <c r="K9" s="93">
        <f>G9</f>
        <v>0</v>
      </c>
      <c r="L9" s="63">
        <f>H9</f>
        <v>0</v>
      </c>
      <c r="M9" s="63">
        <f>I9</f>
        <v>0</v>
      </c>
      <c r="N9" s="587" t="str" cm="1">
        <f t="array" ref="N9">IF(H9=0,"",SUMPRODUCT(IFERROR(INT(H4:H8/F4:F8),0)))</f>
        <v/>
      </c>
      <c r="O9" s="770" t="str">
        <f>IF(N9="","",MAX(0,G9-N9))</f>
        <v/>
      </c>
      <c r="AA9" t="s">
        <v>58</v>
      </c>
      <c r="AB9" t="s">
        <v>1423</v>
      </c>
      <c r="AO9" s="900">
        <v>600</v>
      </c>
    </row>
    <row r="10" spans="1:41" ht="6" customHeight="1" x14ac:dyDescent="0.3">
      <c r="C10" s="65"/>
      <c r="AA10" t="s">
        <v>496</v>
      </c>
      <c r="AB10" t="s">
        <v>1423</v>
      </c>
    </row>
    <row r="11" spans="1:41" ht="15" customHeight="1" x14ac:dyDescent="0.3">
      <c r="A11" s="75">
        <v>46329</v>
      </c>
      <c r="B11" s="113" t="s">
        <v>49</v>
      </c>
      <c r="C11" s="112" t="s">
        <v>176</v>
      </c>
      <c r="D11" s="111" t="s">
        <v>177</v>
      </c>
      <c r="E11" s="111" t="s">
        <v>178</v>
      </c>
      <c r="F11" s="860" t="s">
        <v>179</v>
      </c>
      <c r="G11" s="111" t="s">
        <v>180</v>
      </c>
      <c r="H11" s="111" t="s">
        <v>181</v>
      </c>
      <c r="I11" s="111" t="s">
        <v>182</v>
      </c>
      <c r="AA11" t="s">
        <v>37</v>
      </c>
      <c r="AB11" t="s">
        <v>1423</v>
      </c>
    </row>
    <row r="12" spans="1:41" ht="21" customHeight="1" x14ac:dyDescent="0.3">
      <c r="A12" s="110"/>
      <c r="B12" s="109"/>
      <c r="C12" s="108"/>
      <c r="D12" s="104"/>
      <c r="E12" s="107" t="s">
        <v>184</v>
      </c>
      <c r="F12" s="871" t="str">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
      </c>
      <c r="G12" s="106" t="str">
        <f>IFERROR(ROUNDUP(D12/F12,0),"")</f>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1"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1"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1"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1"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0</v>
      </c>
      <c r="E17" s="849"/>
      <c r="F17" s="856" t="s">
        <v>1400</v>
      </c>
      <c r="G17" s="850">
        <f>SUM(G10:G16)</f>
        <v>0</v>
      </c>
      <c r="H17" s="848">
        <f>SUM(H10:H16)</f>
        <v>0</v>
      </c>
      <c r="I17" s="848">
        <f>SUM(I10:I16)</f>
        <v>0</v>
      </c>
      <c r="J17" s="63">
        <f>D17</f>
        <v>0</v>
      </c>
      <c r="K17" s="93">
        <f>G17</f>
        <v>0</v>
      </c>
      <c r="L17" s="63">
        <f>H17</f>
        <v>0</v>
      </c>
      <c r="M17" s="63">
        <f>I17</f>
        <v>0</v>
      </c>
      <c r="N17" s="587" t="str" cm="1">
        <f t="array" ref="N17">IF(H17=0,"",SUMPRODUCT(IFERROR(INT(H12:H16/F12:F16),0)))</f>
        <v/>
      </c>
      <c r="O17" s="770" t="str">
        <f>IF(N17="","",MAX(0,G17-N17))</f>
        <v/>
      </c>
      <c r="AA17" t="s">
        <v>236</v>
      </c>
      <c r="AB17" t="s">
        <v>1425</v>
      </c>
    </row>
    <row r="18" spans="1:28" ht="6" customHeight="1" x14ac:dyDescent="0.3">
      <c r="C18" s="65"/>
      <c r="AA18" t="s">
        <v>593</v>
      </c>
      <c r="AB18" t="s">
        <v>1426</v>
      </c>
    </row>
    <row r="19" spans="1:28" ht="15" customHeight="1" x14ac:dyDescent="0.3">
      <c r="A19" s="75">
        <v>46330</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c r="C20" s="108"/>
      <c r="D20" s="104"/>
      <c r="E20" s="107" t="s">
        <v>184</v>
      </c>
      <c r="F20" s="871"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06" t="str">
        <f>IFERROR(ROUNDUP(D20/F20,0),"")</f>
        <v/>
      </c>
      <c r="H20" s="105"/>
      <c r="I20" s="104"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AA20" t="s">
        <v>189</v>
      </c>
      <c r="AB20" t="s">
        <v>1425</v>
      </c>
    </row>
    <row r="21" spans="1:28" ht="21" customHeight="1" x14ac:dyDescent="0.3">
      <c r="A21" s="110"/>
      <c r="B21" s="109"/>
      <c r="C21" s="108"/>
      <c r="D21" s="104"/>
      <c r="E21" s="107" t="s">
        <v>184</v>
      </c>
      <c r="F21" s="871"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106" t="str">
        <f>IFERROR(ROUNDUP(D21/F21,0),"")</f>
        <v/>
      </c>
      <c r="H21" s="105"/>
      <c r="I21" s="104"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0</v>
      </c>
      <c r="E25" s="849"/>
      <c r="F25" s="856" t="s">
        <v>1400</v>
      </c>
      <c r="G25" s="850">
        <f>SUM(G18:G24)</f>
        <v>0</v>
      </c>
      <c r="H25" s="848">
        <f>SUM(H18:H24)</f>
        <v>0</v>
      </c>
      <c r="I25" s="848">
        <f>SUM(I18:I24)</f>
        <v>0</v>
      </c>
      <c r="J25" s="63">
        <f>D25</f>
        <v>0</v>
      </c>
      <c r="K25" s="93">
        <f>G25</f>
        <v>0</v>
      </c>
      <c r="L25" s="63">
        <f>H25</f>
        <v>0</v>
      </c>
      <c r="M25" s="63">
        <f>I25</f>
        <v>0</v>
      </c>
      <c r="N25" s="587" t="str" cm="1">
        <f t="array" ref="N25">IF(H25=0,"",SUMPRODUCT(IFERROR(INT(H20:H24/F20:F24),0)))</f>
        <v/>
      </c>
      <c r="O25" s="770" t="str">
        <f>IF(N25="","",MAX(0,G25-N25))</f>
        <v/>
      </c>
      <c r="AA25" t="s">
        <v>1159</v>
      </c>
      <c r="AB25" t="s">
        <v>1423</v>
      </c>
    </row>
    <row r="26" spans="1:28" ht="6" customHeight="1" x14ac:dyDescent="0.3">
      <c r="C26" s="65"/>
      <c r="AA26" t="s">
        <v>287</v>
      </c>
      <c r="AB26" t="s">
        <v>1427</v>
      </c>
    </row>
    <row r="27" spans="1:28" ht="15" customHeight="1" x14ac:dyDescent="0.3">
      <c r="A27" s="75">
        <v>46331</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c r="C28" s="108"/>
      <c r="D28" s="104"/>
      <c r="E28" s="107" t="s">
        <v>184</v>
      </c>
      <c r="F28" s="871" t="str">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
      </c>
      <c r="G28" s="106" t="str">
        <f>IFERROR(ROUNDUP(D28/F28,0),"")</f>
        <v/>
      </c>
      <c r="H28" s="105"/>
      <c r="I28" s="104" t="str">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0</v>
      </c>
      <c r="E33" s="849"/>
      <c r="F33" s="856" t="s">
        <v>1400</v>
      </c>
      <c r="G33" s="850">
        <f>SUM(G26:G32)</f>
        <v>0</v>
      </c>
      <c r="H33" s="848">
        <f>SUM(H26:H32)</f>
        <v>0</v>
      </c>
      <c r="I33" s="848">
        <f>SUM(I26:I32)</f>
        <v>0</v>
      </c>
      <c r="J33" s="63">
        <f>D33</f>
        <v>0</v>
      </c>
      <c r="K33" s="93">
        <f>G33</f>
        <v>0</v>
      </c>
      <c r="L33" s="63">
        <f>H33</f>
        <v>0</v>
      </c>
      <c r="M33" s="63">
        <f>I33</f>
        <v>0</v>
      </c>
      <c r="N33" s="587" t="str" cm="1">
        <f t="array" ref="N33">IF(H33=0,"",SUMPRODUCT(IFERROR(INT(H28:H32/F28:F32),0)))</f>
        <v/>
      </c>
      <c r="O33" s="770" t="str">
        <f>IF(N33="","",MAX(0,G33-N33))</f>
        <v/>
      </c>
      <c r="AA33" t="s">
        <v>471</v>
      </c>
      <c r="AB33" t="s">
        <v>1428</v>
      </c>
    </row>
    <row r="34" spans="1:28" ht="6" customHeight="1" x14ac:dyDescent="0.3">
      <c r="C34" s="65"/>
      <c r="AA34" t="s">
        <v>292</v>
      </c>
      <c r="AB34" t="s">
        <v>1428</v>
      </c>
    </row>
    <row r="35" spans="1:28" ht="15" customHeight="1" x14ac:dyDescent="0.3">
      <c r="A35" s="75">
        <v>46332</v>
      </c>
      <c r="B35" s="113" t="s">
        <v>49</v>
      </c>
      <c r="C35" s="112" t="s">
        <v>176</v>
      </c>
      <c r="D35" s="111" t="s">
        <v>177</v>
      </c>
      <c r="E35" s="111" t="s">
        <v>178</v>
      </c>
      <c r="F35" s="860" t="s">
        <v>179</v>
      </c>
      <c r="G35" s="111" t="s">
        <v>180</v>
      </c>
      <c r="H35" s="111" t="s">
        <v>181</v>
      </c>
      <c r="I35" s="111" t="s">
        <v>182</v>
      </c>
      <c r="AA35" t="s">
        <v>1193</v>
      </c>
      <c r="AB35" t="s">
        <v>1428</v>
      </c>
    </row>
    <row r="36" spans="1:28" ht="21" customHeight="1" x14ac:dyDescent="0.3">
      <c r="A36" s="110"/>
      <c r="B36" s="109"/>
      <c r="C36" s="108"/>
      <c r="D36" s="104"/>
      <c r="E36" s="107" t="s">
        <v>184</v>
      </c>
      <c r="F36" s="871"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106" t="str">
        <f>IFERROR(ROUNDUP(D36/F36,0),"")</f>
        <v/>
      </c>
      <c r="H36" s="105"/>
      <c r="I36" s="104"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AA36" t="s">
        <v>294</v>
      </c>
      <c r="AB36" t="s">
        <v>1428</v>
      </c>
    </row>
    <row r="37" spans="1:28" ht="21" customHeight="1" x14ac:dyDescent="0.3">
      <c r="A37" s="110"/>
      <c r="B37" s="109"/>
      <c r="C37" s="108"/>
      <c r="D37" s="104"/>
      <c r="E37" s="107" t="s">
        <v>184</v>
      </c>
      <c r="F37" s="871"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06" t="str">
        <f>IFERROR(ROUNDUP(D37/F37,0),"")</f>
        <v/>
      </c>
      <c r="H37" s="105"/>
      <c r="I37" s="104"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AA37" t="s">
        <v>591</v>
      </c>
      <c r="AB37" t="s">
        <v>1428</v>
      </c>
    </row>
    <row r="38" spans="1:28" ht="21" customHeight="1" x14ac:dyDescent="0.3">
      <c r="A38" s="110"/>
      <c r="B38" s="109"/>
      <c r="C38" s="108"/>
      <c r="D38" s="104"/>
      <c r="E38" s="107" t="s">
        <v>184</v>
      </c>
      <c r="F38" s="871"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06" t="str">
        <f>IFERROR(ROUNDUP(D38/F38,0),"")</f>
        <v/>
      </c>
      <c r="H38" s="105"/>
      <c r="I38" s="104"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AA38" t="s">
        <v>590</v>
      </c>
      <c r="AB38" t="s">
        <v>1428</v>
      </c>
    </row>
    <row r="39" spans="1:28" ht="21" customHeight="1" x14ac:dyDescent="0.3">
      <c r="A39" s="110"/>
      <c r="B39" s="109"/>
      <c r="C39" s="108"/>
      <c r="D39" s="104"/>
      <c r="E39" s="107" t="s">
        <v>184</v>
      </c>
      <c r="F39" s="871"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06" t="str">
        <f>IFERROR(ROUNDUP(D39/F39,0),"")</f>
        <v/>
      </c>
      <c r="H39" s="105"/>
      <c r="I39" s="104"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AA39" t="s">
        <v>592</v>
      </c>
      <c r="AB39" t="s">
        <v>1428</v>
      </c>
    </row>
    <row r="40" spans="1:28" ht="21" customHeight="1" x14ac:dyDescent="0.3">
      <c r="A40" s="817"/>
      <c r="B40" s="818"/>
      <c r="C40" s="819"/>
      <c r="D40" s="820"/>
      <c r="E40" s="821" t="s">
        <v>184</v>
      </c>
      <c r="F40" s="872"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22" t="str">
        <f>IFERROR(ROUNDUP(D40/F40,0),"")</f>
        <v/>
      </c>
      <c r="H40" s="823"/>
      <c r="I40" s="820"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AA40" t="s">
        <v>473</v>
      </c>
      <c r="AB40" t="s">
        <v>1428</v>
      </c>
    </row>
    <row r="41" spans="1:28" ht="15" customHeight="1" x14ac:dyDescent="0.3">
      <c r="A41" s="899"/>
      <c r="B41" s="846" t="s">
        <v>186</v>
      </c>
      <c r="C41" s="847"/>
      <c r="D41" s="848">
        <f>SUM(D34:D40)</f>
        <v>0</v>
      </c>
      <c r="E41" s="849"/>
      <c r="F41" s="856" t="s">
        <v>1400</v>
      </c>
      <c r="G41" s="850">
        <f>SUM(G34:G40)</f>
        <v>0</v>
      </c>
      <c r="H41" s="848">
        <f>SUM(H34:H40)</f>
        <v>0</v>
      </c>
      <c r="I41" s="848">
        <f>SUM(I34:I40)</f>
        <v>0</v>
      </c>
      <c r="J41" s="63">
        <f>D41</f>
        <v>0</v>
      </c>
      <c r="K41" s="93">
        <f>G41</f>
        <v>0</v>
      </c>
      <c r="L41" s="63">
        <f>H41</f>
        <v>0</v>
      </c>
      <c r="M41" s="63">
        <f>I41</f>
        <v>0</v>
      </c>
      <c r="N41" s="587" t="str" cm="1">
        <f t="array" ref="N41">IF(H41=0,"",SUMPRODUCT(IFERROR(INT(H36:H40/F36:F40),0)))</f>
        <v/>
      </c>
      <c r="O41" s="770" t="str">
        <f>IF(N41="","",MAX(0,G41-N41))</f>
        <v/>
      </c>
      <c r="AA41" t="s">
        <v>296</v>
      </c>
      <c r="AB41" t="s">
        <v>1428</v>
      </c>
    </row>
    <row r="42" spans="1:28" ht="6" customHeight="1" x14ac:dyDescent="0.3">
      <c r="C42" s="65"/>
      <c r="AA42" t="s">
        <v>472</v>
      </c>
      <c r="AB42" t="s">
        <v>1428</v>
      </c>
    </row>
    <row r="43" spans="1:28" ht="15" customHeight="1" x14ac:dyDescent="0.3">
      <c r="A43" s="135">
        <v>46333</v>
      </c>
      <c r="B43" s="113" t="s">
        <v>49</v>
      </c>
      <c r="C43" s="112" t="s">
        <v>176</v>
      </c>
      <c r="D43" s="111" t="s">
        <v>177</v>
      </c>
      <c r="E43" s="111" t="s">
        <v>178</v>
      </c>
      <c r="F43" s="862" t="s">
        <v>179</v>
      </c>
      <c r="G43" s="111" t="s">
        <v>180</v>
      </c>
      <c r="H43" s="111" t="s">
        <v>181</v>
      </c>
      <c r="I43" s="111" t="s">
        <v>182</v>
      </c>
      <c r="J43" s="128"/>
      <c r="K43" s="128"/>
      <c r="L43" s="128"/>
      <c r="M43" s="128"/>
      <c r="AA43" t="s">
        <v>293</v>
      </c>
      <c r="AB43" t="s">
        <v>1428</v>
      </c>
    </row>
    <row r="44" spans="1:28" ht="21" customHeight="1" x14ac:dyDescent="0.3">
      <c r="A44" s="110"/>
      <c r="B44" s="127"/>
      <c r="C44" s="126"/>
      <c r="D44" s="129"/>
      <c r="E44" s="131" t="s">
        <v>184</v>
      </c>
      <c r="F44" s="877"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30" t="str">
        <f>IFERROR(ROUNDUP(D44/F44,0),"")</f>
        <v/>
      </c>
      <c r="H44" s="105"/>
      <c r="I44" s="129"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J44" s="128"/>
      <c r="K44" s="128"/>
      <c r="L44" s="128"/>
      <c r="M44" s="128"/>
      <c r="AA44" t="s">
        <v>101</v>
      </c>
      <c r="AB44" t="s">
        <v>1428</v>
      </c>
    </row>
    <row r="45" spans="1:28" ht="21" customHeight="1" x14ac:dyDescent="0.3">
      <c r="A45" s="110"/>
      <c r="B45" s="127"/>
      <c r="C45" s="126"/>
      <c r="D45" s="129"/>
      <c r="E45" s="131" t="s">
        <v>184</v>
      </c>
      <c r="F45" s="877"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130" t="str">
        <f>IFERROR(ROUNDUP(D45/F45,0),"")</f>
        <v/>
      </c>
      <c r="H45" s="105"/>
      <c r="I45" s="129"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J45" s="128"/>
      <c r="K45" s="128"/>
      <c r="L45" s="128"/>
      <c r="M45" s="128"/>
      <c r="AA45" t="s">
        <v>474</v>
      </c>
      <c r="AB45" t="s">
        <v>1428</v>
      </c>
    </row>
    <row r="46" spans="1:28" ht="21" customHeight="1" x14ac:dyDescent="0.3">
      <c r="A46" s="110"/>
      <c r="B46" s="127"/>
      <c r="C46" s="126"/>
      <c r="D46" s="129"/>
      <c r="E46" s="131" t="s">
        <v>184</v>
      </c>
      <c r="F46" s="877"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130" t="str">
        <f>IFERROR(ROUNDUP(D46/F46,0),"")</f>
        <v/>
      </c>
      <c r="H46" s="105"/>
      <c r="I46" s="129"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J46" s="128"/>
      <c r="K46" s="128"/>
      <c r="L46" s="128"/>
      <c r="M46" s="128"/>
      <c r="AA46" t="s">
        <v>295</v>
      </c>
      <c r="AB46" t="s">
        <v>1428</v>
      </c>
    </row>
    <row r="47" spans="1:28" ht="21" customHeight="1" x14ac:dyDescent="0.3">
      <c r="A47" s="110"/>
      <c r="B47" s="127"/>
      <c r="C47" s="126"/>
      <c r="D47" s="129"/>
      <c r="E47" s="131" t="s">
        <v>184</v>
      </c>
      <c r="F47" s="877"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30" t="str">
        <f>IFERROR(ROUNDUP(D47/F47,0),"")</f>
        <v/>
      </c>
      <c r="H47" s="105"/>
      <c r="I47" s="129"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J47" s="128"/>
      <c r="K47" s="128"/>
      <c r="L47" s="128"/>
      <c r="M47" s="128"/>
      <c r="AA47" t="s">
        <v>97</v>
      </c>
      <c r="AB47" t="s">
        <v>1428</v>
      </c>
    </row>
    <row r="48" spans="1:28" ht="21" customHeight="1" x14ac:dyDescent="0.3">
      <c r="A48" s="817"/>
      <c r="B48" s="829"/>
      <c r="C48" s="830"/>
      <c r="D48" s="831"/>
      <c r="E48" s="832" t="s">
        <v>184</v>
      </c>
      <c r="F48" s="878"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833" t="str">
        <f>IFERROR(ROUNDUP(D48/F48,0),"")</f>
        <v/>
      </c>
      <c r="H48" s="823"/>
      <c r="I48" s="831"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J48" s="128"/>
      <c r="K48" s="128"/>
      <c r="L48" s="128"/>
      <c r="M48" s="128"/>
      <c r="AA48" t="s">
        <v>475</v>
      </c>
      <c r="AB48" t="s">
        <v>1428</v>
      </c>
    </row>
    <row r="49" spans="1:28" ht="15" customHeight="1" x14ac:dyDescent="0.3">
      <c r="A49" s="899"/>
      <c r="B49" s="846" t="s">
        <v>186</v>
      </c>
      <c r="C49" s="851"/>
      <c r="D49" s="848">
        <f>SUM(D42:D48)</f>
        <v>0</v>
      </c>
      <c r="E49" s="852"/>
      <c r="F49" s="857" t="s">
        <v>1400</v>
      </c>
      <c r="G49" s="850">
        <f>SUM(G42:G48)</f>
        <v>0</v>
      </c>
      <c r="H49" s="848">
        <f>SUM(H42:H48)</f>
        <v>0</v>
      </c>
      <c r="I49" s="848">
        <f>SUM(I42:I48)</f>
        <v>0</v>
      </c>
      <c r="J49" s="133">
        <f>D49</f>
        <v>0</v>
      </c>
      <c r="K49" s="134">
        <f>G49</f>
        <v>0</v>
      </c>
      <c r="L49" s="133">
        <f>H49</f>
        <v>0</v>
      </c>
      <c r="M49" s="133">
        <f>I49</f>
        <v>0</v>
      </c>
      <c r="N49" s="587" t="str" cm="1">
        <f t="array" ref="N49">IF(H49=0,"",SUMPRODUCT(IFERROR(INT(H44:H48/F44:F48),0)))</f>
        <v/>
      </c>
      <c r="O49" s="770" t="str">
        <f>IF(N49="","",MAX(0,G49-N49))</f>
        <v/>
      </c>
      <c r="AA49" t="s">
        <v>491</v>
      </c>
      <c r="AB49" t="s">
        <v>1425</v>
      </c>
    </row>
    <row r="50" spans="1:28" ht="6" customHeight="1" x14ac:dyDescent="0.3">
      <c r="A50" s="128"/>
      <c r="B50" s="128"/>
      <c r="C50" s="132"/>
      <c r="D50" s="128"/>
      <c r="E50" s="128"/>
      <c r="F50" s="128"/>
      <c r="G50" s="128"/>
      <c r="H50" s="128"/>
      <c r="I50" s="128"/>
      <c r="J50" s="128"/>
      <c r="K50" s="128"/>
      <c r="L50" s="128"/>
      <c r="M50" s="128"/>
      <c r="AA50" t="s">
        <v>1162</v>
      </c>
      <c r="AB50" t="s">
        <v>1424</v>
      </c>
    </row>
    <row r="51" spans="1:28" ht="15" customHeight="1" x14ac:dyDescent="0.3">
      <c r="A51" s="75">
        <v>46335</v>
      </c>
      <c r="B51" s="113" t="s">
        <v>49</v>
      </c>
      <c r="C51" s="112" t="s">
        <v>176</v>
      </c>
      <c r="D51" s="111" t="s">
        <v>177</v>
      </c>
      <c r="E51" s="111" t="s">
        <v>178</v>
      </c>
      <c r="F51" s="860" t="s">
        <v>179</v>
      </c>
      <c r="G51" s="111" t="s">
        <v>180</v>
      </c>
      <c r="H51" s="111" t="s">
        <v>181</v>
      </c>
      <c r="I51" s="111" t="s">
        <v>182</v>
      </c>
      <c r="AA51" t="s">
        <v>39</v>
      </c>
      <c r="AB51" t="s">
        <v>1423</v>
      </c>
    </row>
    <row r="52" spans="1:28" ht="21" customHeight="1" x14ac:dyDescent="0.3">
      <c r="A52" s="110"/>
      <c r="B52" s="109"/>
      <c r="C52" s="108"/>
      <c r="D52" s="104"/>
      <c r="E52" s="107" t="s">
        <v>184</v>
      </c>
      <c r="F52" s="871"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06" t="str">
        <f>IFERROR(ROUNDUP(D52/F52,0),"")</f>
        <v/>
      </c>
      <c r="H52" s="105"/>
      <c r="I52" s="104"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IFERROR(ROUNDUP(D53/F53,0),"")</f>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AA53" t="s">
        <v>596</v>
      </c>
      <c r="AB53" t="s">
        <v>1425</v>
      </c>
    </row>
    <row r="54" spans="1:28" ht="21" customHeight="1" x14ac:dyDescent="0.3">
      <c r="A54" s="110"/>
      <c r="B54" s="109"/>
      <c r="C54" s="108"/>
      <c r="D54" s="104"/>
      <c r="E54" s="107" t="s">
        <v>184</v>
      </c>
      <c r="F54" s="871"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06" t="str">
        <f>IFERROR(ROUNDUP(D54/F54,0),"")</f>
        <v/>
      </c>
      <c r="H54" s="105"/>
      <c r="I54" s="104"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21" customHeight="1" x14ac:dyDescent="0.3">
      <c r="A55" s="110"/>
      <c r="B55" s="109"/>
      <c r="C55" s="108"/>
      <c r="D55" s="104"/>
      <c r="E55" s="107" t="s">
        <v>184</v>
      </c>
      <c r="F55" s="871"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06" t="str">
        <f>IFERROR(ROUNDUP(D55/F55,0),"")</f>
        <v/>
      </c>
      <c r="H55" s="105"/>
      <c r="I55" s="104"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AA55" t="s">
        <v>571</v>
      </c>
      <c r="AB55" t="s">
        <v>1425</v>
      </c>
    </row>
    <row r="56" spans="1:28" ht="21" customHeight="1" x14ac:dyDescent="0.3">
      <c r="A56" s="817"/>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IFERROR(ROUNDUP(D56/F56,0),"")</f>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0</v>
      </c>
      <c r="E57" s="849"/>
      <c r="F57" s="856" t="s">
        <v>1400</v>
      </c>
      <c r="G57" s="850">
        <f>SUM(G50:G56)</f>
        <v>0</v>
      </c>
      <c r="H57" s="848">
        <f>SUM(H50:H56)</f>
        <v>0</v>
      </c>
      <c r="I57" s="848">
        <f>SUM(I50:I56)</f>
        <v>0</v>
      </c>
      <c r="J57" s="63">
        <f>D57</f>
        <v>0</v>
      </c>
      <c r="K57" s="93">
        <f>G57</f>
        <v>0</v>
      </c>
      <c r="L57" s="63">
        <f>H57</f>
        <v>0</v>
      </c>
      <c r="M57" s="63">
        <f>I57</f>
        <v>0</v>
      </c>
      <c r="N57" s="587" t="str" cm="1">
        <f t="array" ref="N57">IF(H57=0,"",SUMPRODUCT(IFERROR(INT(H52:H56/F52:F56),0)))</f>
        <v/>
      </c>
      <c r="O57" s="770" t="str">
        <f>IF(N57="","",MAX(0,G57-N57))</f>
        <v/>
      </c>
      <c r="AA57" t="s">
        <v>595</v>
      </c>
      <c r="AB57" t="s">
        <v>1425</v>
      </c>
    </row>
    <row r="58" spans="1:28" ht="6" customHeight="1" x14ac:dyDescent="0.3">
      <c r="C58" s="65"/>
      <c r="AA58" t="s">
        <v>483</v>
      </c>
      <c r="AB58" t="s">
        <v>1422</v>
      </c>
    </row>
    <row r="59" spans="1:28" ht="15" customHeight="1" x14ac:dyDescent="0.3">
      <c r="A59" s="75">
        <v>46336</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c r="C60" s="108"/>
      <c r="D60" s="104"/>
      <c r="E60" s="107" t="s">
        <v>184</v>
      </c>
      <c r="F60" s="871" t="str">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
      </c>
      <c r="G60" s="106" t="str">
        <f>IFERROR(ROUNDUP(D60/F60,0),"")</f>
        <v/>
      </c>
      <c r="H60" s="105"/>
      <c r="I60" s="104" t="str">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
      </c>
      <c r="AA60" t="s">
        <v>577</v>
      </c>
      <c r="AB60" t="s">
        <v>1422</v>
      </c>
    </row>
    <row r="61" spans="1:28" ht="21" customHeight="1" x14ac:dyDescent="0.3">
      <c r="A61" s="11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17"/>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0</v>
      </c>
      <c r="E65" s="849"/>
      <c r="F65" s="856" t="s">
        <v>1400</v>
      </c>
      <c r="G65" s="850">
        <f>SUM(G58:G64)</f>
        <v>0</v>
      </c>
      <c r="H65" s="848">
        <f>SUM(H58:H64)</f>
        <v>0</v>
      </c>
      <c r="I65" s="848">
        <f>SUM(I58:I64)</f>
        <v>0</v>
      </c>
      <c r="J65" s="63">
        <f>D65</f>
        <v>0</v>
      </c>
      <c r="K65" s="93">
        <f>G65</f>
        <v>0</v>
      </c>
      <c r="L65" s="63">
        <f>H65</f>
        <v>0</v>
      </c>
      <c r="M65" s="63">
        <f>I65</f>
        <v>0</v>
      </c>
      <c r="N65" s="587" t="str" cm="1">
        <f t="array" ref="N65">IF(H65=0,"",SUMPRODUCT(IFERROR(INT(H60:H64/F60:F64),0)))</f>
        <v/>
      </c>
      <c r="O65" s="770" t="str">
        <f>IF(N65="","",MAX(0,G65-N65))</f>
        <v/>
      </c>
      <c r="AA65" t="s">
        <v>114</v>
      </c>
      <c r="AB65" t="s">
        <v>1422</v>
      </c>
    </row>
    <row r="66" spans="1:28" ht="6" customHeight="1" x14ac:dyDescent="0.3">
      <c r="C66" s="65"/>
      <c r="AA66" t="s">
        <v>487</v>
      </c>
      <c r="AB66" t="s">
        <v>1422</v>
      </c>
    </row>
    <row r="67" spans="1:28" ht="15" customHeight="1" x14ac:dyDescent="0.3">
      <c r="A67" s="75">
        <v>46337</v>
      </c>
      <c r="B67" s="113" t="s">
        <v>49</v>
      </c>
      <c r="C67" s="112" t="s">
        <v>176</v>
      </c>
      <c r="D67" s="111" t="s">
        <v>177</v>
      </c>
      <c r="E67" s="111" t="s">
        <v>178</v>
      </c>
      <c r="F67" s="860" t="s">
        <v>179</v>
      </c>
      <c r="G67" s="111" t="s">
        <v>180</v>
      </c>
      <c r="H67" s="111" t="s">
        <v>181</v>
      </c>
      <c r="I67" s="111" t="s">
        <v>182</v>
      </c>
      <c r="AA67" t="s">
        <v>488</v>
      </c>
      <c r="AB67" t="s">
        <v>1422</v>
      </c>
    </row>
    <row r="68" spans="1:28" ht="21" customHeight="1" x14ac:dyDescent="0.3">
      <c r="A68" s="110"/>
      <c r="B68" s="109"/>
      <c r="C68" s="108"/>
      <c r="D68" s="104"/>
      <c r="E68" s="107" t="s">
        <v>184</v>
      </c>
      <c r="F68" s="871"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06" t="str">
        <f>IFERROR(ROUNDUP(D68/F68,0),"")</f>
        <v/>
      </c>
      <c r="H68" s="105"/>
      <c r="I68" s="104"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AA68" t="s">
        <v>477</v>
      </c>
      <c r="AB68" t="s">
        <v>1422</v>
      </c>
    </row>
    <row r="69" spans="1:28" ht="21" customHeight="1" x14ac:dyDescent="0.3">
      <c r="A69" s="110"/>
      <c r="B69" s="109"/>
      <c r="C69" s="108"/>
      <c r="D69" s="104"/>
      <c r="E69" s="107" t="s">
        <v>184</v>
      </c>
      <c r="F69" s="871"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06" t="str">
        <f>IFERROR(ROUNDUP(D69/F69,0),"")</f>
        <v/>
      </c>
      <c r="H69" s="105"/>
      <c r="I69" s="104"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AA69" t="s">
        <v>1189</v>
      </c>
      <c r="AB69" t="s">
        <v>1422</v>
      </c>
    </row>
    <row r="70" spans="1:28" ht="21" customHeight="1" x14ac:dyDescent="0.3">
      <c r="A70" s="11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IFERROR(ROUNDUP(D70/F70,0),"")</f>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IFERROR(ROUNDUP(D71/F71,0),"")</f>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817"/>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IFERROR(ROUNDUP(D72/F72,0),"")</f>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15" customHeight="1" x14ac:dyDescent="0.3">
      <c r="A73" s="899"/>
      <c r="B73" s="846" t="s">
        <v>186</v>
      </c>
      <c r="C73" s="847"/>
      <c r="D73" s="848">
        <f>SUM(D66:D72)</f>
        <v>0</v>
      </c>
      <c r="E73" s="849"/>
      <c r="F73" s="856" t="s">
        <v>1400</v>
      </c>
      <c r="G73" s="850">
        <f>SUM(G66:G72)</f>
        <v>0</v>
      </c>
      <c r="H73" s="848">
        <f>SUM(H66:H72)</f>
        <v>0</v>
      </c>
      <c r="I73" s="848">
        <f>SUM(I66:I72)</f>
        <v>0</v>
      </c>
      <c r="J73" s="63">
        <f>D73</f>
        <v>0</v>
      </c>
      <c r="K73" s="93">
        <f>G73</f>
        <v>0</v>
      </c>
      <c r="L73" s="63">
        <f>H73</f>
        <v>0</v>
      </c>
      <c r="M73" s="63">
        <f>I73</f>
        <v>0</v>
      </c>
      <c r="N73" s="587" t="str" cm="1">
        <f t="array" ref="N73">IF(H73=0,"",SUMPRODUCT(IFERROR(INT(H68:H72/F68:F72),0)))</f>
        <v/>
      </c>
      <c r="O73" s="770" t="str">
        <f>IF(N73="","",MAX(0,G73-N73))</f>
        <v/>
      </c>
      <c r="AA73" t="s">
        <v>1191</v>
      </c>
      <c r="AB73" t="s">
        <v>1422</v>
      </c>
    </row>
    <row r="74" spans="1:28" ht="6" customHeight="1" x14ac:dyDescent="0.3">
      <c r="C74" s="65"/>
      <c r="AA74" t="s">
        <v>481</v>
      </c>
      <c r="AB74" t="s">
        <v>1422</v>
      </c>
    </row>
    <row r="75" spans="1:28" ht="15" customHeight="1" x14ac:dyDescent="0.3">
      <c r="A75" s="75">
        <v>46338</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10"/>
      <c r="B76" s="109"/>
      <c r="C76" s="108"/>
      <c r="D76" s="104"/>
      <c r="E76" s="107" t="s">
        <v>184</v>
      </c>
      <c r="F76" s="871" t="str">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
      </c>
      <c r="G76" s="106" t="str">
        <f>IFERROR(ROUNDUP(D76/F76,0),"")</f>
        <v/>
      </c>
      <c r="H76" s="105"/>
      <c r="I76" s="104" t="str">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
      </c>
      <c r="AA76" t="s">
        <v>1192</v>
      </c>
      <c r="AB76" t="s">
        <v>1422</v>
      </c>
    </row>
    <row r="77" spans="1:28" ht="21" customHeight="1" x14ac:dyDescent="0.3">
      <c r="A77" s="110"/>
      <c r="B77" s="109"/>
      <c r="C77" s="108"/>
      <c r="D77" s="104"/>
      <c r="E77" s="107" t="s">
        <v>184</v>
      </c>
      <c r="F77" s="871" t="str">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
      </c>
      <c r="G77" s="106" t="str">
        <f>IFERROR(ROUNDUP(D77/F77,0),"")</f>
        <v/>
      </c>
      <c r="H77" s="105"/>
      <c r="I77" s="104" t="str">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
      </c>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IFERROR(ROUNDUP(D78/F78,0),"")</f>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IFERROR(ROUNDUP(D79/F79,0),"")</f>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817"/>
      <c r="B80" s="818"/>
      <c r="C80" s="819"/>
      <c r="D80" s="820"/>
      <c r="E80" s="821" t="s">
        <v>184</v>
      </c>
      <c r="F80" s="872"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822" t="str">
        <f>IFERROR(ROUNDUP(D80/F80,0),"")</f>
        <v/>
      </c>
      <c r="H80" s="823"/>
      <c r="I80" s="820"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15" customHeight="1" x14ac:dyDescent="0.3">
      <c r="A81" s="899"/>
      <c r="B81" s="846" t="s">
        <v>186</v>
      </c>
      <c r="C81" s="847"/>
      <c r="D81" s="848">
        <f>SUM(D74:D80)</f>
        <v>0</v>
      </c>
      <c r="E81" s="849"/>
      <c r="F81" s="856" t="s">
        <v>1400</v>
      </c>
      <c r="G81" s="850">
        <f>SUM(G74:G80)</f>
        <v>0</v>
      </c>
      <c r="H81" s="848">
        <f>SUM(H74:H80)</f>
        <v>0</v>
      </c>
      <c r="I81" s="848">
        <f>SUM(I74:I80)</f>
        <v>0</v>
      </c>
      <c r="J81" s="63">
        <f>D81</f>
        <v>0</v>
      </c>
      <c r="K81" s="93">
        <f>G81</f>
        <v>0</v>
      </c>
      <c r="L81" s="63">
        <f>H81</f>
        <v>0</v>
      </c>
      <c r="M81" s="63">
        <f>I81</f>
        <v>0</v>
      </c>
      <c r="N81" s="587" t="str" cm="1">
        <f t="array" ref="N81">IF(H81=0,"",SUMPRODUCT(IFERROR(INT(H76:H80/F76:F80),0)))</f>
        <v/>
      </c>
      <c r="O81" s="770" t="str">
        <f>IF(N81="","",MAX(0,G81-N81))</f>
        <v/>
      </c>
      <c r="AA81" t="s">
        <v>486</v>
      </c>
      <c r="AB81" t="s">
        <v>1422</v>
      </c>
    </row>
    <row r="82" spans="1:28" ht="6" customHeight="1" x14ac:dyDescent="0.3">
      <c r="C82" s="65"/>
      <c r="AA82" t="s">
        <v>485</v>
      </c>
      <c r="AB82" t="s">
        <v>1422</v>
      </c>
    </row>
    <row r="83" spans="1:28" ht="15" customHeight="1" x14ac:dyDescent="0.3">
      <c r="A83" s="75">
        <v>46339</v>
      </c>
      <c r="B83" s="113" t="s">
        <v>49</v>
      </c>
      <c r="C83" s="112" t="s">
        <v>176</v>
      </c>
      <c r="D83" s="111" t="s">
        <v>177</v>
      </c>
      <c r="E83" s="111" t="s">
        <v>178</v>
      </c>
      <c r="F83" s="860" t="s">
        <v>179</v>
      </c>
      <c r="G83" s="111" t="s">
        <v>180</v>
      </c>
      <c r="H83" s="111" t="s">
        <v>181</v>
      </c>
      <c r="I83" s="111" t="s">
        <v>182</v>
      </c>
      <c r="AA83" t="s">
        <v>583</v>
      </c>
      <c r="AB83" t="s">
        <v>1422</v>
      </c>
    </row>
    <row r="84" spans="1:28" ht="21" customHeight="1" x14ac:dyDescent="0.3">
      <c r="A84" s="110"/>
      <c r="B84" s="109"/>
      <c r="C84" s="108"/>
      <c r="D84" s="104"/>
      <c r="E84" s="107" t="s">
        <v>184</v>
      </c>
      <c r="F84" s="871" t="str">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
      </c>
      <c r="G84" s="106" t="str">
        <f>IFERROR(ROUNDUP(D84/F84,0),"")</f>
        <v/>
      </c>
      <c r="H84" s="105"/>
      <c r="I84" s="104" t="str">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
      </c>
      <c r="AA84" t="s">
        <v>584</v>
      </c>
      <c r="AB84" t="s">
        <v>1422</v>
      </c>
    </row>
    <row r="85" spans="1:28" ht="21" customHeight="1" x14ac:dyDescent="0.3">
      <c r="A85" s="110"/>
      <c r="B85" s="109"/>
      <c r="C85" s="108"/>
      <c r="D85" s="104"/>
      <c r="E85" s="107" t="s">
        <v>184</v>
      </c>
      <c r="F85" s="871" t="str">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
      </c>
      <c r="G85" s="106" t="str">
        <f>IFERROR(ROUNDUP(D85/F85,0),"")</f>
        <v/>
      </c>
      <c r="H85" s="105"/>
      <c r="I85" s="104"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AA85" t="s">
        <v>579</v>
      </c>
      <c r="AB85" t="s">
        <v>1422</v>
      </c>
    </row>
    <row r="86" spans="1:28" ht="21" customHeight="1" x14ac:dyDescent="0.3">
      <c r="A86" s="110"/>
      <c r="B86" s="109"/>
      <c r="C86" s="108"/>
      <c r="D86" s="104"/>
      <c r="E86" s="107" t="s">
        <v>184</v>
      </c>
      <c r="F86" s="871"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06" t="str">
        <f>IFERROR(ROUNDUP(D86/F86,0),"")</f>
        <v/>
      </c>
      <c r="H86" s="105"/>
      <c r="I86" s="104"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AA86" t="s">
        <v>484</v>
      </c>
      <c r="AB86" t="s">
        <v>1422</v>
      </c>
    </row>
    <row r="87" spans="1:28" ht="21" customHeight="1" x14ac:dyDescent="0.3">
      <c r="A87" s="110"/>
      <c r="B87" s="109"/>
      <c r="C87" s="108"/>
      <c r="D87" s="104"/>
      <c r="E87" s="107" t="s">
        <v>184</v>
      </c>
      <c r="F87" s="871"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06" t="str">
        <f>IFERROR(ROUNDUP(D87/F87,0),"")</f>
        <v/>
      </c>
      <c r="H87" s="105"/>
      <c r="I87" s="104"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AA87" t="s">
        <v>580</v>
      </c>
      <c r="AB87" t="s">
        <v>1422</v>
      </c>
    </row>
    <row r="88" spans="1:28" ht="21" customHeight="1" x14ac:dyDescent="0.3">
      <c r="A88" s="817"/>
      <c r="B88" s="818"/>
      <c r="C88" s="819"/>
      <c r="D88" s="820"/>
      <c r="E88" s="821" t="s">
        <v>184</v>
      </c>
      <c r="F88" s="872"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822" t="str">
        <f>IFERROR(ROUNDUP(D88/F88,0),"")</f>
        <v/>
      </c>
      <c r="H88" s="823"/>
      <c r="I88" s="820"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AA88" t="s">
        <v>585</v>
      </c>
      <c r="AB88" t="s">
        <v>1422</v>
      </c>
    </row>
    <row r="89" spans="1:28" ht="15" customHeight="1" x14ac:dyDescent="0.3">
      <c r="A89" s="899"/>
      <c r="B89" s="846" t="s">
        <v>186</v>
      </c>
      <c r="C89" s="847"/>
      <c r="D89" s="848">
        <f>SUM(D82:D88)</f>
        <v>0</v>
      </c>
      <c r="E89" s="849"/>
      <c r="F89" s="856" t="s">
        <v>1400</v>
      </c>
      <c r="G89" s="850">
        <f>SUM(G82:G88)</f>
        <v>0</v>
      </c>
      <c r="H89" s="848">
        <f>SUM(H82:H88)</f>
        <v>0</v>
      </c>
      <c r="I89" s="848">
        <f>SUM(I82:I88)</f>
        <v>0</v>
      </c>
      <c r="J89" s="63">
        <f>D89</f>
        <v>0</v>
      </c>
      <c r="K89" s="93">
        <f>G89</f>
        <v>0</v>
      </c>
      <c r="L89" s="63">
        <f>H89</f>
        <v>0</v>
      </c>
      <c r="M89" s="63">
        <f>I89</f>
        <v>0</v>
      </c>
      <c r="N89" s="587" t="str" cm="1">
        <f t="array" ref="N89">IF(H89=0,"",SUMPRODUCT(IFERROR(INT(H84:H88/F84:F88),0)))</f>
        <v/>
      </c>
      <c r="O89" s="770" t="str">
        <f>IF(N89="","",MAX(0,G89-N89))</f>
        <v/>
      </c>
      <c r="AA89" t="s">
        <v>586</v>
      </c>
      <c r="AB89" t="s">
        <v>1422</v>
      </c>
    </row>
    <row r="90" spans="1:28" ht="6" customHeight="1" x14ac:dyDescent="0.3">
      <c r="C90" s="65"/>
      <c r="AA90" t="s">
        <v>194</v>
      </c>
      <c r="AB90" t="s">
        <v>1422</v>
      </c>
    </row>
    <row r="91" spans="1:28" ht="15" customHeight="1" x14ac:dyDescent="0.3">
      <c r="A91" s="135">
        <v>46340</v>
      </c>
      <c r="B91" s="113" t="s">
        <v>49</v>
      </c>
      <c r="C91" s="112" t="s">
        <v>176</v>
      </c>
      <c r="D91" s="111" t="s">
        <v>177</v>
      </c>
      <c r="E91" s="111" t="s">
        <v>178</v>
      </c>
      <c r="F91" s="862" t="s">
        <v>179</v>
      </c>
      <c r="G91" s="111" t="s">
        <v>180</v>
      </c>
      <c r="H91" s="111" t="s">
        <v>181</v>
      </c>
      <c r="I91" s="111" t="s">
        <v>182</v>
      </c>
      <c r="J91" s="128"/>
      <c r="K91" s="128"/>
      <c r="L91" s="128"/>
      <c r="M91" s="128"/>
      <c r="AA91" t="s">
        <v>35</v>
      </c>
      <c r="AB91" t="s">
        <v>1425</v>
      </c>
    </row>
    <row r="92" spans="1:28" ht="21" customHeight="1" x14ac:dyDescent="0.3">
      <c r="A92" s="110"/>
      <c r="B92" s="127"/>
      <c r="C92" s="126"/>
      <c r="D92" s="129"/>
      <c r="E92" s="131" t="s">
        <v>184</v>
      </c>
      <c r="F92" s="877" t="str">
        <f>IF($B92="","",IF(SUMIFS(CONFIG_PALETES!$C:$C,CONFIG_PALETES!$A:$A,TRIM($B92),CONFIG_PALETES!$B:$B,$C92&amp;" ml")&gt;0,SUMIFS(CONFIG_PALETES!$C:$C,CONFIG_PALETES!$A:$A,TRIM($B92),CONFIG_PALETES!$B:$B,$C92&amp;" ml"),IF(SUMIFS(CONFIG_PALETES!$C:$C,CONFIG_PALETES!$A:$A,"GERAL",CONFIG_PALETES!$B:$B,$C92&amp;" ml")&gt;0,SUMIFS(CONFIG_PALETES!$C:$C,CONFIG_PALETES!$A:$A,"GERAL",CONFIG_PALETES!$B:$B,$C92&amp;" ml"),"")))</f>
        <v/>
      </c>
      <c r="G92" s="130" t="str">
        <f>IFERROR(ROUNDUP(D92/F92,0),"")</f>
        <v/>
      </c>
      <c r="H92" s="105"/>
      <c r="I92" s="129" t="str">
        <f>IF(H92="","",H92*IF(SUMIFS(CONFIG_PALETES!$D:$D,CONFIG_PALETES!$A:$A,IF(ISNUMBER(SEARCH("ESPUMA",$B92)),"ESPUMA",IF(OR(ISNUMBER(SEARCH("OLEO DE COCO",$B92)),ISNUMBER(SEARCH("ÓLEO DE COCO",$B92)),ISNUMBER(SEARCH("COPRA",$B92))),"ÓLEO DE COCO",IF(ISNUMBER(SEARCH("CORANTE",$B92)),"CORANTE",TRIM($B92)))),CONFIG_PALETES!$B:$B,$C92&amp;" ml")&gt;0,SUMIFS(CONFIG_PALETES!$D:$D,CONFIG_PALETES!$A:$A,IF(ISNUMBER(SEARCH("ESPUMA",$B92)),"ESPUMA",IF(OR(ISNUMBER(SEARCH("OLEO DE COCO",$B92)),ISNUMBER(SEARCH("ÓLEO DE COCO",$B92)),ISNUMBER(SEARCH("COPRA",$B92))),"ÓLEO DE COCO",IF(ISNUMBER(SEARCH("CORANTE",$B92)),"CORANTE",TRIM($B92)))),CONFIG_PALETES!$B:$B,$C92&amp;" ml"),IF(SUMIFS(CONFIG_PALETES!$D:$D,CONFIG_PALETES!$A:$A,"GERAL",CONFIG_PALETES!$B:$B,$C92&amp;" ml")&gt;0,SUMIFS(CONFIG_PALETES!$D:$D,CONFIG_PALETES!$A:$A,"GERAL",CONFIG_PALETES!$B:$B,$C92&amp;" ml"),12)))</f>
        <v/>
      </c>
      <c r="J92" s="128"/>
      <c r="K92" s="128"/>
      <c r="L92" s="128"/>
      <c r="M92" s="128"/>
      <c r="AA92" t="s">
        <v>597</v>
      </c>
      <c r="AB92" t="s">
        <v>1425</v>
      </c>
    </row>
    <row r="93" spans="1:28" ht="21" customHeight="1" x14ac:dyDescent="0.3">
      <c r="A93" s="110"/>
      <c r="B93" s="127"/>
      <c r="C93" s="126"/>
      <c r="D93" s="129"/>
      <c r="E93" s="131" t="s">
        <v>184</v>
      </c>
      <c r="F93" s="877" t="str">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
      </c>
      <c r="G93" s="130" t="str">
        <f>IFERROR(ROUNDUP(D93/F93,0),"")</f>
        <v/>
      </c>
      <c r="H93" s="105"/>
      <c r="I93" s="129" t="str">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
      </c>
      <c r="J93" s="128"/>
      <c r="K93" s="128"/>
      <c r="L93" s="128"/>
      <c r="M93" s="128"/>
      <c r="AA93" t="s">
        <v>196</v>
      </c>
      <c r="AB93" t="s">
        <v>1429</v>
      </c>
    </row>
    <row r="94" spans="1:28" ht="21" customHeight="1" x14ac:dyDescent="0.3">
      <c r="A94" s="110"/>
      <c r="B94" s="127"/>
      <c r="C94" s="126"/>
      <c r="D94" s="129"/>
      <c r="E94" s="131" t="s">
        <v>184</v>
      </c>
      <c r="F94" s="877" t="str">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
      </c>
      <c r="G94" s="130" t="str">
        <f>IFERROR(ROUNDUP(D94/F94,0),"")</f>
        <v/>
      </c>
      <c r="H94" s="105"/>
      <c r="I94" s="129" t="str">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
      </c>
      <c r="J94" s="128"/>
      <c r="K94" s="128"/>
      <c r="L94" s="128"/>
      <c r="M94" s="128"/>
      <c r="AA94" t="s">
        <v>298</v>
      </c>
      <c r="AB94" t="s">
        <v>1422</v>
      </c>
    </row>
    <row r="95" spans="1:28" ht="21" customHeight="1" x14ac:dyDescent="0.3">
      <c r="A95" s="110"/>
      <c r="B95" s="127"/>
      <c r="C95" s="126"/>
      <c r="D95" s="129"/>
      <c r="E95" s="131" t="s">
        <v>184</v>
      </c>
      <c r="F95" s="877"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30" t="str">
        <f>IFERROR(ROUNDUP(D95/F95,0),"")</f>
        <v/>
      </c>
      <c r="H95" s="105"/>
      <c r="I95" s="129"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J95" s="128"/>
      <c r="K95" s="128"/>
      <c r="L95" s="128"/>
      <c r="M95" s="128"/>
      <c r="AA95" t="s">
        <v>191</v>
      </c>
      <c r="AB95" t="s">
        <v>1422</v>
      </c>
    </row>
    <row r="96" spans="1:28" ht="21" customHeight="1" x14ac:dyDescent="0.3">
      <c r="A96" s="817"/>
      <c r="B96" s="829"/>
      <c r="C96" s="830"/>
      <c r="D96" s="831"/>
      <c r="E96" s="832" t="s">
        <v>184</v>
      </c>
      <c r="F96" s="878"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833" t="str">
        <f>IFERROR(ROUNDUP(D96/F96,0),"")</f>
        <v/>
      </c>
      <c r="H96" s="823"/>
      <c r="I96" s="831"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J96" s="128"/>
      <c r="K96" s="128"/>
      <c r="L96" s="128"/>
      <c r="M96" s="128"/>
      <c r="AA96" t="s">
        <v>190</v>
      </c>
      <c r="AB96" t="s">
        <v>1422</v>
      </c>
    </row>
    <row r="97" spans="1:28" ht="15" customHeight="1" x14ac:dyDescent="0.3">
      <c r="A97" s="899"/>
      <c r="B97" s="846" t="s">
        <v>186</v>
      </c>
      <c r="C97" s="851"/>
      <c r="D97" s="848">
        <f>SUM(D90:D96)</f>
        <v>0</v>
      </c>
      <c r="E97" s="852"/>
      <c r="F97" s="857" t="s">
        <v>1400</v>
      </c>
      <c r="G97" s="850">
        <f>SUM(G90:G96)</f>
        <v>0</v>
      </c>
      <c r="H97" s="848">
        <f>SUM(H90:H96)</f>
        <v>0</v>
      </c>
      <c r="I97" s="848">
        <f>SUM(I90:I96)</f>
        <v>0</v>
      </c>
      <c r="J97" s="133">
        <f>D97</f>
        <v>0</v>
      </c>
      <c r="K97" s="134">
        <f>G97</f>
        <v>0</v>
      </c>
      <c r="L97" s="133">
        <f>H97</f>
        <v>0</v>
      </c>
      <c r="M97" s="133">
        <f>I97</f>
        <v>0</v>
      </c>
      <c r="N97" s="587" t="str" cm="1">
        <f t="array" ref="N97">IF(H97=0,"",SUMPRODUCT(IFERROR(INT(H92:H96/F92:F96),0)))</f>
        <v/>
      </c>
      <c r="O97" s="770" t="str">
        <f>IF(N97="","",MAX(0,G97-N97))</f>
        <v/>
      </c>
      <c r="AA97" t="s">
        <v>594</v>
      </c>
      <c r="AB97" t="s">
        <v>1424</v>
      </c>
    </row>
    <row r="98" spans="1:28" ht="6" customHeight="1" x14ac:dyDescent="0.3">
      <c r="A98" s="128"/>
      <c r="B98" s="128"/>
      <c r="C98" s="132"/>
      <c r="D98" s="128"/>
      <c r="E98" s="128"/>
      <c r="F98" s="128"/>
      <c r="G98" s="128"/>
      <c r="H98" s="128"/>
      <c r="I98" s="128"/>
      <c r="J98" s="128"/>
      <c r="K98" s="128"/>
      <c r="L98" s="128"/>
      <c r="M98" s="128"/>
      <c r="AA98" t="s">
        <v>1061</v>
      </c>
      <c r="AB98" t="s">
        <v>1429</v>
      </c>
    </row>
    <row r="99" spans="1:28" ht="15" customHeight="1" x14ac:dyDescent="0.3">
      <c r="A99" s="75">
        <v>46342</v>
      </c>
      <c r="B99" s="113" t="s">
        <v>49</v>
      </c>
      <c r="C99" s="112" t="s">
        <v>176</v>
      </c>
      <c r="D99" s="111" t="s">
        <v>177</v>
      </c>
      <c r="E99" s="111" t="s">
        <v>178</v>
      </c>
      <c r="F99" s="860" t="s">
        <v>179</v>
      </c>
      <c r="G99" s="111" t="s">
        <v>180</v>
      </c>
      <c r="H99" s="111" t="s">
        <v>181</v>
      </c>
      <c r="I99" s="111" t="s">
        <v>182</v>
      </c>
      <c r="AA99" t="s">
        <v>149</v>
      </c>
      <c r="AB99" t="s">
        <v>1425</v>
      </c>
    </row>
    <row r="100" spans="1:28" ht="21" customHeight="1" x14ac:dyDescent="0.3">
      <c r="A100" s="110"/>
      <c r="B100" s="109"/>
      <c r="C100" s="108"/>
      <c r="D100" s="104"/>
      <c r="E100" s="107" t="s">
        <v>184</v>
      </c>
      <c r="F100" s="871"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06" t="str">
        <f>IFERROR(ROUNDUP(D100/F100,0),"")</f>
        <v/>
      </c>
      <c r="H100" s="105"/>
      <c r="I100" s="104"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AA100" t="s">
        <v>29</v>
      </c>
      <c r="AB100" t="s">
        <v>1425</v>
      </c>
    </row>
    <row r="101" spans="1:28" ht="21" customHeight="1" x14ac:dyDescent="0.3">
      <c r="A101" s="110"/>
      <c r="B101" s="109"/>
      <c r="C101" s="108"/>
      <c r="D101" s="104"/>
      <c r="E101" s="107" t="s">
        <v>184</v>
      </c>
      <c r="F101" s="871"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06" t="str">
        <f>IFERROR(ROUNDUP(D101/F101,0),"")</f>
        <v/>
      </c>
      <c r="H101" s="105"/>
      <c r="I101" s="104"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AA101" t="s">
        <v>62</v>
      </c>
      <c r="AB101" t="s">
        <v>1423</v>
      </c>
    </row>
    <row r="102" spans="1:28" ht="21" customHeight="1" x14ac:dyDescent="0.3">
      <c r="A102" s="110"/>
      <c r="B102" s="109"/>
      <c r="C102" s="108"/>
      <c r="D102" s="104"/>
      <c r="E102" s="107" t="s">
        <v>184</v>
      </c>
      <c r="F102" s="871"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106" t="str">
        <f>IFERROR(ROUNDUP(D102/F102,0),"")</f>
        <v/>
      </c>
      <c r="H102" s="105"/>
      <c r="I102" s="104"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AA102" t="s">
        <v>649</v>
      </c>
      <c r="AB102" t="s">
        <v>1423</v>
      </c>
    </row>
    <row r="103" spans="1:28" ht="21" customHeight="1" x14ac:dyDescent="0.3">
      <c r="A103" s="110"/>
      <c r="B103" s="109"/>
      <c r="C103" s="108"/>
      <c r="D103" s="104"/>
      <c r="E103" s="107" t="s">
        <v>184</v>
      </c>
      <c r="F103" s="871"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06" t="str">
        <f>IFERROR(ROUNDUP(D103/F103,0),"")</f>
        <v/>
      </c>
      <c r="H103" s="105"/>
      <c r="I103" s="104"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AA103" t="s">
        <v>188</v>
      </c>
      <c r="AB103" t="s">
        <v>1423</v>
      </c>
    </row>
    <row r="104" spans="1:28" ht="21" customHeight="1" x14ac:dyDescent="0.3">
      <c r="A104" s="817"/>
      <c r="B104" s="818"/>
      <c r="C104" s="819"/>
      <c r="D104" s="820"/>
      <c r="E104" s="821" t="s">
        <v>184</v>
      </c>
      <c r="F104" s="872"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822" t="str">
        <f>IFERROR(ROUNDUP(D104/F104,0),"")</f>
        <v/>
      </c>
      <c r="H104" s="823"/>
      <c r="I104" s="820"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AA104" t="s">
        <v>1164</v>
      </c>
      <c r="AB104" t="s">
        <v>1423</v>
      </c>
    </row>
    <row r="105" spans="1:28" ht="15" customHeight="1" x14ac:dyDescent="0.3">
      <c r="A105" s="899"/>
      <c r="B105" s="846" t="s">
        <v>186</v>
      </c>
      <c r="C105" s="847"/>
      <c r="D105" s="848">
        <f>SUM(D98:D104)</f>
        <v>0</v>
      </c>
      <c r="E105" s="849"/>
      <c r="F105" s="856" t="s">
        <v>1400</v>
      </c>
      <c r="G105" s="850">
        <f>SUM(G98:G104)</f>
        <v>0</v>
      </c>
      <c r="H105" s="848">
        <f>SUM(H98:H104)</f>
        <v>0</v>
      </c>
      <c r="I105" s="848">
        <f>SUM(I98:I104)</f>
        <v>0</v>
      </c>
      <c r="J105" s="63">
        <f>D105</f>
        <v>0</v>
      </c>
      <c r="K105" s="93">
        <f>G105</f>
        <v>0</v>
      </c>
      <c r="L105" s="63">
        <f>H105</f>
        <v>0</v>
      </c>
      <c r="M105" s="63">
        <f>I105</f>
        <v>0</v>
      </c>
      <c r="N105" s="587" t="str" cm="1">
        <f t="array" ref="N105">IF(H105=0,"",SUMPRODUCT(IFERROR(INT(H100:H104/F100:F104),0)))</f>
        <v/>
      </c>
      <c r="O105" s="770" t="str">
        <f>IF(N105="","",MAX(0,G105-N105))</f>
        <v/>
      </c>
      <c r="AA105" t="s">
        <v>131</v>
      </c>
      <c r="AB105" t="s">
        <v>1423</v>
      </c>
    </row>
    <row r="106" spans="1:28" ht="6" customHeight="1" x14ac:dyDescent="0.3">
      <c r="C106" s="65"/>
      <c r="AA106" t="s">
        <v>1225</v>
      </c>
      <c r="AB106" t="s">
        <v>1426</v>
      </c>
    </row>
    <row r="107" spans="1:28" ht="15" customHeight="1" x14ac:dyDescent="0.3">
      <c r="A107" s="75">
        <v>46343</v>
      </c>
      <c r="B107" s="113" t="s">
        <v>49</v>
      </c>
      <c r="C107" s="112" t="s">
        <v>176</v>
      </c>
      <c r="D107" s="111" t="s">
        <v>177</v>
      </c>
      <c r="E107" s="111" t="s">
        <v>178</v>
      </c>
      <c r="F107" s="860" t="s">
        <v>179</v>
      </c>
      <c r="G107" s="111" t="s">
        <v>180</v>
      </c>
      <c r="H107" s="111" t="s">
        <v>181</v>
      </c>
      <c r="I107" s="111" t="s">
        <v>182</v>
      </c>
      <c r="AA107" t="s">
        <v>198</v>
      </c>
      <c r="AB107" t="s">
        <v>1425</v>
      </c>
    </row>
    <row r="108" spans="1:28" ht="21" customHeight="1" x14ac:dyDescent="0.3">
      <c r="A108" s="110"/>
      <c r="B108" s="109"/>
      <c r="C108" s="108"/>
      <c r="D108" s="104"/>
      <c r="E108" s="107" t="s">
        <v>184</v>
      </c>
      <c r="F108" s="871"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106" t="str">
        <f>IFERROR(ROUNDUP(D108/F108,0),"")</f>
        <v/>
      </c>
      <c r="H108" s="105"/>
      <c r="I108" s="104"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110"/>
      <c r="B110" s="109"/>
      <c r="C110" s="108"/>
      <c r="D110" s="104"/>
      <c r="E110" s="107" t="s">
        <v>184</v>
      </c>
      <c r="F110" s="871"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106" t="str">
        <f>IFERROR(ROUNDUP(D110/F110,0),"")</f>
        <v/>
      </c>
      <c r="H110" s="105"/>
      <c r="I110" s="104"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21" customHeight="1" x14ac:dyDescent="0.3">
      <c r="A111" s="11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817"/>
      <c r="B112" s="818"/>
      <c r="C112" s="819"/>
      <c r="D112" s="820"/>
      <c r="E112" s="821" t="s">
        <v>184</v>
      </c>
      <c r="F112" s="872"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822" t="str">
        <f>IFERROR(ROUNDUP(D112/F112,0),"")</f>
        <v/>
      </c>
      <c r="H112" s="823"/>
      <c r="I112" s="820"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15" customHeight="1" x14ac:dyDescent="0.3">
      <c r="A113" s="899"/>
      <c r="B113" s="846" t="s">
        <v>186</v>
      </c>
      <c r="C113" s="847"/>
      <c r="D113" s="848">
        <f>SUM(D106:D112)</f>
        <v>0</v>
      </c>
      <c r="E113" s="849"/>
      <c r="F113" s="856" t="s">
        <v>1400</v>
      </c>
      <c r="G113" s="850">
        <f>SUM(G106:G112)</f>
        <v>0</v>
      </c>
      <c r="H113" s="848">
        <f>SUM(H106:H112)</f>
        <v>0</v>
      </c>
      <c r="I113" s="848">
        <f>SUM(I106:I112)</f>
        <v>0</v>
      </c>
      <c r="J113" s="63">
        <f>D113</f>
        <v>0</v>
      </c>
      <c r="K113" s="93">
        <f>G113</f>
        <v>0</v>
      </c>
      <c r="L113" s="63">
        <f>H113</f>
        <v>0</v>
      </c>
      <c r="M113" s="63">
        <f>I113</f>
        <v>0</v>
      </c>
      <c r="N113" s="587" t="str" cm="1">
        <f t="array" ref="N113">IF(H113=0,"",SUMPRODUCT(IFERROR(INT(H108:H112/F108:F112),0)))</f>
        <v/>
      </c>
      <c r="O113" s="770" t="str">
        <f>IF(N113="","",MAX(0,G113-N113))</f>
        <v/>
      </c>
      <c r="AA113" t="s">
        <v>494</v>
      </c>
      <c r="AB113" t="s">
        <v>1426</v>
      </c>
    </row>
    <row r="114" spans="1:28" ht="6" customHeight="1" x14ac:dyDescent="0.3">
      <c r="C114" s="65"/>
      <c r="AA114" t="s">
        <v>404</v>
      </c>
      <c r="AB114" t="s">
        <v>1422</v>
      </c>
    </row>
    <row r="115" spans="1:28" ht="15" customHeight="1" x14ac:dyDescent="0.3">
      <c r="A115" s="75">
        <v>46344</v>
      </c>
      <c r="B115" s="113" t="s">
        <v>49</v>
      </c>
      <c r="C115" s="112" t="s">
        <v>176</v>
      </c>
      <c r="D115" s="111" t="s">
        <v>177</v>
      </c>
      <c r="E115" s="111" t="s">
        <v>178</v>
      </c>
      <c r="F115" s="860" t="s">
        <v>179</v>
      </c>
      <c r="G115" s="111" t="s">
        <v>180</v>
      </c>
      <c r="H115" s="111" t="s">
        <v>181</v>
      </c>
      <c r="I115" s="111" t="s">
        <v>182</v>
      </c>
      <c r="AA115" t="s">
        <v>493</v>
      </c>
      <c r="AB115" t="s">
        <v>1431</v>
      </c>
    </row>
    <row r="116" spans="1:28" ht="21" customHeight="1" x14ac:dyDescent="0.3">
      <c r="A116" s="110"/>
      <c r="B116" s="109"/>
      <c r="C116" s="108"/>
      <c r="D116" s="104"/>
      <c r="E116" s="107" t="s">
        <v>184</v>
      </c>
      <c r="F116" s="871"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06" t="str">
        <f>IFERROR(ROUNDUP(D116/F116,0),"")</f>
        <v/>
      </c>
      <c r="H116" s="105"/>
      <c r="I116" s="104"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AA116" t="s">
        <v>400</v>
      </c>
      <c r="AB116" t="s">
        <v>1430</v>
      </c>
    </row>
    <row r="117" spans="1:28" ht="21" customHeight="1" x14ac:dyDescent="0.3">
      <c r="A117" s="110"/>
      <c r="B117" s="109"/>
      <c r="C117" s="108"/>
      <c r="D117" s="104"/>
      <c r="E117" s="107" t="s">
        <v>184</v>
      </c>
      <c r="F117" s="871"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106" t="str">
        <f>IFERROR(ROUNDUP(D117/F117,0),"")</f>
        <v/>
      </c>
      <c r="H117" s="105"/>
      <c r="I117" s="104"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AA117" t="s">
        <v>492</v>
      </c>
      <c r="AB117" t="s">
        <v>1423</v>
      </c>
    </row>
    <row r="118" spans="1:28" ht="21" customHeight="1" x14ac:dyDescent="0.3">
      <c r="A118" s="11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IFERROR(ROUNDUP(D118/F118,0),"")</f>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1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IFERROR(ROUNDUP(D119/F119,0),"")</f>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817"/>
      <c r="B120" s="818"/>
      <c r="C120" s="819"/>
      <c r="D120" s="820"/>
      <c r="E120" s="821" t="s">
        <v>184</v>
      </c>
      <c r="F120" s="872"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22" t="str">
        <f>IFERROR(ROUNDUP(D120/F120,0),"")</f>
        <v/>
      </c>
      <c r="H120" s="823"/>
      <c r="I120" s="820"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15" customHeight="1" x14ac:dyDescent="0.3">
      <c r="A121" s="899"/>
      <c r="B121" s="846" t="s">
        <v>186</v>
      </c>
      <c r="C121" s="847"/>
      <c r="D121" s="848">
        <f>SUM(D114:D120)</f>
        <v>0</v>
      </c>
      <c r="E121" s="849"/>
      <c r="F121" s="856" t="s">
        <v>1400</v>
      </c>
      <c r="G121" s="850">
        <f>SUM(G114:G120)</f>
        <v>0</v>
      </c>
      <c r="H121" s="848">
        <f>SUM(H114:H120)</f>
        <v>0</v>
      </c>
      <c r="I121" s="848">
        <f>SUM(I114:I120)</f>
        <v>0</v>
      </c>
      <c r="J121" s="63">
        <f>D121</f>
        <v>0</v>
      </c>
      <c r="K121" s="93">
        <f>G121</f>
        <v>0</v>
      </c>
      <c r="L121" s="63">
        <f>H121</f>
        <v>0</v>
      </c>
      <c r="M121" s="63">
        <f>I121</f>
        <v>0</v>
      </c>
      <c r="N121" s="587" t="str" cm="1">
        <f t="array" ref="N121">IF(H121=0,"",SUMPRODUCT(IFERROR(INT(H116:H120/F116:F120),0)))</f>
        <v/>
      </c>
      <c r="O121" s="770" t="str">
        <f>IF(N121="","",MAX(0,G121-N121))</f>
        <v/>
      </c>
      <c r="AA121" t="s">
        <v>285</v>
      </c>
      <c r="AB121" t="s">
        <v>1426</v>
      </c>
    </row>
    <row r="122" spans="1:28" ht="6" customHeight="1" x14ac:dyDescent="0.3">
      <c r="C122" s="65"/>
      <c r="AA122" t="s">
        <v>103</v>
      </c>
      <c r="AB122" t="s">
        <v>1425</v>
      </c>
    </row>
    <row r="123" spans="1:28" ht="15" customHeight="1" x14ac:dyDescent="0.3">
      <c r="A123" s="75">
        <v>46345</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10"/>
      <c r="B124" s="109"/>
      <c r="C124" s="108"/>
      <c r="D124" s="104"/>
      <c r="E124" s="107" t="s">
        <v>184</v>
      </c>
      <c r="F124" s="871"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106" t="str">
        <f>IFERROR(ROUNDUP(D124/F124,0),"")</f>
        <v/>
      </c>
      <c r="H124" s="105"/>
      <c r="I124" s="104"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IFERROR(ROUNDUP(D125/F125,0),"")</f>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AA125" t="s">
        <v>135</v>
      </c>
      <c r="AB125" t="s">
        <v>1425</v>
      </c>
    </row>
    <row r="126" spans="1:28" ht="21" customHeight="1" x14ac:dyDescent="0.3">
      <c r="A126" s="110"/>
      <c r="B126" s="109"/>
      <c r="C126" s="108"/>
      <c r="D126" s="104"/>
      <c r="E126" s="107" t="s">
        <v>184</v>
      </c>
      <c r="F126" s="871"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106" t="str">
        <f>IFERROR(ROUNDUP(D126/F126,0),"")</f>
        <v/>
      </c>
      <c r="H126" s="105"/>
      <c r="I126" s="104"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817"/>
      <c r="B128" s="818"/>
      <c r="C128" s="819"/>
      <c r="D128" s="820"/>
      <c r="E128" s="821" t="s">
        <v>184</v>
      </c>
      <c r="F128" s="872"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822" t="str">
        <f>IFERROR(ROUNDUP(D128/F128,0),"")</f>
        <v/>
      </c>
      <c r="H128" s="823"/>
      <c r="I128" s="820"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15" customHeight="1" x14ac:dyDescent="0.3">
      <c r="A129" s="899"/>
      <c r="B129" s="846" t="s">
        <v>186</v>
      </c>
      <c r="C129" s="847"/>
      <c r="D129" s="848">
        <f>SUM(D122:D128)</f>
        <v>0</v>
      </c>
      <c r="E129" s="849"/>
      <c r="F129" s="856" t="s">
        <v>1400</v>
      </c>
      <c r="G129" s="850">
        <f>SUM(G122:G128)</f>
        <v>0</v>
      </c>
      <c r="H129" s="848">
        <f>SUM(H122:H128)</f>
        <v>0</v>
      </c>
      <c r="I129" s="848">
        <f>SUM(I122:I128)</f>
        <v>0</v>
      </c>
      <c r="J129" s="63">
        <f>D129</f>
        <v>0</v>
      </c>
      <c r="K129" s="93">
        <f>G129</f>
        <v>0</v>
      </c>
      <c r="L129" s="63">
        <f>H129</f>
        <v>0</v>
      </c>
      <c r="M129" s="63">
        <f>I129</f>
        <v>0</v>
      </c>
      <c r="N129" s="587" t="str" cm="1">
        <f t="array" ref="N129">IF(H129=0,"",SUMPRODUCT(IFERROR(INT(H124:H128/F124:F128),0)))</f>
        <v/>
      </c>
      <c r="O129" s="770" t="str">
        <f>IF(N129="","",MAX(0,G129-N129))</f>
        <v/>
      </c>
      <c r="AA129" t="s">
        <v>72</v>
      </c>
      <c r="AB129" t="s">
        <v>1432</v>
      </c>
    </row>
    <row r="130" spans="1:28" ht="6" customHeight="1" x14ac:dyDescent="0.3">
      <c r="C130" s="65"/>
      <c r="AA130" t="s">
        <v>395</v>
      </c>
      <c r="AB130" t="s">
        <v>1423</v>
      </c>
    </row>
    <row r="131" spans="1:28" ht="15" customHeight="1" x14ac:dyDescent="0.3">
      <c r="A131" s="75">
        <v>46346</v>
      </c>
      <c r="B131" s="113" t="s">
        <v>49</v>
      </c>
      <c r="C131" s="112" t="s">
        <v>176</v>
      </c>
      <c r="D131" s="111" t="s">
        <v>177</v>
      </c>
      <c r="E131" s="111" t="s">
        <v>178</v>
      </c>
      <c r="F131" s="860" t="s">
        <v>179</v>
      </c>
      <c r="G131" s="111" t="s">
        <v>180</v>
      </c>
      <c r="H131" s="111" t="s">
        <v>181</v>
      </c>
      <c r="I131" s="111" t="s">
        <v>182</v>
      </c>
      <c r="AA131" t="s">
        <v>25</v>
      </c>
      <c r="AB131" t="s">
        <v>1433</v>
      </c>
    </row>
    <row r="132" spans="1:28" ht="21" customHeight="1" x14ac:dyDescent="0.3">
      <c r="A132" s="110"/>
      <c r="B132" s="109"/>
      <c r="C132" s="108"/>
      <c r="D132" s="104"/>
      <c r="E132" s="107" t="s">
        <v>184</v>
      </c>
      <c r="F132" s="871"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06" t="str">
        <f>IFERROR(ROUNDUP(D132/F132,0),"")</f>
        <v/>
      </c>
      <c r="H132" s="105"/>
      <c r="I132" s="104"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AA132" t="s">
        <v>398</v>
      </c>
      <c r="AB132" t="s">
        <v>1424</v>
      </c>
    </row>
    <row r="133" spans="1:28" ht="21" customHeight="1" x14ac:dyDescent="0.3">
      <c r="A133" s="110"/>
      <c r="B133" s="109"/>
      <c r="C133" s="108"/>
      <c r="D133" s="104"/>
      <c r="E133" s="107" t="s">
        <v>184</v>
      </c>
      <c r="F133" s="871"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06" t="str">
        <f>IFERROR(ROUNDUP(D133/F133,0),"")</f>
        <v/>
      </c>
      <c r="H133" s="105"/>
      <c r="I133" s="104"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AA133" t="s">
        <v>396</v>
      </c>
      <c r="AB133" t="s">
        <v>1432</v>
      </c>
    </row>
    <row r="134" spans="1:28" ht="21" customHeight="1" x14ac:dyDescent="0.3">
      <c r="A134" s="110"/>
      <c r="B134" s="109"/>
      <c r="C134" s="108"/>
      <c r="D134" s="104"/>
      <c r="E134" s="107" t="s">
        <v>184</v>
      </c>
      <c r="F134" s="871"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06" t="str">
        <f>IFERROR(ROUNDUP(D134/F134,0),"")</f>
        <v/>
      </c>
      <c r="H134" s="105"/>
      <c r="I134" s="104"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AA134" t="s">
        <v>490</v>
      </c>
      <c r="AB134" t="s">
        <v>1425</v>
      </c>
    </row>
    <row r="135" spans="1:28" ht="21" customHeight="1" x14ac:dyDescent="0.3">
      <c r="A135" s="110"/>
      <c r="B135" s="109"/>
      <c r="C135" s="108"/>
      <c r="D135" s="104"/>
      <c r="E135" s="107" t="s">
        <v>184</v>
      </c>
      <c r="F135" s="871"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106" t="str">
        <f>IFERROR(ROUNDUP(D135/F135,0),"")</f>
        <v/>
      </c>
      <c r="H135" s="105"/>
      <c r="I135" s="104"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AA135" t="s">
        <v>1082</v>
      </c>
      <c r="AB135" t="s">
        <v>1424</v>
      </c>
    </row>
    <row r="136" spans="1:28" ht="21" customHeight="1" x14ac:dyDescent="0.3">
      <c r="A136" s="817"/>
      <c r="B136" s="818"/>
      <c r="C136" s="819"/>
      <c r="D136" s="820"/>
      <c r="E136" s="821" t="s">
        <v>184</v>
      </c>
      <c r="F136" s="872"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822" t="str">
        <f>IFERROR(ROUNDUP(D136/F136,0),"")</f>
        <v/>
      </c>
      <c r="H136" s="823"/>
      <c r="I136" s="820"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AA136" t="s">
        <v>598</v>
      </c>
      <c r="AB136" t="s">
        <v>1432</v>
      </c>
    </row>
    <row r="137" spans="1:28" ht="15" customHeight="1" x14ac:dyDescent="0.3">
      <c r="A137" s="899"/>
      <c r="B137" s="846" t="s">
        <v>186</v>
      </c>
      <c r="C137" s="847"/>
      <c r="D137" s="848">
        <f>SUM(D130:D136)</f>
        <v>0</v>
      </c>
      <c r="E137" s="849"/>
      <c r="F137" s="856" t="s">
        <v>1400</v>
      </c>
      <c r="G137" s="850">
        <f>SUM(G130:G136)</f>
        <v>0</v>
      </c>
      <c r="H137" s="848">
        <f>SUM(H130:H136)</f>
        <v>0</v>
      </c>
      <c r="I137" s="848">
        <f>SUM(I130:I136)</f>
        <v>0</v>
      </c>
      <c r="J137" s="63">
        <f>D137</f>
        <v>0</v>
      </c>
      <c r="K137" s="93">
        <f>G137</f>
        <v>0</v>
      </c>
      <c r="L137" s="63">
        <f>H137</f>
        <v>0</v>
      </c>
      <c r="M137" s="63">
        <f>I137</f>
        <v>0</v>
      </c>
      <c r="N137" s="587" t="str" cm="1">
        <f t="array" ref="N137">IF(H137=0,"",SUMPRODUCT(IFERROR(INT(H132:H136/F132:F136),0)))</f>
        <v/>
      </c>
      <c r="O137" s="770" t="str">
        <f>IF(N137="","",MAX(0,G137-N137))</f>
        <v/>
      </c>
      <c r="AA137" t="s">
        <v>397</v>
      </c>
      <c r="AB137" t="s">
        <v>1424</v>
      </c>
    </row>
    <row r="138" spans="1:28" ht="6" customHeight="1" x14ac:dyDescent="0.3">
      <c r="C138" s="65"/>
      <c r="AA138" t="s">
        <v>163</v>
      </c>
      <c r="AB138" t="s">
        <v>1423</v>
      </c>
    </row>
    <row r="139" spans="1:28" ht="15" customHeight="1" x14ac:dyDescent="0.3">
      <c r="A139" s="135">
        <v>46347</v>
      </c>
      <c r="B139" s="113" t="s">
        <v>49</v>
      </c>
      <c r="C139" s="112" t="s">
        <v>176</v>
      </c>
      <c r="D139" s="111" t="s">
        <v>177</v>
      </c>
      <c r="E139" s="111" t="s">
        <v>178</v>
      </c>
      <c r="F139" s="862" t="s">
        <v>179</v>
      </c>
      <c r="G139" s="111" t="s">
        <v>180</v>
      </c>
      <c r="H139" s="111" t="s">
        <v>181</v>
      </c>
      <c r="I139" s="111" t="s">
        <v>182</v>
      </c>
      <c r="J139" s="128"/>
      <c r="K139" s="128"/>
      <c r="L139" s="128"/>
      <c r="M139" s="128"/>
    </row>
    <row r="140" spans="1:28" ht="21" customHeight="1" x14ac:dyDescent="0.3">
      <c r="A140" s="110"/>
      <c r="B140" s="127"/>
      <c r="C140" s="126"/>
      <c r="D140" s="129"/>
      <c r="E140" s="131" t="s">
        <v>184</v>
      </c>
      <c r="F140" s="877"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30" t="str">
        <f>IFERROR(ROUNDUP(D140/F140,0),"")</f>
        <v/>
      </c>
      <c r="H140" s="105"/>
      <c r="I140" s="129"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c r="J140" s="128"/>
      <c r="K140" s="128"/>
      <c r="L140" s="128"/>
      <c r="M140" s="128"/>
    </row>
    <row r="141" spans="1:28" ht="21" customHeight="1" x14ac:dyDescent="0.3">
      <c r="A141" s="110"/>
      <c r="B141" s="127"/>
      <c r="C141" s="126"/>
      <c r="D141" s="129"/>
      <c r="E141" s="131" t="s">
        <v>184</v>
      </c>
      <c r="F141" s="877"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30" t="str">
        <f>IFERROR(ROUNDUP(D141/F141,0),"")</f>
        <v/>
      </c>
      <c r="H141" s="105"/>
      <c r="I141" s="129"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c r="J141" s="128"/>
      <c r="K141" s="128"/>
      <c r="L141" s="128"/>
      <c r="M141" s="128"/>
    </row>
    <row r="142" spans="1:28" ht="21" customHeight="1" x14ac:dyDescent="0.3">
      <c r="A142" s="110"/>
      <c r="B142" s="127"/>
      <c r="C142" s="126"/>
      <c r="D142" s="129"/>
      <c r="E142" s="131" t="s">
        <v>184</v>
      </c>
      <c r="F142" s="877"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30" t="str">
        <f>IFERROR(ROUNDUP(D142/F142,0),"")</f>
        <v/>
      </c>
      <c r="H142" s="105"/>
      <c r="I142" s="129"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c r="J142" s="128"/>
      <c r="K142" s="128"/>
      <c r="L142" s="128"/>
      <c r="M142" s="128"/>
    </row>
    <row r="143" spans="1:28" ht="21" customHeight="1" x14ac:dyDescent="0.3">
      <c r="A143" s="110"/>
      <c r="B143" s="127"/>
      <c r="C143" s="126"/>
      <c r="D143" s="129"/>
      <c r="E143" s="131" t="s">
        <v>184</v>
      </c>
      <c r="F143" s="877"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30" t="str">
        <f>IFERROR(ROUNDUP(D143/F143,0),"")</f>
        <v/>
      </c>
      <c r="H143" s="105"/>
      <c r="I143" s="129"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c r="J143" s="128"/>
      <c r="K143" s="128"/>
      <c r="L143" s="128"/>
      <c r="M143" s="128"/>
    </row>
    <row r="144" spans="1:28" ht="21" customHeight="1" x14ac:dyDescent="0.3">
      <c r="A144" s="817"/>
      <c r="B144" s="829"/>
      <c r="C144" s="830"/>
      <c r="D144" s="831"/>
      <c r="E144" s="832" t="s">
        <v>184</v>
      </c>
      <c r="F144" s="878"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33" t="str">
        <f>IFERROR(ROUNDUP(D144/F144,0),"")</f>
        <v/>
      </c>
      <c r="H144" s="823"/>
      <c r="I144" s="831"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c r="J144" s="128"/>
      <c r="K144" s="128"/>
      <c r="L144" s="128"/>
      <c r="M144" s="128"/>
    </row>
    <row r="145" spans="1:15" ht="15" customHeight="1" x14ac:dyDescent="0.3">
      <c r="A145" s="899"/>
      <c r="B145" s="846" t="s">
        <v>186</v>
      </c>
      <c r="C145" s="851"/>
      <c r="D145" s="848">
        <f>SUM(D138:D144)</f>
        <v>0</v>
      </c>
      <c r="E145" s="852"/>
      <c r="F145" s="857" t="s">
        <v>1400</v>
      </c>
      <c r="G145" s="850">
        <f>SUM(G138:G144)</f>
        <v>0</v>
      </c>
      <c r="H145" s="848">
        <f>SUM(H138:H144)</f>
        <v>0</v>
      </c>
      <c r="I145" s="848">
        <f>SUM(I138:I144)</f>
        <v>0</v>
      </c>
      <c r="J145" s="133">
        <f>D145</f>
        <v>0</v>
      </c>
      <c r="K145" s="134">
        <f>G145</f>
        <v>0</v>
      </c>
      <c r="L145" s="133">
        <f>H145</f>
        <v>0</v>
      </c>
      <c r="M145" s="133">
        <f>I145</f>
        <v>0</v>
      </c>
      <c r="N145" s="587" t="str" cm="1">
        <f t="array" ref="N145">IF(H145=0,"",SUMPRODUCT(IFERROR(INT(H140:H144/F140:F144),0)))</f>
        <v/>
      </c>
      <c r="O145" s="770" t="str">
        <f>IF(N145="","",MAX(0,G145-N145))</f>
        <v/>
      </c>
    </row>
    <row r="146" spans="1:15" ht="6" customHeight="1" x14ac:dyDescent="0.3">
      <c r="A146" s="128"/>
      <c r="B146" s="128"/>
      <c r="C146" s="132"/>
      <c r="D146" s="128"/>
      <c r="E146" s="128"/>
      <c r="F146" s="128"/>
      <c r="G146" s="128"/>
      <c r="H146" s="128"/>
      <c r="I146" s="128"/>
      <c r="J146" s="128"/>
      <c r="K146" s="128"/>
      <c r="L146" s="128"/>
      <c r="M146" s="128"/>
    </row>
    <row r="147" spans="1:15" ht="15" customHeight="1" x14ac:dyDescent="0.3">
      <c r="A147" s="75">
        <v>46349</v>
      </c>
      <c r="B147" s="113" t="s">
        <v>49</v>
      </c>
      <c r="C147" s="112" t="s">
        <v>176</v>
      </c>
      <c r="D147" s="111" t="s">
        <v>177</v>
      </c>
      <c r="E147" s="111" t="s">
        <v>178</v>
      </c>
      <c r="F147" s="860" t="s">
        <v>179</v>
      </c>
      <c r="G147" s="111" t="s">
        <v>180</v>
      </c>
      <c r="H147" s="111" t="s">
        <v>181</v>
      </c>
      <c r="I147" s="111" t="s">
        <v>182</v>
      </c>
    </row>
    <row r="148" spans="1:15" ht="21" customHeight="1" x14ac:dyDescent="0.3">
      <c r="A148" s="110"/>
      <c r="B148" s="109"/>
      <c r="C148" s="108"/>
      <c r="D148" s="104"/>
      <c r="E148" s="107" t="s">
        <v>184</v>
      </c>
      <c r="F148" s="871"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06" t="str">
        <f>IFERROR(ROUNDUP(D148/F148,0),"")</f>
        <v/>
      </c>
      <c r="H148" s="105"/>
      <c r="I148" s="104"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row>
    <row r="149" spans="1:15" ht="21" customHeight="1" x14ac:dyDescent="0.3">
      <c r="A149" s="110"/>
      <c r="B149" s="109"/>
      <c r="C149" s="108"/>
      <c r="D149" s="104"/>
      <c r="E149" s="107" t="s">
        <v>184</v>
      </c>
      <c r="F149" s="871"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106" t="str">
        <f>IFERROR(ROUNDUP(D149/F149,0),"")</f>
        <v/>
      </c>
      <c r="H149" s="105"/>
      <c r="I149" s="104"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row>
    <row r="150" spans="1:15" ht="21" customHeight="1" x14ac:dyDescent="0.3">
      <c r="A150" s="110"/>
      <c r="B150" s="109"/>
      <c r="C150" s="108"/>
      <c r="D150" s="104"/>
      <c r="E150" s="107" t="s">
        <v>184</v>
      </c>
      <c r="F150" s="871"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06" t="str">
        <f>IFERROR(ROUNDUP(D150/F150,0),"")</f>
        <v/>
      </c>
      <c r="H150" s="105"/>
      <c r="I150" s="104"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row>
    <row r="151" spans="1:15" ht="21" customHeight="1" x14ac:dyDescent="0.3">
      <c r="A151" s="110"/>
      <c r="B151" s="109"/>
      <c r="C151" s="108"/>
      <c r="D151" s="104"/>
      <c r="E151" s="107" t="s">
        <v>184</v>
      </c>
      <c r="F151" s="871"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06" t="str">
        <f>IFERROR(ROUNDUP(D151/F151,0),"")</f>
        <v/>
      </c>
      <c r="H151" s="105"/>
      <c r="I151" s="104"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row>
    <row r="152" spans="1:15" ht="21" customHeight="1" x14ac:dyDescent="0.3">
      <c r="A152" s="817"/>
      <c r="B152" s="818"/>
      <c r="C152" s="819"/>
      <c r="D152" s="820"/>
      <c r="E152" s="821" t="s">
        <v>184</v>
      </c>
      <c r="F152" s="872"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822" t="str">
        <f>IFERROR(ROUNDUP(D152/F152,0),"")</f>
        <v/>
      </c>
      <c r="H152" s="823"/>
      <c r="I152" s="820"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row>
    <row r="153" spans="1:15" ht="15" customHeight="1" x14ac:dyDescent="0.3">
      <c r="A153" s="899"/>
      <c r="B153" s="846" t="s">
        <v>186</v>
      </c>
      <c r="C153" s="847"/>
      <c r="D153" s="848">
        <f>SUM(D146:D152)</f>
        <v>0</v>
      </c>
      <c r="E153" s="849"/>
      <c r="F153" s="856" t="s">
        <v>1400</v>
      </c>
      <c r="G153" s="850">
        <f>SUM(G146:G152)</f>
        <v>0</v>
      </c>
      <c r="H153" s="848">
        <f>SUM(H146:H152)</f>
        <v>0</v>
      </c>
      <c r="I153" s="848">
        <f>SUM(I146:I152)</f>
        <v>0</v>
      </c>
      <c r="J153" s="63">
        <f>D153</f>
        <v>0</v>
      </c>
      <c r="K153" s="93">
        <f>G153</f>
        <v>0</v>
      </c>
      <c r="L153" s="63">
        <f>H153</f>
        <v>0</v>
      </c>
      <c r="M153" s="63">
        <f>I153</f>
        <v>0</v>
      </c>
      <c r="N153" s="587" t="str" cm="1">
        <f t="array" ref="N153">IF(H153=0,"",SUMPRODUCT(IFERROR(INT(H148:H152/F148:F152),0)))</f>
        <v/>
      </c>
      <c r="O153" s="770" t="str">
        <f>IF(N153="","",MAX(0,G153-N153))</f>
        <v/>
      </c>
    </row>
    <row r="154" spans="1:15" ht="6" customHeight="1" x14ac:dyDescent="0.3">
      <c r="C154" s="65"/>
    </row>
    <row r="155" spans="1:15" ht="15" customHeight="1" x14ac:dyDescent="0.3">
      <c r="A155" s="75">
        <v>46350</v>
      </c>
      <c r="B155" s="113" t="s">
        <v>49</v>
      </c>
      <c r="C155" s="112" t="s">
        <v>176</v>
      </c>
      <c r="D155" s="111" t="s">
        <v>177</v>
      </c>
      <c r="E155" s="111" t="s">
        <v>178</v>
      </c>
      <c r="F155" s="860" t="s">
        <v>179</v>
      </c>
      <c r="G155" s="111" t="s">
        <v>180</v>
      </c>
      <c r="H155" s="111" t="s">
        <v>181</v>
      </c>
      <c r="I155" s="111" t="s">
        <v>182</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IFERROR(ROUNDUP(D156/F156,0),"")</f>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IFERROR(ROUNDUP(D157/F157,0),"")</f>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IFERROR(ROUNDUP(D158/F158,0),"")</f>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11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IFERROR(ROUNDUP(D159/F159,0),"")</f>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817"/>
      <c r="B160" s="818"/>
      <c r="C160" s="819"/>
      <c r="D160" s="820"/>
      <c r="E160" s="821" t="s">
        <v>184</v>
      </c>
      <c r="F160" s="872"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822" t="str">
        <f>IFERROR(ROUNDUP(D160/F160,0),"")</f>
        <v/>
      </c>
      <c r="H160" s="823"/>
      <c r="I160" s="820"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15" customHeight="1" x14ac:dyDescent="0.3">
      <c r="A161" s="899"/>
      <c r="B161" s="846" t="s">
        <v>186</v>
      </c>
      <c r="C161" s="847"/>
      <c r="D161" s="848">
        <f>SUM(D154:D160)</f>
        <v>0</v>
      </c>
      <c r="E161" s="849"/>
      <c r="F161" s="856" t="s">
        <v>1400</v>
      </c>
      <c r="G161" s="850">
        <f>SUM(G154:G160)</f>
        <v>0</v>
      </c>
      <c r="H161" s="848">
        <f>SUM(H154:H160)</f>
        <v>0</v>
      </c>
      <c r="I161" s="848">
        <f>SUM(I154:I160)</f>
        <v>0</v>
      </c>
      <c r="J161" s="63">
        <f>D161</f>
        <v>0</v>
      </c>
      <c r="K161" s="93">
        <f>G161</f>
        <v>0</v>
      </c>
      <c r="L161" s="63">
        <f>H161</f>
        <v>0</v>
      </c>
      <c r="M161" s="63">
        <f>I161</f>
        <v>0</v>
      </c>
      <c r="N161" s="587" t="str" cm="1">
        <f t="array" ref="N161">IF(H161=0,"",SUMPRODUCT(IFERROR(INT(H156:H160/F156:F160),0)))</f>
        <v/>
      </c>
      <c r="O161" s="770" t="str">
        <f>IF(N161="","",MAX(0,G161-N161))</f>
        <v/>
      </c>
    </row>
    <row r="162" spans="1:15" ht="6" customHeight="1" x14ac:dyDescent="0.3">
      <c r="C162" s="65"/>
    </row>
    <row r="163" spans="1:15" ht="15" customHeight="1" x14ac:dyDescent="0.3">
      <c r="A163" s="75">
        <v>46351</v>
      </c>
      <c r="B163" s="113" t="s">
        <v>49</v>
      </c>
      <c r="C163" s="112" t="s">
        <v>176</v>
      </c>
      <c r="D163" s="111" t="s">
        <v>177</v>
      </c>
      <c r="E163" s="111" t="s">
        <v>178</v>
      </c>
      <c r="F163" s="860" t="s">
        <v>179</v>
      </c>
      <c r="G163" s="111" t="s">
        <v>180</v>
      </c>
      <c r="H163" s="111" t="s">
        <v>181</v>
      </c>
      <c r="I163" s="111" t="s">
        <v>182</v>
      </c>
    </row>
    <row r="164" spans="1:15" ht="21" customHeight="1" x14ac:dyDescent="0.3">
      <c r="A164" s="110"/>
      <c r="B164" s="109"/>
      <c r="C164" s="108"/>
      <c r="D164" s="104"/>
      <c r="E164" s="107" t="s">
        <v>184</v>
      </c>
      <c r="F164" s="871"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106" t="str">
        <f>IFERROR(ROUNDUP(D164/F164,0),"")</f>
        <v/>
      </c>
      <c r="H164" s="105"/>
      <c r="I164" s="104"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row>
    <row r="165" spans="1:15" ht="21" customHeight="1" x14ac:dyDescent="0.3">
      <c r="A165" s="110"/>
      <c r="B165" s="109"/>
      <c r="C165" s="108"/>
      <c r="D165" s="104"/>
      <c r="E165" s="107" t="s">
        <v>184</v>
      </c>
      <c r="F165" s="871" t="str">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
      </c>
      <c r="G165" s="106" t="str">
        <f>IFERROR(ROUNDUP(D165/F165,0),"")</f>
        <v/>
      </c>
      <c r="H165" s="105"/>
      <c r="I165" s="104"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row>
    <row r="166" spans="1:15"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IFERROR(ROUNDUP(D166/F166,0),"")</f>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5"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IFERROR(ROUNDUP(D167/F167,0),"")</f>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5" ht="21" customHeight="1" x14ac:dyDescent="0.3">
      <c r="A168" s="817"/>
      <c r="B168" s="818"/>
      <c r="C168" s="819"/>
      <c r="D168" s="820"/>
      <c r="E168" s="821" t="s">
        <v>184</v>
      </c>
      <c r="F168" s="872"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822" t="str">
        <f>IFERROR(ROUNDUP(D168/F168,0),"")</f>
        <v/>
      </c>
      <c r="H168" s="823"/>
      <c r="I168" s="820"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15" customHeight="1" x14ac:dyDescent="0.3">
      <c r="A169" s="899"/>
      <c r="B169" s="846" t="s">
        <v>186</v>
      </c>
      <c r="C169" s="847"/>
      <c r="D169" s="848">
        <f>SUM(D162:D168)</f>
        <v>0</v>
      </c>
      <c r="E169" s="849"/>
      <c r="F169" s="856" t="s">
        <v>1400</v>
      </c>
      <c r="G169" s="850">
        <f>SUM(G162:G168)</f>
        <v>0</v>
      </c>
      <c r="H169" s="848">
        <f>SUM(H162:H168)</f>
        <v>0</v>
      </c>
      <c r="I169" s="848">
        <f>SUM(I162:I168)</f>
        <v>0</v>
      </c>
      <c r="J169" s="63">
        <f>D169</f>
        <v>0</v>
      </c>
      <c r="K169" s="93">
        <f>G169</f>
        <v>0</v>
      </c>
      <c r="L169" s="63">
        <f>H169</f>
        <v>0</v>
      </c>
      <c r="M169" s="63">
        <f>I169</f>
        <v>0</v>
      </c>
      <c r="N169" s="587" t="str" cm="1">
        <f t="array" ref="N169">IF(H169=0,"",SUMPRODUCT(IFERROR(INT(H164:H168/F164:F168),0)))</f>
        <v/>
      </c>
      <c r="O169" s="770" t="str">
        <f>IF(N169="","",MAX(0,G169-N169))</f>
        <v/>
      </c>
    </row>
    <row r="170" spans="1:15" ht="6" customHeight="1" x14ac:dyDescent="0.3">
      <c r="C170" s="65"/>
    </row>
    <row r="171" spans="1:15" ht="14.25" customHeight="1" x14ac:dyDescent="0.3">
      <c r="A171" s="75">
        <v>46352</v>
      </c>
      <c r="B171" s="113" t="s">
        <v>49</v>
      </c>
      <c r="C171" s="112" t="s">
        <v>176</v>
      </c>
      <c r="D171" s="111" t="s">
        <v>177</v>
      </c>
      <c r="E171" s="111" t="s">
        <v>178</v>
      </c>
      <c r="F171" s="860" t="s">
        <v>179</v>
      </c>
      <c r="G171" s="111" t="s">
        <v>180</v>
      </c>
      <c r="H171" s="111" t="s">
        <v>181</v>
      </c>
      <c r="I171" s="111" t="s">
        <v>182</v>
      </c>
    </row>
    <row r="172" spans="1:15" ht="21" customHeight="1" x14ac:dyDescent="0.3">
      <c r="A172" s="110"/>
      <c r="B172" s="109"/>
      <c r="C172" s="108"/>
      <c r="D172" s="104"/>
      <c r="E172" s="107" t="s">
        <v>184</v>
      </c>
      <c r="F172" s="871"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106" t="str">
        <f>IFERROR(ROUNDUP(D172/F172,0),"")</f>
        <v/>
      </c>
      <c r="H172" s="105"/>
      <c r="I172" s="104"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21" customHeight="1" x14ac:dyDescent="0.3">
      <c r="A173" s="110"/>
      <c r="B173" s="109"/>
      <c r="C173" s="108"/>
      <c r="D173" s="104"/>
      <c r="E173" s="107" t="s">
        <v>184</v>
      </c>
      <c r="F173" s="871" t="str">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
      </c>
      <c r="G173" s="106" t="str">
        <f>IFERROR(ROUNDUP(D173/F173,0),"")</f>
        <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c r="C174" s="108"/>
      <c r="D174" s="104"/>
      <c r="E174" s="107" t="s">
        <v>184</v>
      </c>
      <c r="F174" s="871" t="str">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
      </c>
      <c r="G174" s="106" t="str">
        <f>IFERROR(ROUNDUP(D174/F174,0),"")</f>
        <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817"/>
      <c r="B176" s="818"/>
      <c r="C176" s="819"/>
      <c r="D176" s="820"/>
      <c r="E176" s="821" t="s">
        <v>184</v>
      </c>
      <c r="F176" s="872"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822" t="str">
        <f>IFERROR(ROUNDUP(D176/F176,0),"")</f>
        <v/>
      </c>
      <c r="H176" s="823"/>
      <c r="I176" s="820"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14.25" customHeight="1" x14ac:dyDescent="0.3">
      <c r="A177" s="899"/>
      <c r="B177" s="846" t="s">
        <v>186</v>
      </c>
      <c r="C177" s="847"/>
      <c r="D177" s="848">
        <f>SUM(D170:D176)</f>
        <v>0</v>
      </c>
      <c r="E177" s="849"/>
      <c r="F177" s="856" t="s">
        <v>1400</v>
      </c>
      <c r="G177" s="850">
        <f>SUM(G170:G176)</f>
        <v>0</v>
      </c>
      <c r="H177" s="848">
        <f>SUM(H170:H176)</f>
        <v>0</v>
      </c>
      <c r="I177" s="848">
        <f>SUM(I170:I176)</f>
        <v>0</v>
      </c>
      <c r="J177" s="63">
        <f>D177</f>
        <v>0</v>
      </c>
      <c r="K177" s="93">
        <f>G177</f>
        <v>0</v>
      </c>
      <c r="L177" s="63">
        <f>H177</f>
        <v>0</v>
      </c>
      <c r="M177" s="63">
        <f>I177</f>
        <v>0</v>
      </c>
      <c r="N177" s="587" t="str" cm="1">
        <f t="array" ref="N177">IF(H177=0,"",SUMPRODUCT(IFERROR(INT(H172:H176/F172:F176),0)))</f>
        <v/>
      </c>
      <c r="O177" s="770" t="str">
        <f>IF(N177="","",MAX(0,G177-N177))</f>
        <v/>
      </c>
    </row>
    <row r="178" spans="1:15" ht="14.25" customHeight="1" x14ac:dyDescent="0.3">
      <c r="C178" s="65"/>
    </row>
    <row r="179" spans="1:15" ht="14.25" customHeight="1" x14ac:dyDescent="0.3">
      <c r="A179" s="75">
        <v>46353</v>
      </c>
      <c r="B179" s="113" t="s">
        <v>49</v>
      </c>
      <c r="C179" s="112" t="s">
        <v>176</v>
      </c>
      <c r="D179" s="111" t="s">
        <v>177</v>
      </c>
      <c r="E179" s="111" t="s">
        <v>178</v>
      </c>
      <c r="F179" s="860" t="s">
        <v>179</v>
      </c>
      <c r="G179" s="111" t="s">
        <v>180</v>
      </c>
      <c r="H179" s="111" t="s">
        <v>181</v>
      </c>
      <c r="I179" s="111" t="s">
        <v>182</v>
      </c>
    </row>
    <row r="180" spans="1:15" ht="21" customHeight="1" x14ac:dyDescent="0.3">
      <c r="A180" s="110"/>
      <c r="B180" s="109"/>
      <c r="C180" s="108"/>
      <c r="D180" s="104"/>
      <c r="E180" s="107" t="s">
        <v>184</v>
      </c>
      <c r="F180" s="871"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106" t="str">
        <f>IFERROR(ROUNDUP(D180/F180,0),"")</f>
        <v/>
      </c>
      <c r="H180" s="105"/>
      <c r="I180" s="104"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row>
    <row r="181" spans="1:15" ht="21" customHeight="1" x14ac:dyDescent="0.3">
      <c r="A181" s="110"/>
      <c r="B181" s="109"/>
      <c r="C181" s="108"/>
      <c r="D181" s="104"/>
      <c r="E181" s="107" t="s">
        <v>184</v>
      </c>
      <c r="F181" s="871" t="str">
        <f>IF($B181="","",IF(SUMIFS(CONFIG_PALETES!$C:$C,CONFIG_PALETES!$A:$A,TRIM($B181),CONFIG_PALETES!$B:$B,$C181&amp;" ml")&gt;0,SUMIFS(CONFIG_PALETES!$C:$C,CONFIG_PALETES!$A:$A,TRIM($B181),CONFIG_PALETES!$B:$B,$C181&amp;" ml"),IF(SUMIFS(CONFIG_PALETES!$C:$C,CONFIG_PALETES!$A:$A,"GERAL",CONFIG_PALETES!$B:$B,$C181&amp;" ml")&gt;0,SUMIFS(CONFIG_PALETES!$C:$C,CONFIG_PALETES!$A:$A,"GERAL",CONFIG_PALETES!$B:$B,$C181&amp;" ml"),"")))</f>
        <v/>
      </c>
      <c r="G181" s="106" t="str">
        <f>IFERROR(ROUNDUP(D181/F181,0),"")</f>
        <v/>
      </c>
      <c r="H181" s="105"/>
      <c r="I181" s="104" t="str">
        <f>IF(H181="","",H181*IF(SUMIFS(CONFIG_PALETES!$D:$D,CONFIG_PALETES!$A:$A,IF(ISNUMBER(SEARCH("ESPUMA",$B181)),"ESPUMA",IF(OR(ISNUMBER(SEARCH("OLEO DE COCO",$B181)),ISNUMBER(SEARCH("ÓLEO DE COCO",$B181)),ISNUMBER(SEARCH("COPRA",$B181))),"ÓLEO DE COCO",IF(ISNUMBER(SEARCH("CORANTE",$B181)),"CORANTE",TRIM($B181)))),CONFIG_PALETES!$B:$B,$C181&amp;" ml")&gt;0,SUMIFS(CONFIG_PALETES!$D:$D,CONFIG_PALETES!$A:$A,IF(ISNUMBER(SEARCH("ESPUMA",$B181)),"ESPUMA",IF(OR(ISNUMBER(SEARCH("OLEO DE COCO",$B181)),ISNUMBER(SEARCH("ÓLEO DE COCO",$B181)),ISNUMBER(SEARCH("COPRA",$B181))),"ÓLEO DE COCO",IF(ISNUMBER(SEARCH("CORANTE",$B181)),"CORANTE",TRIM($B181)))),CONFIG_PALETES!$B:$B,$C181&amp;" ml"),IF(SUMIFS(CONFIG_PALETES!$D:$D,CONFIG_PALETES!$A:$A,"GERAL",CONFIG_PALETES!$B:$B,$C181&amp;" ml")&gt;0,SUMIFS(CONFIG_PALETES!$D:$D,CONFIG_PALETES!$A:$A,"GERAL",CONFIG_PALETES!$B:$B,$C181&amp;" ml"),12)))</f>
        <v/>
      </c>
    </row>
    <row r="182" spans="1:15" ht="21" customHeight="1" x14ac:dyDescent="0.3">
      <c r="A182" s="110"/>
      <c r="B182" s="109"/>
      <c r="C182" s="108"/>
      <c r="D182" s="104"/>
      <c r="E182" s="107" t="s">
        <v>184</v>
      </c>
      <c r="F182" s="871" t="str">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
      </c>
      <c r="G182" s="106" t="str">
        <f>IFERROR(ROUNDUP(D182/F182,0),"")</f>
        <v/>
      </c>
      <c r="H182" s="105"/>
      <c r="I182" s="104" t="str">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
      </c>
    </row>
    <row r="183" spans="1:15" ht="21" customHeight="1" x14ac:dyDescent="0.3">
      <c r="A183" s="110"/>
      <c r="B183" s="109"/>
      <c r="C183" s="108"/>
      <c r="D183" s="104"/>
      <c r="E183" s="107" t="s">
        <v>184</v>
      </c>
      <c r="F183" s="871" t="str">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
      </c>
      <c r="G183" s="106" t="str">
        <f>IFERROR(ROUNDUP(D183/F183,0),"")</f>
        <v/>
      </c>
      <c r="H183" s="105"/>
      <c r="I183" s="104"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row>
    <row r="184" spans="1:15" ht="21" customHeight="1" x14ac:dyDescent="0.3">
      <c r="A184" s="817"/>
      <c r="B184" s="818"/>
      <c r="C184" s="819"/>
      <c r="D184" s="820"/>
      <c r="E184" s="821" t="s">
        <v>184</v>
      </c>
      <c r="F184" s="872"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822" t="str">
        <f>IFERROR(ROUNDUP(D184/F184,0),"")</f>
        <v/>
      </c>
      <c r="H184" s="823"/>
      <c r="I184" s="820"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row>
    <row r="185" spans="1:15" ht="14.25" customHeight="1" x14ac:dyDescent="0.3">
      <c r="A185" s="899"/>
      <c r="B185" s="846" t="s">
        <v>186</v>
      </c>
      <c r="C185" s="847"/>
      <c r="D185" s="848">
        <f>SUM(D178:D184)</f>
        <v>0</v>
      </c>
      <c r="E185" s="849"/>
      <c r="F185" s="856" t="s">
        <v>1400</v>
      </c>
      <c r="G185" s="850">
        <f>SUM(G178:G184)</f>
        <v>0</v>
      </c>
      <c r="H185" s="848">
        <f>SUM(H178:H184)</f>
        <v>0</v>
      </c>
      <c r="I185" s="848">
        <f>SUM(I178:I184)</f>
        <v>0</v>
      </c>
      <c r="J185" s="63">
        <f>D185</f>
        <v>0</v>
      </c>
      <c r="K185" s="93">
        <f>G185</f>
        <v>0</v>
      </c>
      <c r="L185" s="63">
        <f>H185</f>
        <v>0</v>
      </c>
      <c r="M185" s="63">
        <f>I185</f>
        <v>0</v>
      </c>
      <c r="N185" s="587" t="str" cm="1">
        <f t="array" ref="N185">IF(H185=0,"",SUMPRODUCT(IFERROR(INT(H180:H184/F180:F184),0)))</f>
        <v/>
      </c>
      <c r="O185" s="770" t="str">
        <f>IF(N185="","",MAX(0,G185-N185))</f>
        <v/>
      </c>
    </row>
    <row r="186" spans="1:15" ht="14.25" customHeight="1" x14ac:dyDescent="0.3">
      <c r="C186" s="65"/>
    </row>
    <row r="187" spans="1:15" ht="14.25" customHeight="1" x14ac:dyDescent="0.3">
      <c r="A187" s="135">
        <v>46354</v>
      </c>
      <c r="B187" s="113" t="s">
        <v>49</v>
      </c>
      <c r="C187" s="112" t="s">
        <v>176</v>
      </c>
      <c r="D187" s="111" t="s">
        <v>177</v>
      </c>
      <c r="E187" s="111" t="s">
        <v>178</v>
      </c>
      <c r="F187" s="862" t="s">
        <v>179</v>
      </c>
      <c r="G187" s="111" t="s">
        <v>180</v>
      </c>
      <c r="H187" s="111" t="s">
        <v>181</v>
      </c>
      <c r="I187" s="111" t="s">
        <v>182</v>
      </c>
      <c r="J187" s="128"/>
      <c r="K187" s="128"/>
      <c r="L187" s="128"/>
      <c r="M187" s="128"/>
    </row>
    <row r="188" spans="1:15" ht="21" customHeight="1" x14ac:dyDescent="0.3">
      <c r="A188" s="110"/>
      <c r="B188" s="127"/>
      <c r="C188" s="126"/>
      <c r="D188" s="129"/>
      <c r="E188" s="131" t="s">
        <v>184</v>
      </c>
      <c r="F188" s="877"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30" t="str">
        <f>IFERROR(ROUNDUP(D188/F188,0),"")</f>
        <v/>
      </c>
      <c r="H188" s="105"/>
      <c r="I188" s="129"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c r="J188" s="128"/>
      <c r="K188" s="128"/>
      <c r="L188" s="128"/>
      <c r="M188" s="128"/>
    </row>
    <row r="189" spans="1:15" ht="21" customHeight="1" x14ac:dyDescent="0.3">
      <c r="A189" s="110"/>
      <c r="B189" s="127"/>
      <c r="C189" s="126"/>
      <c r="D189" s="129"/>
      <c r="E189" s="131" t="s">
        <v>184</v>
      </c>
      <c r="F189" s="877"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130" t="str">
        <f>IFERROR(ROUNDUP(D189/F189,0),"")</f>
        <v/>
      </c>
      <c r="H189" s="105"/>
      <c r="I189" s="129"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c r="J189" s="128"/>
      <c r="K189" s="128"/>
      <c r="L189" s="128"/>
      <c r="M189" s="128"/>
    </row>
    <row r="190" spans="1:15" ht="21" customHeight="1" x14ac:dyDescent="0.3">
      <c r="A190" s="110"/>
      <c r="B190" s="127"/>
      <c r="C190" s="126"/>
      <c r="D190" s="129"/>
      <c r="E190" s="131" t="s">
        <v>184</v>
      </c>
      <c r="F190" s="877" t="str">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
      </c>
      <c r="G190" s="130" t="str">
        <f>IFERROR(ROUNDUP(D190/F190,0),"")</f>
        <v/>
      </c>
      <c r="H190" s="105"/>
      <c r="I190" s="129" t="str">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
      </c>
      <c r="J190" s="128"/>
      <c r="K190" s="128"/>
      <c r="L190" s="128"/>
      <c r="M190" s="128"/>
    </row>
    <row r="191" spans="1:15" ht="21" customHeight="1" x14ac:dyDescent="0.3">
      <c r="A191" s="110"/>
      <c r="B191" s="127"/>
      <c r="C191" s="126"/>
      <c r="D191" s="129"/>
      <c r="E191" s="131" t="s">
        <v>184</v>
      </c>
      <c r="F191" s="877"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30" t="str">
        <f>IFERROR(ROUNDUP(D191/F191,0),"")</f>
        <v/>
      </c>
      <c r="H191" s="105"/>
      <c r="I191" s="129"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c r="J191" s="128"/>
      <c r="K191" s="128"/>
      <c r="L191" s="128"/>
      <c r="M191" s="128"/>
    </row>
    <row r="192" spans="1:15" ht="21" customHeight="1" x14ac:dyDescent="0.3">
      <c r="A192" s="817"/>
      <c r="B192" s="829"/>
      <c r="C192" s="830"/>
      <c r="D192" s="831"/>
      <c r="E192" s="832" t="s">
        <v>184</v>
      </c>
      <c r="F192" s="878"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833" t="str">
        <f>IFERROR(ROUNDUP(D192/F192,0),"")</f>
        <v/>
      </c>
      <c r="H192" s="823"/>
      <c r="I192" s="831"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c r="J192" s="128"/>
      <c r="K192" s="128"/>
      <c r="L192" s="128"/>
      <c r="M192" s="128"/>
    </row>
    <row r="193" spans="1:15" ht="14.25" customHeight="1" x14ac:dyDescent="0.3">
      <c r="A193" s="899"/>
      <c r="B193" s="846" t="s">
        <v>186</v>
      </c>
      <c r="C193" s="851"/>
      <c r="D193" s="848">
        <f>SUM(D186:D192)</f>
        <v>0</v>
      </c>
      <c r="E193" s="852"/>
      <c r="F193" s="857" t="s">
        <v>1400</v>
      </c>
      <c r="G193" s="850">
        <f>SUM(G186:G192)</f>
        <v>0</v>
      </c>
      <c r="H193" s="848">
        <f>SUM(H186:H192)</f>
        <v>0</v>
      </c>
      <c r="I193" s="848">
        <f>SUM(I186:I192)</f>
        <v>0</v>
      </c>
      <c r="J193" s="133">
        <f>D193</f>
        <v>0</v>
      </c>
      <c r="K193" s="134">
        <f>G193</f>
        <v>0</v>
      </c>
      <c r="L193" s="133">
        <f>H193</f>
        <v>0</v>
      </c>
      <c r="M193" s="133">
        <f>I193</f>
        <v>0</v>
      </c>
      <c r="N193" s="587" t="str" cm="1">
        <f t="array" ref="N193">IF(H193=0,"",SUMPRODUCT(IFERROR(INT(H188:H192/F188:F192),0)))</f>
        <v/>
      </c>
      <c r="O193" s="770" t="str">
        <f>IF(N193="","",MAX(0,G193-N193))</f>
        <v/>
      </c>
    </row>
    <row r="194" spans="1:15" ht="14.25" customHeight="1" x14ac:dyDescent="0.3">
      <c r="A194" s="128"/>
      <c r="B194" s="128"/>
      <c r="C194" s="132"/>
      <c r="D194" s="128"/>
      <c r="E194" s="128"/>
      <c r="F194" s="128"/>
      <c r="G194" s="128"/>
      <c r="H194" s="128"/>
      <c r="I194" s="128"/>
      <c r="J194" s="128"/>
      <c r="K194" s="128"/>
      <c r="L194" s="128"/>
      <c r="M194" s="128"/>
    </row>
    <row r="195" spans="1:15" ht="14.25" customHeight="1" x14ac:dyDescent="0.3">
      <c r="A195" s="75">
        <v>46356</v>
      </c>
      <c r="B195" s="113" t="s">
        <v>49</v>
      </c>
      <c r="C195" s="112" t="s">
        <v>176</v>
      </c>
      <c r="D195" s="111" t="s">
        <v>177</v>
      </c>
      <c r="E195" s="111" t="s">
        <v>178</v>
      </c>
      <c r="F195" s="860" t="s">
        <v>179</v>
      </c>
      <c r="G195" s="111" t="s">
        <v>180</v>
      </c>
      <c r="H195" s="111" t="s">
        <v>181</v>
      </c>
      <c r="I195" s="111" t="s">
        <v>182</v>
      </c>
    </row>
    <row r="196" spans="1:15" ht="21" customHeight="1" x14ac:dyDescent="0.3">
      <c r="A196" s="110"/>
      <c r="B196" s="109"/>
      <c r="C196" s="108"/>
      <c r="D196" s="104"/>
      <c r="E196" s="107" t="s">
        <v>184</v>
      </c>
      <c r="F196" s="871"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06" t="str">
        <f>IFERROR(ROUNDUP(D196/F196,0),"")</f>
        <v/>
      </c>
      <c r="H196" s="105"/>
      <c r="I196" s="104"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21" customHeight="1" x14ac:dyDescent="0.3">
      <c r="A197" s="110"/>
      <c r="B197" s="109"/>
      <c r="C197" s="108"/>
      <c r="D197" s="104"/>
      <c r="E197" s="107" t="s">
        <v>184</v>
      </c>
      <c r="F197" s="871"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06" t="str">
        <f>IFERROR(ROUNDUP(D197/F197,0),"")</f>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row>
    <row r="198" spans="1:15" ht="21" customHeight="1" x14ac:dyDescent="0.3">
      <c r="A198" s="110"/>
      <c r="B198" s="109"/>
      <c r="C198" s="108"/>
      <c r="D198" s="104"/>
      <c r="E198" s="107" t="s">
        <v>184</v>
      </c>
      <c r="F198" s="871"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106" t="str">
        <f>IFERROR(ROUNDUP(D198/F198,0),"")</f>
        <v/>
      </c>
      <c r="H198" s="105"/>
      <c r="I198" s="104"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row>
    <row r="199" spans="1:15" ht="21" customHeight="1" x14ac:dyDescent="0.3">
      <c r="A199" s="110"/>
      <c r="B199" s="109"/>
      <c r="C199" s="108"/>
      <c r="D199" s="104"/>
      <c r="E199" s="107" t="s">
        <v>184</v>
      </c>
      <c r="F199" s="871"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06" t="str">
        <f>IFERROR(ROUNDUP(D199/F199,0),"")</f>
        <v/>
      </c>
      <c r="H199" s="105"/>
      <c r="I199" s="104"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row>
    <row r="200" spans="1:15" ht="21" customHeight="1" x14ac:dyDescent="0.3">
      <c r="A200" s="817"/>
      <c r="B200" s="818"/>
      <c r="C200" s="819"/>
      <c r="D200" s="820"/>
      <c r="E200" s="821" t="s">
        <v>184</v>
      </c>
      <c r="F200" s="872"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822" t="str">
        <f>IFERROR(ROUNDUP(D200/F200,0),"")</f>
        <v/>
      </c>
      <c r="H200" s="823"/>
      <c r="I200" s="820"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row>
    <row r="201" spans="1:15" ht="14.25" customHeight="1" x14ac:dyDescent="0.3">
      <c r="A201" s="899"/>
      <c r="B201" s="846" t="s">
        <v>186</v>
      </c>
      <c r="C201" s="847"/>
      <c r="D201" s="848">
        <f>SUM(D194:D200)</f>
        <v>0</v>
      </c>
      <c r="E201" s="849"/>
      <c r="F201" s="856" t="s">
        <v>1400</v>
      </c>
      <c r="G201" s="850">
        <f>SUM(G194:G200)</f>
        <v>0</v>
      </c>
      <c r="H201" s="848">
        <f>SUM(H194:H200)</f>
        <v>0</v>
      </c>
      <c r="I201" s="848">
        <f>SUM(I194:I200)</f>
        <v>0</v>
      </c>
      <c r="J201" s="63">
        <f>D201</f>
        <v>0</v>
      </c>
      <c r="K201" s="93">
        <f>G201</f>
        <v>0</v>
      </c>
      <c r="L201" s="63">
        <f>H201</f>
        <v>0</v>
      </c>
      <c r="M201" s="63">
        <f>I201</f>
        <v>0</v>
      </c>
      <c r="N201" s="587" t="str" cm="1">
        <f t="array" ref="N201">IF(H201=0,"",SUMPRODUCT(IFERROR(INT(H196:H200/F196:F200),0)))</f>
        <v/>
      </c>
      <c r="O201" s="770" t="str">
        <f>IF(N201="","",MAX(0,G201-N201))</f>
        <v/>
      </c>
    </row>
  </sheetData>
  <mergeCells count="3">
    <mergeCell ref="A1:I1"/>
    <mergeCell ref="A2:F2"/>
    <mergeCell ref="G2:I2"/>
  </mergeCells>
  <dataValidations count="126">
    <dataValidation type="list" allowBlank="1" errorTitle="Embalagem inválida" error="Escolha uma embalagem compatível com o produto." promptTitle="Selecione a embalagem" prompt="As opções mudam conforme o produto escolhido." sqref="C1:C3 C9:C11 C17:C19 C25:C27 C33:C35 C41:C43 C49:C51 C57:C59 C65:C67 C73:C75 C81:C83 C89:C91 C97:C99 C105:C107 C113:C115 C121:C123 C129:C131 C137:C139 C145:C147 C153:C155 C161:C163 C169:C171 C177:C179 C185:C187 C193:C195 C201:C1169" xr:uid="{00000000-0002-0000-22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955A24B3-87FB-43D9-A891-7A9EB30DC8BD}">
      <formula1>INDIRECT(IF(OR(ISNUMBER(SEARCH("ICEBERG ICE",UPPER(TRIM($B4)))),ISNUMBER(SEARCH("ICE ICEBERG",UPPER(TRIM($B4)))),ISNUMBER(SEARCH("GELINHO ICEBERG",UPPER(TRIM($B4))))),"$AJ$2:$AJ$2",IF(ISNUMBER(SEARCH("ESPUMA",$B4)),"$AI$2:$AI$2",IF(ISNUMBER(SEARCH("CORANTE",$B4)),"$AN$2:$AN$2",IFERROR(INDEX($AB$2:$AB$138,MATCH(UPPER(TRIM($B4)),$AA$2:$AA$138,0)),"$AO$2:$AO$9")))))</formula1>
    </dataValidation>
    <dataValidation type="list" allowBlank="1" errorTitle="Embalagem inválida" error="Escolha uma embalagem compatível com o produto." promptTitle="Selecione a embalagem" prompt="As opções mudam conforme o produto digitado." sqref="C5" xr:uid="{F94979A2-8B73-4B33-84DC-12A6B2E81998}">
      <formula1>INDIRECT(IF(OR(ISNUMBER(SEARCH("ICEBERG ICE",UPPER(TRIM($B5)))),ISNUMBER(SEARCH("ICE ICEBERG",UPPER(TRIM($B5)))),ISNUMBER(SEARCH("GELINHO ICEBERG",UPPER(TRIM($B5))))),"$AJ$2:$AJ$2",IF(ISNUMBER(SEARCH("ESPUMA",$B5)),"$AI$2:$AI$2",IF(ISNUMBER(SEARCH("CORANTE",$B5)),"$AN$2:$AN$2",IFERROR(INDEX($AB$2:$AB$138,MATCH(UPPER(TRIM($B5)),$AA$2:$AA$138,0)),"$AO$2:$AO$9")))))</formula1>
    </dataValidation>
    <dataValidation type="list" allowBlank="1" errorTitle="Embalagem inválida" error="Escolha uma embalagem compatível com o produto." promptTitle="Selecione a embalagem" prompt="As opções mudam conforme o produto digitado." sqref="C6" xr:uid="{4C380EB4-C48A-4229-AE88-CD20DC824B98}">
      <formula1>INDIRECT(IF(OR(ISNUMBER(SEARCH("ICEBERG ICE",UPPER(TRIM($B6)))),ISNUMBER(SEARCH("ICE ICEBERG",UPPER(TRIM($B6)))),ISNUMBER(SEARCH("GELINHO ICEBERG",UPPER(TRIM($B6))))),"$AJ$2:$AJ$2",IF(ISNUMBER(SEARCH("ESPUMA",$B6)),"$AI$2:$AI$2",IF(ISNUMBER(SEARCH("CORANTE",$B6)),"$AN$2:$AN$2",IFERROR(INDEX($AB$2:$AB$138,MATCH(UPPER(TRIM($B6)),$AA$2:$AA$138,0)),"$AO$2:$AO$9")))))</formula1>
    </dataValidation>
    <dataValidation type="list" allowBlank="1" errorTitle="Embalagem inválida" error="Escolha uma embalagem compatível com o produto." promptTitle="Selecione a embalagem" prompt="As opções mudam conforme o produto digitado." sqref="C7" xr:uid="{2586C4A4-6F77-411B-A3A7-93832E8297A2}">
      <formula1>INDIRECT(IF(OR(ISNUMBER(SEARCH("ICEBERG ICE",UPPER(TRIM($B7)))),ISNUMBER(SEARCH("ICE ICEBERG",UPPER(TRIM($B7)))),ISNUMBER(SEARCH("GELINHO ICEBERG",UPPER(TRIM($B7))))),"$AJ$2:$AJ$2",IF(ISNUMBER(SEARCH("ESPUMA",$B7)),"$AI$2:$AI$2",IF(ISNUMBER(SEARCH("CORANTE",$B7)),"$AN$2:$AN$2",IFERROR(INDEX($AB$2:$AB$138,MATCH(UPPER(TRIM($B7)),$AA$2:$AA$138,0)),"$AO$2:$AO$9")))))</formula1>
    </dataValidation>
    <dataValidation type="list" allowBlank="1" errorTitle="Embalagem inválida" error="Escolha uma embalagem compatível com o produto." promptTitle="Selecione a embalagem" prompt="As opções mudam conforme o produto digitado." sqref="C8" xr:uid="{47A2EAD0-9093-43E3-8798-E620E99B9C03}">
      <formula1>INDIRECT(IF(OR(ISNUMBER(SEARCH("ICEBERG ICE",UPPER(TRIM($B8)))),ISNUMBER(SEARCH("ICE ICEBERG",UPPER(TRIM($B8)))),ISNUMBER(SEARCH("GELINHO ICEBERG",UPPER(TRIM($B8))))),"$AJ$2:$AJ$2",IF(ISNUMBER(SEARCH("ESPUMA",$B8)),"$AI$2:$AI$2",IF(ISNUMBER(SEARCH("CORANTE",$B8)),"$AN$2:$AN$2",IFERROR(INDEX($AB$2:$AB$138,MATCH(UPPER(TRIM($B8)),$AA$2:$AA$138,0)),"$AO$2:$AO$9")))))</formula1>
    </dataValidation>
    <dataValidation type="list" allowBlank="1" errorTitle="Embalagem inválida" error="Escolha uma embalagem compatível com o produto." promptTitle="Selecione a embalagem" prompt="As opções mudam conforme o produto digitado." sqref="C12" xr:uid="{989C9361-D42F-42DF-B4E9-50DBBDC4D5FB}">
      <formula1>INDIRECT(IF(OR(ISNUMBER(SEARCH("ICEBERG ICE",UPPER(TRIM($B12)))),ISNUMBER(SEARCH("ICE ICEBERG",UPPER(TRIM($B12)))),ISNUMBER(SEARCH("GELINHO ICEBERG",UPPER(TRIM($B12))))),"$AJ$2:$AJ$2",IF(ISNUMBER(SEARCH("ESPUMA",$B12)),"$AI$2:$AI$2",IF(ISNUMBER(SEARCH("CORANTE",$B12)),"$AN$2:$AN$2",IFERROR(INDEX($AB$2:$AB$138,MATCH(UPPER(TRIM($B12)),$AA$2:$AA$138,0)),"$AO$2:$AO$9")))))</formula1>
    </dataValidation>
    <dataValidation type="list" allowBlank="1" errorTitle="Embalagem inválida" error="Escolha uma embalagem compatível com o produto." promptTitle="Selecione a embalagem" prompt="As opções mudam conforme o produto digitado." sqref="C13" xr:uid="{21774089-61E8-41CA-BFA6-26209DF9A1F7}">
      <formula1>INDIRECT(IF(OR(ISNUMBER(SEARCH("ICEBERG ICE",UPPER(TRIM($B13)))),ISNUMBER(SEARCH("ICE ICEBERG",UPPER(TRIM($B13)))),ISNUMBER(SEARCH("GELINHO ICEBERG",UPPER(TRIM($B13))))),"$AJ$2:$AJ$2",IF(ISNUMBER(SEARCH("ESPUMA",$B13)),"$AI$2:$AI$2",IF(ISNUMBER(SEARCH("CORANTE",$B13)),"$AN$2:$AN$2",IFERROR(INDEX($AB$2:$AB$138,MATCH(UPPER(TRIM($B13)),$AA$2:$AA$138,0)),"$AO$2:$AO$9")))))</formula1>
    </dataValidation>
    <dataValidation type="list" allowBlank="1" errorTitle="Embalagem inválida" error="Escolha uma embalagem compatível com o produto." promptTitle="Selecione a embalagem" prompt="As opções mudam conforme o produto digitado." sqref="C14" xr:uid="{A3B983CE-8E65-4910-A07A-6920397381AE}">
      <formula1>INDIRECT(IF(OR(ISNUMBER(SEARCH("ICEBERG ICE",UPPER(TRIM($B14)))),ISNUMBER(SEARCH("ICE ICEBERG",UPPER(TRIM($B14)))),ISNUMBER(SEARCH("GELINHO ICEBERG",UPPER(TRIM($B14))))),"$AJ$2:$AJ$2",IF(ISNUMBER(SEARCH("ESPUMA",$B14)),"$AI$2:$AI$2",IF(ISNUMBER(SEARCH("CORANTE",$B14)),"$AN$2:$AN$2",IFERROR(INDEX($AB$2:$AB$138,MATCH(UPPER(TRIM($B14)),$AA$2:$AA$138,0)),"$AO$2:$AO$9")))))</formula1>
    </dataValidation>
    <dataValidation type="list" allowBlank="1" errorTitle="Embalagem inválida" error="Escolha uma embalagem compatível com o produto." promptTitle="Selecione a embalagem" prompt="As opções mudam conforme o produto digitado." sqref="C15" xr:uid="{C7A64A6A-7CDD-47E6-B472-C98196442C32}">
      <formula1>INDIRECT(IF(OR(ISNUMBER(SEARCH("ICEBERG ICE",UPPER(TRIM($B15)))),ISNUMBER(SEARCH("ICE ICEBERG",UPPER(TRIM($B15)))),ISNUMBER(SEARCH("GELINHO ICEBERG",UPPER(TRIM($B15))))),"$AJ$2:$AJ$2",IF(ISNUMBER(SEARCH("ESPUMA",$B15)),"$AI$2:$AI$2",IF(ISNUMBER(SEARCH("CORANTE",$B15)),"$AN$2:$AN$2",IFERROR(INDEX($AB$2:$AB$138,MATCH(UPPER(TRIM($B15)),$AA$2:$AA$138,0)),"$AO$2:$AO$9")))))</formula1>
    </dataValidation>
    <dataValidation type="list" allowBlank="1" errorTitle="Embalagem inválida" error="Escolha uma embalagem compatível com o produto." promptTitle="Selecione a embalagem" prompt="As opções mudam conforme o produto digitado." sqref="C16" xr:uid="{BD665D3C-5642-4516-8749-BB45F52EE426}">
      <formula1>INDIRECT(IF(OR(ISNUMBER(SEARCH("ICEBERG ICE",UPPER(TRIM($B16)))),ISNUMBER(SEARCH("ICE ICEBERG",UPPER(TRIM($B16)))),ISNUMBER(SEARCH("GELINHO ICEBERG",UPPER(TRIM($B16))))),"$AJ$2:$AJ$2",IF(ISNUMBER(SEARCH("ESPUMA",$B16)),"$AI$2:$AI$2",IF(ISNUMBER(SEARCH("CORANTE",$B16)),"$AN$2:$AN$2",IFERROR(INDEX($AB$2:$AB$138,MATCH(UPPER(TRIM($B16)),$AA$2:$AA$138,0)),"$AO$2:$AO$9")))))</formula1>
    </dataValidation>
    <dataValidation type="list" allowBlank="1" errorTitle="Embalagem inválida" error="Escolha uma embalagem compatível com o produto." promptTitle="Selecione a embalagem" prompt="As opções mudam conforme o produto digitado." sqref="C20" xr:uid="{DD82AC56-1769-4403-82A0-4C2C19FC3A01}">
      <formula1>INDIRECT(IF(OR(ISNUMBER(SEARCH("ICEBERG ICE",UPPER(TRIM($B20)))),ISNUMBER(SEARCH("ICE ICEBERG",UPPER(TRIM($B20)))),ISNUMBER(SEARCH("GELINHO ICEBERG",UPPER(TRIM($B20))))),"$AJ$2:$AJ$2",IF(ISNUMBER(SEARCH("ESPUMA",$B20)),"$AI$2:$AI$2",IF(ISNUMBER(SEARCH("CORANTE",$B20)),"$AN$2:$AN$2",IFERROR(INDEX($AB$2:$AB$138,MATCH(UPPER(TRIM($B20)),$AA$2:$AA$138,0)),"$AO$2:$AO$9")))))</formula1>
    </dataValidation>
    <dataValidation type="list" allowBlank="1" errorTitle="Embalagem inválida" error="Escolha uma embalagem compatível com o produto." promptTitle="Selecione a embalagem" prompt="As opções mudam conforme o produto digitado." sqref="C21" xr:uid="{1008E5AF-6961-4AFF-ADC1-D73227F9DD5C}">
      <formula1>INDIRECT(IF(OR(ISNUMBER(SEARCH("ICEBERG ICE",UPPER(TRIM($B21)))),ISNUMBER(SEARCH("ICE ICEBERG",UPPER(TRIM($B21)))),ISNUMBER(SEARCH("GELINHO ICEBERG",UPPER(TRIM($B21))))),"$AJ$2:$AJ$2",IF(ISNUMBER(SEARCH("ESPUMA",$B21)),"$AI$2:$AI$2",IF(ISNUMBER(SEARCH("CORANTE",$B21)),"$AN$2:$AN$2",IFERROR(INDEX($AB$2:$AB$138,MATCH(UPPER(TRIM($B21)),$AA$2:$AA$138,0)),"$AO$2:$AO$9")))))</formula1>
    </dataValidation>
    <dataValidation type="list" allowBlank="1" errorTitle="Embalagem inválida" error="Escolha uma embalagem compatível com o produto." promptTitle="Selecione a embalagem" prompt="As opções mudam conforme o produto digitado." sqref="C22" xr:uid="{5CDD5472-896D-41D5-A399-810CD77096A8}">
      <formula1>INDIRECT(IF(OR(ISNUMBER(SEARCH("ICEBERG ICE",UPPER(TRIM($B22)))),ISNUMBER(SEARCH("ICE ICEBERG",UPPER(TRIM($B22)))),ISNUMBER(SEARCH("GELINHO ICEBERG",UPPER(TRIM($B22))))),"$AJ$2:$AJ$2",IF(ISNUMBER(SEARCH("ESPUMA",$B22)),"$AI$2:$AI$2",IF(ISNUMBER(SEARCH("CORANTE",$B22)),"$AN$2:$AN$2",IFERROR(INDEX($AB$2:$AB$138,MATCH(UPPER(TRIM($B22)),$AA$2:$AA$138,0)),"$AO$2:$AO$9")))))</formula1>
    </dataValidation>
    <dataValidation type="list" allowBlank="1" errorTitle="Embalagem inválida" error="Escolha uma embalagem compatível com o produto." promptTitle="Selecione a embalagem" prompt="As opções mudam conforme o produto digitado." sqref="C23" xr:uid="{A11E4296-74A9-4250-8E55-81178E42A53A}">
      <formula1>INDIRECT(IF(OR(ISNUMBER(SEARCH("ICEBERG ICE",UPPER(TRIM($B23)))),ISNUMBER(SEARCH("ICE ICEBERG",UPPER(TRIM($B23)))),ISNUMBER(SEARCH("GELINHO ICEBERG",UPPER(TRIM($B23))))),"$AJ$2:$AJ$2",IF(ISNUMBER(SEARCH("ESPUMA",$B23)),"$AI$2:$AI$2",IF(ISNUMBER(SEARCH("CORANTE",$B23)),"$AN$2:$AN$2",IFERROR(INDEX($AB$2:$AB$138,MATCH(UPPER(TRIM($B23)),$AA$2:$AA$138,0)),"$AO$2:$AO$9")))))</formula1>
    </dataValidation>
    <dataValidation type="list" allowBlank="1" errorTitle="Embalagem inválida" error="Escolha uma embalagem compatível com o produto." promptTitle="Selecione a embalagem" prompt="As opções mudam conforme o produto digitado." sqref="C24" xr:uid="{DDD695E8-85C9-4081-A7F4-3A8E0C3187A7}">
      <formula1>INDIRECT(IF(OR(ISNUMBER(SEARCH("ICEBERG ICE",UPPER(TRIM($B24)))),ISNUMBER(SEARCH("ICE ICEBERG",UPPER(TRIM($B24)))),ISNUMBER(SEARCH("GELINHO ICEBERG",UPPER(TRIM($B24))))),"$AJ$2:$AJ$2",IF(ISNUMBER(SEARCH("ESPUMA",$B24)),"$AI$2:$AI$2",IF(ISNUMBER(SEARCH("CORANTE",$B24)),"$AN$2:$AN$2",IFERROR(INDEX($AB$2:$AB$138,MATCH(UPPER(TRIM($B24)),$AA$2:$AA$138,0)),"$AO$2:$AO$9")))))</formula1>
    </dataValidation>
    <dataValidation type="list" allowBlank="1" errorTitle="Embalagem inválida" error="Escolha uma embalagem compatível com o produto." promptTitle="Selecione a embalagem" prompt="As opções mudam conforme o produto digitado." sqref="C28" xr:uid="{5F91168F-219D-4D0F-A1F1-1015877413A4}">
      <formula1>INDIRECT(IF(OR(ISNUMBER(SEARCH("ICEBERG ICE",UPPER(TRIM($B28)))),ISNUMBER(SEARCH("ICE ICEBERG",UPPER(TRIM($B28)))),ISNUMBER(SEARCH("GELINHO ICEBERG",UPPER(TRIM($B28))))),"$AJ$2:$AJ$2",IF(ISNUMBER(SEARCH("ESPUMA",$B28)),"$AI$2:$AI$2",IF(ISNUMBER(SEARCH("CORANTE",$B28)),"$AN$2:$AN$2",IFERROR(INDEX($AB$2:$AB$138,MATCH(UPPER(TRIM($B28)),$AA$2:$AA$138,0)),"$AO$2:$AO$9")))))</formula1>
    </dataValidation>
    <dataValidation type="list" allowBlank="1" errorTitle="Embalagem inválida" error="Escolha uma embalagem compatível com o produto." promptTitle="Selecione a embalagem" prompt="As opções mudam conforme o produto digitado." sqref="C29" xr:uid="{9A071DCE-01AA-4DEE-94C6-A02EA9D46B4B}">
      <formula1>INDIRECT(IF(OR(ISNUMBER(SEARCH("ICEBERG ICE",UPPER(TRIM($B29)))),ISNUMBER(SEARCH("ICE ICEBERG",UPPER(TRIM($B29)))),ISNUMBER(SEARCH("GELINHO ICEBERG",UPPER(TRIM($B29))))),"$AJ$2:$AJ$2",IF(ISNUMBER(SEARCH("ESPUMA",$B29)),"$AI$2:$AI$2",IF(ISNUMBER(SEARCH("CORANTE",$B29)),"$AN$2:$AN$2",IFERROR(INDEX($AB$2:$AB$138,MATCH(UPPER(TRIM($B29)),$AA$2:$AA$138,0)),"$AO$2:$AO$9")))))</formula1>
    </dataValidation>
    <dataValidation type="list" allowBlank="1" errorTitle="Embalagem inválida" error="Escolha uma embalagem compatível com o produto." promptTitle="Selecione a embalagem" prompt="As opções mudam conforme o produto digitado." sqref="C30" xr:uid="{84FA2744-8DBC-41F8-8464-162498A66747}">
      <formula1>INDIRECT(IF(OR(ISNUMBER(SEARCH("ICEBERG ICE",UPPER(TRIM($B30)))),ISNUMBER(SEARCH("ICE ICEBERG",UPPER(TRIM($B30)))),ISNUMBER(SEARCH("GELINHO ICEBERG",UPPER(TRIM($B30))))),"$AJ$2:$AJ$2",IF(ISNUMBER(SEARCH("ESPUMA",$B30)),"$AI$2:$AI$2",IF(ISNUMBER(SEARCH("CORANTE",$B30)),"$AN$2:$AN$2",IFERROR(INDEX($AB$2:$AB$138,MATCH(UPPER(TRIM($B30)),$AA$2:$AA$138,0)),"$AO$2:$AO$9")))))</formula1>
    </dataValidation>
    <dataValidation type="list" allowBlank="1" errorTitle="Embalagem inválida" error="Escolha uma embalagem compatível com o produto." promptTitle="Selecione a embalagem" prompt="As opções mudam conforme o produto digitado." sqref="C31" xr:uid="{F0EB175C-3EB2-421E-8579-2D3B986D55DE}">
      <formula1>INDIRECT(IF(OR(ISNUMBER(SEARCH("ICEBERG ICE",UPPER(TRIM($B31)))),ISNUMBER(SEARCH("ICE ICEBERG",UPPER(TRIM($B31)))),ISNUMBER(SEARCH("GELINHO ICEBERG",UPPER(TRIM($B31))))),"$AJ$2:$AJ$2",IF(ISNUMBER(SEARCH("ESPUMA",$B31)),"$AI$2:$AI$2",IF(ISNUMBER(SEARCH("CORANTE",$B31)),"$AN$2:$AN$2",IFERROR(INDEX($AB$2:$AB$138,MATCH(UPPER(TRIM($B31)),$AA$2:$AA$138,0)),"$AO$2:$AO$9")))))</formula1>
    </dataValidation>
    <dataValidation type="list" allowBlank="1" errorTitle="Embalagem inválida" error="Escolha uma embalagem compatível com o produto." promptTitle="Selecione a embalagem" prompt="As opções mudam conforme o produto digitado." sqref="C32" xr:uid="{91918CF4-4712-4C03-99E3-EBEBF431DDF7}">
      <formula1>INDIRECT(IF(OR(ISNUMBER(SEARCH("ICEBERG ICE",UPPER(TRIM($B32)))),ISNUMBER(SEARCH("ICE ICEBERG",UPPER(TRIM($B32)))),ISNUMBER(SEARCH("GELINHO ICEBERG",UPPER(TRIM($B32))))),"$AJ$2:$AJ$2",IF(ISNUMBER(SEARCH("ESPUMA",$B32)),"$AI$2:$AI$2",IF(ISNUMBER(SEARCH("CORANTE",$B32)),"$AN$2:$AN$2",IFERROR(INDEX($AB$2:$AB$138,MATCH(UPPER(TRIM($B32)),$AA$2:$AA$138,0)),"$AO$2:$AO$9")))))</formula1>
    </dataValidation>
    <dataValidation type="list" allowBlank="1" errorTitle="Embalagem inválida" error="Escolha uma embalagem compatível com o produto." promptTitle="Selecione a embalagem" prompt="As opções mudam conforme o produto digitado." sqref="C36" xr:uid="{6B5C923D-C5B4-472E-896A-0A9A65A471CF}">
      <formula1>INDIRECT(IF(OR(ISNUMBER(SEARCH("ICEBERG ICE",UPPER(TRIM($B36)))),ISNUMBER(SEARCH("ICE ICEBERG",UPPER(TRIM($B36)))),ISNUMBER(SEARCH("GELINHO ICEBERG",UPPER(TRIM($B36))))),"$AJ$2:$AJ$2",IF(ISNUMBER(SEARCH("ESPUMA",$B36)),"$AI$2:$AI$2",IF(ISNUMBER(SEARCH("CORANTE",$B36)),"$AN$2:$AN$2",IFERROR(INDEX($AB$2:$AB$138,MATCH(UPPER(TRIM($B36)),$AA$2:$AA$138,0)),"$AO$2:$AO$9")))))</formula1>
    </dataValidation>
    <dataValidation type="list" allowBlank="1" errorTitle="Embalagem inválida" error="Escolha uma embalagem compatível com o produto." promptTitle="Selecione a embalagem" prompt="As opções mudam conforme o produto digitado." sqref="C37" xr:uid="{4BF8A47C-1BE8-4CC7-8CDC-66100FB3BAFC}">
      <formula1>INDIRECT(IF(OR(ISNUMBER(SEARCH("ICEBERG ICE",UPPER(TRIM($B37)))),ISNUMBER(SEARCH("ICE ICEBERG",UPPER(TRIM($B37)))),ISNUMBER(SEARCH("GELINHO ICEBERG",UPPER(TRIM($B37))))),"$AJ$2:$AJ$2",IF(ISNUMBER(SEARCH("ESPUMA",$B37)),"$AI$2:$AI$2",IF(ISNUMBER(SEARCH("CORANTE",$B37)),"$AN$2:$AN$2",IFERROR(INDEX($AB$2:$AB$138,MATCH(UPPER(TRIM($B37)),$AA$2:$AA$138,0)),"$AO$2:$AO$9")))))</formula1>
    </dataValidation>
    <dataValidation type="list" allowBlank="1" errorTitle="Embalagem inválida" error="Escolha uma embalagem compatível com o produto." promptTitle="Selecione a embalagem" prompt="As opções mudam conforme o produto digitado." sqref="C38" xr:uid="{A67FC1B9-F6DC-4A67-8EEF-3BAE723CF5BD}">
      <formula1>INDIRECT(IF(OR(ISNUMBER(SEARCH("ICEBERG ICE",UPPER(TRIM($B38)))),ISNUMBER(SEARCH("ICE ICEBERG",UPPER(TRIM($B38)))),ISNUMBER(SEARCH("GELINHO ICEBERG",UPPER(TRIM($B38))))),"$AJ$2:$AJ$2",IF(ISNUMBER(SEARCH("ESPUMA",$B38)),"$AI$2:$AI$2",IF(ISNUMBER(SEARCH("CORANTE",$B38)),"$AN$2:$AN$2",IFERROR(INDEX($AB$2:$AB$138,MATCH(UPPER(TRIM($B38)),$AA$2:$AA$138,0)),"$AO$2:$AO$9")))))</formula1>
    </dataValidation>
    <dataValidation type="list" allowBlank="1" errorTitle="Embalagem inválida" error="Escolha uma embalagem compatível com o produto." promptTitle="Selecione a embalagem" prompt="As opções mudam conforme o produto digitado." sqref="C39" xr:uid="{4CC6245D-7F8E-4479-9899-A516F30D31F8}">
      <formula1>INDIRECT(IF(OR(ISNUMBER(SEARCH("ICEBERG ICE",UPPER(TRIM($B39)))),ISNUMBER(SEARCH("ICE ICEBERG",UPPER(TRIM($B39)))),ISNUMBER(SEARCH("GELINHO ICEBERG",UPPER(TRIM($B39))))),"$AJ$2:$AJ$2",IF(ISNUMBER(SEARCH("ESPUMA",$B39)),"$AI$2:$AI$2",IF(ISNUMBER(SEARCH("CORANTE",$B39)),"$AN$2:$AN$2",IFERROR(INDEX($AB$2:$AB$138,MATCH(UPPER(TRIM($B39)),$AA$2:$AA$138,0)),"$AO$2:$AO$9")))))</formula1>
    </dataValidation>
    <dataValidation type="list" allowBlank="1" errorTitle="Embalagem inválida" error="Escolha uma embalagem compatível com o produto." promptTitle="Selecione a embalagem" prompt="As opções mudam conforme o produto digitado." sqref="C40" xr:uid="{F35C0EAF-6A12-414F-83CD-3D264D81A059}">
      <formula1>INDIRECT(IF(OR(ISNUMBER(SEARCH("ICEBERG ICE",UPPER(TRIM($B40)))),ISNUMBER(SEARCH("ICE ICEBERG",UPPER(TRIM($B40)))),ISNUMBER(SEARCH("GELINHO ICEBERG",UPPER(TRIM($B40))))),"$AJ$2:$AJ$2",IF(ISNUMBER(SEARCH("ESPUMA",$B40)),"$AI$2:$AI$2",IF(ISNUMBER(SEARCH("CORANTE",$B40)),"$AN$2:$AN$2",IFERROR(INDEX($AB$2:$AB$138,MATCH(UPPER(TRIM($B40)),$AA$2:$AA$138,0)),"$AO$2:$AO$9")))))</formula1>
    </dataValidation>
    <dataValidation type="list" allowBlank="1" errorTitle="Embalagem inválida" error="Escolha uma embalagem compatível com o produto." promptTitle="Selecione a embalagem" prompt="As opções mudam conforme o produto digitado." sqref="C44" xr:uid="{9B08630C-0E2F-4A4C-B0CE-6C3B41D0807D}">
      <formula1>INDIRECT(IF(OR(ISNUMBER(SEARCH("ICEBERG ICE",UPPER(TRIM($B44)))),ISNUMBER(SEARCH("ICE ICEBERG",UPPER(TRIM($B44)))),ISNUMBER(SEARCH("GELINHO ICEBERG",UPPER(TRIM($B44))))),"$AJ$2:$AJ$2",IF(ISNUMBER(SEARCH("ESPUMA",$B44)),"$AI$2:$AI$2",IF(ISNUMBER(SEARCH("CORANTE",$B44)),"$AN$2:$AN$2",IFERROR(INDEX($AB$2:$AB$138,MATCH(UPPER(TRIM($B44)),$AA$2:$AA$138,0)),"$AO$2:$AO$9")))))</formula1>
    </dataValidation>
    <dataValidation type="list" allowBlank="1" errorTitle="Embalagem inválida" error="Escolha uma embalagem compatível com o produto." promptTitle="Selecione a embalagem" prompt="As opções mudam conforme o produto digitado." sqref="C45" xr:uid="{7B91B1E9-4AFB-4F17-B959-5FE702966C1B}">
      <formula1>INDIRECT(IF(OR(ISNUMBER(SEARCH("ICEBERG ICE",UPPER(TRIM($B45)))),ISNUMBER(SEARCH("ICE ICEBERG",UPPER(TRIM($B45)))),ISNUMBER(SEARCH("GELINHO ICEBERG",UPPER(TRIM($B45))))),"$AJ$2:$AJ$2",IF(ISNUMBER(SEARCH("ESPUMA",$B45)),"$AI$2:$AI$2",IF(ISNUMBER(SEARCH("CORANTE",$B45)),"$AN$2:$AN$2",IFERROR(INDEX($AB$2:$AB$138,MATCH(UPPER(TRIM($B45)),$AA$2:$AA$138,0)),"$AO$2:$AO$9")))))</formula1>
    </dataValidation>
    <dataValidation type="list" allowBlank="1" errorTitle="Embalagem inválida" error="Escolha uma embalagem compatível com o produto." promptTitle="Selecione a embalagem" prompt="As opções mudam conforme o produto digitado." sqref="C46" xr:uid="{1C3E75AA-57FD-4CAF-B859-5A2DC578CE9B}">
      <formula1>INDIRECT(IF(OR(ISNUMBER(SEARCH("ICEBERG ICE",UPPER(TRIM($B46)))),ISNUMBER(SEARCH("ICE ICEBERG",UPPER(TRIM($B46)))),ISNUMBER(SEARCH("GELINHO ICEBERG",UPPER(TRIM($B46))))),"$AJ$2:$AJ$2",IF(ISNUMBER(SEARCH("ESPUMA",$B46)),"$AI$2:$AI$2",IF(ISNUMBER(SEARCH("CORANTE",$B46)),"$AN$2:$AN$2",IFERROR(INDEX($AB$2:$AB$138,MATCH(UPPER(TRIM($B46)),$AA$2:$AA$138,0)),"$AO$2:$AO$9")))))</formula1>
    </dataValidation>
    <dataValidation type="list" allowBlank="1" errorTitle="Embalagem inválida" error="Escolha uma embalagem compatível com o produto." promptTitle="Selecione a embalagem" prompt="As opções mudam conforme o produto digitado." sqref="C47" xr:uid="{FD0DF21A-1127-4E9B-A5C2-A921B348C6C1}">
      <formula1>INDIRECT(IF(OR(ISNUMBER(SEARCH("ICEBERG ICE",UPPER(TRIM($B47)))),ISNUMBER(SEARCH("ICE ICEBERG",UPPER(TRIM($B47)))),ISNUMBER(SEARCH("GELINHO ICEBERG",UPPER(TRIM($B47))))),"$AJ$2:$AJ$2",IF(ISNUMBER(SEARCH("ESPUMA",$B47)),"$AI$2:$AI$2",IF(ISNUMBER(SEARCH("CORANTE",$B47)),"$AN$2:$AN$2",IFERROR(INDEX($AB$2:$AB$138,MATCH(UPPER(TRIM($B47)),$AA$2:$AA$138,0)),"$AO$2:$AO$9")))))</formula1>
    </dataValidation>
    <dataValidation type="list" allowBlank="1" errorTitle="Embalagem inválida" error="Escolha uma embalagem compatível com o produto." promptTitle="Selecione a embalagem" prompt="As opções mudam conforme o produto digitado." sqref="C48" xr:uid="{46F82041-D5E6-46C2-A61F-8B0B0CC30CB1}">
      <formula1>INDIRECT(IF(OR(ISNUMBER(SEARCH("ICEBERG ICE",UPPER(TRIM($B48)))),ISNUMBER(SEARCH("ICE ICEBERG",UPPER(TRIM($B48)))),ISNUMBER(SEARCH("GELINHO ICEBERG",UPPER(TRIM($B48))))),"$AJ$2:$AJ$2",IF(ISNUMBER(SEARCH("ESPUMA",$B48)),"$AI$2:$AI$2",IF(ISNUMBER(SEARCH("CORANTE",$B48)),"$AN$2:$AN$2",IFERROR(INDEX($AB$2:$AB$138,MATCH(UPPER(TRIM($B48)),$AA$2:$AA$138,0)),"$AO$2:$AO$9")))))</formula1>
    </dataValidation>
    <dataValidation type="list" allowBlank="1" errorTitle="Embalagem inválida" error="Escolha uma embalagem compatível com o produto." promptTitle="Selecione a embalagem" prompt="As opções mudam conforme o produto digitado." sqref="C52" xr:uid="{FEBCDDB6-13F6-426A-8508-4CE1AEF70E75}">
      <formula1>INDIRECT(IF(OR(ISNUMBER(SEARCH("ICEBERG ICE",UPPER(TRIM($B52)))),ISNUMBER(SEARCH("ICE ICEBERG",UPPER(TRIM($B52)))),ISNUMBER(SEARCH("GELINHO ICEBERG",UPPER(TRIM($B52))))),"$AJ$2:$AJ$2",IF(ISNUMBER(SEARCH("ESPUMA",$B52)),"$AI$2:$AI$2",IF(ISNUMBER(SEARCH("CORANTE",$B52)),"$AN$2:$AN$2",IFERROR(INDEX($AB$2:$AB$138,MATCH(UPPER(TRIM($B52)),$AA$2:$AA$138,0)),"$AO$2:$AO$9")))))</formula1>
    </dataValidation>
    <dataValidation type="list" allowBlank="1" errorTitle="Embalagem inválida" error="Escolha uma embalagem compatível com o produto." promptTitle="Selecione a embalagem" prompt="As opções mudam conforme o produto digitado." sqref="C53" xr:uid="{ED22DA7B-B65B-48D1-8F7E-00F8610F6664}">
      <formula1>INDIRECT(IF(OR(ISNUMBER(SEARCH("ICEBERG ICE",UPPER(TRIM($B53)))),ISNUMBER(SEARCH("ICE ICEBERG",UPPER(TRIM($B53)))),ISNUMBER(SEARCH("GELINHO ICEBERG",UPPER(TRIM($B53))))),"$AJ$2:$AJ$2",IF(ISNUMBER(SEARCH("ESPUMA",$B53)),"$AI$2:$AI$2",IF(ISNUMBER(SEARCH("CORANTE",$B53)),"$AN$2:$AN$2",IFERROR(INDEX($AB$2:$AB$138,MATCH(UPPER(TRIM($B53)),$AA$2:$AA$138,0)),"$AO$2:$AO$9")))))</formula1>
    </dataValidation>
    <dataValidation type="list" allowBlank="1" errorTitle="Embalagem inválida" error="Escolha uma embalagem compatível com o produto." promptTitle="Selecione a embalagem" prompt="As opções mudam conforme o produto digitado." sqref="C54" xr:uid="{0F548C92-E296-4703-911C-77EBE1AE4297}">
      <formula1>INDIRECT(IF(OR(ISNUMBER(SEARCH("ICEBERG ICE",UPPER(TRIM($B54)))),ISNUMBER(SEARCH("ICE ICEBERG",UPPER(TRIM($B54)))),ISNUMBER(SEARCH("GELINHO ICEBERG",UPPER(TRIM($B54))))),"$AJ$2:$AJ$2",IF(ISNUMBER(SEARCH("ESPUMA",$B54)),"$AI$2:$AI$2",IF(ISNUMBER(SEARCH("CORANTE",$B54)),"$AN$2:$AN$2",IFERROR(INDEX($AB$2:$AB$138,MATCH(UPPER(TRIM($B54)),$AA$2:$AA$138,0)),"$AO$2:$AO$9")))))</formula1>
    </dataValidation>
    <dataValidation type="list" allowBlank="1" errorTitle="Embalagem inválida" error="Escolha uma embalagem compatível com o produto." promptTitle="Selecione a embalagem" prompt="As opções mudam conforme o produto digitado." sqref="C55" xr:uid="{DB73AE67-502B-42B2-BE73-EC45C2E4444C}">
      <formula1>INDIRECT(IF(OR(ISNUMBER(SEARCH("ICEBERG ICE",UPPER(TRIM($B55)))),ISNUMBER(SEARCH("ICE ICEBERG",UPPER(TRIM($B55)))),ISNUMBER(SEARCH("GELINHO ICEBERG",UPPER(TRIM($B55))))),"$AJ$2:$AJ$2",IF(ISNUMBER(SEARCH("ESPUMA",$B55)),"$AI$2:$AI$2",IF(ISNUMBER(SEARCH("CORANTE",$B55)),"$AN$2:$AN$2",IFERROR(INDEX($AB$2:$AB$138,MATCH(UPPER(TRIM($B55)),$AA$2:$AA$138,0)),"$AO$2:$AO$9")))))</formula1>
    </dataValidation>
    <dataValidation type="list" allowBlank="1" errorTitle="Embalagem inválida" error="Escolha uma embalagem compatível com o produto." promptTitle="Selecione a embalagem" prompt="As opções mudam conforme o produto digitado." sqref="C56" xr:uid="{F42C73F4-A1FE-417C-BD96-D12E30502022}">
      <formula1>INDIRECT(IF(OR(ISNUMBER(SEARCH("ICEBERG ICE",UPPER(TRIM($B56)))),ISNUMBER(SEARCH("ICE ICEBERG",UPPER(TRIM($B56)))),ISNUMBER(SEARCH("GELINHO ICEBERG",UPPER(TRIM($B56))))),"$AJ$2:$AJ$2",IF(ISNUMBER(SEARCH("ESPUMA",$B56)),"$AI$2:$AI$2",IF(ISNUMBER(SEARCH("CORANTE",$B56)),"$AN$2:$AN$2",IFERROR(INDEX($AB$2:$AB$138,MATCH(UPPER(TRIM($B56)),$AA$2:$AA$138,0)),"$AO$2:$AO$9")))))</formula1>
    </dataValidation>
    <dataValidation type="list" allowBlank="1" errorTitle="Embalagem inválida" error="Escolha uma embalagem compatível com o produto." promptTitle="Selecione a embalagem" prompt="As opções mudam conforme o produto digitado." sqref="C60" xr:uid="{8F08E304-5C65-4645-8E5F-FDD659EF5C95}">
      <formula1>INDIRECT(IF(OR(ISNUMBER(SEARCH("ICEBERG ICE",UPPER(TRIM($B60)))),ISNUMBER(SEARCH("ICE ICEBERG",UPPER(TRIM($B60)))),ISNUMBER(SEARCH("GELINHO ICEBERG",UPPER(TRIM($B60))))),"$AJ$2:$AJ$2",IF(ISNUMBER(SEARCH("ESPUMA",$B60)),"$AI$2:$AI$2",IF(ISNUMBER(SEARCH("CORANTE",$B60)),"$AN$2:$AN$2",IFERROR(INDEX($AB$2:$AB$138,MATCH(UPPER(TRIM($B60)),$AA$2:$AA$138,0)),"$AO$2:$AO$9")))))</formula1>
    </dataValidation>
    <dataValidation type="list" allowBlank="1" errorTitle="Embalagem inválida" error="Escolha uma embalagem compatível com o produto." promptTitle="Selecione a embalagem" prompt="As opções mudam conforme o produto digitado." sqref="C61" xr:uid="{25D4BB2E-F9D5-48E4-B58A-1EB642050A53}">
      <formula1>INDIRECT(IF(OR(ISNUMBER(SEARCH("ICEBERG ICE",UPPER(TRIM($B61)))),ISNUMBER(SEARCH("ICE ICEBERG",UPPER(TRIM($B61)))),ISNUMBER(SEARCH("GELINHO ICEBERG",UPPER(TRIM($B61))))),"$AJ$2:$AJ$2",IF(ISNUMBER(SEARCH("ESPUMA",$B61)),"$AI$2:$AI$2",IF(ISNUMBER(SEARCH("CORANTE",$B61)),"$AN$2:$AN$2",IFERROR(INDEX($AB$2:$AB$138,MATCH(UPPER(TRIM($B61)),$AA$2:$AA$138,0)),"$AO$2:$AO$9")))))</formula1>
    </dataValidation>
    <dataValidation type="list" allowBlank="1" errorTitle="Embalagem inválida" error="Escolha uma embalagem compatível com o produto." promptTitle="Selecione a embalagem" prompt="As opções mudam conforme o produto digitado." sqref="C62" xr:uid="{93B32702-22AC-46CD-8BCC-910CE4B8BF75}">
      <formula1>INDIRECT(IF(OR(ISNUMBER(SEARCH("ICEBERG ICE",UPPER(TRIM($B62)))),ISNUMBER(SEARCH("ICE ICEBERG",UPPER(TRIM($B62)))),ISNUMBER(SEARCH("GELINHO ICEBERG",UPPER(TRIM($B62))))),"$AJ$2:$AJ$2",IF(ISNUMBER(SEARCH("ESPUMA",$B62)),"$AI$2:$AI$2",IF(ISNUMBER(SEARCH("CORANTE",$B62)),"$AN$2:$AN$2",IFERROR(INDEX($AB$2:$AB$138,MATCH(UPPER(TRIM($B62)),$AA$2:$AA$138,0)),"$AO$2:$AO$9")))))</formula1>
    </dataValidation>
    <dataValidation type="list" allowBlank="1" errorTitle="Embalagem inválida" error="Escolha uma embalagem compatível com o produto." promptTitle="Selecione a embalagem" prompt="As opções mudam conforme o produto digitado." sqref="C63" xr:uid="{451C19B9-08B0-4582-96FD-2E74AEC60B56}">
      <formula1>INDIRECT(IF(OR(ISNUMBER(SEARCH("ICEBERG ICE",UPPER(TRIM($B63)))),ISNUMBER(SEARCH("ICE ICEBERG",UPPER(TRIM($B63)))),ISNUMBER(SEARCH("GELINHO ICEBERG",UPPER(TRIM($B63))))),"$AJ$2:$AJ$2",IF(ISNUMBER(SEARCH("ESPUMA",$B63)),"$AI$2:$AI$2",IF(ISNUMBER(SEARCH("CORANTE",$B63)),"$AN$2:$AN$2",IFERROR(INDEX($AB$2:$AB$138,MATCH(UPPER(TRIM($B63)),$AA$2:$AA$138,0)),"$AO$2:$AO$9")))))</formula1>
    </dataValidation>
    <dataValidation type="list" allowBlank="1" errorTitle="Embalagem inválida" error="Escolha uma embalagem compatível com o produto." promptTitle="Selecione a embalagem" prompt="As opções mudam conforme o produto digitado." sqref="C64" xr:uid="{D1BD549D-13E1-4958-9300-FA650AB9BCDB}">
      <formula1>INDIRECT(IF(OR(ISNUMBER(SEARCH("ICEBERG ICE",UPPER(TRIM($B64)))),ISNUMBER(SEARCH("ICE ICEBERG",UPPER(TRIM($B64)))),ISNUMBER(SEARCH("GELINHO ICEBERG",UPPER(TRIM($B64))))),"$AJ$2:$AJ$2",IF(ISNUMBER(SEARCH("ESPUMA",$B64)),"$AI$2:$AI$2",IF(ISNUMBER(SEARCH("CORANTE",$B64)),"$AN$2:$AN$2",IFERROR(INDEX($AB$2:$AB$138,MATCH(UPPER(TRIM($B64)),$AA$2:$AA$138,0)),"$AO$2:$AO$9")))))</formula1>
    </dataValidation>
    <dataValidation type="list" allowBlank="1" errorTitle="Embalagem inválida" error="Escolha uma embalagem compatível com o produto." promptTitle="Selecione a embalagem" prompt="As opções mudam conforme o produto digitado." sqref="C68" xr:uid="{82C41AB1-3A62-44DC-8BEE-D51E1B7FEBE6}">
      <formula1>INDIRECT(IF(OR(ISNUMBER(SEARCH("ICEBERG ICE",UPPER(TRIM($B68)))),ISNUMBER(SEARCH("ICE ICEBERG",UPPER(TRIM($B68)))),ISNUMBER(SEARCH("GELINHO ICEBERG",UPPER(TRIM($B68))))),"$AJ$2:$AJ$2",IF(ISNUMBER(SEARCH("ESPUMA",$B68)),"$AI$2:$AI$2",IF(ISNUMBER(SEARCH("CORANTE",$B68)),"$AN$2:$AN$2",IFERROR(INDEX($AB$2:$AB$138,MATCH(UPPER(TRIM($B68)),$AA$2:$AA$138,0)),"$AO$2:$AO$9")))))</formula1>
    </dataValidation>
    <dataValidation type="list" allowBlank="1" errorTitle="Embalagem inválida" error="Escolha uma embalagem compatível com o produto." promptTitle="Selecione a embalagem" prompt="As opções mudam conforme o produto digitado." sqref="C69" xr:uid="{00874363-6D6E-4968-96D2-A6AF7808C432}">
      <formula1>INDIRECT(IF(OR(ISNUMBER(SEARCH("ICEBERG ICE",UPPER(TRIM($B69)))),ISNUMBER(SEARCH("ICE ICEBERG",UPPER(TRIM($B69)))),ISNUMBER(SEARCH("GELINHO ICEBERG",UPPER(TRIM($B69))))),"$AJ$2:$AJ$2",IF(ISNUMBER(SEARCH("ESPUMA",$B69)),"$AI$2:$AI$2",IF(ISNUMBER(SEARCH("CORANTE",$B69)),"$AN$2:$AN$2",IFERROR(INDEX($AB$2:$AB$138,MATCH(UPPER(TRIM($B69)),$AA$2:$AA$138,0)),"$AO$2:$AO$9")))))</formula1>
    </dataValidation>
    <dataValidation type="list" allowBlank="1" errorTitle="Embalagem inválida" error="Escolha uma embalagem compatível com o produto." promptTitle="Selecione a embalagem" prompt="As opções mudam conforme o produto digitado." sqref="C70" xr:uid="{7AE63FBD-11CC-4773-98E1-BABB4F607552}">
      <formula1>INDIRECT(IF(OR(ISNUMBER(SEARCH("ICEBERG ICE",UPPER(TRIM($B70)))),ISNUMBER(SEARCH("ICE ICEBERG",UPPER(TRIM($B70)))),ISNUMBER(SEARCH("GELINHO ICEBERG",UPPER(TRIM($B70))))),"$AJ$2:$AJ$2",IF(ISNUMBER(SEARCH("ESPUMA",$B70)),"$AI$2:$AI$2",IF(ISNUMBER(SEARCH("CORANTE",$B70)),"$AN$2:$AN$2",IFERROR(INDEX($AB$2:$AB$138,MATCH(UPPER(TRIM($B70)),$AA$2:$AA$138,0)),"$AO$2:$AO$9")))))</formula1>
    </dataValidation>
    <dataValidation type="list" allowBlank="1" errorTitle="Embalagem inválida" error="Escolha uma embalagem compatível com o produto." promptTitle="Selecione a embalagem" prompt="As opções mudam conforme o produto digitado." sqref="C71" xr:uid="{920F7270-045D-41C1-9391-38F16F04A95D}">
      <formula1>INDIRECT(IF(OR(ISNUMBER(SEARCH("ICEBERG ICE",UPPER(TRIM($B71)))),ISNUMBER(SEARCH("ICE ICEBERG",UPPER(TRIM($B71)))),ISNUMBER(SEARCH("GELINHO ICEBERG",UPPER(TRIM($B71))))),"$AJ$2:$AJ$2",IF(ISNUMBER(SEARCH("ESPUMA",$B71)),"$AI$2:$AI$2",IF(ISNUMBER(SEARCH("CORANTE",$B71)),"$AN$2:$AN$2",IFERROR(INDEX($AB$2:$AB$138,MATCH(UPPER(TRIM($B71)),$AA$2:$AA$138,0)),"$AO$2:$AO$9")))))</formula1>
    </dataValidation>
    <dataValidation type="list" allowBlank="1" errorTitle="Embalagem inválida" error="Escolha uma embalagem compatível com o produto." promptTitle="Selecione a embalagem" prompt="As opções mudam conforme o produto digitado." sqref="C72" xr:uid="{ABEFDB18-3E81-431E-9ECF-669BFDB271BF}">
      <formula1>INDIRECT(IF(OR(ISNUMBER(SEARCH("ICEBERG ICE",UPPER(TRIM($B72)))),ISNUMBER(SEARCH("ICE ICEBERG",UPPER(TRIM($B72)))),ISNUMBER(SEARCH("GELINHO ICEBERG",UPPER(TRIM($B72))))),"$AJ$2:$AJ$2",IF(ISNUMBER(SEARCH("ESPUMA",$B72)),"$AI$2:$AI$2",IF(ISNUMBER(SEARCH("CORANTE",$B72)),"$AN$2:$AN$2",IFERROR(INDEX($AB$2:$AB$138,MATCH(UPPER(TRIM($B72)),$AA$2:$AA$138,0)),"$AO$2:$AO$9")))))</formula1>
    </dataValidation>
    <dataValidation type="list" allowBlank="1" errorTitle="Embalagem inválida" error="Escolha uma embalagem compatível com o produto." promptTitle="Selecione a embalagem" prompt="As opções mudam conforme o produto digitado." sqref="C76" xr:uid="{F3904316-3C07-4768-859D-9B8A078D61C3}">
      <formula1>INDIRECT(IF(OR(ISNUMBER(SEARCH("ICEBERG ICE",UPPER(TRIM($B76)))),ISNUMBER(SEARCH("ICE ICEBERG",UPPER(TRIM($B76)))),ISNUMBER(SEARCH("GELINHO ICEBERG",UPPER(TRIM($B76))))),"$AJ$2:$AJ$2",IF(ISNUMBER(SEARCH("ESPUMA",$B76)),"$AI$2:$AI$2",IF(ISNUMBER(SEARCH("CORANTE",$B76)),"$AN$2:$AN$2",IFERROR(INDEX($AB$2:$AB$138,MATCH(UPPER(TRIM($B76)),$AA$2:$AA$138,0)),"$AO$2:$AO$9")))))</formula1>
    </dataValidation>
    <dataValidation type="list" allowBlank="1" errorTitle="Embalagem inválida" error="Escolha uma embalagem compatível com o produto." promptTitle="Selecione a embalagem" prompt="As opções mudam conforme o produto digitado." sqref="C77" xr:uid="{7F47863D-92D4-43F9-B7AA-3B1B9BAD6885}">
      <formula1>INDIRECT(IF(OR(ISNUMBER(SEARCH("ICEBERG ICE",UPPER(TRIM($B77)))),ISNUMBER(SEARCH("ICE ICEBERG",UPPER(TRIM($B77)))),ISNUMBER(SEARCH("GELINHO ICEBERG",UPPER(TRIM($B77))))),"$AJ$2:$AJ$2",IF(ISNUMBER(SEARCH("ESPUMA",$B77)),"$AI$2:$AI$2",IF(ISNUMBER(SEARCH("CORANTE",$B77)),"$AN$2:$AN$2",IFERROR(INDEX($AB$2:$AB$138,MATCH(UPPER(TRIM($B77)),$AA$2:$AA$138,0)),"$AO$2:$AO$9")))))</formula1>
    </dataValidation>
    <dataValidation type="list" allowBlank="1" errorTitle="Embalagem inválida" error="Escolha uma embalagem compatível com o produto." promptTitle="Selecione a embalagem" prompt="As opções mudam conforme o produto digitado." sqref="C78" xr:uid="{0BB72595-4762-4CA4-A0D4-AF830F4FC935}">
      <formula1>INDIRECT(IF(OR(ISNUMBER(SEARCH("ICEBERG ICE",UPPER(TRIM($B78)))),ISNUMBER(SEARCH("ICE ICEBERG",UPPER(TRIM($B78)))),ISNUMBER(SEARCH("GELINHO ICEBERG",UPPER(TRIM($B78))))),"$AJ$2:$AJ$2",IF(ISNUMBER(SEARCH("ESPUMA",$B78)),"$AI$2:$AI$2",IF(ISNUMBER(SEARCH("CORANTE",$B78)),"$AN$2:$AN$2",IFERROR(INDEX($AB$2:$AB$138,MATCH(UPPER(TRIM($B78)),$AA$2:$AA$138,0)),"$AO$2:$AO$9")))))</formula1>
    </dataValidation>
    <dataValidation type="list" allowBlank="1" errorTitle="Embalagem inválida" error="Escolha uma embalagem compatível com o produto." promptTitle="Selecione a embalagem" prompt="As opções mudam conforme o produto digitado." sqref="C79" xr:uid="{9742E29A-C1CE-410C-A580-043E456C7B93}">
      <formula1>INDIRECT(IF(OR(ISNUMBER(SEARCH("ICEBERG ICE",UPPER(TRIM($B79)))),ISNUMBER(SEARCH("ICE ICEBERG",UPPER(TRIM($B79)))),ISNUMBER(SEARCH("GELINHO ICEBERG",UPPER(TRIM($B79))))),"$AJ$2:$AJ$2",IF(ISNUMBER(SEARCH("ESPUMA",$B79)),"$AI$2:$AI$2",IF(ISNUMBER(SEARCH("CORANTE",$B79)),"$AN$2:$AN$2",IFERROR(INDEX($AB$2:$AB$138,MATCH(UPPER(TRIM($B79)),$AA$2:$AA$138,0)),"$AO$2:$AO$9")))))</formula1>
    </dataValidation>
    <dataValidation type="list" allowBlank="1" errorTitle="Embalagem inválida" error="Escolha uma embalagem compatível com o produto." promptTitle="Selecione a embalagem" prompt="As opções mudam conforme o produto digitado." sqref="C80" xr:uid="{C15F5910-C0A3-4838-AC93-C8875032BB9E}">
      <formula1>INDIRECT(IF(OR(ISNUMBER(SEARCH("ICEBERG ICE",UPPER(TRIM($B80)))),ISNUMBER(SEARCH("ICE ICEBERG",UPPER(TRIM($B80)))),ISNUMBER(SEARCH("GELINHO ICEBERG",UPPER(TRIM($B80))))),"$AJ$2:$AJ$2",IF(ISNUMBER(SEARCH("ESPUMA",$B80)),"$AI$2:$AI$2",IF(ISNUMBER(SEARCH("CORANTE",$B80)),"$AN$2:$AN$2",IFERROR(INDEX($AB$2:$AB$138,MATCH(UPPER(TRIM($B80)),$AA$2:$AA$138,0)),"$AO$2:$AO$9")))))</formula1>
    </dataValidation>
    <dataValidation type="list" allowBlank="1" errorTitle="Embalagem inválida" error="Escolha uma embalagem compatível com o produto." promptTitle="Selecione a embalagem" prompt="As opções mudam conforme o produto digitado." sqref="C84" xr:uid="{133E4081-C1C5-4A45-AB9A-CC59F95AA8F9}">
      <formula1>INDIRECT(IF(OR(ISNUMBER(SEARCH("ICEBERG ICE",UPPER(TRIM($B84)))),ISNUMBER(SEARCH("ICE ICEBERG",UPPER(TRIM($B84)))),ISNUMBER(SEARCH("GELINHO ICEBERG",UPPER(TRIM($B84))))),"$AJ$2:$AJ$2",IF(ISNUMBER(SEARCH("ESPUMA",$B84)),"$AI$2:$AI$2",IF(ISNUMBER(SEARCH("CORANTE",$B84)),"$AN$2:$AN$2",IFERROR(INDEX($AB$2:$AB$138,MATCH(UPPER(TRIM($B84)),$AA$2:$AA$138,0)),"$AO$2:$AO$9")))))</formula1>
    </dataValidation>
    <dataValidation type="list" allowBlank="1" errorTitle="Embalagem inválida" error="Escolha uma embalagem compatível com o produto." promptTitle="Selecione a embalagem" prompt="As opções mudam conforme o produto digitado." sqref="C85" xr:uid="{AECD8386-C678-4CA2-A051-04DABFFE8E14}">
      <formula1>INDIRECT(IF(OR(ISNUMBER(SEARCH("ICEBERG ICE",UPPER(TRIM($B85)))),ISNUMBER(SEARCH("ICE ICEBERG",UPPER(TRIM($B85)))),ISNUMBER(SEARCH("GELINHO ICEBERG",UPPER(TRIM($B85))))),"$AJ$2:$AJ$2",IF(ISNUMBER(SEARCH("ESPUMA",$B85)),"$AI$2:$AI$2",IF(ISNUMBER(SEARCH("CORANTE",$B85)),"$AN$2:$AN$2",IFERROR(INDEX($AB$2:$AB$138,MATCH(UPPER(TRIM($B85)),$AA$2:$AA$138,0)),"$AO$2:$AO$9")))))</formula1>
    </dataValidation>
    <dataValidation type="list" allowBlank="1" errorTitle="Embalagem inválida" error="Escolha uma embalagem compatível com o produto." promptTitle="Selecione a embalagem" prompt="As opções mudam conforme o produto digitado." sqref="C86" xr:uid="{E09AE404-989F-44FD-831D-00C85ECD9F03}">
      <formula1>INDIRECT(IF(OR(ISNUMBER(SEARCH("ICEBERG ICE",UPPER(TRIM($B86)))),ISNUMBER(SEARCH("ICE ICEBERG",UPPER(TRIM($B86)))),ISNUMBER(SEARCH("GELINHO ICEBERG",UPPER(TRIM($B86))))),"$AJ$2:$AJ$2",IF(ISNUMBER(SEARCH("ESPUMA",$B86)),"$AI$2:$AI$2",IF(ISNUMBER(SEARCH("CORANTE",$B86)),"$AN$2:$AN$2",IFERROR(INDEX($AB$2:$AB$138,MATCH(UPPER(TRIM($B86)),$AA$2:$AA$138,0)),"$AO$2:$AO$9")))))</formula1>
    </dataValidation>
    <dataValidation type="list" allowBlank="1" errorTitle="Embalagem inválida" error="Escolha uma embalagem compatível com o produto." promptTitle="Selecione a embalagem" prompt="As opções mudam conforme o produto digitado." sqref="C87" xr:uid="{6C72CDD9-9B7D-40C5-83FD-B00E51A713E7}">
      <formula1>INDIRECT(IF(OR(ISNUMBER(SEARCH("ICEBERG ICE",UPPER(TRIM($B87)))),ISNUMBER(SEARCH("ICE ICEBERG",UPPER(TRIM($B87)))),ISNUMBER(SEARCH("GELINHO ICEBERG",UPPER(TRIM($B87))))),"$AJ$2:$AJ$2",IF(ISNUMBER(SEARCH("ESPUMA",$B87)),"$AI$2:$AI$2",IF(ISNUMBER(SEARCH("CORANTE",$B87)),"$AN$2:$AN$2",IFERROR(INDEX($AB$2:$AB$138,MATCH(UPPER(TRIM($B87)),$AA$2:$AA$138,0)),"$AO$2:$AO$9")))))</formula1>
    </dataValidation>
    <dataValidation type="list" allowBlank="1" errorTitle="Embalagem inválida" error="Escolha uma embalagem compatível com o produto." promptTitle="Selecione a embalagem" prompt="As opções mudam conforme o produto digitado." sqref="C88" xr:uid="{EAAE2A71-5CC9-4804-9CD1-3ADBABC4D623}">
      <formula1>INDIRECT(IF(OR(ISNUMBER(SEARCH("ICEBERG ICE",UPPER(TRIM($B88)))),ISNUMBER(SEARCH("ICE ICEBERG",UPPER(TRIM($B88)))),ISNUMBER(SEARCH("GELINHO ICEBERG",UPPER(TRIM($B88))))),"$AJ$2:$AJ$2",IF(ISNUMBER(SEARCH("ESPUMA",$B88)),"$AI$2:$AI$2",IF(ISNUMBER(SEARCH("CORANTE",$B88)),"$AN$2:$AN$2",IFERROR(INDEX($AB$2:$AB$138,MATCH(UPPER(TRIM($B88)),$AA$2:$AA$138,0)),"$AO$2:$AO$9")))))</formula1>
    </dataValidation>
    <dataValidation type="list" allowBlank="1" errorTitle="Embalagem inválida" error="Escolha uma embalagem compatível com o produto." promptTitle="Selecione a embalagem" prompt="As opções mudam conforme o produto digitado." sqref="C92" xr:uid="{CB43CA94-7AFD-4406-A61D-A51FA6F68D88}">
      <formula1>INDIRECT(IF(OR(ISNUMBER(SEARCH("ICEBERG ICE",UPPER(TRIM($B92)))),ISNUMBER(SEARCH("ICE ICEBERG",UPPER(TRIM($B92)))),ISNUMBER(SEARCH("GELINHO ICEBERG",UPPER(TRIM($B92))))),"$AJ$2:$AJ$2",IF(ISNUMBER(SEARCH("ESPUMA",$B92)),"$AI$2:$AI$2",IF(ISNUMBER(SEARCH("CORANTE",$B92)),"$AN$2:$AN$2",IFERROR(INDEX($AB$2:$AB$138,MATCH(UPPER(TRIM($B92)),$AA$2:$AA$138,0)),"$AO$2:$AO$9")))))</formula1>
    </dataValidation>
    <dataValidation type="list" allowBlank="1" errorTitle="Embalagem inválida" error="Escolha uma embalagem compatível com o produto." promptTitle="Selecione a embalagem" prompt="As opções mudam conforme o produto digitado." sqref="C93" xr:uid="{8CB2A32D-B04A-49A6-8235-54819550B7AD}">
      <formula1>INDIRECT(IF(OR(ISNUMBER(SEARCH("ICEBERG ICE",UPPER(TRIM($B93)))),ISNUMBER(SEARCH("ICE ICEBERG",UPPER(TRIM($B93)))),ISNUMBER(SEARCH("GELINHO ICEBERG",UPPER(TRIM($B93))))),"$AJ$2:$AJ$2",IF(ISNUMBER(SEARCH("ESPUMA",$B93)),"$AI$2:$AI$2",IF(ISNUMBER(SEARCH("CORANTE",$B93)),"$AN$2:$AN$2",IFERROR(INDEX($AB$2:$AB$138,MATCH(UPPER(TRIM($B93)),$AA$2:$AA$138,0)),"$AO$2:$AO$9")))))</formula1>
    </dataValidation>
    <dataValidation type="list" allowBlank="1" errorTitle="Embalagem inválida" error="Escolha uma embalagem compatível com o produto." promptTitle="Selecione a embalagem" prompt="As opções mudam conforme o produto digitado." sqref="C94" xr:uid="{099FD99E-FD99-492C-B039-EB207E24914B}">
      <formula1>INDIRECT(IF(OR(ISNUMBER(SEARCH("ICEBERG ICE",UPPER(TRIM($B94)))),ISNUMBER(SEARCH("ICE ICEBERG",UPPER(TRIM($B94)))),ISNUMBER(SEARCH("GELINHO ICEBERG",UPPER(TRIM($B94))))),"$AJ$2:$AJ$2",IF(ISNUMBER(SEARCH("ESPUMA",$B94)),"$AI$2:$AI$2",IF(ISNUMBER(SEARCH("CORANTE",$B94)),"$AN$2:$AN$2",IFERROR(INDEX($AB$2:$AB$138,MATCH(UPPER(TRIM($B94)),$AA$2:$AA$138,0)),"$AO$2:$AO$9")))))</formula1>
    </dataValidation>
    <dataValidation type="list" allowBlank="1" errorTitle="Embalagem inválida" error="Escolha uma embalagem compatível com o produto." promptTitle="Selecione a embalagem" prompt="As opções mudam conforme o produto digitado." sqref="C95" xr:uid="{72E29CB8-5805-40FE-9994-414213079593}">
      <formula1>INDIRECT(IF(OR(ISNUMBER(SEARCH("ICEBERG ICE",UPPER(TRIM($B95)))),ISNUMBER(SEARCH("ICE ICEBERG",UPPER(TRIM($B95)))),ISNUMBER(SEARCH("GELINHO ICEBERG",UPPER(TRIM($B95))))),"$AJ$2:$AJ$2",IF(ISNUMBER(SEARCH("ESPUMA",$B95)),"$AI$2:$AI$2",IF(ISNUMBER(SEARCH("CORANTE",$B95)),"$AN$2:$AN$2",IFERROR(INDEX($AB$2:$AB$138,MATCH(UPPER(TRIM($B95)),$AA$2:$AA$138,0)),"$AO$2:$AO$9")))))</formula1>
    </dataValidation>
    <dataValidation type="list" allowBlank="1" errorTitle="Embalagem inválida" error="Escolha uma embalagem compatível com o produto." promptTitle="Selecione a embalagem" prompt="As opções mudam conforme o produto digitado." sqref="C96" xr:uid="{7BEC583D-9198-475F-8C83-DFF47100A886}">
      <formula1>INDIRECT(IF(OR(ISNUMBER(SEARCH("ICEBERG ICE",UPPER(TRIM($B96)))),ISNUMBER(SEARCH("ICE ICEBERG",UPPER(TRIM($B96)))),ISNUMBER(SEARCH("GELINHO ICEBERG",UPPER(TRIM($B96))))),"$AJ$2:$AJ$2",IF(ISNUMBER(SEARCH("ESPUMA",$B96)),"$AI$2:$AI$2",IF(ISNUMBER(SEARCH("CORANTE",$B96)),"$AN$2:$AN$2",IFERROR(INDEX($AB$2:$AB$138,MATCH(UPPER(TRIM($B96)),$AA$2:$AA$138,0)),"$AO$2:$AO$9")))))</formula1>
    </dataValidation>
    <dataValidation type="list" allowBlank="1" errorTitle="Embalagem inválida" error="Escolha uma embalagem compatível com o produto." promptTitle="Selecione a embalagem" prompt="As opções mudam conforme o produto digitado." sqref="C100" xr:uid="{D545E9DF-C27E-4AA3-81F9-AE57F6B61403}">
      <formula1>INDIRECT(IF(OR(ISNUMBER(SEARCH("ICEBERG ICE",UPPER(TRIM($B100)))),ISNUMBER(SEARCH("ICE ICEBERG",UPPER(TRIM($B100)))),ISNUMBER(SEARCH("GELINHO ICEBERG",UPPER(TRIM($B100))))),"$AJ$2:$AJ$2",IF(ISNUMBER(SEARCH("ESPUMA",$B100)),"$AI$2:$AI$2",IF(ISNUMBER(SEARCH("CORANTE",$B100)),"$AN$2:$AN$2",IFERROR(INDEX($AB$2:$AB$138,MATCH(UPPER(TRIM($B100)),$AA$2:$AA$138,0)),"$AO$2:$AO$9")))))</formula1>
    </dataValidation>
    <dataValidation type="list" allowBlank="1" errorTitle="Embalagem inválida" error="Escolha uma embalagem compatível com o produto." promptTitle="Selecione a embalagem" prompt="As opções mudam conforme o produto digitado." sqref="C101" xr:uid="{9C340993-D67F-4058-9C24-0C34D75F0492}">
      <formula1>INDIRECT(IF(OR(ISNUMBER(SEARCH("ICEBERG ICE",UPPER(TRIM($B101)))),ISNUMBER(SEARCH("ICE ICEBERG",UPPER(TRIM($B101)))),ISNUMBER(SEARCH("GELINHO ICEBERG",UPPER(TRIM($B101))))),"$AJ$2:$AJ$2",IF(ISNUMBER(SEARCH("ESPUMA",$B101)),"$AI$2:$AI$2",IF(ISNUMBER(SEARCH("CORANTE",$B101)),"$AN$2:$AN$2",IFERROR(INDEX($AB$2:$AB$138,MATCH(UPPER(TRIM($B101)),$AA$2:$AA$138,0)),"$AO$2:$AO$9")))))</formula1>
    </dataValidation>
    <dataValidation type="list" allowBlank="1" errorTitle="Embalagem inválida" error="Escolha uma embalagem compatível com o produto." promptTitle="Selecione a embalagem" prompt="As opções mudam conforme o produto digitado." sqref="C102" xr:uid="{7F597C9B-15B2-43F8-AAD6-7DB9515EEF98}">
      <formula1>INDIRECT(IF(OR(ISNUMBER(SEARCH("ICEBERG ICE",UPPER(TRIM($B102)))),ISNUMBER(SEARCH("ICE ICEBERG",UPPER(TRIM($B102)))),ISNUMBER(SEARCH("GELINHO ICEBERG",UPPER(TRIM($B102))))),"$AJ$2:$AJ$2",IF(ISNUMBER(SEARCH("ESPUMA",$B102)),"$AI$2:$AI$2",IF(ISNUMBER(SEARCH("CORANTE",$B102)),"$AN$2:$AN$2",IFERROR(INDEX($AB$2:$AB$138,MATCH(UPPER(TRIM($B102)),$AA$2:$AA$138,0)),"$AO$2:$AO$9")))))</formula1>
    </dataValidation>
    <dataValidation type="list" allowBlank="1" errorTitle="Embalagem inválida" error="Escolha uma embalagem compatível com o produto." promptTitle="Selecione a embalagem" prompt="As opções mudam conforme o produto digitado." sqref="C103" xr:uid="{F89984DF-06E2-4FD4-9E85-53D3C292B38D}">
      <formula1>INDIRECT(IF(OR(ISNUMBER(SEARCH("ICEBERG ICE",UPPER(TRIM($B103)))),ISNUMBER(SEARCH("ICE ICEBERG",UPPER(TRIM($B103)))),ISNUMBER(SEARCH("GELINHO ICEBERG",UPPER(TRIM($B103))))),"$AJ$2:$AJ$2",IF(ISNUMBER(SEARCH("ESPUMA",$B103)),"$AI$2:$AI$2",IF(ISNUMBER(SEARCH("CORANTE",$B103)),"$AN$2:$AN$2",IFERROR(INDEX($AB$2:$AB$138,MATCH(UPPER(TRIM($B103)),$AA$2:$AA$138,0)),"$AO$2:$AO$9")))))</formula1>
    </dataValidation>
    <dataValidation type="list" allowBlank="1" errorTitle="Embalagem inválida" error="Escolha uma embalagem compatível com o produto." promptTitle="Selecione a embalagem" prompt="As opções mudam conforme o produto digitado." sqref="C104" xr:uid="{9551BAC5-8D20-4DCF-90C6-56C42D72C8E6}">
      <formula1>INDIRECT(IF(OR(ISNUMBER(SEARCH("ICEBERG ICE",UPPER(TRIM($B104)))),ISNUMBER(SEARCH("ICE ICEBERG",UPPER(TRIM($B104)))),ISNUMBER(SEARCH("GELINHO ICEBERG",UPPER(TRIM($B104))))),"$AJ$2:$AJ$2",IF(ISNUMBER(SEARCH("ESPUMA",$B104)),"$AI$2:$AI$2",IF(ISNUMBER(SEARCH("CORANTE",$B104)),"$AN$2:$AN$2",IFERROR(INDEX($AB$2:$AB$138,MATCH(UPPER(TRIM($B104)),$AA$2:$AA$138,0)),"$AO$2:$AO$9")))))</formula1>
    </dataValidation>
    <dataValidation type="list" allowBlank="1" errorTitle="Embalagem inválida" error="Escolha uma embalagem compatível com o produto." promptTitle="Selecione a embalagem" prompt="As opções mudam conforme o produto digitado." sqref="C108" xr:uid="{FD8F2DEF-F145-4C3F-881D-0C25D965E61C}">
      <formula1>INDIRECT(IF(OR(ISNUMBER(SEARCH("ICEBERG ICE",UPPER(TRIM($B108)))),ISNUMBER(SEARCH("ICE ICEBERG",UPPER(TRIM($B108)))),ISNUMBER(SEARCH("GELINHO ICEBERG",UPPER(TRIM($B108))))),"$AJ$2:$AJ$2",IF(ISNUMBER(SEARCH("ESPUMA",$B108)),"$AI$2:$AI$2",IF(ISNUMBER(SEARCH("CORANTE",$B108)),"$AN$2:$AN$2",IFERROR(INDEX($AB$2:$AB$138,MATCH(UPPER(TRIM($B108)),$AA$2:$AA$138,0)),"$AO$2:$AO$9")))))</formula1>
    </dataValidation>
    <dataValidation type="list" allowBlank="1" errorTitle="Embalagem inválida" error="Escolha uma embalagem compatível com o produto." promptTitle="Selecione a embalagem" prompt="As opções mudam conforme o produto digitado." sqref="C109" xr:uid="{ED2089C9-8753-4A14-9BE9-724FFA574A11}">
      <formula1>INDIRECT(IF(OR(ISNUMBER(SEARCH("ICEBERG ICE",UPPER(TRIM($B109)))),ISNUMBER(SEARCH("ICE ICEBERG",UPPER(TRIM($B109)))),ISNUMBER(SEARCH("GELINHO ICEBERG",UPPER(TRIM($B109))))),"$AJ$2:$AJ$2",IF(ISNUMBER(SEARCH("ESPUMA",$B109)),"$AI$2:$AI$2",IF(ISNUMBER(SEARCH("CORANTE",$B109)),"$AN$2:$AN$2",IFERROR(INDEX($AB$2:$AB$138,MATCH(UPPER(TRIM($B109)),$AA$2:$AA$138,0)),"$AO$2:$AO$9")))))</formula1>
    </dataValidation>
    <dataValidation type="list" allowBlank="1" errorTitle="Embalagem inválida" error="Escolha uma embalagem compatível com o produto." promptTitle="Selecione a embalagem" prompt="As opções mudam conforme o produto digitado." sqref="C110" xr:uid="{5004A45E-46EE-4408-AA73-01E996FF9134}">
      <formula1>INDIRECT(IF(OR(ISNUMBER(SEARCH("ICEBERG ICE",UPPER(TRIM($B110)))),ISNUMBER(SEARCH("ICE ICEBERG",UPPER(TRIM($B110)))),ISNUMBER(SEARCH("GELINHO ICEBERG",UPPER(TRIM($B110))))),"$AJ$2:$AJ$2",IF(ISNUMBER(SEARCH("ESPUMA",$B110)),"$AI$2:$AI$2",IF(ISNUMBER(SEARCH("CORANTE",$B110)),"$AN$2:$AN$2",IFERROR(INDEX($AB$2:$AB$138,MATCH(UPPER(TRIM($B110)),$AA$2:$AA$138,0)),"$AO$2:$AO$9")))))</formula1>
    </dataValidation>
    <dataValidation type="list" allowBlank="1" errorTitle="Embalagem inválida" error="Escolha uma embalagem compatível com o produto." promptTitle="Selecione a embalagem" prompt="As opções mudam conforme o produto digitado." sqref="C111" xr:uid="{01743539-C20A-4BA5-A4AE-B343DD6A7271}">
      <formula1>INDIRECT(IF(OR(ISNUMBER(SEARCH("ICEBERG ICE",UPPER(TRIM($B111)))),ISNUMBER(SEARCH("ICE ICEBERG",UPPER(TRIM($B111)))),ISNUMBER(SEARCH("GELINHO ICEBERG",UPPER(TRIM($B111))))),"$AJ$2:$AJ$2",IF(ISNUMBER(SEARCH("ESPUMA",$B111)),"$AI$2:$AI$2",IF(ISNUMBER(SEARCH("CORANTE",$B111)),"$AN$2:$AN$2",IFERROR(INDEX($AB$2:$AB$138,MATCH(UPPER(TRIM($B111)),$AA$2:$AA$138,0)),"$AO$2:$AO$9")))))</formula1>
    </dataValidation>
    <dataValidation type="list" allowBlank="1" errorTitle="Embalagem inválida" error="Escolha uma embalagem compatível com o produto." promptTitle="Selecione a embalagem" prompt="As opções mudam conforme o produto digitado." sqref="C112" xr:uid="{52AFEBE9-1DD6-46A3-8AA5-959BDD27430E}">
      <formula1>INDIRECT(IF(OR(ISNUMBER(SEARCH("ICEBERG ICE",UPPER(TRIM($B112)))),ISNUMBER(SEARCH("ICE ICEBERG",UPPER(TRIM($B112)))),ISNUMBER(SEARCH("GELINHO ICEBERG",UPPER(TRIM($B112))))),"$AJ$2:$AJ$2",IF(ISNUMBER(SEARCH("ESPUMA",$B112)),"$AI$2:$AI$2",IF(ISNUMBER(SEARCH("CORANTE",$B112)),"$AN$2:$AN$2",IFERROR(INDEX($AB$2:$AB$138,MATCH(UPPER(TRIM($B112)),$AA$2:$AA$138,0)),"$AO$2:$AO$9")))))</formula1>
    </dataValidation>
    <dataValidation type="list" allowBlank="1" errorTitle="Embalagem inválida" error="Escolha uma embalagem compatível com o produto." promptTitle="Selecione a embalagem" prompt="As opções mudam conforme o produto digitado." sqref="C116" xr:uid="{A9022CC3-3AF6-4FF0-A602-5BF5DAD3EF2C}">
      <formula1>INDIRECT(IF(OR(ISNUMBER(SEARCH("ICEBERG ICE",UPPER(TRIM($B116)))),ISNUMBER(SEARCH("ICE ICEBERG",UPPER(TRIM($B116)))),ISNUMBER(SEARCH("GELINHO ICEBERG",UPPER(TRIM($B116))))),"$AJ$2:$AJ$2",IF(ISNUMBER(SEARCH("ESPUMA",$B116)),"$AI$2:$AI$2",IF(ISNUMBER(SEARCH("CORANTE",$B116)),"$AN$2:$AN$2",IFERROR(INDEX($AB$2:$AB$138,MATCH(UPPER(TRIM($B116)),$AA$2:$AA$138,0)),"$AO$2:$AO$9")))))</formula1>
    </dataValidation>
    <dataValidation type="list" allowBlank="1" errorTitle="Embalagem inválida" error="Escolha uma embalagem compatível com o produto." promptTitle="Selecione a embalagem" prompt="As opções mudam conforme o produto digitado." sqref="C117" xr:uid="{B1FBB4D6-F987-4AB7-B2F9-EEC086EF9A74}">
      <formula1>INDIRECT(IF(OR(ISNUMBER(SEARCH("ICEBERG ICE",UPPER(TRIM($B117)))),ISNUMBER(SEARCH("ICE ICEBERG",UPPER(TRIM($B117)))),ISNUMBER(SEARCH("GELINHO ICEBERG",UPPER(TRIM($B117))))),"$AJ$2:$AJ$2",IF(ISNUMBER(SEARCH("ESPUMA",$B117)),"$AI$2:$AI$2",IF(ISNUMBER(SEARCH("CORANTE",$B117)),"$AN$2:$AN$2",IFERROR(INDEX($AB$2:$AB$138,MATCH(UPPER(TRIM($B117)),$AA$2:$AA$138,0)),"$AO$2:$AO$9")))))</formula1>
    </dataValidation>
    <dataValidation type="list" allowBlank="1" errorTitle="Embalagem inválida" error="Escolha uma embalagem compatível com o produto." promptTitle="Selecione a embalagem" prompt="As opções mudam conforme o produto digitado." sqref="C118" xr:uid="{3AD804B0-9232-4073-A6B1-24C06DB5FEA8}">
      <formula1>INDIRECT(IF(OR(ISNUMBER(SEARCH("ICEBERG ICE",UPPER(TRIM($B118)))),ISNUMBER(SEARCH("ICE ICEBERG",UPPER(TRIM($B118)))),ISNUMBER(SEARCH("GELINHO ICEBERG",UPPER(TRIM($B118))))),"$AJ$2:$AJ$2",IF(ISNUMBER(SEARCH("ESPUMA",$B118)),"$AI$2:$AI$2",IF(ISNUMBER(SEARCH("CORANTE",$B118)),"$AN$2:$AN$2",IFERROR(INDEX($AB$2:$AB$138,MATCH(UPPER(TRIM($B118)),$AA$2:$AA$138,0)),"$AO$2:$AO$9")))))</formula1>
    </dataValidation>
    <dataValidation type="list" allowBlank="1" errorTitle="Embalagem inválida" error="Escolha uma embalagem compatível com o produto." promptTitle="Selecione a embalagem" prompt="As opções mudam conforme o produto digitado." sqref="C119" xr:uid="{FCE4A3E5-969C-4498-A6E6-926F15F3DFE8}">
      <formula1>INDIRECT(IF(OR(ISNUMBER(SEARCH("ICEBERG ICE",UPPER(TRIM($B119)))),ISNUMBER(SEARCH("ICE ICEBERG",UPPER(TRIM($B119)))),ISNUMBER(SEARCH("GELINHO ICEBERG",UPPER(TRIM($B119))))),"$AJ$2:$AJ$2",IF(ISNUMBER(SEARCH("ESPUMA",$B119)),"$AI$2:$AI$2",IF(ISNUMBER(SEARCH("CORANTE",$B119)),"$AN$2:$AN$2",IFERROR(INDEX($AB$2:$AB$138,MATCH(UPPER(TRIM($B119)),$AA$2:$AA$138,0)),"$AO$2:$AO$9")))))</formula1>
    </dataValidation>
    <dataValidation type="list" allowBlank="1" errorTitle="Embalagem inválida" error="Escolha uma embalagem compatível com o produto." promptTitle="Selecione a embalagem" prompt="As opções mudam conforme o produto digitado." sqref="C120" xr:uid="{74949F1B-D681-4601-BD6A-3CA8F73FB047}">
      <formula1>INDIRECT(IF(OR(ISNUMBER(SEARCH("ICEBERG ICE",UPPER(TRIM($B120)))),ISNUMBER(SEARCH("ICE ICEBERG",UPPER(TRIM($B120)))),ISNUMBER(SEARCH("GELINHO ICEBERG",UPPER(TRIM($B120))))),"$AJ$2:$AJ$2",IF(ISNUMBER(SEARCH("ESPUMA",$B120)),"$AI$2:$AI$2",IF(ISNUMBER(SEARCH("CORANTE",$B120)),"$AN$2:$AN$2",IFERROR(INDEX($AB$2:$AB$138,MATCH(UPPER(TRIM($B120)),$AA$2:$AA$138,0)),"$AO$2:$AO$9")))))</formula1>
    </dataValidation>
    <dataValidation type="list" allowBlank="1" errorTitle="Embalagem inválida" error="Escolha uma embalagem compatível com o produto." promptTitle="Selecione a embalagem" prompt="As opções mudam conforme o produto digitado." sqref="C124" xr:uid="{728F7E69-3A12-4E5F-B808-3919A091A8BB}">
      <formula1>INDIRECT(IF(OR(ISNUMBER(SEARCH("ICEBERG ICE",UPPER(TRIM($B124)))),ISNUMBER(SEARCH("ICE ICEBERG",UPPER(TRIM($B124)))),ISNUMBER(SEARCH("GELINHO ICEBERG",UPPER(TRIM($B124))))),"$AJ$2:$AJ$2",IF(ISNUMBER(SEARCH("ESPUMA",$B124)),"$AI$2:$AI$2",IF(ISNUMBER(SEARCH("CORANTE",$B124)),"$AN$2:$AN$2",IFERROR(INDEX($AB$2:$AB$138,MATCH(UPPER(TRIM($B124)),$AA$2:$AA$138,0)),"$AO$2:$AO$9")))))</formula1>
    </dataValidation>
    <dataValidation type="list" allowBlank="1" errorTitle="Embalagem inválida" error="Escolha uma embalagem compatível com o produto." promptTitle="Selecione a embalagem" prompt="As opções mudam conforme o produto digitado." sqref="C125" xr:uid="{34DFA4DE-8FE3-4513-A4B6-1535CF50548B}">
      <formula1>INDIRECT(IF(OR(ISNUMBER(SEARCH("ICEBERG ICE",UPPER(TRIM($B125)))),ISNUMBER(SEARCH("ICE ICEBERG",UPPER(TRIM($B125)))),ISNUMBER(SEARCH("GELINHO ICEBERG",UPPER(TRIM($B125))))),"$AJ$2:$AJ$2",IF(ISNUMBER(SEARCH("ESPUMA",$B125)),"$AI$2:$AI$2",IF(ISNUMBER(SEARCH("CORANTE",$B125)),"$AN$2:$AN$2",IFERROR(INDEX($AB$2:$AB$138,MATCH(UPPER(TRIM($B125)),$AA$2:$AA$138,0)),"$AO$2:$AO$9")))))</formula1>
    </dataValidation>
    <dataValidation type="list" allowBlank="1" errorTitle="Embalagem inválida" error="Escolha uma embalagem compatível com o produto." promptTitle="Selecione a embalagem" prompt="As opções mudam conforme o produto digitado." sqref="C126" xr:uid="{1BC3E325-2C2C-4A3D-BFDF-B5DBE72CF08D}">
      <formula1>INDIRECT(IF(OR(ISNUMBER(SEARCH("ICEBERG ICE",UPPER(TRIM($B126)))),ISNUMBER(SEARCH("ICE ICEBERG",UPPER(TRIM($B126)))),ISNUMBER(SEARCH("GELINHO ICEBERG",UPPER(TRIM($B126))))),"$AJ$2:$AJ$2",IF(ISNUMBER(SEARCH("ESPUMA",$B126)),"$AI$2:$AI$2",IF(ISNUMBER(SEARCH("CORANTE",$B126)),"$AN$2:$AN$2",IFERROR(INDEX($AB$2:$AB$138,MATCH(UPPER(TRIM($B126)),$AA$2:$AA$138,0)),"$AO$2:$AO$9")))))</formula1>
    </dataValidation>
    <dataValidation type="list" allowBlank="1" errorTitle="Embalagem inválida" error="Escolha uma embalagem compatível com o produto." promptTitle="Selecione a embalagem" prompt="As opções mudam conforme o produto digitado." sqref="C127" xr:uid="{B9BA0983-338F-4C6E-9A2F-8AD001D98819}">
      <formula1>INDIRECT(IF(OR(ISNUMBER(SEARCH("ICEBERG ICE",UPPER(TRIM($B127)))),ISNUMBER(SEARCH("ICE ICEBERG",UPPER(TRIM($B127)))),ISNUMBER(SEARCH("GELINHO ICEBERG",UPPER(TRIM($B127))))),"$AJ$2:$AJ$2",IF(ISNUMBER(SEARCH("ESPUMA",$B127)),"$AI$2:$AI$2",IF(ISNUMBER(SEARCH("CORANTE",$B127)),"$AN$2:$AN$2",IFERROR(INDEX($AB$2:$AB$138,MATCH(UPPER(TRIM($B127)),$AA$2:$AA$138,0)),"$AO$2:$AO$9")))))</formula1>
    </dataValidation>
    <dataValidation type="list" allowBlank="1" errorTitle="Embalagem inválida" error="Escolha uma embalagem compatível com o produto." promptTitle="Selecione a embalagem" prompt="As opções mudam conforme o produto digitado." sqref="C128" xr:uid="{EDAABE65-0793-4D7B-A0C9-9D7F1A54916E}">
      <formula1>INDIRECT(IF(OR(ISNUMBER(SEARCH("ICEBERG ICE",UPPER(TRIM($B128)))),ISNUMBER(SEARCH("ICE ICEBERG",UPPER(TRIM($B128)))),ISNUMBER(SEARCH("GELINHO ICEBERG",UPPER(TRIM($B128))))),"$AJ$2:$AJ$2",IF(ISNUMBER(SEARCH("ESPUMA",$B128)),"$AI$2:$AI$2",IF(ISNUMBER(SEARCH("CORANTE",$B128)),"$AN$2:$AN$2",IFERROR(INDEX($AB$2:$AB$138,MATCH(UPPER(TRIM($B128)),$AA$2:$AA$138,0)),"$AO$2:$AO$9")))))</formula1>
    </dataValidation>
    <dataValidation type="list" allowBlank="1" errorTitle="Embalagem inválida" error="Escolha uma embalagem compatível com o produto." promptTitle="Selecione a embalagem" prompt="As opções mudam conforme o produto digitado." sqref="C132" xr:uid="{19FB1813-2A06-46DC-B381-64B16DFBA22D}">
      <formula1>INDIRECT(IF(OR(ISNUMBER(SEARCH("ICEBERG ICE",UPPER(TRIM($B132)))),ISNUMBER(SEARCH("ICE ICEBERG",UPPER(TRIM($B132)))),ISNUMBER(SEARCH("GELINHO ICEBERG",UPPER(TRIM($B132))))),"$AJ$2:$AJ$2",IF(ISNUMBER(SEARCH("ESPUMA",$B132)),"$AI$2:$AI$2",IF(ISNUMBER(SEARCH("CORANTE",$B132)),"$AN$2:$AN$2",IFERROR(INDEX($AB$2:$AB$138,MATCH(UPPER(TRIM($B132)),$AA$2:$AA$138,0)),"$AO$2:$AO$9")))))</formula1>
    </dataValidation>
    <dataValidation type="list" allowBlank="1" errorTitle="Embalagem inválida" error="Escolha uma embalagem compatível com o produto." promptTitle="Selecione a embalagem" prompt="As opções mudam conforme o produto digitado." sqref="C133" xr:uid="{2F1AED70-C7A7-4B42-ABF7-5A7FF7877702}">
      <formula1>INDIRECT(IF(OR(ISNUMBER(SEARCH("ICEBERG ICE",UPPER(TRIM($B133)))),ISNUMBER(SEARCH("ICE ICEBERG",UPPER(TRIM($B133)))),ISNUMBER(SEARCH("GELINHO ICEBERG",UPPER(TRIM($B133))))),"$AJ$2:$AJ$2",IF(ISNUMBER(SEARCH("ESPUMA",$B133)),"$AI$2:$AI$2",IF(ISNUMBER(SEARCH("CORANTE",$B133)),"$AN$2:$AN$2",IFERROR(INDEX($AB$2:$AB$138,MATCH(UPPER(TRIM($B133)),$AA$2:$AA$138,0)),"$AO$2:$AO$9")))))</formula1>
    </dataValidation>
    <dataValidation type="list" allowBlank="1" errorTitle="Embalagem inválida" error="Escolha uma embalagem compatível com o produto." promptTitle="Selecione a embalagem" prompt="As opções mudam conforme o produto digitado." sqref="C134" xr:uid="{50DDA021-AD65-4459-831E-F54765E5666D}">
      <formula1>INDIRECT(IF(OR(ISNUMBER(SEARCH("ICEBERG ICE",UPPER(TRIM($B134)))),ISNUMBER(SEARCH("ICE ICEBERG",UPPER(TRIM($B134)))),ISNUMBER(SEARCH("GELINHO ICEBERG",UPPER(TRIM($B134))))),"$AJ$2:$AJ$2",IF(ISNUMBER(SEARCH("ESPUMA",$B134)),"$AI$2:$AI$2",IF(ISNUMBER(SEARCH("CORANTE",$B134)),"$AN$2:$AN$2",IFERROR(INDEX($AB$2:$AB$138,MATCH(UPPER(TRIM($B134)),$AA$2:$AA$138,0)),"$AO$2:$AO$9")))))</formula1>
    </dataValidation>
    <dataValidation type="list" allowBlank="1" errorTitle="Embalagem inválida" error="Escolha uma embalagem compatível com o produto." promptTitle="Selecione a embalagem" prompt="As opções mudam conforme o produto digitado." sqref="C135" xr:uid="{A656378C-4379-40EE-A3F8-E275AFC0461B}">
      <formula1>INDIRECT(IF(OR(ISNUMBER(SEARCH("ICEBERG ICE",UPPER(TRIM($B135)))),ISNUMBER(SEARCH("ICE ICEBERG",UPPER(TRIM($B135)))),ISNUMBER(SEARCH("GELINHO ICEBERG",UPPER(TRIM($B135))))),"$AJ$2:$AJ$2",IF(ISNUMBER(SEARCH("ESPUMA",$B135)),"$AI$2:$AI$2",IF(ISNUMBER(SEARCH("CORANTE",$B135)),"$AN$2:$AN$2",IFERROR(INDEX($AB$2:$AB$138,MATCH(UPPER(TRIM($B135)),$AA$2:$AA$138,0)),"$AO$2:$AO$9")))))</formula1>
    </dataValidation>
    <dataValidation type="list" allowBlank="1" errorTitle="Embalagem inválida" error="Escolha uma embalagem compatível com o produto." promptTitle="Selecione a embalagem" prompt="As opções mudam conforme o produto digitado." sqref="C136" xr:uid="{C9CF50FE-7FBF-4F44-A6AD-D50F5A34928C}">
      <formula1>INDIRECT(IF(OR(ISNUMBER(SEARCH("ICEBERG ICE",UPPER(TRIM($B136)))),ISNUMBER(SEARCH("ICE ICEBERG",UPPER(TRIM($B136)))),ISNUMBER(SEARCH("GELINHO ICEBERG",UPPER(TRIM($B136))))),"$AJ$2:$AJ$2",IF(ISNUMBER(SEARCH("ESPUMA",$B136)),"$AI$2:$AI$2",IF(ISNUMBER(SEARCH("CORANTE",$B136)),"$AN$2:$AN$2",IFERROR(INDEX($AB$2:$AB$138,MATCH(UPPER(TRIM($B136)),$AA$2:$AA$138,0)),"$AO$2:$AO$9")))))</formula1>
    </dataValidation>
    <dataValidation type="list" allowBlank="1" errorTitle="Embalagem inválida" error="Escolha uma embalagem compatível com o produto." promptTitle="Selecione a embalagem" prompt="As opções mudam conforme o produto digitado." sqref="C140" xr:uid="{3CFA2EC2-1AA0-4E96-8AED-C39E904FF817}">
      <formula1>INDIRECT(IF(OR(ISNUMBER(SEARCH("ICEBERG ICE",UPPER(TRIM($B140)))),ISNUMBER(SEARCH("ICE ICEBERG",UPPER(TRIM($B140)))),ISNUMBER(SEARCH("GELINHO ICEBERG",UPPER(TRIM($B140))))),"$AJ$2:$AJ$2",IF(ISNUMBER(SEARCH("ESPUMA",$B140)),"$AI$2:$AI$2",IF(ISNUMBER(SEARCH("CORANTE",$B140)),"$AN$2:$AN$2",IFERROR(INDEX($AB$2:$AB$138,MATCH(UPPER(TRIM($B140)),$AA$2:$AA$138,0)),"$AO$2:$AO$9")))))</formula1>
    </dataValidation>
    <dataValidation type="list" allowBlank="1" errorTitle="Embalagem inválida" error="Escolha uma embalagem compatível com o produto." promptTitle="Selecione a embalagem" prompt="As opções mudam conforme o produto digitado." sqref="C141" xr:uid="{CD69C7AF-BD4D-4E9D-AC42-8B051B84FD47}">
      <formula1>INDIRECT(IF(OR(ISNUMBER(SEARCH("ICEBERG ICE",UPPER(TRIM($B141)))),ISNUMBER(SEARCH("ICE ICEBERG",UPPER(TRIM($B141)))),ISNUMBER(SEARCH("GELINHO ICEBERG",UPPER(TRIM($B141))))),"$AJ$2:$AJ$2",IF(ISNUMBER(SEARCH("ESPUMA",$B141)),"$AI$2:$AI$2",IF(ISNUMBER(SEARCH("CORANTE",$B141)),"$AN$2:$AN$2",IFERROR(INDEX($AB$2:$AB$138,MATCH(UPPER(TRIM($B141)),$AA$2:$AA$138,0)),"$AO$2:$AO$9")))))</formula1>
    </dataValidation>
    <dataValidation type="list" allowBlank="1" errorTitle="Embalagem inválida" error="Escolha uma embalagem compatível com o produto." promptTitle="Selecione a embalagem" prompt="As opções mudam conforme o produto digitado." sqref="C142" xr:uid="{211EF924-789E-4AA7-96D1-199913600C9F}">
      <formula1>INDIRECT(IF(OR(ISNUMBER(SEARCH("ICEBERG ICE",UPPER(TRIM($B142)))),ISNUMBER(SEARCH("ICE ICEBERG",UPPER(TRIM($B142)))),ISNUMBER(SEARCH("GELINHO ICEBERG",UPPER(TRIM($B142))))),"$AJ$2:$AJ$2",IF(ISNUMBER(SEARCH("ESPUMA",$B142)),"$AI$2:$AI$2",IF(ISNUMBER(SEARCH("CORANTE",$B142)),"$AN$2:$AN$2",IFERROR(INDEX($AB$2:$AB$138,MATCH(UPPER(TRIM($B142)),$AA$2:$AA$138,0)),"$AO$2:$AO$9")))))</formula1>
    </dataValidation>
    <dataValidation type="list" allowBlank="1" errorTitle="Embalagem inválida" error="Escolha uma embalagem compatível com o produto." promptTitle="Selecione a embalagem" prompt="As opções mudam conforme o produto digitado." sqref="C143" xr:uid="{A3E9F536-7877-48A8-9C6C-54178C75C7EF}">
      <formula1>INDIRECT(IF(OR(ISNUMBER(SEARCH("ICEBERG ICE",UPPER(TRIM($B143)))),ISNUMBER(SEARCH("ICE ICEBERG",UPPER(TRIM($B143)))),ISNUMBER(SEARCH("GELINHO ICEBERG",UPPER(TRIM($B143))))),"$AJ$2:$AJ$2",IF(ISNUMBER(SEARCH("ESPUMA",$B143)),"$AI$2:$AI$2",IF(ISNUMBER(SEARCH("CORANTE",$B143)),"$AN$2:$AN$2",IFERROR(INDEX($AB$2:$AB$138,MATCH(UPPER(TRIM($B143)),$AA$2:$AA$138,0)),"$AO$2:$AO$9")))))</formula1>
    </dataValidation>
    <dataValidation type="list" allowBlank="1" errorTitle="Embalagem inválida" error="Escolha uma embalagem compatível com o produto." promptTitle="Selecione a embalagem" prompt="As opções mudam conforme o produto digitado." sqref="C144" xr:uid="{5C97AEFB-4E8A-4935-AFA2-156D6F9783B5}">
      <formula1>INDIRECT(IF(OR(ISNUMBER(SEARCH("ICEBERG ICE",UPPER(TRIM($B144)))),ISNUMBER(SEARCH("ICE ICEBERG",UPPER(TRIM($B144)))),ISNUMBER(SEARCH("GELINHO ICEBERG",UPPER(TRIM($B144))))),"$AJ$2:$AJ$2",IF(ISNUMBER(SEARCH("ESPUMA",$B144)),"$AI$2:$AI$2",IF(ISNUMBER(SEARCH("CORANTE",$B144)),"$AN$2:$AN$2",IFERROR(INDEX($AB$2:$AB$138,MATCH(UPPER(TRIM($B144)),$AA$2:$AA$138,0)),"$AO$2:$AO$9")))))</formula1>
    </dataValidation>
    <dataValidation type="list" allowBlank="1" errorTitle="Embalagem inválida" error="Escolha uma embalagem compatível com o produto." promptTitle="Selecione a embalagem" prompt="As opções mudam conforme o produto digitado." sqref="C148" xr:uid="{E11F321A-2616-4CC3-A635-5202942AD379}">
      <formula1>INDIRECT(IF(OR(ISNUMBER(SEARCH("ICEBERG ICE",UPPER(TRIM($B148)))),ISNUMBER(SEARCH("ICE ICEBERG",UPPER(TRIM($B148)))),ISNUMBER(SEARCH("GELINHO ICEBERG",UPPER(TRIM($B148))))),"$AJ$2:$AJ$2",IF(ISNUMBER(SEARCH("ESPUMA",$B148)),"$AI$2:$AI$2",IF(ISNUMBER(SEARCH("CORANTE",$B148)),"$AN$2:$AN$2",IFERROR(INDEX($AB$2:$AB$138,MATCH(UPPER(TRIM($B148)),$AA$2:$AA$138,0)),"$AO$2:$AO$9")))))</formula1>
    </dataValidation>
    <dataValidation type="list" allowBlank="1" errorTitle="Embalagem inválida" error="Escolha uma embalagem compatível com o produto." promptTitle="Selecione a embalagem" prompt="As opções mudam conforme o produto digitado." sqref="C149" xr:uid="{85FFC5A1-8DF5-4AF5-BD88-16DEAB6DA33B}">
      <formula1>INDIRECT(IF(OR(ISNUMBER(SEARCH("ICEBERG ICE",UPPER(TRIM($B149)))),ISNUMBER(SEARCH("ICE ICEBERG",UPPER(TRIM($B149)))),ISNUMBER(SEARCH("GELINHO ICEBERG",UPPER(TRIM($B149))))),"$AJ$2:$AJ$2",IF(ISNUMBER(SEARCH("ESPUMA",$B149)),"$AI$2:$AI$2",IF(ISNUMBER(SEARCH("CORANTE",$B149)),"$AN$2:$AN$2",IFERROR(INDEX($AB$2:$AB$138,MATCH(UPPER(TRIM($B149)),$AA$2:$AA$138,0)),"$AO$2:$AO$9")))))</formula1>
    </dataValidation>
    <dataValidation type="list" allowBlank="1" errorTitle="Embalagem inválida" error="Escolha uma embalagem compatível com o produto." promptTitle="Selecione a embalagem" prompt="As opções mudam conforme o produto digitado." sqref="C150" xr:uid="{64ECC04F-1749-455C-9B15-EBCB50156CB3}">
      <formula1>INDIRECT(IF(OR(ISNUMBER(SEARCH("ICEBERG ICE",UPPER(TRIM($B150)))),ISNUMBER(SEARCH("ICE ICEBERG",UPPER(TRIM($B150)))),ISNUMBER(SEARCH("GELINHO ICEBERG",UPPER(TRIM($B150))))),"$AJ$2:$AJ$2",IF(ISNUMBER(SEARCH("ESPUMA",$B150)),"$AI$2:$AI$2",IF(ISNUMBER(SEARCH("CORANTE",$B150)),"$AN$2:$AN$2",IFERROR(INDEX($AB$2:$AB$138,MATCH(UPPER(TRIM($B150)),$AA$2:$AA$138,0)),"$AO$2:$AO$9")))))</formula1>
    </dataValidation>
    <dataValidation type="list" allowBlank="1" errorTitle="Embalagem inválida" error="Escolha uma embalagem compatível com o produto." promptTitle="Selecione a embalagem" prompt="As opções mudam conforme o produto digitado." sqref="C151" xr:uid="{C5A6FB5E-D74C-4921-9FBC-193F86B49AA5}">
      <formula1>INDIRECT(IF(OR(ISNUMBER(SEARCH("ICEBERG ICE",UPPER(TRIM($B151)))),ISNUMBER(SEARCH("ICE ICEBERG",UPPER(TRIM($B151)))),ISNUMBER(SEARCH("GELINHO ICEBERG",UPPER(TRIM($B151))))),"$AJ$2:$AJ$2",IF(ISNUMBER(SEARCH("ESPUMA",$B151)),"$AI$2:$AI$2",IF(ISNUMBER(SEARCH("CORANTE",$B151)),"$AN$2:$AN$2",IFERROR(INDEX($AB$2:$AB$138,MATCH(UPPER(TRIM($B151)),$AA$2:$AA$138,0)),"$AO$2:$AO$9")))))</formula1>
    </dataValidation>
    <dataValidation type="list" allowBlank="1" errorTitle="Embalagem inválida" error="Escolha uma embalagem compatível com o produto." promptTitle="Selecione a embalagem" prompt="As opções mudam conforme o produto digitado." sqref="C152" xr:uid="{FF1A29E4-7317-44BE-BCA3-AE15C26819E7}">
      <formula1>INDIRECT(IF(OR(ISNUMBER(SEARCH("ICEBERG ICE",UPPER(TRIM($B152)))),ISNUMBER(SEARCH("ICE ICEBERG",UPPER(TRIM($B152)))),ISNUMBER(SEARCH("GELINHO ICEBERG",UPPER(TRIM($B152))))),"$AJ$2:$AJ$2",IF(ISNUMBER(SEARCH("ESPUMA",$B152)),"$AI$2:$AI$2",IF(ISNUMBER(SEARCH("CORANTE",$B152)),"$AN$2:$AN$2",IFERROR(INDEX($AB$2:$AB$138,MATCH(UPPER(TRIM($B152)),$AA$2:$AA$138,0)),"$AO$2:$AO$9")))))</formula1>
    </dataValidation>
    <dataValidation type="list" allowBlank="1" errorTitle="Embalagem inválida" error="Escolha uma embalagem compatível com o produto." promptTitle="Selecione a embalagem" prompt="As opções mudam conforme o produto digitado." sqref="C156" xr:uid="{4DCD8AE6-0E81-4994-A9A6-597A467FDF26}">
      <formula1>INDIRECT(IF(OR(ISNUMBER(SEARCH("ICEBERG ICE",UPPER(TRIM($B156)))),ISNUMBER(SEARCH("ICE ICEBERG",UPPER(TRIM($B156)))),ISNUMBER(SEARCH("GELINHO ICEBERG",UPPER(TRIM($B156))))),"$AJ$2:$AJ$2",IF(ISNUMBER(SEARCH("ESPUMA",$B156)),"$AI$2:$AI$2",IF(ISNUMBER(SEARCH("CORANTE",$B156)),"$AN$2:$AN$2",IFERROR(INDEX($AB$2:$AB$138,MATCH(UPPER(TRIM($B156)),$AA$2:$AA$138,0)),"$AO$2:$AO$9")))))</formula1>
    </dataValidation>
    <dataValidation type="list" allowBlank="1" errorTitle="Embalagem inválida" error="Escolha uma embalagem compatível com o produto." promptTitle="Selecione a embalagem" prompt="As opções mudam conforme o produto digitado." sqref="C157" xr:uid="{401BBB39-6705-4178-B259-1D37A1E4BF7E}">
      <formula1>INDIRECT(IF(OR(ISNUMBER(SEARCH("ICEBERG ICE",UPPER(TRIM($B157)))),ISNUMBER(SEARCH("ICE ICEBERG",UPPER(TRIM($B157)))),ISNUMBER(SEARCH("GELINHO ICEBERG",UPPER(TRIM($B157))))),"$AJ$2:$AJ$2",IF(ISNUMBER(SEARCH("ESPUMA",$B157)),"$AI$2:$AI$2",IF(ISNUMBER(SEARCH("CORANTE",$B157)),"$AN$2:$AN$2",IFERROR(INDEX($AB$2:$AB$138,MATCH(UPPER(TRIM($B157)),$AA$2:$AA$138,0)),"$AO$2:$AO$9")))))</formula1>
    </dataValidation>
    <dataValidation type="list" allowBlank="1" errorTitle="Embalagem inválida" error="Escolha uma embalagem compatível com o produto." promptTitle="Selecione a embalagem" prompt="As opções mudam conforme o produto digitado." sqref="C158" xr:uid="{618404B0-52E6-44C5-8D21-11BC8D71310F}">
      <formula1>INDIRECT(IF(OR(ISNUMBER(SEARCH("ICEBERG ICE",UPPER(TRIM($B158)))),ISNUMBER(SEARCH("ICE ICEBERG",UPPER(TRIM($B158)))),ISNUMBER(SEARCH("GELINHO ICEBERG",UPPER(TRIM($B158))))),"$AJ$2:$AJ$2",IF(ISNUMBER(SEARCH("ESPUMA",$B158)),"$AI$2:$AI$2",IF(ISNUMBER(SEARCH("CORANTE",$B158)),"$AN$2:$AN$2",IFERROR(INDEX($AB$2:$AB$138,MATCH(UPPER(TRIM($B158)),$AA$2:$AA$138,0)),"$AO$2:$AO$9")))))</formula1>
    </dataValidation>
    <dataValidation type="list" allowBlank="1" errorTitle="Embalagem inválida" error="Escolha uma embalagem compatível com o produto." promptTitle="Selecione a embalagem" prompt="As opções mudam conforme o produto digitado." sqref="C159" xr:uid="{1D78522A-4290-4704-A616-411E42507106}">
      <formula1>INDIRECT(IF(OR(ISNUMBER(SEARCH("ICEBERG ICE",UPPER(TRIM($B159)))),ISNUMBER(SEARCH("ICE ICEBERG",UPPER(TRIM($B159)))),ISNUMBER(SEARCH("GELINHO ICEBERG",UPPER(TRIM($B159))))),"$AJ$2:$AJ$2",IF(ISNUMBER(SEARCH("ESPUMA",$B159)),"$AI$2:$AI$2",IF(ISNUMBER(SEARCH("CORANTE",$B159)),"$AN$2:$AN$2",IFERROR(INDEX($AB$2:$AB$138,MATCH(UPPER(TRIM($B159)),$AA$2:$AA$138,0)),"$AO$2:$AO$9")))))</formula1>
    </dataValidation>
    <dataValidation type="list" allowBlank="1" errorTitle="Embalagem inválida" error="Escolha uma embalagem compatível com o produto." promptTitle="Selecione a embalagem" prompt="As opções mudam conforme o produto digitado." sqref="C160" xr:uid="{60C88F91-B30D-46BC-AE61-70924AA6FC03}">
      <formula1>INDIRECT(IF(OR(ISNUMBER(SEARCH("ICEBERG ICE",UPPER(TRIM($B160)))),ISNUMBER(SEARCH("ICE ICEBERG",UPPER(TRIM($B160)))),ISNUMBER(SEARCH("GELINHO ICEBERG",UPPER(TRIM($B160))))),"$AJ$2:$AJ$2",IF(ISNUMBER(SEARCH("ESPUMA",$B160)),"$AI$2:$AI$2",IF(ISNUMBER(SEARCH("CORANTE",$B160)),"$AN$2:$AN$2",IFERROR(INDEX($AB$2:$AB$138,MATCH(UPPER(TRIM($B160)),$AA$2:$AA$138,0)),"$AO$2:$AO$9")))))</formula1>
    </dataValidation>
    <dataValidation type="list" allowBlank="1" errorTitle="Embalagem inválida" error="Escolha uma embalagem compatível com o produto." promptTitle="Selecione a embalagem" prompt="As opções mudam conforme o produto digitado." sqref="C164" xr:uid="{0603AF70-0306-4CE7-ACEF-BCEA033FC107}">
      <formula1>INDIRECT(IF(OR(ISNUMBER(SEARCH("ICEBERG ICE",UPPER(TRIM($B164)))),ISNUMBER(SEARCH("ICE ICEBERG",UPPER(TRIM($B164)))),ISNUMBER(SEARCH("GELINHO ICEBERG",UPPER(TRIM($B164))))),"$AJ$2:$AJ$2",IF(ISNUMBER(SEARCH("ESPUMA",$B164)),"$AI$2:$AI$2",IF(ISNUMBER(SEARCH("CORANTE",$B164)),"$AN$2:$AN$2",IFERROR(INDEX($AB$2:$AB$138,MATCH(UPPER(TRIM($B164)),$AA$2:$AA$138,0)),"$AO$2:$AO$9")))))</formula1>
    </dataValidation>
    <dataValidation type="list" allowBlank="1" errorTitle="Embalagem inválida" error="Escolha uma embalagem compatível com o produto." promptTitle="Selecione a embalagem" prompt="As opções mudam conforme o produto digitado." sqref="C165" xr:uid="{8CD03449-68C8-422C-B145-305F78E85B31}">
      <formula1>INDIRECT(IF(OR(ISNUMBER(SEARCH("ICEBERG ICE",UPPER(TRIM($B165)))),ISNUMBER(SEARCH("ICE ICEBERG",UPPER(TRIM($B165)))),ISNUMBER(SEARCH("GELINHO ICEBERG",UPPER(TRIM($B165))))),"$AJ$2:$AJ$2",IF(ISNUMBER(SEARCH("ESPUMA",$B165)),"$AI$2:$AI$2",IF(ISNUMBER(SEARCH("CORANTE",$B165)),"$AN$2:$AN$2",IFERROR(INDEX($AB$2:$AB$138,MATCH(UPPER(TRIM($B165)),$AA$2:$AA$138,0)),"$AO$2:$AO$9")))))</formula1>
    </dataValidation>
    <dataValidation type="list" allowBlank="1" errorTitle="Embalagem inválida" error="Escolha uma embalagem compatível com o produto." promptTitle="Selecione a embalagem" prompt="As opções mudam conforme o produto digitado." sqref="C166" xr:uid="{4BC06C35-EC00-4745-970A-C05A3394CF2A}">
      <formula1>INDIRECT(IF(OR(ISNUMBER(SEARCH("ICEBERG ICE",UPPER(TRIM($B166)))),ISNUMBER(SEARCH("ICE ICEBERG",UPPER(TRIM($B166)))),ISNUMBER(SEARCH("GELINHO ICEBERG",UPPER(TRIM($B166))))),"$AJ$2:$AJ$2",IF(ISNUMBER(SEARCH("ESPUMA",$B166)),"$AI$2:$AI$2",IF(ISNUMBER(SEARCH("CORANTE",$B166)),"$AN$2:$AN$2",IFERROR(INDEX($AB$2:$AB$138,MATCH(UPPER(TRIM($B166)),$AA$2:$AA$138,0)),"$AO$2:$AO$9")))))</formula1>
    </dataValidation>
    <dataValidation type="list" allowBlank="1" errorTitle="Embalagem inválida" error="Escolha uma embalagem compatível com o produto." promptTitle="Selecione a embalagem" prompt="As opções mudam conforme o produto digitado." sqref="C167" xr:uid="{31BE6790-3F64-413E-9987-EE3D4BA8AC39}">
      <formula1>INDIRECT(IF(OR(ISNUMBER(SEARCH("ICEBERG ICE",UPPER(TRIM($B167)))),ISNUMBER(SEARCH("ICE ICEBERG",UPPER(TRIM($B167)))),ISNUMBER(SEARCH("GELINHO ICEBERG",UPPER(TRIM($B167))))),"$AJ$2:$AJ$2",IF(ISNUMBER(SEARCH("ESPUMA",$B167)),"$AI$2:$AI$2",IF(ISNUMBER(SEARCH("CORANTE",$B167)),"$AN$2:$AN$2",IFERROR(INDEX($AB$2:$AB$138,MATCH(UPPER(TRIM($B167)),$AA$2:$AA$138,0)),"$AO$2:$AO$9")))))</formula1>
    </dataValidation>
    <dataValidation type="list" allowBlank="1" errorTitle="Embalagem inválida" error="Escolha uma embalagem compatível com o produto." promptTitle="Selecione a embalagem" prompt="As opções mudam conforme o produto digitado." sqref="C168" xr:uid="{ED6ADA2E-69B3-45B6-A670-434DBD0EEAC7}">
      <formula1>INDIRECT(IF(OR(ISNUMBER(SEARCH("ICEBERG ICE",UPPER(TRIM($B168)))),ISNUMBER(SEARCH("ICE ICEBERG",UPPER(TRIM($B168)))),ISNUMBER(SEARCH("GELINHO ICEBERG",UPPER(TRIM($B168))))),"$AJ$2:$AJ$2",IF(ISNUMBER(SEARCH("ESPUMA",$B168)),"$AI$2:$AI$2",IF(ISNUMBER(SEARCH("CORANTE",$B168)),"$AN$2:$AN$2",IFERROR(INDEX($AB$2:$AB$138,MATCH(UPPER(TRIM($B168)),$AA$2:$AA$138,0)),"$AO$2:$AO$9")))))</formula1>
    </dataValidation>
    <dataValidation type="list" allowBlank="1" errorTitle="Embalagem inválida" error="Escolha uma embalagem compatível com o produto." promptTitle="Selecione a embalagem" prompt="As opções mudam conforme o produto digitado." sqref="C172" xr:uid="{782867C0-09A9-46C5-841F-EA0EB97A85BF}">
      <formula1>INDIRECT(IF(OR(ISNUMBER(SEARCH("ICEBERG ICE",UPPER(TRIM($B172)))),ISNUMBER(SEARCH("ICE ICEBERG",UPPER(TRIM($B172)))),ISNUMBER(SEARCH("GELINHO ICEBERG",UPPER(TRIM($B172))))),"$AJ$2:$AJ$2",IF(ISNUMBER(SEARCH("ESPUMA",$B172)),"$AI$2:$AI$2",IF(ISNUMBER(SEARCH("CORANTE",$B172)),"$AN$2:$AN$2",IFERROR(INDEX($AB$2:$AB$138,MATCH(UPPER(TRIM($B172)),$AA$2:$AA$138,0)),"$AO$2:$AO$9")))))</formula1>
    </dataValidation>
    <dataValidation type="list" allowBlank="1" errorTitle="Embalagem inválida" error="Escolha uma embalagem compatível com o produto." promptTitle="Selecione a embalagem" prompt="As opções mudam conforme o produto digitado." sqref="C173" xr:uid="{71B5C42D-83D4-4082-A4E6-676FC690241C}">
      <formula1>INDIRECT(IF(OR(ISNUMBER(SEARCH("ICEBERG ICE",UPPER(TRIM($B173)))),ISNUMBER(SEARCH("ICE ICEBERG",UPPER(TRIM($B173)))),ISNUMBER(SEARCH("GELINHO ICEBERG",UPPER(TRIM($B173))))),"$AJ$2:$AJ$2",IF(ISNUMBER(SEARCH("ESPUMA",$B173)),"$AI$2:$AI$2",IF(ISNUMBER(SEARCH("CORANTE",$B173)),"$AN$2:$AN$2",IFERROR(INDEX($AB$2:$AB$138,MATCH(UPPER(TRIM($B173)),$AA$2:$AA$138,0)),"$AO$2:$AO$9")))))</formula1>
    </dataValidation>
    <dataValidation type="list" allowBlank="1" errorTitle="Embalagem inválida" error="Escolha uma embalagem compatível com o produto." promptTitle="Selecione a embalagem" prompt="As opções mudam conforme o produto digitado." sqref="C174" xr:uid="{95E8F322-B182-45CE-8D1C-55338FAFCDBA}">
      <formula1>INDIRECT(IF(OR(ISNUMBER(SEARCH("ICEBERG ICE",UPPER(TRIM($B174)))),ISNUMBER(SEARCH("ICE ICEBERG",UPPER(TRIM($B174)))),ISNUMBER(SEARCH("GELINHO ICEBERG",UPPER(TRIM($B174))))),"$AJ$2:$AJ$2",IF(ISNUMBER(SEARCH("ESPUMA",$B174)),"$AI$2:$AI$2",IF(ISNUMBER(SEARCH("CORANTE",$B174)),"$AN$2:$AN$2",IFERROR(INDEX($AB$2:$AB$138,MATCH(UPPER(TRIM($B174)),$AA$2:$AA$138,0)),"$AO$2:$AO$9")))))</formula1>
    </dataValidation>
    <dataValidation type="list" allowBlank="1" errorTitle="Embalagem inválida" error="Escolha uma embalagem compatível com o produto." promptTitle="Selecione a embalagem" prompt="As opções mudam conforme o produto digitado." sqref="C175" xr:uid="{8D3BDF71-F82C-4699-AC7A-C185BCE351B1}">
      <formula1>INDIRECT(IF(OR(ISNUMBER(SEARCH("ICEBERG ICE",UPPER(TRIM($B175)))),ISNUMBER(SEARCH("ICE ICEBERG",UPPER(TRIM($B175)))),ISNUMBER(SEARCH("GELINHO ICEBERG",UPPER(TRIM($B175))))),"$AJ$2:$AJ$2",IF(ISNUMBER(SEARCH("ESPUMA",$B175)),"$AI$2:$AI$2",IF(ISNUMBER(SEARCH("CORANTE",$B175)),"$AN$2:$AN$2",IFERROR(INDEX($AB$2:$AB$138,MATCH(UPPER(TRIM($B175)),$AA$2:$AA$138,0)),"$AO$2:$AO$9")))))</formula1>
    </dataValidation>
    <dataValidation type="list" allowBlank="1" errorTitle="Embalagem inválida" error="Escolha uma embalagem compatível com o produto." promptTitle="Selecione a embalagem" prompt="As opções mudam conforme o produto digitado." sqref="C176" xr:uid="{900E6E2E-89BE-4F02-8E27-DE013932CF46}">
      <formula1>INDIRECT(IF(OR(ISNUMBER(SEARCH("ICEBERG ICE",UPPER(TRIM($B176)))),ISNUMBER(SEARCH("ICE ICEBERG",UPPER(TRIM($B176)))),ISNUMBER(SEARCH("GELINHO ICEBERG",UPPER(TRIM($B176))))),"$AJ$2:$AJ$2",IF(ISNUMBER(SEARCH("ESPUMA",$B176)),"$AI$2:$AI$2",IF(ISNUMBER(SEARCH("CORANTE",$B176)),"$AN$2:$AN$2",IFERROR(INDEX($AB$2:$AB$138,MATCH(UPPER(TRIM($B176)),$AA$2:$AA$138,0)),"$AO$2:$AO$9")))))</formula1>
    </dataValidation>
    <dataValidation type="list" allowBlank="1" errorTitle="Embalagem inválida" error="Escolha uma embalagem compatível com o produto." promptTitle="Selecione a embalagem" prompt="As opções mudam conforme o produto digitado." sqref="C180" xr:uid="{5B5B7280-170F-476B-8E73-9979F6155301}">
      <formula1>INDIRECT(IF(OR(ISNUMBER(SEARCH("ICEBERG ICE",UPPER(TRIM($B180)))),ISNUMBER(SEARCH("ICE ICEBERG",UPPER(TRIM($B180)))),ISNUMBER(SEARCH("GELINHO ICEBERG",UPPER(TRIM($B180))))),"$AJ$2:$AJ$2",IF(ISNUMBER(SEARCH("ESPUMA",$B180)),"$AI$2:$AI$2",IF(ISNUMBER(SEARCH("CORANTE",$B180)),"$AN$2:$AN$2",IFERROR(INDEX($AB$2:$AB$138,MATCH(UPPER(TRIM($B180)),$AA$2:$AA$138,0)),"$AO$2:$AO$9")))))</formula1>
    </dataValidation>
    <dataValidation type="list" allowBlank="1" errorTitle="Embalagem inválida" error="Escolha uma embalagem compatível com o produto." promptTitle="Selecione a embalagem" prompt="As opções mudam conforme o produto digitado." sqref="C181" xr:uid="{B59C67E5-7B2B-49C9-967B-178ADD3B77B0}">
      <formula1>INDIRECT(IF(OR(ISNUMBER(SEARCH("ICEBERG ICE",UPPER(TRIM($B181)))),ISNUMBER(SEARCH("ICE ICEBERG",UPPER(TRIM($B181)))),ISNUMBER(SEARCH("GELINHO ICEBERG",UPPER(TRIM($B181))))),"$AJ$2:$AJ$2",IF(ISNUMBER(SEARCH("ESPUMA",$B181)),"$AI$2:$AI$2",IF(ISNUMBER(SEARCH("CORANTE",$B181)),"$AN$2:$AN$2",IFERROR(INDEX($AB$2:$AB$138,MATCH(UPPER(TRIM($B181)),$AA$2:$AA$138,0)),"$AO$2:$AO$9")))))</formula1>
    </dataValidation>
    <dataValidation type="list" allowBlank="1" errorTitle="Embalagem inválida" error="Escolha uma embalagem compatível com o produto." promptTitle="Selecione a embalagem" prompt="As opções mudam conforme o produto digitado." sqref="C182" xr:uid="{AE14A75E-417F-46AD-8826-699435618E14}">
      <formula1>INDIRECT(IF(OR(ISNUMBER(SEARCH("ICEBERG ICE",UPPER(TRIM($B182)))),ISNUMBER(SEARCH("ICE ICEBERG",UPPER(TRIM($B182)))),ISNUMBER(SEARCH("GELINHO ICEBERG",UPPER(TRIM($B182))))),"$AJ$2:$AJ$2",IF(ISNUMBER(SEARCH("ESPUMA",$B182)),"$AI$2:$AI$2",IF(ISNUMBER(SEARCH("CORANTE",$B182)),"$AN$2:$AN$2",IFERROR(INDEX($AB$2:$AB$138,MATCH(UPPER(TRIM($B182)),$AA$2:$AA$138,0)),"$AO$2:$AO$9")))))</formula1>
    </dataValidation>
    <dataValidation type="list" allowBlank="1" errorTitle="Embalagem inválida" error="Escolha uma embalagem compatível com o produto." promptTitle="Selecione a embalagem" prompt="As opções mudam conforme o produto digitado." sqref="C183" xr:uid="{98AD283E-02D4-4DA0-A16A-EEF468971DE7}">
      <formula1>INDIRECT(IF(OR(ISNUMBER(SEARCH("ICEBERG ICE",UPPER(TRIM($B183)))),ISNUMBER(SEARCH("ICE ICEBERG",UPPER(TRIM($B183)))),ISNUMBER(SEARCH("GELINHO ICEBERG",UPPER(TRIM($B183))))),"$AJ$2:$AJ$2",IF(ISNUMBER(SEARCH("ESPUMA",$B183)),"$AI$2:$AI$2",IF(ISNUMBER(SEARCH("CORANTE",$B183)),"$AN$2:$AN$2",IFERROR(INDEX($AB$2:$AB$138,MATCH(UPPER(TRIM($B183)),$AA$2:$AA$138,0)),"$AO$2:$AO$9")))))</formula1>
    </dataValidation>
    <dataValidation type="list" allowBlank="1" errorTitle="Embalagem inválida" error="Escolha uma embalagem compatível com o produto." promptTitle="Selecione a embalagem" prompt="As opções mudam conforme o produto digitado." sqref="C184" xr:uid="{B3678859-E1AD-440B-A3F4-9470B00737D3}">
      <formula1>INDIRECT(IF(OR(ISNUMBER(SEARCH("ICEBERG ICE",UPPER(TRIM($B184)))),ISNUMBER(SEARCH("ICE ICEBERG",UPPER(TRIM($B184)))),ISNUMBER(SEARCH("GELINHO ICEBERG",UPPER(TRIM($B184))))),"$AJ$2:$AJ$2",IF(ISNUMBER(SEARCH("ESPUMA",$B184)),"$AI$2:$AI$2",IF(ISNUMBER(SEARCH("CORANTE",$B184)),"$AN$2:$AN$2",IFERROR(INDEX($AB$2:$AB$138,MATCH(UPPER(TRIM($B184)),$AA$2:$AA$138,0)),"$AO$2:$AO$9")))))</formula1>
    </dataValidation>
    <dataValidation type="list" allowBlank="1" errorTitle="Embalagem inválida" error="Escolha uma embalagem compatível com o produto." promptTitle="Selecione a embalagem" prompt="As opções mudam conforme o produto digitado." sqref="C188" xr:uid="{B5C7A5E7-5288-4C67-91D8-09CED75AEBFA}">
      <formula1>INDIRECT(IF(OR(ISNUMBER(SEARCH("ICEBERG ICE",UPPER(TRIM($B188)))),ISNUMBER(SEARCH("ICE ICEBERG",UPPER(TRIM($B188)))),ISNUMBER(SEARCH("GELINHO ICEBERG",UPPER(TRIM($B188))))),"$AJ$2:$AJ$2",IF(ISNUMBER(SEARCH("ESPUMA",$B188)),"$AI$2:$AI$2",IF(ISNUMBER(SEARCH("CORANTE",$B188)),"$AN$2:$AN$2",IFERROR(INDEX($AB$2:$AB$138,MATCH(UPPER(TRIM($B188)),$AA$2:$AA$138,0)),"$AO$2:$AO$9")))))</formula1>
    </dataValidation>
    <dataValidation type="list" allowBlank="1" errorTitle="Embalagem inválida" error="Escolha uma embalagem compatível com o produto." promptTitle="Selecione a embalagem" prompt="As opções mudam conforme o produto digitado." sqref="C189" xr:uid="{EA78B017-AAA5-477D-839A-77ACCD6AB676}">
      <formula1>INDIRECT(IF(OR(ISNUMBER(SEARCH("ICEBERG ICE",UPPER(TRIM($B189)))),ISNUMBER(SEARCH("ICE ICEBERG",UPPER(TRIM($B189)))),ISNUMBER(SEARCH("GELINHO ICEBERG",UPPER(TRIM($B189))))),"$AJ$2:$AJ$2",IF(ISNUMBER(SEARCH("ESPUMA",$B189)),"$AI$2:$AI$2",IF(ISNUMBER(SEARCH("CORANTE",$B189)),"$AN$2:$AN$2",IFERROR(INDEX($AB$2:$AB$138,MATCH(UPPER(TRIM($B189)),$AA$2:$AA$138,0)),"$AO$2:$AO$9")))))</formula1>
    </dataValidation>
    <dataValidation type="list" allowBlank="1" errorTitle="Embalagem inválida" error="Escolha uma embalagem compatível com o produto." promptTitle="Selecione a embalagem" prompt="As opções mudam conforme o produto digitado." sqref="C190" xr:uid="{517E75DD-D376-49B7-8C32-22BE66C7D44E}">
      <formula1>INDIRECT(IF(OR(ISNUMBER(SEARCH("ICEBERG ICE",UPPER(TRIM($B190)))),ISNUMBER(SEARCH("ICE ICEBERG",UPPER(TRIM($B190)))),ISNUMBER(SEARCH("GELINHO ICEBERG",UPPER(TRIM($B190))))),"$AJ$2:$AJ$2",IF(ISNUMBER(SEARCH("ESPUMA",$B190)),"$AI$2:$AI$2",IF(ISNUMBER(SEARCH("CORANTE",$B190)),"$AN$2:$AN$2",IFERROR(INDEX($AB$2:$AB$138,MATCH(UPPER(TRIM($B190)),$AA$2:$AA$138,0)),"$AO$2:$AO$9")))))</formula1>
    </dataValidation>
    <dataValidation type="list" allowBlank="1" errorTitle="Embalagem inválida" error="Escolha uma embalagem compatível com o produto." promptTitle="Selecione a embalagem" prompt="As opções mudam conforme o produto digitado." sqref="C191" xr:uid="{481DC732-9F40-42E4-BB13-8FFA47AEB840}">
      <formula1>INDIRECT(IF(OR(ISNUMBER(SEARCH("ICEBERG ICE",UPPER(TRIM($B191)))),ISNUMBER(SEARCH("ICE ICEBERG",UPPER(TRIM($B191)))),ISNUMBER(SEARCH("GELINHO ICEBERG",UPPER(TRIM($B191))))),"$AJ$2:$AJ$2",IF(ISNUMBER(SEARCH("ESPUMA",$B191)),"$AI$2:$AI$2",IF(ISNUMBER(SEARCH("CORANTE",$B191)),"$AN$2:$AN$2",IFERROR(INDEX($AB$2:$AB$138,MATCH(UPPER(TRIM($B191)),$AA$2:$AA$138,0)),"$AO$2:$AO$9")))))</formula1>
    </dataValidation>
    <dataValidation type="list" allowBlank="1" errorTitle="Embalagem inválida" error="Escolha uma embalagem compatível com o produto." promptTitle="Selecione a embalagem" prompt="As opções mudam conforme o produto digitado." sqref="C192" xr:uid="{D754407A-F450-4EED-AA78-83A608D4E3B9}">
      <formula1>INDIRECT(IF(OR(ISNUMBER(SEARCH("ICEBERG ICE",UPPER(TRIM($B192)))),ISNUMBER(SEARCH("ICE ICEBERG",UPPER(TRIM($B192)))),ISNUMBER(SEARCH("GELINHO ICEBERG",UPPER(TRIM($B192))))),"$AJ$2:$AJ$2",IF(ISNUMBER(SEARCH("ESPUMA",$B192)),"$AI$2:$AI$2",IF(ISNUMBER(SEARCH("CORANTE",$B192)),"$AN$2:$AN$2",IFERROR(INDEX($AB$2:$AB$138,MATCH(UPPER(TRIM($B192)),$AA$2:$AA$138,0)),"$AO$2:$AO$9")))))</formula1>
    </dataValidation>
    <dataValidation type="list" allowBlank="1" errorTitle="Embalagem inválida" error="Escolha uma embalagem compatível com o produto." promptTitle="Selecione a embalagem" prompt="As opções mudam conforme o produto digitado." sqref="C196" xr:uid="{361DD5BE-95BA-4258-89C5-5B6EFDD0C170}">
      <formula1>INDIRECT(IF(OR(ISNUMBER(SEARCH("ICEBERG ICE",UPPER(TRIM($B196)))),ISNUMBER(SEARCH("ICE ICEBERG",UPPER(TRIM($B196)))),ISNUMBER(SEARCH("GELINHO ICEBERG",UPPER(TRIM($B196))))),"$AJ$2:$AJ$2",IF(ISNUMBER(SEARCH("ESPUMA",$B196)),"$AI$2:$AI$2",IF(ISNUMBER(SEARCH("CORANTE",$B196)),"$AN$2:$AN$2",IFERROR(INDEX($AB$2:$AB$138,MATCH(UPPER(TRIM($B196)),$AA$2:$AA$138,0)),"$AO$2:$AO$9")))))</formula1>
    </dataValidation>
    <dataValidation type="list" allowBlank="1" errorTitle="Embalagem inválida" error="Escolha uma embalagem compatível com o produto." promptTitle="Selecione a embalagem" prompt="As opções mudam conforme o produto digitado." sqref="C197" xr:uid="{B3C47D0F-8649-4F32-A845-FA27C73B662A}">
      <formula1>INDIRECT(IF(OR(ISNUMBER(SEARCH("ICEBERG ICE",UPPER(TRIM($B197)))),ISNUMBER(SEARCH("ICE ICEBERG",UPPER(TRIM($B197)))),ISNUMBER(SEARCH("GELINHO ICEBERG",UPPER(TRIM($B197))))),"$AJ$2:$AJ$2",IF(ISNUMBER(SEARCH("ESPUMA",$B197)),"$AI$2:$AI$2",IF(ISNUMBER(SEARCH("CORANTE",$B197)),"$AN$2:$AN$2",IFERROR(INDEX($AB$2:$AB$138,MATCH(UPPER(TRIM($B197)),$AA$2:$AA$138,0)),"$AO$2:$AO$9")))))</formula1>
    </dataValidation>
    <dataValidation type="list" allowBlank="1" errorTitle="Embalagem inválida" error="Escolha uma embalagem compatível com o produto." promptTitle="Selecione a embalagem" prompt="As opções mudam conforme o produto digitado." sqref="C198" xr:uid="{1243BA05-E9CB-4684-AF52-4D9375AAA791}">
      <formula1>INDIRECT(IF(OR(ISNUMBER(SEARCH("ICEBERG ICE",UPPER(TRIM($B198)))),ISNUMBER(SEARCH("ICE ICEBERG",UPPER(TRIM($B198)))),ISNUMBER(SEARCH("GELINHO ICEBERG",UPPER(TRIM($B198))))),"$AJ$2:$AJ$2",IF(ISNUMBER(SEARCH("ESPUMA",$B198)),"$AI$2:$AI$2",IF(ISNUMBER(SEARCH("CORANTE",$B198)),"$AN$2:$AN$2",IFERROR(INDEX($AB$2:$AB$138,MATCH(UPPER(TRIM($B198)),$AA$2:$AA$138,0)),"$AO$2:$AO$9")))))</formula1>
    </dataValidation>
    <dataValidation type="list" allowBlank="1" errorTitle="Embalagem inválida" error="Escolha uma embalagem compatível com o produto." promptTitle="Selecione a embalagem" prompt="As opções mudam conforme o produto digitado." sqref="C199" xr:uid="{3E18222F-CF1D-47FF-ACFB-DDB2AAFC7C8A}">
      <formula1>INDIRECT(IF(OR(ISNUMBER(SEARCH("ICEBERG ICE",UPPER(TRIM($B199)))),ISNUMBER(SEARCH("ICE ICEBERG",UPPER(TRIM($B199)))),ISNUMBER(SEARCH("GELINHO ICEBERG",UPPER(TRIM($B199))))),"$AJ$2:$AJ$2",IF(ISNUMBER(SEARCH("ESPUMA",$B199)),"$AI$2:$AI$2",IF(ISNUMBER(SEARCH("CORANTE",$B199)),"$AN$2:$AN$2",IFERROR(INDEX($AB$2:$AB$138,MATCH(UPPER(TRIM($B199)),$AA$2:$AA$138,0)),"$AO$2:$AO$9")))))</formula1>
    </dataValidation>
    <dataValidation type="list" allowBlank="1" errorTitle="Embalagem inválida" error="Escolha uma embalagem compatível com o produto." promptTitle="Selecione a embalagem" prompt="As opções mudam conforme o produto digitado." sqref="C200" xr:uid="{48D1C6E7-809E-407B-9076-3F5E1AA6D485}">
      <formula1>INDIRECT(IF(OR(ISNUMBER(SEARCH("ICEBERG ICE",UPPER(TRIM($B200)))),ISNUMBER(SEARCH("ICE ICEBERG",UPPER(TRIM($B200)))),ISNUMBER(SEARCH("GELINHO ICEBERG",UPPER(TRIM($B200))))),"$AJ$2:$AJ$2",IF(ISNUMBER(SEARCH("ESPUMA",$B200)),"$AI$2:$AI$2",IF(ISNUMBER(SEARCH("CORANTE",$B200)),"$AN$2:$AN$2",IFERROR(INDEX($AB$2:$AB$138,MATCH(UPPER(TRIM($B200)),$AA$2:$AA$138,0)),"$AO$2:$AO$9")))))</formula1>
    </dataValidation>
  </dataValidation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D67B-EDF2-4D0E-B786-94A5C767E220}">
  <sheetPr>
    <tabColor rgb="FF0F766E"/>
  </sheetPr>
  <dimension ref="A1:Y59"/>
  <sheetViews>
    <sheetView showGridLines="0"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620</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SUM(C9:C33)</f>
        <v>0</v>
      </c>
      <c r="C4" s="424"/>
      <c r="D4" s="435">
        <f>SUM(D9:D33)</f>
        <v>0</v>
      </c>
      <c r="E4" s="424"/>
      <c r="F4" s="435">
        <f>IFERROR(SUM(C9:C33)/COUNTIF(C9:C33,"&gt;0"),0)</f>
        <v>0</v>
      </c>
      <c r="G4" s="424"/>
      <c r="H4" s="435">
        <f>IFERROR(MAX(C9:C33),0)</f>
        <v>0</v>
      </c>
      <c r="I4" s="424"/>
      <c r="J4" s="436">
        <f>IFERROR(B4/D4,0)</f>
        <v>0</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46328</v>
      </c>
      <c r="B9" s="414" t="str">
        <f>IF(D9&gt;0,COUNTIF($D$9:D9,"&gt;0"),"")</f>
        <v/>
      </c>
      <c r="C9" s="888">
        <f>'SEMANA NOVEMBRO'!$M$9</f>
        <v>0</v>
      </c>
      <c r="D9" s="888">
        <f>IF(C9&gt;0,CONFIG!$B$3,0)</f>
        <v>0</v>
      </c>
      <c r="E9" s="889">
        <f t="shared" ref="E9:E33" si="0">IF(C9&gt;0,C9-D9,0)</f>
        <v>0</v>
      </c>
      <c r="F9" s="459" t="s">
        <v>621</v>
      </c>
      <c r="G9" s="424"/>
      <c r="H9" s="424"/>
      <c r="I9" s="424"/>
      <c r="J9" s="424"/>
      <c r="K9" s="424"/>
      <c r="L9" s="424"/>
      <c r="M9" s="424"/>
      <c r="N9" s="424"/>
      <c r="O9" s="424"/>
      <c r="P9" s="93" t="str">
        <f t="shared" ref="P9:P33" si="1">B9</f>
        <v/>
      </c>
      <c r="Q9" s="1" t="e">
        <f t="shared" ref="Q9:Q33" si="2">IF(AND($C9&gt;0,$C9&lt;$D9),$C9,NA())</f>
        <v>#N/A</v>
      </c>
      <c r="R9" s="1" t="e">
        <f t="shared" ref="R9:R33" si="3">IF(AND($C9&gt;0,$C9=$D9),$C9,NA())</f>
        <v>#N/A</v>
      </c>
      <c r="S9" s="1" t="e">
        <f t="shared" ref="S9:S33" si="4">IF(AND($C9&gt;0,$C9&gt;$D9),$C9,NA())</f>
        <v>#N/A</v>
      </c>
      <c r="X9" s="1" t="e">
        <f t="shared" ref="X9:X29" si="5">IF(COUNTIF($F9,"*Feriado*")&gt;0,NA(),$C9)</f>
        <v>#N/A</v>
      </c>
      <c r="Y9" s="1" t="e">
        <f t="shared" ref="Y9:Y29" si="6">IF(COUNTIF($F9,"*Feriado*")&gt;0,NA(),$D9)</f>
        <v>#N/A</v>
      </c>
    </row>
    <row r="10" spans="1:25" x14ac:dyDescent="0.3">
      <c r="A10" s="412">
        <v>46329</v>
      </c>
      <c r="B10" s="414" t="str">
        <f>IF(D10&gt;0,COUNTIF($D$9:D10,"&gt;0"),"")</f>
        <v/>
      </c>
      <c r="C10" s="888">
        <f>'SEMANA NOVEMBRO'!$M$17</f>
        <v>0</v>
      </c>
      <c r="D10" s="888">
        <f>IF(C10&gt;0,CONFIG!$B$3,0)</f>
        <v>0</v>
      </c>
      <c r="E10" s="889">
        <f t="shared" si="0"/>
        <v>0</v>
      </c>
      <c r="F10" s="470"/>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x14ac:dyDescent="0.3">
      <c r="A11" s="412">
        <v>46330</v>
      </c>
      <c r="B11" s="414" t="str">
        <f>IF(D11&gt;0,COUNTIF($D$9:D11,"&gt;0"),"")</f>
        <v/>
      </c>
      <c r="C11" s="888">
        <f>'SEMANA NOVEMBRO'!$M$25</f>
        <v>0</v>
      </c>
      <c r="D11" s="888">
        <f>IF(C11&gt;0,CONFIG!$B$3,0)</f>
        <v>0</v>
      </c>
      <c r="E11" s="889">
        <f t="shared" si="0"/>
        <v>0</v>
      </c>
      <c r="F11" s="470"/>
      <c r="G11" s="424"/>
      <c r="H11" s="424"/>
      <c r="I11" s="424"/>
      <c r="J11" s="424"/>
      <c r="K11" s="424"/>
      <c r="L11" s="424"/>
      <c r="M11" s="424"/>
      <c r="N11" s="424"/>
      <c r="O11" s="424"/>
      <c r="P11" s="93" t="str">
        <f t="shared" si="1"/>
        <v/>
      </c>
      <c r="Q11" s="1" t="e">
        <f t="shared" si="2"/>
        <v>#N/A</v>
      </c>
      <c r="R11" s="1" t="e">
        <f t="shared" si="3"/>
        <v>#N/A</v>
      </c>
      <c r="S11" s="1" t="e">
        <f t="shared" si="4"/>
        <v>#N/A</v>
      </c>
      <c r="X11" s="63">
        <f t="shared" si="5"/>
        <v>0</v>
      </c>
      <c r="Y11" s="63">
        <f t="shared" si="6"/>
        <v>0</v>
      </c>
    </row>
    <row r="12" spans="1:25" x14ac:dyDescent="0.3">
      <c r="A12" s="412">
        <v>46331</v>
      </c>
      <c r="B12" s="414" t="str">
        <f>IF(D12&gt;0,COUNTIF($D$9:D12,"&gt;0"),"")</f>
        <v/>
      </c>
      <c r="C12" s="888">
        <f>'SEMANA NOVEMBRO'!$M$33</f>
        <v>0</v>
      </c>
      <c r="D12" s="888">
        <f>IF(C12&gt;0,CONFIG!$B$3,0)</f>
        <v>0</v>
      </c>
      <c r="E12" s="889">
        <f t="shared" si="0"/>
        <v>0</v>
      </c>
      <c r="F12" s="470"/>
      <c r="G12" s="424"/>
      <c r="H12" s="424"/>
      <c r="I12" s="424"/>
      <c r="J12" s="424"/>
      <c r="K12" s="424"/>
      <c r="L12" s="424"/>
      <c r="M12" s="424"/>
      <c r="N12" s="424"/>
      <c r="O12" s="424"/>
      <c r="P12" s="93" t="str">
        <f t="shared" si="1"/>
        <v/>
      </c>
      <c r="Q12" s="1" t="e">
        <f t="shared" si="2"/>
        <v>#N/A</v>
      </c>
      <c r="R12" s="1" t="e">
        <f t="shared" si="3"/>
        <v>#N/A</v>
      </c>
      <c r="S12" s="1" t="e">
        <f t="shared" si="4"/>
        <v>#N/A</v>
      </c>
      <c r="X12" s="63">
        <f t="shared" si="5"/>
        <v>0</v>
      </c>
      <c r="Y12" s="63">
        <f t="shared" si="6"/>
        <v>0</v>
      </c>
    </row>
    <row r="13" spans="1:25" x14ac:dyDescent="0.3">
      <c r="A13" s="412">
        <v>46332</v>
      </c>
      <c r="B13" s="414" t="str">
        <f>IF(D13&gt;0,COUNTIF($D$9:D13,"&gt;0"),"")</f>
        <v/>
      </c>
      <c r="C13" s="888">
        <f>'SEMANA NOVEMBRO'!$M$41</f>
        <v>0</v>
      </c>
      <c r="D13" s="888">
        <f>IF(C13&gt;0,CONFIG!$B$3,0)</f>
        <v>0</v>
      </c>
      <c r="E13" s="889">
        <f t="shared" si="0"/>
        <v>0</v>
      </c>
      <c r="F13" s="470"/>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12">
        <v>46333</v>
      </c>
      <c r="B14" s="414" t="str">
        <f>IF(D14&gt;0,COUNTIF($D$9:D14,"&gt;0"),"")</f>
        <v/>
      </c>
      <c r="C14" s="888">
        <f>'SEMANA NOVEMBRO'!$M$49</f>
        <v>0</v>
      </c>
      <c r="D14" s="888">
        <f>IF(C14&gt;0,CONFIG!$B$3,0)</f>
        <v>0</v>
      </c>
      <c r="E14" s="889">
        <f t="shared" si="0"/>
        <v>0</v>
      </c>
      <c r="F14" s="459" t="s">
        <v>512</v>
      </c>
      <c r="G14" s="424"/>
      <c r="H14" s="424"/>
      <c r="I14" s="424"/>
      <c r="J14" s="424"/>
      <c r="K14" s="424"/>
      <c r="L14" s="424"/>
      <c r="M14" s="424"/>
      <c r="N14" s="424"/>
      <c r="O14" s="424"/>
      <c r="P14" s="93" t="str">
        <f t="shared" si="1"/>
        <v/>
      </c>
      <c r="Q14" s="1" t="e">
        <f t="shared" si="2"/>
        <v>#N/A</v>
      </c>
      <c r="R14" s="1" t="e">
        <f t="shared" si="3"/>
        <v>#N/A</v>
      </c>
      <c r="S14" s="1" t="e">
        <f t="shared" si="4"/>
        <v>#N/A</v>
      </c>
      <c r="X14" s="63">
        <f t="shared" si="5"/>
        <v>0</v>
      </c>
      <c r="Y14" s="63">
        <f t="shared" si="6"/>
        <v>0</v>
      </c>
    </row>
    <row r="15" spans="1:25" x14ac:dyDescent="0.3">
      <c r="A15" s="412">
        <v>46335</v>
      </c>
      <c r="B15" s="414" t="str">
        <f>IF(D15&gt;0,COUNTIF($D$9:D15,"&gt;0"),"")</f>
        <v/>
      </c>
      <c r="C15" s="888">
        <f>'SEMANA NOVEMBRO'!$M$57</f>
        <v>0</v>
      </c>
      <c r="D15" s="888">
        <f>IF(C15&gt;0,CONFIG!$B$3,0)</f>
        <v>0</v>
      </c>
      <c r="E15" s="889">
        <f t="shared" si="0"/>
        <v>0</v>
      </c>
      <c r="F15" s="470"/>
      <c r="G15" s="424"/>
      <c r="H15" s="424"/>
      <c r="I15" s="424"/>
      <c r="J15" s="424"/>
      <c r="K15" s="424"/>
      <c r="L15" s="424"/>
      <c r="M15" s="424"/>
      <c r="N15" s="424"/>
      <c r="O15" s="424"/>
      <c r="P15" s="93" t="str">
        <f t="shared" si="1"/>
        <v/>
      </c>
      <c r="Q15" s="1" t="e">
        <f t="shared" si="2"/>
        <v>#N/A</v>
      </c>
      <c r="R15" s="1" t="e">
        <f t="shared" si="3"/>
        <v>#N/A</v>
      </c>
      <c r="S15" s="1" t="e">
        <f t="shared" si="4"/>
        <v>#N/A</v>
      </c>
      <c r="X15" s="63">
        <f t="shared" si="5"/>
        <v>0</v>
      </c>
      <c r="Y15" s="63">
        <f t="shared" si="6"/>
        <v>0</v>
      </c>
    </row>
    <row r="16" spans="1:25" x14ac:dyDescent="0.3">
      <c r="A16" s="412">
        <v>46336</v>
      </c>
      <c r="B16" s="414" t="str">
        <f>IF(D16&gt;0,COUNTIF($D$9:D16,"&gt;0"),"")</f>
        <v/>
      </c>
      <c r="C16" s="888">
        <f>'SEMANA NOVEMBRO'!$M$65</f>
        <v>0</v>
      </c>
      <c r="D16" s="888">
        <f>IF(C16&gt;0,CONFIG!$B$3,0)</f>
        <v>0</v>
      </c>
      <c r="E16" s="889">
        <f t="shared" si="0"/>
        <v>0</v>
      </c>
      <c r="F16" s="470"/>
      <c r="G16" s="424"/>
      <c r="H16" s="424"/>
      <c r="I16" s="424"/>
      <c r="J16" s="424"/>
      <c r="K16" s="424"/>
      <c r="L16" s="424"/>
      <c r="M16" s="424"/>
      <c r="N16" s="424"/>
      <c r="O16" s="424"/>
      <c r="P16" s="93" t="str">
        <f t="shared" si="1"/>
        <v/>
      </c>
      <c r="Q16" s="1" t="e">
        <f t="shared" si="2"/>
        <v>#N/A</v>
      </c>
      <c r="R16" s="1" t="e">
        <f t="shared" si="3"/>
        <v>#N/A</v>
      </c>
      <c r="S16" s="1" t="e">
        <f t="shared" si="4"/>
        <v>#N/A</v>
      </c>
      <c r="X16" s="63">
        <f t="shared" si="5"/>
        <v>0</v>
      </c>
      <c r="Y16" s="63">
        <f t="shared" si="6"/>
        <v>0</v>
      </c>
    </row>
    <row r="17" spans="1:25" x14ac:dyDescent="0.3">
      <c r="A17" s="412">
        <v>46337</v>
      </c>
      <c r="B17" s="414" t="str">
        <f>IF(D17&gt;0,COUNTIF($D$9:D17,"&gt;0"),"")</f>
        <v/>
      </c>
      <c r="C17" s="888">
        <f>'SEMANA NOVEMBRO'!$M$73</f>
        <v>0</v>
      </c>
      <c r="D17" s="888">
        <f>IF(C17&gt;0,CONFIG!$B$3,0)</f>
        <v>0</v>
      </c>
      <c r="E17" s="889">
        <f t="shared" si="0"/>
        <v>0</v>
      </c>
      <c r="F17" s="470"/>
      <c r="G17" s="424"/>
      <c r="H17" s="424"/>
      <c r="I17" s="424"/>
      <c r="J17" s="424"/>
      <c r="K17" s="424"/>
      <c r="L17" s="424"/>
      <c r="M17" s="424"/>
      <c r="N17" s="424"/>
      <c r="O17" s="424"/>
      <c r="P17" s="93" t="str">
        <f t="shared" si="1"/>
        <v/>
      </c>
      <c r="Q17" s="1" t="e">
        <f t="shared" si="2"/>
        <v>#N/A</v>
      </c>
      <c r="R17" s="1" t="e">
        <f t="shared" si="3"/>
        <v>#N/A</v>
      </c>
      <c r="S17" s="1" t="e">
        <f t="shared" si="4"/>
        <v>#N/A</v>
      </c>
      <c r="X17" s="63">
        <f t="shared" si="5"/>
        <v>0</v>
      </c>
      <c r="Y17" s="63">
        <f t="shared" si="6"/>
        <v>0</v>
      </c>
    </row>
    <row r="18" spans="1:25" x14ac:dyDescent="0.3">
      <c r="A18" s="412">
        <v>46338</v>
      </c>
      <c r="B18" s="414" t="str">
        <f>IF(D18&gt;0,COUNTIF($D$9:D18,"&gt;0"),"")</f>
        <v/>
      </c>
      <c r="C18" s="888">
        <f>'SEMANA NOVEMBRO'!$M$81</f>
        <v>0</v>
      </c>
      <c r="D18" s="888">
        <f>IF(C18&gt;0,CONFIG!$B$3,0)</f>
        <v>0</v>
      </c>
      <c r="E18" s="889">
        <f t="shared" si="0"/>
        <v>0</v>
      </c>
      <c r="F18" s="470"/>
      <c r="G18" s="424"/>
      <c r="H18" s="424"/>
      <c r="I18" s="424"/>
      <c r="J18" s="424"/>
      <c r="K18" s="424"/>
      <c r="L18" s="424"/>
      <c r="M18" s="424"/>
      <c r="N18" s="424"/>
      <c r="O18" s="424"/>
      <c r="P18" s="93" t="str">
        <f t="shared" si="1"/>
        <v/>
      </c>
      <c r="Q18" s="1" t="e">
        <f t="shared" si="2"/>
        <v>#N/A</v>
      </c>
      <c r="R18" s="1" t="e">
        <f t="shared" si="3"/>
        <v>#N/A</v>
      </c>
      <c r="S18" s="1" t="e">
        <f t="shared" si="4"/>
        <v>#N/A</v>
      </c>
      <c r="X18" s="63">
        <f t="shared" si="5"/>
        <v>0</v>
      </c>
      <c r="Y18" s="63">
        <f t="shared" si="6"/>
        <v>0</v>
      </c>
    </row>
    <row r="19" spans="1:25" x14ac:dyDescent="0.3">
      <c r="A19" s="412">
        <v>46339</v>
      </c>
      <c r="B19" s="414" t="str">
        <f>IF(D19&gt;0,COUNTIF($D$9:D19,"&gt;0"),"")</f>
        <v/>
      </c>
      <c r="C19" s="888">
        <f>'SEMANA NOVEMBRO'!$M$89</f>
        <v>0</v>
      </c>
      <c r="D19" s="888">
        <f>IF(C19&gt;0,CONFIG!$B$3,0)</f>
        <v>0</v>
      </c>
      <c r="E19" s="889">
        <f t="shared" si="0"/>
        <v>0</v>
      </c>
      <c r="F19" s="470"/>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12">
        <v>46340</v>
      </c>
      <c r="B20" s="414" t="str">
        <f>IF(D20&gt;0,COUNTIF($D$9:D20,"&gt;0"),"")</f>
        <v/>
      </c>
      <c r="C20" s="888">
        <f>'SEMANA NOVEMBRO'!$M$97</f>
        <v>0</v>
      </c>
      <c r="D20" s="888">
        <f>IF(C20&gt;0,CONFIG!$B$3,0)</f>
        <v>0</v>
      </c>
      <c r="E20" s="889">
        <f t="shared" si="0"/>
        <v>0</v>
      </c>
      <c r="F20" s="459" t="s">
        <v>512</v>
      </c>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12">
        <v>46342</v>
      </c>
      <c r="B21" s="414" t="str">
        <f>IF(D21&gt;0,COUNTIF($D$9:D21,"&gt;0"),"")</f>
        <v/>
      </c>
      <c r="C21" s="888">
        <f>'SEMANA NOVEMBRO'!$M$105</f>
        <v>0</v>
      </c>
      <c r="D21" s="888">
        <f>IF(C21&gt;0,CONFIG!$B$3,0)</f>
        <v>0</v>
      </c>
      <c r="E21" s="889">
        <f t="shared" si="0"/>
        <v>0</v>
      </c>
      <c r="F21" s="470"/>
      <c r="G21" s="424"/>
      <c r="H21" s="424"/>
      <c r="I21" s="424"/>
      <c r="J21" s="424"/>
      <c r="K21" s="424"/>
      <c r="L21" s="424"/>
      <c r="M21" s="424"/>
      <c r="N21" s="424"/>
      <c r="O21" s="424"/>
      <c r="P21" s="93" t="str">
        <f t="shared" si="1"/>
        <v/>
      </c>
      <c r="Q21" s="1" t="e">
        <f t="shared" si="2"/>
        <v>#N/A</v>
      </c>
      <c r="R21" s="1" t="e">
        <f t="shared" si="3"/>
        <v>#N/A</v>
      </c>
      <c r="S21" s="1" t="e">
        <f t="shared" si="4"/>
        <v>#N/A</v>
      </c>
      <c r="X21" s="63">
        <f t="shared" si="5"/>
        <v>0</v>
      </c>
      <c r="Y21" s="63">
        <f t="shared" si="6"/>
        <v>0</v>
      </c>
    </row>
    <row r="22" spans="1:25" x14ac:dyDescent="0.3">
      <c r="A22" s="412">
        <v>46343</v>
      </c>
      <c r="B22" s="414" t="str">
        <f>IF(D22&gt;0,COUNTIF($D$9:D22,"&gt;0"),"")</f>
        <v/>
      </c>
      <c r="C22" s="888">
        <f>'SEMANA NOVEMBRO'!$M$113</f>
        <v>0</v>
      </c>
      <c r="D22" s="888">
        <f>IF(C22&gt;0,CONFIG!$B$3,0)</f>
        <v>0</v>
      </c>
      <c r="E22" s="889">
        <f t="shared" si="0"/>
        <v>0</v>
      </c>
      <c r="F22" s="470"/>
      <c r="G22" s="424"/>
      <c r="H22" s="424"/>
      <c r="I22" s="424"/>
      <c r="J22" s="424"/>
      <c r="K22" s="424"/>
      <c r="L22" s="424"/>
      <c r="M22" s="424"/>
      <c r="N22" s="424"/>
      <c r="O22" s="424"/>
      <c r="P22" s="93" t="str">
        <f t="shared" si="1"/>
        <v/>
      </c>
      <c r="Q22" s="1" t="e">
        <f t="shared" si="2"/>
        <v>#N/A</v>
      </c>
      <c r="R22" s="1" t="e">
        <f t="shared" si="3"/>
        <v>#N/A</v>
      </c>
      <c r="S22" s="1" t="e">
        <f t="shared" si="4"/>
        <v>#N/A</v>
      </c>
      <c r="X22" s="63">
        <f t="shared" si="5"/>
        <v>0</v>
      </c>
      <c r="Y22" s="63">
        <f t="shared" si="6"/>
        <v>0</v>
      </c>
    </row>
    <row r="23" spans="1:25" x14ac:dyDescent="0.3">
      <c r="A23" s="412">
        <v>46344</v>
      </c>
      <c r="B23" s="414" t="str">
        <f>IF(D23&gt;0,COUNTIF($D$9:D23,"&gt;0"),"")</f>
        <v/>
      </c>
      <c r="C23" s="888">
        <f>'SEMANA NOVEMBRO'!$M$121</f>
        <v>0</v>
      </c>
      <c r="D23" s="888">
        <f>IF(C23&gt;0,CONFIG!$B$3,0)</f>
        <v>0</v>
      </c>
      <c r="E23" s="889">
        <f t="shared" si="0"/>
        <v>0</v>
      </c>
      <c r="F23" s="470"/>
      <c r="G23" s="424"/>
      <c r="H23" s="424"/>
      <c r="I23" s="424"/>
      <c r="J23" s="424"/>
      <c r="K23" s="424"/>
      <c r="L23" s="424"/>
      <c r="M23" s="424"/>
      <c r="N23" s="424"/>
      <c r="O23" s="424"/>
      <c r="P23" s="93" t="str">
        <f t="shared" si="1"/>
        <v/>
      </c>
      <c r="Q23" s="1" t="e">
        <f t="shared" si="2"/>
        <v>#N/A</v>
      </c>
      <c r="R23" s="1" t="e">
        <f t="shared" si="3"/>
        <v>#N/A</v>
      </c>
      <c r="S23" s="1" t="e">
        <f t="shared" si="4"/>
        <v>#N/A</v>
      </c>
      <c r="X23" s="63">
        <f t="shared" si="5"/>
        <v>0</v>
      </c>
      <c r="Y23" s="63">
        <f t="shared" si="6"/>
        <v>0</v>
      </c>
    </row>
    <row r="24" spans="1:25" x14ac:dyDescent="0.3">
      <c r="A24" s="412">
        <v>46345</v>
      </c>
      <c r="B24" s="414" t="str">
        <f>IF(D24&gt;0,COUNTIF($D$9:D24,"&gt;0"),"")</f>
        <v/>
      </c>
      <c r="C24" s="888">
        <f>'SEMANA NOVEMBRO'!$M$129</f>
        <v>0</v>
      </c>
      <c r="D24" s="888">
        <f>IF(C24&gt;0,CONFIG!$B$3,0)</f>
        <v>0</v>
      </c>
      <c r="E24" s="889">
        <f t="shared" si="0"/>
        <v>0</v>
      </c>
      <c r="F24" s="470"/>
      <c r="G24" s="424"/>
      <c r="H24" s="424"/>
      <c r="I24" s="424"/>
      <c r="J24" s="424"/>
      <c r="K24" s="424"/>
      <c r="L24" s="424"/>
      <c r="M24" s="424"/>
      <c r="N24" s="424"/>
      <c r="O24" s="424"/>
      <c r="P24" s="93" t="str">
        <f t="shared" si="1"/>
        <v/>
      </c>
      <c r="Q24" s="1" t="e">
        <f t="shared" si="2"/>
        <v>#N/A</v>
      </c>
      <c r="R24" s="1" t="e">
        <f t="shared" si="3"/>
        <v>#N/A</v>
      </c>
      <c r="S24" s="1" t="e">
        <f t="shared" si="4"/>
        <v>#N/A</v>
      </c>
      <c r="X24" s="63">
        <f t="shared" si="5"/>
        <v>0</v>
      </c>
      <c r="Y24" s="63">
        <f t="shared" si="6"/>
        <v>0</v>
      </c>
    </row>
    <row r="25" spans="1:25" x14ac:dyDescent="0.3">
      <c r="A25" s="412">
        <v>46346</v>
      </c>
      <c r="B25" s="414" t="str">
        <f>IF(D25&gt;0,COUNTIF($D$9:D25,"&gt;0"),"")</f>
        <v/>
      </c>
      <c r="C25" s="888">
        <f>'SEMANA NOVEMBRO'!$M$137</f>
        <v>0</v>
      </c>
      <c r="D25" s="888">
        <f>IF(C25&gt;0,CONFIG!$B$3,0)</f>
        <v>0</v>
      </c>
      <c r="E25" s="889">
        <f t="shared" si="0"/>
        <v>0</v>
      </c>
      <c r="F25" s="459" t="s">
        <v>622</v>
      </c>
      <c r="G25" s="424"/>
      <c r="H25" s="424"/>
      <c r="I25" s="424"/>
      <c r="J25" s="424"/>
      <c r="K25" s="424"/>
      <c r="L25" s="424"/>
      <c r="M25" s="424"/>
      <c r="N25" s="424"/>
      <c r="O25" s="424"/>
      <c r="P25" s="93" t="str">
        <f t="shared" si="1"/>
        <v/>
      </c>
      <c r="Q25" s="1" t="e">
        <f t="shared" si="2"/>
        <v>#N/A</v>
      </c>
      <c r="R25" s="1" t="e">
        <f t="shared" si="3"/>
        <v>#N/A</v>
      </c>
      <c r="S25" s="1" t="e">
        <f t="shared" si="4"/>
        <v>#N/A</v>
      </c>
      <c r="X25" s="63" t="e">
        <f t="shared" si="5"/>
        <v>#N/A</v>
      </c>
      <c r="Y25" s="63" t="e">
        <f t="shared" si="6"/>
        <v>#N/A</v>
      </c>
    </row>
    <row r="26" spans="1:25" x14ac:dyDescent="0.3">
      <c r="A26" s="412">
        <v>46347</v>
      </c>
      <c r="B26" s="414" t="str">
        <f>IF(D26&gt;0,COUNTIF($D$9:D26,"&gt;0"),"")</f>
        <v/>
      </c>
      <c r="C26" s="888">
        <f>'SEMANA NOVEMBRO'!$M$145</f>
        <v>0</v>
      </c>
      <c r="D26" s="888">
        <f>IF(C26&gt;0,CONFIG!$B$3,0)</f>
        <v>0</v>
      </c>
      <c r="E26" s="889">
        <f t="shared" si="0"/>
        <v>0</v>
      </c>
      <c r="F26" s="459" t="s">
        <v>512</v>
      </c>
      <c r="G26" s="424"/>
      <c r="H26" s="424"/>
      <c r="I26" s="424"/>
      <c r="J26" s="424"/>
      <c r="K26" s="424"/>
      <c r="L26" s="424"/>
      <c r="M26" s="424"/>
      <c r="N26" s="424"/>
      <c r="O26" s="424"/>
      <c r="P26" s="93" t="str">
        <f t="shared" si="1"/>
        <v/>
      </c>
      <c r="Q26" s="1" t="e">
        <f t="shared" si="2"/>
        <v>#N/A</v>
      </c>
      <c r="R26" s="1" t="e">
        <f t="shared" si="3"/>
        <v>#N/A</v>
      </c>
      <c r="S26" s="1" t="e">
        <f t="shared" si="4"/>
        <v>#N/A</v>
      </c>
      <c r="X26" s="63">
        <f t="shared" si="5"/>
        <v>0</v>
      </c>
      <c r="Y26" s="63">
        <f t="shared" si="6"/>
        <v>0</v>
      </c>
    </row>
    <row r="27" spans="1:25" x14ac:dyDescent="0.3">
      <c r="A27" s="412">
        <v>46349</v>
      </c>
      <c r="B27" s="414" t="str">
        <f>IF(D27&gt;0,COUNTIF($D$9:D27,"&gt;0"),"")</f>
        <v/>
      </c>
      <c r="C27" s="888">
        <f>'SEMANA NOVEMBRO'!$M$153</f>
        <v>0</v>
      </c>
      <c r="D27" s="888">
        <f>IF(C27&gt;0,CONFIG!$B$3,0)</f>
        <v>0</v>
      </c>
      <c r="E27" s="889">
        <f t="shared" si="0"/>
        <v>0</v>
      </c>
      <c r="F27" s="470"/>
      <c r="G27" s="424"/>
      <c r="H27" s="424"/>
      <c r="I27" s="424"/>
      <c r="J27" s="424"/>
      <c r="K27" s="424"/>
      <c r="L27" s="424"/>
      <c r="M27" s="424"/>
      <c r="N27" s="424"/>
      <c r="O27" s="424"/>
      <c r="P27" s="93" t="str">
        <f t="shared" si="1"/>
        <v/>
      </c>
      <c r="Q27" s="1" t="e">
        <f t="shared" si="2"/>
        <v>#N/A</v>
      </c>
      <c r="R27" s="1" t="e">
        <f t="shared" si="3"/>
        <v>#N/A</v>
      </c>
      <c r="S27" s="1" t="e">
        <f t="shared" si="4"/>
        <v>#N/A</v>
      </c>
      <c r="X27" s="63">
        <f t="shared" si="5"/>
        <v>0</v>
      </c>
      <c r="Y27" s="63">
        <f t="shared" si="6"/>
        <v>0</v>
      </c>
    </row>
    <row r="28" spans="1:25" x14ac:dyDescent="0.3">
      <c r="A28" s="412">
        <v>46350</v>
      </c>
      <c r="B28" s="414" t="str">
        <f>IF(D28&gt;0,COUNTIF($D$9:D28,"&gt;0"),"")</f>
        <v/>
      </c>
      <c r="C28" s="888">
        <f>'SEMANA NOVEMBRO'!$M$161</f>
        <v>0</v>
      </c>
      <c r="D28" s="888">
        <f>IF(C28&gt;0,CONFIG!$B$3,0)</f>
        <v>0</v>
      </c>
      <c r="E28" s="889">
        <f t="shared" si="0"/>
        <v>0</v>
      </c>
      <c r="F28" s="470"/>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12">
        <v>46351</v>
      </c>
      <c r="B29" s="414" t="str">
        <f>IF(D29&gt;0,COUNTIF($D$9:D29,"&gt;0"),"")</f>
        <v/>
      </c>
      <c r="C29" s="888">
        <f>'SEMANA NOVEMBRO'!$M$169</f>
        <v>0</v>
      </c>
      <c r="D29" s="888">
        <f>IF(C29&gt;0,CONFIG!$B$3,0)</f>
        <v>0</v>
      </c>
      <c r="E29" s="889">
        <f t="shared" si="0"/>
        <v>0</v>
      </c>
      <c r="F29" s="470"/>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46352</v>
      </c>
      <c r="B30" s="414" t="str">
        <f>IF(D30&gt;0,COUNTIF($D$9:D30,"&gt;0"),"")</f>
        <v/>
      </c>
      <c r="C30" s="888">
        <f>'SEMANA NOVEMBRO'!$M$177</f>
        <v>0</v>
      </c>
      <c r="D30" s="888">
        <f>IF(C30&gt;0,CONFIG!$B$3,0)</f>
        <v>0</v>
      </c>
      <c r="E30" s="889">
        <f t="shared" si="0"/>
        <v>0</v>
      </c>
      <c r="F30" s="470"/>
      <c r="G30" s="424"/>
      <c r="H30" s="424"/>
      <c r="I30" s="424"/>
      <c r="J30" s="424"/>
      <c r="K30" s="424"/>
      <c r="L30" s="424"/>
      <c r="M30" s="424"/>
      <c r="N30" s="424"/>
      <c r="O30" s="424"/>
      <c r="P30" s="93" t="str">
        <f t="shared" si="1"/>
        <v/>
      </c>
      <c r="Q30" s="1" t="e">
        <f t="shared" si="2"/>
        <v>#N/A</v>
      </c>
      <c r="R30" s="1" t="e">
        <f t="shared" si="3"/>
        <v>#N/A</v>
      </c>
      <c r="S30" s="1" t="e">
        <f t="shared" si="4"/>
        <v>#N/A</v>
      </c>
    </row>
    <row r="31" spans="1:25" x14ac:dyDescent="0.3">
      <c r="A31" s="412">
        <v>46353</v>
      </c>
      <c r="B31" s="414" t="str">
        <f>IF(D31&gt;0,COUNTIF($D$9:D31,"&gt;0"),"")</f>
        <v/>
      </c>
      <c r="C31" s="888">
        <f>'SEMANA NOVEMBRO'!$M$185</f>
        <v>0</v>
      </c>
      <c r="D31" s="888">
        <f>IF(C31&gt;0,CONFIG!$B$3,0)</f>
        <v>0</v>
      </c>
      <c r="E31" s="889">
        <f t="shared" si="0"/>
        <v>0</v>
      </c>
      <c r="F31" s="470"/>
      <c r="G31" s="424"/>
      <c r="H31" s="424"/>
      <c r="I31" s="424"/>
      <c r="J31" s="424"/>
      <c r="K31" s="424"/>
      <c r="L31" s="424"/>
      <c r="M31" s="424"/>
      <c r="N31" s="424"/>
      <c r="O31" s="424"/>
      <c r="P31" s="93" t="str">
        <f t="shared" si="1"/>
        <v/>
      </c>
      <c r="Q31" s="1" t="e">
        <f t="shared" si="2"/>
        <v>#N/A</v>
      </c>
      <c r="R31" s="1" t="e">
        <f t="shared" si="3"/>
        <v>#N/A</v>
      </c>
      <c r="S31" s="1" t="e">
        <f t="shared" si="4"/>
        <v>#N/A</v>
      </c>
    </row>
    <row r="32" spans="1:25" x14ac:dyDescent="0.3">
      <c r="A32" s="412">
        <v>46354</v>
      </c>
      <c r="B32" s="414" t="str">
        <f>IF(D32&gt;0,COUNTIF($D$9:D32,"&gt;0"),"")</f>
        <v/>
      </c>
      <c r="C32" s="888">
        <f>'SEMANA NOVEMBRO'!$M$193</f>
        <v>0</v>
      </c>
      <c r="D32" s="888">
        <f>IF(C32&gt;0,CONFIG!$B$3,0)</f>
        <v>0</v>
      </c>
      <c r="E32" s="889">
        <f t="shared" si="0"/>
        <v>0</v>
      </c>
      <c r="F32" s="459" t="s">
        <v>512</v>
      </c>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46356</v>
      </c>
      <c r="B33" s="414" t="str">
        <f>IF(D33&gt;0,COUNTIF($D$9:D33,"&gt;0"),"")</f>
        <v/>
      </c>
      <c r="C33" s="888">
        <f>'SEMANA NOVEMBRO'!$M$201</f>
        <v>0</v>
      </c>
      <c r="D33" s="888">
        <f>IF(C33&gt;0,CONFIG!$B$3,0)</f>
        <v>0</v>
      </c>
      <c r="E33" s="889">
        <f t="shared" si="0"/>
        <v>0</v>
      </c>
      <c r="F33" s="470"/>
      <c r="G33" s="424"/>
      <c r="H33" s="424"/>
      <c r="I33" s="424"/>
      <c r="J33" s="424"/>
      <c r="K33" s="424"/>
      <c r="L33" s="424"/>
      <c r="M33" s="424"/>
      <c r="N33" s="424"/>
      <c r="O33" s="424"/>
      <c r="P33" s="93" t="str">
        <f t="shared" si="1"/>
        <v/>
      </c>
      <c r="Q33" s="1" t="e">
        <f t="shared" si="2"/>
        <v>#N/A</v>
      </c>
      <c r="R33" s="1" t="e">
        <f t="shared" si="3"/>
        <v>#N/A</v>
      </c>
      <c r="S33" s="1" t="e">
        <f t="shared" si="4"/>
        <v>#N/A</v>
      </c>
    </row>
    <row r="34" spans="1:19" ht="14.25" customHeight="1" x14ac:dyDescent="0.3"/>
    <row r="35" spans="1:19" ht="14.25" customHeight="1" x14ac:dyDescent="0.3"/>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33" priority="1" operator="greaterThan">
      <formula>0</formula>
    </cfRule>
    <cfRule type="cellIs" dxfId="32" priority="2" operator="lessThan">
      <formula>0</formula>
    </cfRule>
    <cfRule type="cellIs" dxfId="31"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1710-1F45-4F8D-A0E0-0018E2FBE8AB}">
  <sheetPr>
    <tabColor rgb="FFC96B0A"/>
  </sheetPr>
  <dimension ref="B1:O300"/>
  <sheetViews>
    <sheetView showGridLines="0" zoomScale="90" zoomScaleNormal="90" workbookViewId="0">
      <selection activeCell="A127" sqref="A127:D127"/>
    </sheetView>
  </sheetViews>
  <sheetFormatPr defaultColWidth="8.5546875" defaultRowHeight="17.399999999999999" x14ac:dyDescent="0.3"/>
  <cols>
    <col min="1" max="1" width="2.5546875" style="1" customWidth="1"/>
    <col min="2" max="2" width="13.5546875" style="61" customWidth="1"/>
    <col min="3" max="3" width="7.5546875" style="59" customWidth="1"/>
    <col min="4" max="4" width="12.5546875" style="59" customWidth="1"/>
    <col min="5" max="5" width="9.33203125" style="60" customWidth="1"/>
    <col min="6" max="6" width="13.5546875" style="60" customWidth="1"/>
    <col min="7" max="7" width="6.5546875" style="60" customWidth="1"/>
    <col min="8" max="8" width="8" style="60" customWidth="1"/>
    <col min="9" max="9" width="7.5546875" style="60" customWidth="1"/>
    <col min="10" max="10" width="23" style="60" customWidth="1"/>
    <col min="11" max="11" width="9.33203125" style="60" customWidth="1"/>
    <col min="12" max="12" width="21" style="60" customWidth="1"/>
    <col min="13" max="13" width="18.33203125" style="59" customWidth="1"/>
    <col min="14" max="14" width="17.33203125" style="58" customWidth="1"/>
    <col min="15" max="16384" width="8.5546875" style="1"/>
  </cols>
  <sheetData>
    <row r="1" spans="2:15" ht="21.75" customHeight="1" x14ac:dyDescent="0.3">
      <c r="B1" s="639" t="s">
        <v>623</v>
      </c>
      <c r="C1" s="639"/>
      <c r="D1" s="639"/>
      <c r="E1" s="639"/>
      <c r="F1" s="639"/>
      <c r="G1" s="639"/>
      <c r="H1" s="639"/>
      <c r="I1" s="639"/>
      <c r="J1" s="639"/>
      <c r="K1" s="639"/>
      <c r="L1" s="639"/>
      <c r="M1" s="639"/>
      <c r="N1" s="639"/>
    </row>
    <row r="2" spans="2:15" ht="15" customHeight="1" x14ac:dyDescent="0.3">
      <c r="B2" s="640"/>
      <c r="C2" s="640"/>
      <c r="D2" s="640"/>
      <c r="E2" s="640"/>
      <c r="F2" s="640"/>
      <c r="G2" s="640"/>
      <c r="H2" s="640"/>
      <c r="I2" s="640"/>
      <c r="J2" s="640"/>
      <c r="K2" s="640"/>
      <c r="L2" s="640"/>
      <c r="M2" s="640"/>
      <c r="N2" s="640"/>
    </row>
    <row r="3" spans="2:15" ht="17.25" customHeight="1" x14ac:dyDescent="0.3">
      <c r="B3" s="502" t="s">
        <v>46</v>
      </c>
      <c r="C3" s="656" t="s">
        <v>47</v>
      </c>
      <c r="D3" s="656"/>
      <c r="E3" s="656" t="s">
        <v>48</v>
      </c>
      <c r="F3" s="656"/>
      <c r="G3" s="656" t="s">
        <v>49</v>
      </c>
      <c r="H3" s="656"/>
      <c r="I3" s="656"/>
      <c r="J3" s="656"/>
      <c r="K3" s="656" t="s">
        <v>50</v>
      </c>
      <c r="L3" s="656"/>
      <c r="M3" s="529" t="s">
        <v>51</v>
      </c>
      <c r="N3" s="526" t="s">
        <v>52</v>
      </c>
    </row>
    <row r="4" spans="2:15" ht="17.25" customHeight="1" x14ac:dyDescent="0.3">
      <c r="B4" s="496"/>
      <c r="C4" s="638"/>
      <c r="D4" s="638"/>
      <c r="E4" s="638"/>
      <c r="F4" s="638"/>
      <c r="G4" s="638"/>
      <c r="H4" s="638"/>
      <c r="I4" s="638"/>
      <c r="J4" s="638"/>
      <c r="K4" s="638"/>
      <c r="L4" s="638"/>
      <c r="M4" s="497"/>
      <c r="N4" s="533"/>
      <c r="O4" s="493"/>
    </row>
    <row r="5" spans="2:15" ht="17.25" customHeight="1" x14ac:dyDescent="0.3">
      <c r="B5" s="499"/>
      <c r="C5" s="637"/>
      <c r="D5" s="637"/>
      <c r="E5" s="637"/>
      <c r="F5" s="637"/>
      <c r="G5" s="637"/>
      <c r="H5" s="637"/>
      <c r="I5" s="637"/>
      <c r="J5" s="637"/>
      <c r="K5" s="637"/>
      <c r="L5" s="637"/>
      <c r="M5" s="499"/>
      <c r="N5" s="525"/>
      <c r="O5" s="493"/>
    </row>
    <row r="6" spans="2:15" ht="17.25" customHeight="1" x14ac:dyDescent="0.3">
      <c r="B6" s="496"/>
      <c r="C6" s="638"/>
      <c r="D6" s="638"/>
      <c r="E6" s="638"/>
      <c r="F6" s="638"/>
      <c r="G6" s="638"/>
      <c r="H6" s="638"/>
      <c r="I6" s="638"/>
      <c r="J6" s="638"/>
      <c r="K6" s="638"/>
      <c r="L6" s="638"/>
      <c r="M6" s="497"/>
      <c r="N6" s="525"/>
      <c r="O6" s="493"/>
    </row>
    <row r="7" spans="2:15" ht="17.25" customHeight="1" x14ac:dyDescent="0.3">
      <c r="B7" s="499"/>
      <c r="C7" s="637"/>
      <c r="D7" s="637"/>
      <c r="E7" s="637"/>
      <c r="F7" s="637"/>
      <c r="G7" s="637"/>
      <c r="H7" s="637"/>
      <c r="I7" s="637"/>
      <c r="J7" s="637"/>
      <c r="K7" s="637"/>
      <c r="L7" s="637"/>
      <c r="M7" s="500"/>
      <c r="N7" s="525"/>
      <c r="O7" s="493"/>
    </row>
    <row r="8" spans="2:15" ht="17.25" customHeight="1" x14ac:dyDescent="0.3">
      <c r="B8" s="496"/>
      <c r="C8" s="638"/>
      <c r="D8" s="638"/>
      <c r="E8" s="638"/>
      <c r="F8" s="638"/>
      <c r="G8" s="638"/>
      <c r="H8" s="638"/>
      <c r="I8" s="638"/>
      <c r="J8" s="638"/>
      <c r="K8" s="638"/>
      <c r="L8" s="638"/>
      <c r="M8" s="497"/>
      <c r="N8" s="525"/>
      <c r="O8" s="493"/>
    </row>
    <row r="9" spans="2:15" ht="17.25" customHeight="1" x14ac:dyDescent="0.3">
      <c r="B9" s="499"/>
      <c r="C9" s="637"/>
      <c r="D9" s="637"/>
      <c r="E9" s="637"/>
      <c r="F9" s="637"/>
      <c r="G9" s="637"/>
      <c r="H9" s="637"/>
      <c r="I9" s="637"/>
      <c r="J9" s="637"/>
      <c r="K9" s="637"/>
      <c r="L9" s="637"/>
      <c r="M9" s="499"/>
      <c r="N9" s="525"/>
      <c r="O9" s="493"/>
    </row>
    <row r="10" spans="2:15" ht="17.25" customHeight="1" x14ac:dyDescent="0.3">
      <c r="B10" s="496"/>
      <c r="C10" s="638"/>
      <c r="D10" s="638"/>
      <c r="E10" s="638"/>
      <c r="F10" s="638"/>
      <c r="G10" s="638"/>
      <c r="H10" s="638"/>
      <c r="I10" s="638"/>
      <c r="J10" s="638"/>
      <c r="K10" s="638"/>
      <c r="L10" s="638"/>
      <c r="M10" s="496"/>
      <c r="N10" s="525"/>
      <c r="O10" s="493"/>
    </row>
    <row r="11" spans="2:15" ht="17.25" customHeight="1" x14ac:dyDescent="0.3">
      <c r="B11" s="499"/>
      <c r="C11" s="637"/>
      <c r="D11" s="637"/>
      <c r="E11" s="637"/>
      <c r="F11" s="637"/>
      <c r="G11" s="637"/>
      <c r="H11" s="637"/>
      <c r="I11" s="637"/>
      <c r="J11" s="637"/>
      <c r="K11" s="637"/>
      <c r="L11" s="637"/>
      <c r="M11" s="499"/>
      <c r="N11" s="525"/>
      <c r="O11" s="493"/>
    </row>
    <row r="12" spans="2:15" ht="17.25" customHeight="1" x14ac:dyDescent="0.3">
      <c r="B12" s="496"/>
      <c r="C12" s="638"/>
      <c r="D12" s="638"/>
      <c r="E12" s="638"/>
      <c r="F12" s="638"/>
      <c r="G12" s="638"/>
      <c r="H12" s="638"/>
      <c r="I12" s="638"/>
      <c r="J12" s="638"/>
      <c r="K12" s="638"/>
      <c r="L12" s="638"/>
      <c r="M12" s="496"/>
      <c r="N12" s="525"/>
      <c r="O12" s="493"/>
    </row>
    <row r="13" spans="2:15" ht="17.25" customHeight="1" x14ac:dyDescent="0.3">
      <c r="B13" s="499"/>
      <c r="C13" s="637"/>
      <c r="D13" s="637"/>
      <c r="E13" s="637"/>
      <c r="F13" s="637"/>
      <c r="G13" s="637"/>
      <c r="H13" s="637"/>
      <c r="I13" s="637"/>
      <c r="J13" s="637"/>
      <c r="K13" s="637"/>
      <c r="L13" s="637"/>
      <c r="M13" s="499"/>
      <c r="N13" s="525"/>
      <c r="O13" s="493"/>
    </row>
    <row r="14" spans="2:15" ht="17.25" customHeight="1" x14ac:dyDescent="0.3">
      <c r="B14" s="496"/>
      <c r="C14" s="638"/>
      <c r="D14" s="638"/>
      <c r="E14" s="638"/>
      <c r="F14" s="638"/>
      <c r="G14" s="638"/>
      <c r="H14" s="638"/>
      <c r="I14" s="638"/>
      <c r="J14" s="638"/>
      <c r="K14" s="638"/>
      <c r="L14" s="638"/>
      <c r="M14" s="496"/>
      <c r="N14" s="525"/>
      <c r="O14" s="493"/>
    </row>
    <row r="15" spans="2:15" ht="17.25" customHeight="1" x14ac:dyDescent="0.3">
      <c r="B15" s="499"/>
      <c r="C15" s="637"/>
      <c r="D15" s="637"/>
      <c r="E15" s="637"/>
      <c r="F15" s="637"/>
      <c r="G15" s="637"/>
      <c r="H15" s="637"/>
      <c r="I15" s="637"/>
      <c r="J15" s="637"/>
      <c r="K15" s="637"/>
      <c r="L15" s="637"/>
      <c r="M15" s="499"/>
      <c r="N15" s="525"/>
      <c r="O15" s="493"/>
    </row>
    <row r="16" spans="2:15" ht="17.25" customHeight="1" x14ac:dyDescent="0.3">
      <c r="B16" s="496"/>
      <c r="C16" s="638"/>
      <c r="D16" s="638"/>
      <c r="E16" s="638"/>
      <c r="F16" s="638"/>
      <c r="G16" s="638"/>
      <c r="H16" s="638"/>
      <c r="I16" s="638"/>
      <c r="J16" s="638"/>
      <c r="K16" s="638"/>
      <c r="L16" s="638"/>
      <c r="M16" s="496"/>
      <c r="N16" s="525"/>
      <c r="O16" s="493"/>
    </row>
    <row r="17" spans="2:15" ht="17.25" customHeight="1" x14ac:dyDescent="0.3">
      <c r="B17" s="499"/>
      <c r="C17" s="637"/>
      <c r="D17" s="637"/>
      <c r="E17" s="637"/>
      <c r="F17" s="637"/>
      <c r="G17" s="637"/>
      <c r="H17" s="637"/>
      <c r="I17" s="637"/>
      <c r="J17" s="637"/>
      <c r="K17" s="637"/>
      <c r="L17" s="637"/>
      <c r="M17" s="500"/>
      <c r="N17" s="525"/>
      <c r="O17" s="493"/>
    </row>
    <row r="18" spans="2:15" ht="17.25" customHeight="1" x14ac:dyDescent="0.3">
      <c r="B18" s="496"/>
      <c r="C18" s="638"/>
      <c r="D18" s="638"/>
      <c r="E18" s="638"/>
      <c r="F18" s="638"/>
      <c r="G18" s="638"/>
      <c r="H18" s="638"/>
      <c r="I18" s="638"/>
      <c r="J18" s="638"/>
      <c r="K18" s="638"/>
      <c r="L18" s="638"/>
      <c r="M18" s="496"/>
      <c r="N18" s="525"/>
      <c r="O18" s="493"/>
    </row>
    <row r="19" spans="2:15" ht="17.25" customHeight="1" x14ac:dyDescent="0.3">
      <c r="B19" s="499"/>
      <c r="C19" s="637"/>
      <c r="D19" s="637"/>
      <c r="E19" s="637"/>
      <c r="F19" s="637"/>
      <c r="G19" s="637"/>
      <c r="H19" s="637"/>
      <c r="I19" s="637"/>
      <c r="J19" s="637"/>
      <c r="K19" s="637"/>
      <c r="L19" s="637"/>
      <c r="M19" s="499"/>
      <c r="N19" s="525"/>
      <c r="O19" s="493"/>
    </row>
    <row r="20" spans="2:15" ht="17.25" customHeight="1" x14ac:dyDescent="0.3">
      <c r="B20" s="496"/>
      <c r="C20" s="638"/>
      <c r="D20" s="638"/>
      <c r="E20" s="638"/>
      <c r="F20" s="638"/>
      <c r="G20" s="638"/>
      <c r="H20" s="638"/>
      <c r="I20" s="638"/>
      <c r="J20" s="638"/>
      <c r="K20" s="638"/>
      <c r="L20" s="638"/>
      <c r="M20" s="496"/>
      <c r="N20" s="525"/>
      <c r="O20" s="493"/>
    </row>
    <row r="21" spans="2:15" ht="17.25" customHeight="1" x14ac:dyDescent="0.3">
      <c r="B21" s="499"/>
      <c r="C21" s="637"/>
      <c r="D21" s="637"/>
      <c r="E21" s="637"/>
      <c r="F21" s="637"/>
      <c r="G21" s="637"/>
      <c r="H21" s="637"/>
      <c r="I21" s="637"/>
      <c r="J21" s="637"/>
      <c r="K21" s="637"/>
      <c r="L21" s="637"/>
      <c r="M21" s="499"/>
      <c r="N21" s="525"/>
      <c r="O21" s="493"/>
    </row>
    <row r="22" spans="2:15" ht="17.25" customHeight="1" x14ac:dyDescent="0.3">
      <c r="B22" s="496"/>
      <c r="C22" s="638"/>
      <c r="D22" s="638"/>
      <c r="E22" s="638"/>
      <c r="F22" s="638"/>
      <c r="G22" s="638"/>
      <c r="H22" s="638"/>
      <c r="I22" s="638"/>
      <c r="J22" s="638"/>
      <c r="K22" s="638"/>
      <c r="L22" s="638"/>
      <c r="M22" s="496"/>
      <c r="N22" s="525"/>
      <c r="O22" s="493"/>
    </row>
    <row r="23" spans="2:15" ht="17.25" customHeight="1" x14ac:dyDescent="0.3">
      <c r="B23" s="499"/>
      <c r="C23" s="637"/>
      <c r="D23" s="637"/>
      <c r="E23" s="637"/>
      <c r="F23" s="637"/>
      <c r="G23" s="637"/>
      <c r="H23" s="637"/>
      <c r="I23" s="637"/>
      <c r="J23" s="637"/>
      <c r="K23" s="637"/>
      <c r="L23" s="637"/>
      <c r="M23" s="499"/>
      <c r="N23" s="525"/>
      <c r="O23" s="493"/>
    </row>
    <row r="24" spans="2:15" ht="17.25" customHeight="1" x14ac:dyDescent="0.3">
      <c r="B24" s="496"/>
      <c r="C24" s="638"/>
      <c r="D24" s="638"/>
      <c r="E24" s="638"/>
      <c r="F24" s="638"/>
      <c r="G24" s="638"/>
      <c r="H24" s="638"/>
      <c r="I24" s="638"/>
      <c r="J24" s="638"/>
      <c r="K24" s="638"/>
      <c r="L24" s="638"/>
      <c r="M24" s="496"/>
      <c r="N24" s="525"/>
      <c r="O24" s="493"/>
    </row>
    <row r="25" spans="2:15" ht="17.25" customHeight="1" x14ac:dyDescent="0.3">
      <c r="B25" s="499"/>
      <c r="C25" s="637"/>
      <c r="D25" s="637"/>
      <c r="E25" s="637"/>
      <c r="F25" s="637"/>
      <c r="G25" s="637"/>
      <c r="H25" s="637"/>
      <c r="I25" s="637"/>
      <c r="J25" s="637"/>
      <c r="K25" s="637"/>
      <c r="L25" s="637"/>
      <c r="M25" s="500"/>
      <c r="N25" s="525"/>
      <c r="O25" s="493"/>
    </row>
    <row r="26" spans="2:15" ht="17.25" customHeight="1" x14ac:dyDescent="0.3">
      <c r="B26" s="496"/>
      <c r="C26" s="638"/>
      <c r="D26" s="638"/>
      <c r="E26" s="638"/>
      <c r="F26" s="638"/>
      <c r="G26" s="638"/>
      <c r="H26" s="638"/>
      <c r="I26" s="638"/>
      <c r="J26" s="638"/>
      <c r="K26" s="638"/>
      <c r="L26" s="638"/>
      <c r="M26" s="496"/>
      <c r="N26" s="525"/>
      <c r="O26" s="493"/>
    </row>
    <row r="27" spans="2:15" ht="17.25" customHeight="1" x14ac:dyDescent="0.3">
      <c r="B27" s="499"/>
      <c r="C27" s="637"/>
      <c r="D27" s="637"/>
      <c r="E27" s="637"/>
      <c r="F27" s="637"/>
      <c r="G27" s="637"/>
      <c r="H27" s="637"/>
      <c r="I27" s="637"/>
      <c r="J27" s="637"/>
      <c r="K27" s="637"/>
      <c r="L27" s="637"/>
      <c r="M27" s="499"/>
      <c r="N27" s="525"/>
      <c r="O27" s="493"/>
    </row>
    <row r="28" spans="2:15" ht="17.25" customHeight="1" x14ac:dyDescent="0.3">
      <c r="B28" s="496"/>
      <c r="C28" s="638"/>
      <c r="D28" s="638"/>
      <c r="E28" s="638"/>
      <c r="F28" s="638"/>
      <c r="G28" s="638"/>
      <c r="H28" s="638"/>
      <c r="I28" s="638"/>
      <c r="J28" s="638"/>
      <c r="K28" s="638"/>
      <c r="L28" s="638"/>
      <c r="M28" s="496"/>
      <c r="N28" s="525"/>
      <c r="O28" s="493"/>
    </row>
    <row r="29" spans="2:15" ht="17.25" customHeight="1" x14ac:dyDescent="0.3">
      <c r="B29" s="499"/>
      <c r="C29" s="637"/>
      <c r="D29" s="637"/>
      <c r="E29" s="637"/>
      <c r="F29" s="637"/>
      <c r="G29" s="637"/>
      <c r="H29" s="637"/>
      <c r="I29" s="637"/>
      <c r="J29" s="637"/>
      <c r="K29" s="637"/>
      <c r="L29" s="637"/>
      <c r="M29" s="499"/>
      <c r="N29" s="525"/>
      <c r="O29" s="493"/>
    </row>
    <row r="30" spans="2:15" ht="17.25" customHeight="1" x14ac:dyDescent="0.3">
      <c r="B30" s="496"/>
      <c r="C30" s="638"/>
      <c r="D30" s="638"/>
      <c r="E30" s="638"/>
      <c r="F30" s="638"/>
      <c r="G30" s="638"/>
      <c r="H30" s="638"/>
      <c r="I30" s="638"/>
      <c r="J30" s="638"/>
      <c r="K30" s="638"/>
      <c r="L30" s="638"/>
      <c r="M30" s="496"/>
      <c r="N30" s="525"/>
      <c r="O30" s="493"/>
    </row>
    <row r="31" spans="2:15" ht="17.25" customHeight="1" x14ac:dyDescent="0.3">
      <c r="B31" s="499"/>
      <c r="C31" s="637"/>
      <c r="D31" s="637"/>
      <c r="E31" s="637"/>
      <c r="F31" s="637"/>
      <c r="G31" s="637"/>
      <c r="H31" s="637"/>
      <c r="I31" s="637"/>
      <c r="J31" s="637"/>
      <c r="K31" s="637"/>
      <c r="L31" s="637"/>
      <c r="M31" s="499"/>
      <c r="N31" s="525"/>
      <c r="O31" s="493"/>
    </row>
    <row r="32" spans="2:15" ht="17.25" customHeight="1" x14ac:dyDescent="0.3">
      <c r="B32" s="496"/>
      <c r="C32" s="638"/>
      <c r="D32" s="638"/>
      <c r="E32" s="638"/>
      <c r="F32" s="638"/>
      <c r="G32" s="638"/>
      <c r="H32" s="638"/>
      <c r="I32" s="638"/>
      <c r="J32" s="638"/>
      <c r="K32" s="638"/>
      <c r="L32" s="638"/>
      <c r="M32" s="496"/>
      <c r="N32" s="525"/>
      <c r="O32" s="493"/>
    </row>
    <row r="33" spans="2:15" ht="17.25" customHeight="1" x14ac:dyDescent="0.3">
      <c r="B33" s="499"/>
      <c r="C33" s="637"/>
      <c r="D33" s="637"/>
      <c r="E33" s="637"/>
      <c r="F33" s="637"/>
      <c r="G33" s="637"/>
      <c r="H33" s="637"/>
      <c r="I33" s="637"/>
      <c r="J33" s="637"/>
      <c r="K33" s="637"/>
      <c r="L33" s="637"/>
      <c r="M33" s="499"/>
      <c r="N33" s="525"/>
      <c r="O33" s="493"/>
    </row>
    <row r="34" spans="2:15" ht="17.25" customHeight="1" x14ac:dyDescent="0.3">
      <c r="B34" s="496"/>
      <c r="C34" s="638"/>
      <c r="D34" s="638"/>
      <c r="E34" s="638"/>
      <c r="F34" s="638"/>
      <c r="G34" s="638"/>
      <c r="H34" s="638"/>
      <c r="I34" s="638"/>
      <c r="J34" s="638"/>
      <c r="K34" s="638"/>
      <c r="L34" s="638"/>
      <c r="M34" s="497"/>
      <c r="N34" s="525"/>
      <c r="O34" s="493"/>
    </row>
    <row r="35" spans="2:15" ht="17.25" customHeight="1" x14ac:dyDescent="0.3">
      <c r="B35" s="499"/>
      <c r="C35" s="637"/>
      <c r="D35" s="637"/>
      <c r="E35" s="637"/>
      <c r="F35" s="637"/>
      <c r="G35" s="637"/>
      <c r="H35" s="637"/>
      <c r="I35" s="637"/>
      <c r="J35" s="637"/>
      <c r="K35" s="637"/>
      <c r="L35" s="637"/>
      <c r="M35" s="499"/>
      <c r="N35" s="525"/>
      <c r="O35" s="493"/>
    </row>
    <row r="36" spans="2:15" ht="17.25" customHeight="1" x14ac:dyDescent="0.3">
      <c r="B36" s="496"/>
      <c r="C36" s="638"/>
      <c r="D36" s="638"/>
      <c r="E36" s="638"/>
      <c r="F36" s="638"/>
      <c r="G36" s="638"/>
      <c r="H36" s="638"/>
      <c r="I36" s="638"/>
      <c r="J36" s="638"/>
      <c r="K36" s="638"/>
      <c r="L36" s="638"/>
      <c r="M36" s="496"/>
      <c r="N36" s="525"/>
      <c r="O36" s="493"/>
    </row>
    <row r="37" spans="2:15" ht="17.25" customHeight="1" x14ac:dyDescent="0.3">
      <c r="B37" s="499"/>
      <c r="C37" s="637"/>
      <c r="D37" s="637"/>
      <c r="E37" s="637"/>
      <c r="F37" s="637"/>
      <c r="G37" s="637"/>
      <c r="H37" s="637"/>
      <c r="I37" s="637"/>
      <c r="J37" s="637"/>
      <c r="K37" s="637"/>
      <c r="L37" s="637"/>
      <c r="M37" s="499"/>
      <c r="N37" s="525"/>
      <c r="O37" s="493"/>
    </row>
    <row r="38" spans="2:15" ht="17.25" customHeight="1" x14ac:dyDescent="0.3">
      <c r="B38" s="496"/>
      <c r="C38" s="638"/>
      <c r="D38" s="638"/>
      <c r="E38" s="638"/>
      <c r="F38" s="638"/>
      <c r="G38" s="638"/>
      <c r="H38" s="638"/>
      <c r="I38" s="638"/>
      <c r="J38" s="638"/>
      <c r="K38" s="638"/>
      <c r="L38" s="638"/>
      <c r="M38" s="496"/>
      <c r="N38" s="525"/>
      <c r="O38" s="493"/>
    </row>
    <row r="39" spans="2:15" ht="17.25" customHeight="1" x14ac:dyDescent="0.3">
      <c r="B39" s="499"/>
      <c r="C39" s="637"/>
      <c r="D39" s="637"/>
      <c r="E39" s="637"/>
      <c r="F39" s="637"/>
      <c r="G39" s="637"/>
      <c r="H39" s="637"/>
      <c r="I39" s="637"/>
      <c r="J39" s="637"/>
      <c r="K39" s="637"/>
      <c r="L39" s="637"/>
      <c r="M39" s="499"/>
      <c r="N39" s="525"/>
      <c r="O39" s="493"/>
    </row>
    <row r="40" spans="2:15" ht="17.25" customHeight="1" x14ac:dyDescent="0.3">
      <c r="B40" s="496"/>
      <c r="C40" s="638"/>
      <c r="D40" s="638"/>
      <c r="E40" s="638"/>
      <c r="F40" s="638"/>
      <c r="G40" s="638"/>
      <c r="H40" s="638"/>
      <c r="I40" s="638"/>
      <c r="J40" s="638"/>
      <c r="K40" s="638"/>
      <c r="L40" s="638"/>
      <c r="M40" s="496"/>
      <c r="N40" s="525"/>
      <c r="O40" s="493"/>
    </row>
    <row r="41" spans="2:15" ht="17.25" customHeight="1" x14ac:dyDescent="0.3">
      <c r="B41" s="499"/>
      <c r="C41" s="637"/>
      <c r="D41" s="637"/>
      <c r="E41" s="637"/>
      <c r="F41" s="637"/>
      <c r="G41" s="637"/>
      <c r="H41" s="637"/>
      <c r="I41" s="637"/>
      <c r="J41" s="637"/>
      <c r="K41" s="637"/>
      <c r="L41" s="637"/>
      <c r="M41" s="499"/>
      <c r="N41" s="525"/>
      <c r="O41" s="493"/>
    </row>
    <row r="42" spans="2:15" ht="17.25" customHeight="1" x14ac:dyDescent="0.3">
      <c r="B42" s="496"/>
      <c r="C42" s="638"/>
      <c r="D42" s="638"/>
      <c r="E42" s="638"/>
      <c r="F42" s="638"/>
      <c r="G42" s="638"/>
      <c r="H42" s="638"/>
      <c r="I42" s="638"/>
      <c r="J42" s="638"/>
      <c r="K42" s="638"/>
      <c r="L42" s="638"/>
      <c r="M42" s="497"/>
      <c r="N42" s="525"/>
      <c r="O42" s="493"/>
    </row>
    <row r="43" spans="2:15" ht="17.25" customHeight="1" x14ac:dyDescent="0.3">
      <c r="B43" s="499"/>
      <c r="C43" s="637"/>
      <c r="D43" s="637"/>
      <c r="E43" s="637"/>
      <c r="F43" s="637"/>
      <c r="G43" s="637"/>
      <c r="H43" s="637"/>
      <c r="I43" s="637"/>
      <c r="J43" s="637"/>
      <c r="K43" s="637"/>
      <c r="L43" s="637"/>
      <c r="M43" s="499"/>
      <c r="N43" s="525"/>
      <c r="O43" s="493"/>
    </row>
    <row r="44" spans="2:15" ht="17.25" customHeight="1" x14ac:dyDescent="0.3">
      <c r="B44" s="496"/>
      <c r="C44" s="638"/>
      <c r="D44" s="638"/>
      <c r="E44" s="638"/>
      <c r="F44" s="638"/>
      <c r="G44" s="638"/>
      <c r="H44" s="638"/>
      <c r="I44" s="638"/>
      <c r="J44" s="638"/>
      <c r="K44" s="638"/>
      <c r="L44" s="638"/>
      <c r="M44" s="496"/>
      <c r="N44" s="525"/>
      <c r="O44" s="493"/>
    </row>
    <row r="45" spans="2:15" ht="17.25" customHeight="1" x14ac:dyDescent="0.3">
      <c r="B45" s="499"/>
      <c r="C45" s="637"/>
      <c r="D45" s="637"/>
      <c r="E45" s="637"/>
      <c r="F45" s="637"/>
      <c r="G45" s="637"/>
      <c r="H45" s="637"/>
      <c r="I45" s="637"/>
      <c r="J45" s="637"/>
      <c r="K45" s="637"/>
      <c r="L45" s="637"/>
      <c r="M45" s="499"/>
      <c r="N45" s="525"/>
      <c r="O45" s="493"/>
    </row>
    <row r="46" spans="2:15" ht="17.25" customHeight="1" x14ac:dyDescent="0.3">
      <c r="B46" s="496"/>
      <c r="C46" s="638"/>
      <c r="D46" s="638"/>
      <c r="E46" s="638"/>
      <c r="F46" s="638"/>
      <c r="G46" s="638"/>
      <c r="H46" s="638"/>
      <c r="I46" s="638"/>
      <c r="J46" s="638"/>
      <c r="K46" s="638"/>
      <c r="L46" s="638"/>
      <c r="M46" s="496"/>
      <c r="N46" s="525"/>
      <c r="O46" s="493"/>
    </row>
    <row r="47" spans="2:15" ht="17.25" customHeight="1" x14ac:dyDescent="0.3">
      <c r="B47" s="499"/>
      <c r="C47" s="637"/>
      <c r="D47" s="637"/>
      <c r="E47" s="637"/>
      <c r="F47" s="637"/>
      <c r="G47" s="637"/>
      <c r="H47" s="637"/>
      <c r="I47" s="637"/>
      <c r="J47" s="637"/>
      <c r="K47" s="637"/>
      <c r="L47" s="637"/>
      <c r="M47" s="499"/>
      <c r="N47" s="525"/>
      <c r="O47" s="493"/>
    </row>
    <row r="48" spans="2:15" ht="17.25" customHeight="1" x14ac:dyDescent="0.3">
      <c r="B48" s="496"/>
      <c r="C48" s="638"/>
      <c r="D48" s="638"/>
      <c r="E48" s="638"/>
      <c r="F48" s="638"/>
      <c r="G48" s="638"/>
      <c r="H48" s="638"/>
      <c r="I48" s="638"/>
      <c r="J48" s="638"/>
      <c r="K48" s="638"/>
      <c r="L48" s="638"/>
      <c r="M48" s="496"/>
      <c r="N48" s="525"/>
      <c r="O48" s="493"/>
    </row>
    <row r="49" spans="2:15" ht="17.25" customHeight="1" x14ac:dyDescent="0.3">
      <c r="B49" s="499"/>
      <c r="C49" s="637"/>
      <c r="D49" s="637"/>
      <c r="E49" s="637"/>
      <c r="F49" s="637"/>
      <c r="G49" s="637"/>
      <c r="H49" s="637"/>
      <c r="I49" s="637"/>
      <c r="J49" s="637"/>
      <c r="K49" s="637"/>
      <c r="L49" s="637"/>
      <c r="M49" s="499"/>
      <c r="N49" s="525"/>
      <c r="O49" s="493"/>
    </row>
    <row r="50" spans="2:15" ht="17.25" customHeight="1" x14ac:dyDescent="0.3">
      <c r="B50" s="496"/>
      <c r="C50" s="638"/>
      <c r="D50" s="638"/>
      <c r="E50" s="638"/>
      <c r="F50" s="638"/>
      <c r="G50" s="638"/>
      <c r="H50" s="638"/>
      <c r="I50" s="638"/>
      <c r="J50" s="638"/>
      <c r="K50" s="638"/>
      <c r="L50" s="638"/>
      <c r="M50" s="496"/>
      <c r="N50" s="525"/>
      <c r="O50" s="493"/>
    </row>
    <row r="51" spans="2:15" ht="17.25" customHeight="1" x14ac:dyDescent="0.3">
      <c r="B51" s="499"/>
      <c r="C51" s="637"/>
      <c r="D51" s="637"/>
      <c r="E51" s="637"/>
      <c r="F51" s="637"/>
      <c r="G51" s="637"/>
      <c r="H51" s="637"/>
      <c r="I51" s="637"/>
      <c r="J51" s="637"/>
      <c r="K51" s="637"/>
      <c r="L51" s="637"/>
      <c r="M51" s="500"/>
      <c r="N51" s="525"/>
      <c r="O51" s="493"/>
    </row>
    <row r="52" spans="2:15" ht="17.25" customHeight="1" x14ac:dyDescent="0.3">
      <c r="B52" s="496"/>
      <c r="C52" s="638"/>
      <c r="D52" s="638"/>
      <c r="E52" s="638"/>
      <c r="F52" s="638"/>
      <c r="G52" s="638"/>
      <c r="H52" s="638"/>
      <c r="I52" s="638"/>
      <c r="J52" s="638"/>
      <c r="K52" s="638"/>
      <c r="L52" s="638"/>
      <c r="M52" s="496"/>
      <c r="N52" s="525"/>
      <c r="O52" s="493"/>
    </row>
    <row r="53" spans="2:15" ht="17.25" customHeight="1" x14ac:dyDescent="0.3">
      <c r="B53" s="499"/>
      <c r="C53" s="637"/>
      <c r="D53" s="637"/>
      <c r="E53" s="637"/>
      <c r="F53" s="637"/>
      <c r="G53" s="637"/>
      <c r="H53" s="637"/>
      <c r="I53" s="637"/>
      <c r="J53" s="637"/>
      <c r="K53" s="637"/>
      <c r="L53" s="637"/>
      <c r="M53" s="499"/>
      <c r="N53" s="525"/>
      <c r="O53" s="493"/>
    </row>
    <row r="54" spans="2:15" ht="17.25" customHeight="1" x14ac:dyDescent="0.3">
      <c r="B54" s="496"/>
      <c r="C54" s="638"/>
      <c r="D54" s="638"/>
      <c r="E54" s="638"/>
      <c r="F54" s="638"/>
      <c r="G54" s="638"/>
      <c r="H54" s="638"/>
      <c r="I54" s="638"/>
      <c r="J54" s="638"/>
      <c r="K54" s="638"/>
      <c r="L54" s="638"/>
      <c r="M54" s="496"/>
      <c r="N54" s="525"/>
      <c r="O54" s="493"/>
    </row>
    <row r="55" spans="2:15" ht="17.25" customHeight="1" x14ac:dyDescent="0.3">
      <c r="B55" s="499"/>
      <c r="C55" s="637"/>
      <c r="D55" s="637"/>
      <c r="E55" s="637"/>
      <c r="F55" s="637"/>
      <c r="G55" s="637"/>
      <c r="H55" s="637"/>
      <c r="I55" s="637"/>
      <c r="J55" s="637"/>
      <c r="K55" s="637"/>
      <c r="L55" s="637"/>
      <c r="M55" s="499"/>
      <c r="N55" s="525"/>
      <c r="O55" s="493"/>
    </row>
    <row r="56" spans="2:15" ht="17.25" customHeight="1" x14ac:dyDescent="0.3">
      <c r="B56" s="496"/>
      <c r="C56" s="638"/>
      <c r="D56" s="638"/>
      <c r="E56" s="638"/>
      <c r="F56" s="638"/>
      <c r="G56" s="638"/>
      <c r="H56" s="638"/>
      <c r="I56" s="638"/>
      <c r="J56" s="638"/>
      <c r="K56" s="638"/>
      <c r="L56" s="638"/>
      <c r="M56" s="496"/>
      <c r="N56" s="525"/>
      <c r="O56" s="493"/>
    </row>
    <row r="57" spans="2:15" ht="17.25" customHeight="1" x14ac:dyDescent="0.3">
      <c r="B57" s="499"/>
      <c r="C57" s="637"/>
      <c r="D57" s="637"/>
      <c r="E57" s="637"/>
      <c r="F57" s="637"/>
      <c r="G57" s="637"/>
      <c r="H57" s="637"/>
      <c r="I57" s="637"/>
      <c r="J57" s="637"/>
      <c r="K57" s="637"/>
      <c r="L57" s="637"/>
      <c r="M57" s="499"/>
      <c r="N57" s="525"/>
      <c r="O57" s="493"/>
    </row>
    <row r="58" spans="2:15" ht="17.25" customHeight="1" x14ac:dyDescent="0.3">
      <c r="B58" s="496"/>
      <c r="C58" s="638"/>
      <c r="D58" s="638"/>
      <c r="E58" s="638"/>
      <c r="F58" s="638"/>
      <c r="G58" s="638"/>
      <c r="H58" s="638"/>
      <c r="I58" s="638"/>
      <c r="J58" s="638"/>
      <c r="K58" s="638"/>
      <c r="L58" s="638"/>
      <c r="M58" s="496"/>
      <c r="N58" s="525"/>
      <c r="O58" s="493"/>
    </row>
    <row r="59" spans="2:15" ht="17.25" customHeight="1" x14ac:dyDescent="0.3">
      <c r="B59" s="499"/>
      <c r="C59" s="637"/>
      <c r="D59" s="637"/>
      <c r="E59" s="637"/>
      <c r="F59" s="637"/>
      <c r="G59" s="637"/>
      <c r="H59" s="637"/>
      <c r="I59" s="637"/>
      <c r="J59" s="637"/>
      <c r="K59" s="637"/>
      <c r="L59" s="637"/>
      <c r="M59" s="500"/>
      <c r="N59" s="525"/>
      <c r="O59" s="493"/>
    </row>
    <row r="60" spans="2:15" ht="17.25" customHeight="1" x14ac:dyDescent="0.3">
      <c r="B60" s="496"/>
      <c r="C60" s="638"/>
      <c r="D60" s="638"/>
      <c r="E60" s="638"/>
      <c r="F60" s="638"/>
      <c r="G60" s="638"/>
      <c r="H60" s="638"/>
      <c r="I60" s="638"/>
      <c r="J60" s="638"/>
      <c r="K60" s="638"/>
      <c r="L60" s="638"/>
      <c r="M60" s="496"/>
      <c r="N60" s="525"/>
      <c r="O60" s="493"/>
    </row>
    <row r="61" spans="2:15" ht="17.25" customHeight="1" x14ac:dyDescent="0.3">
      <c r="B61" s="499"/>
      <c r="C61" s="637"/>
      <c r="D61" s="637"/>
      <c r="E61" s="637"/>
      <c r="F61" s="637"/>
      <c r="G61" s="637"/>
      <c r="H61" s="637"/>
      <c r="I61" s="637"/>
      <c r="J61" s="637"/>
      <c r="K61" s="637"/>
      <c r="L61" s="637"/>
      <c r="M61" s="499"/>
      <c r="N61" s="525"/>
      <c r="O61" s="493"/>
    </row>
    <row r="62" spans="2:15" ht="17.25" customHeight="1" x14ac:dyDescent="0.3">
      <c r="B62" s="496"/>
      <c r="C62" s="638"/>
      <c r="D62" s="638"/>
      <c r="E62" s="638"/>
      <c r="F62" s="638"/>
      <c r="G62" s="638"/>
      <c r="H62" s="638"/>
      <c r="I62" s="638"/>
      <c r="J62" s="638"/>
      <c r="K62" s="638"/>
      <c r="L62" s="638"/>
      <c r="M62" s="496"/>
      <c r="N62" s="525"/>
      <c r="O62" s="493"/>
    </row>
    <row r="63" spans="2:15" ht="17.25" customHeight="1" x14ac:dyDescent="0.3">
      <c r="B63" s="499"/>
      <c r="C63" s="637"/>
      <c r="D63" s="637"/>
      <c r="E63" s="637"/>
      <c r="F63" s="637"/>
      <c r="G63" s="637"/>
      <c r="H63" s="637"/>
      <c r="I63" s="637"/>
      <c r="J63" s="637"/>
      <c r="K63" s="637"/>
      <c r="L63" s="637"/>
      <c r="M63" s="499"/>
      <c r="N63" s="525"/>
      <c r="O63" s="493"/>
    </row>
    <row r="64" spans="2:15" ht="17.25" customHeight="1" x14ac:dyDescent="0.3">
      <c r="B64" s="496"/>
      <c r="C64" s="638"/>
      <c r="D64" s="638"/>
      <c r="E64" s="638"/>
      <c r="F64" s="638"/>
      <c r="G64" s="638"/>
      <c r="H64" s="638"/>
      <c r="I64" s="638"/>
      <c r="J64" s="638"/>
      <c r="K64" s="638"/>
      <c r="L64" s="638"/>
      <c r="M64" s="496"/>
      <c r="N64" s="525"/>
      <c r="O64" s="493"/>
    </row>
    <row r="65" spans="2:15" ht="17.25" customHeight="1" x14ac:dyDescent="0.3">
      <c r="B65" s="499"/>
      <c r="C65" s="637"/>
      <c r="D65" s="637"/>
      <c r="E65" s="637"/>
      <c r="F65" s="637"/>
      <c r="G65" s="637"/>
      <c r="H65" s="637"/>
      <c r="I65" s="637"/>
      <c r="J65" s="637"/>
      <c r="K65" s="637"/>
      <c r="L65" s="637"/>
      <c r="M65" s="499"/>
      <c r="N65" s="525"/>
      <c r="O65" s="493"/>
    </row>
    <row r="66" spans="2:15" ht="17.25" customHeight="1" x14ac:dyDescent="0.3">
      <c r="B66" s="496"/>
      <c r="C66" s="638"/>
      <c r="D66" s="638"/>
      <c r="E66" s="638"/>
      <c r="F66" s="638"/>
      <c r="G66" s="638"/>
      <c r="H66" s="638"/>
      <c r="I66" s="638"/>
      <c r="J66" s="638"/>
      <c r="K66" s="638"/>
      <c r="L66" s="638"/>
      <c r="M66" s="496"/>
      <c r="N66" s="525"/>
      <c r="O66" s="493"/>
    </row>
    <row r="67" spans="2:15" ht="17.25" customHeight="1" x14ac:dyDescent="0.3">
      <c r="B67" s="499"/>
      <c r="C67" s="637"/>
      <c r="D67" s="637"/>
      <c r="E67" s="637"/>
      <c r="F67" s="637"/>
      <c r="G67" s="637"/>
      <c r="H67" s="637"/>
      <c r="I67" s="637"/>
      <c r="J67" s="637"/>
      <c r="K67" s="637"/>
      <c r="L67" s="637"/>
      <c r="M67" s="499"/>
      <c r="N67" s="525"/>
      <c r="O67" s="493"/>
    </row>
    <row r="68" spans="2:15" ht="17.25" customHeight="1" x14ac:dyDescent="0.3">
      <c r="B68" s="496"/>
      <c r="C68" s="638"/>
      <c r="D68" s="638"/>
      <c r="E68" s="638"/>
      <c r="F68" s="638"/>
      <c r="G68" s="638"/>
      <c r="H68" s="638"/>
      <c r="I68" s="638"/>
      <c r="J68" s="638"/>
      <c r="K68" s="638"/>
      <c r="L68" s="638"/>
      <c r="M68" s="497"/>
      <c r="N68" s="525"/>
      <c r="O68" s="493"/>
    </row>
    <row r="69" spans="2:15" ht="17.25" customHeight="1" x14ac:dyDescent="0.3">
      <c r="B69" s="499"/>
      <c r="C69" s="637"/>
      <c r="D69" s="637"/>
      <c r="E69" s="637"/>
      <c r="F69" s="637"/>
      <c r="G69" s="637"/>
      <c r="H69" s="637"/>
      <c r="I69" s="637"/>
      <c r="J69" s="637"/>
      <c r="K69" s="637"/>
      <c r="L69" s="637"/>
      <c r="M69" s="499"/>
      <c r="N69" s="525"/>
      <c r="O69" s="493"/>
    </row>
    <row r="70" spans="2:15" ht="17.25" customHeight="1" x14ac:dyDescent="0.3">
      <c r="B70" s="496"/>
      <c r="C70" s="638"/>
      <c r="D70" s="638"/>
      <c r="E70" s="638"/>
      <c r="F70" s="638"/>
      <c r="G70" s="638"/>
      <c r="H70" s="638"/>
      <c r="I70" s="638"/>
      <c r="J70" s="638"/>
      <c r="K70" s="638"/>
      <c r="L70" s="638"/>
      <c r="M70" s="496"/>
      <c r="N70" s="525"/>
      <c r="O70" s="493"/>
    </row>
    <row r="71" spans="2:15" ht="17.25" customHeight="1" x14ac:dyDescent="0.3">
      <c r="B71" s="499"/>
      <c r="C71" s="637"/>
      <c r="D71" s="637"/>
      <c r="E71" s="637"/>
      <c r="F71" s="637"/>
      <c r="G71" s="637"/>
      <c r="H71" s="637"/>
      <c r="I71" s="637"/>
      <c r="J71" s="637"/>
      <c r="K71" s="637"/>
      <c r="L71" s="637"/>
      <c r="M71" s="499"/>
      <c r="N71" s="525"/>
      <c r="O71" s="493"/>
    </row>
    <row r="72" spans="2:15" ht="17.25" customHeight="1" x14ac:dyDescent="0.3">
      <c r="B72" s="496"/>
      <c r="C72" s="638"/>
      <c r="D72" s="638"/>
      <c r="E72" s="638"/>
      <c r="F72" s="638"/>
      <c r="G72" s="638"/>
      <c r="H72" s="638"/>
      <c r="I72" s="638"/>
      <c r="J72" s="638"/>
      <c r="K72" s="638"/>
      <c r="L72" s="638"/>
      <c r="M72" s="496"/>
      <c r="N72" s="525"/>
      <c r="O72" s="493"/>
    </row>
    <row r="73" spans="2:15" ht="17.25" customHeight="1" x14ac:dyDescent="0.3">
      <c r="B73" s="499"/>
      <c r="C73" s="637"/>
      <c r="D73" s="637"/>
      <c r="E73" s="637"/>
      <c r="F73" s="637"/>
      <c r="G73" s="637"/>
      <c r="H73" s="637"/>
      <c r="I73" s="637"/>
      <c r="J73" s="637"/>
      <c r="K73" s="637"/>
      <c r="L73" s="637"/>
      <c r="M73" s="499"/>
      <c r="N73" s="525"/>
      <c r="O73" s="493"/>
    </row>
    <row r="74" spans="2:15" ht="17.25" customHeight="1" x14ac:dyDescent="0.3">
      <c r="B74" s="496"/>
      <c r="C74" s="638"/>
      <c r="D74" s="638"/>
      <c r="E74" s="638"/>
      <c r="F74" s="638"/>
      <c r="G74" s="638"/>
      <c r="H74" s="638"/>
      <c r="I74" s="638"/>
      <c r="J74" s="638"/>
      <c r="K74" s="638"/>
      <c r="L74" s="638"/>
      <c r="M74" s="496"/>
      <c r="N74" s="525"/>
      <c r="O74" s="493"/>
    </row>
    <row r="75" spans="2:15" ht="17.25" customHeight="1" x14ac:dyDescent="0.3">
      <c r="B75" s="499"/>
      <c r="C75" s="637"/>
      <c r="D75" s="637"/>
      <c r="E75" s="637"/>
      <c r="F75" s="637"/>
      <c r="G75" s="637"/>
      <c r="H75" s="637"/>
      <c r="I75" s="637"/>
      <c r="J75" s="637"/>
      <c r="K75" s="637"/>
      <c r="L75" s="637"/>
      <c r="M75" s="499"/>
      <c r="N75" s="525"/>
      <c r="O75" s="493"/>
    </row>
    <row r="76" spans="2:15" ht="17.25" customHeight="1" x14ac:dyDescent="0.3">
      <c r="B76" s="496"/>
      <c r="C76" s="638"/>
      <c r="D76" s="638"/>
      <c r="E76" s="638"/>
      <c r="F76" s="638"/>
      <c r="G76" s="638"/>
      <c r="H76" s="638"/>
      <c r="I76" s="638"/>
      <c r="J76" s="638"/>
      <c r="K76" s="638"/>
      <c r="L76" s="638"/>
      <c r="M76" s="497"/>
      <c r="N76" s="525"/>
      <c r="O76" s="493"/>
    </row>
    <row r="77" spans="2:15" ht="17.25" customHeight="1" x14ac:dyDescent="0.3">
      <c r="B77" s="499"/>
      <c r="C77" s="637"/>
      <c r="D77" s="637"/>
      <c r="E77" s="637"/>
      <c r="F77" s="637"/>
      <c r="G77" s="637"/>
      <c r="H77" s="637"/>
      <c r="I77" s="637"/>
      <c r="J77" s="637"/>
      <c r="K77" s="637"/>
      <c r="L77" s="637"/>
      <c r="M77" s="499"/>
      <c r="N77" s="525"/>
      <c r="O77" s="493"/>
    </row>
    <row r="78" spans="2:15" ht="17.25" customHeight="1" x14ac:dyDescent="0.3">
      <c r="B78" s="496"/>
      <c r="C78" s="638"/>
      <c r="D78" s="638"/>
      <c r="E78" s="638"/>
      <c r="F78" s="638"/>
      <c r="G78" s="638"/>
      <c r="H78" s="638"/>
      <c r="I78" s="638"/>
      <c r="J78" s="638"/>
      <c r="K78" s="638"/>
      <c r="L78" s="638"/>
      <c r="M78" s="496"/>
      <c r="N78" s="525"/>
      <c r="O78" s="493"/>
    </row>
    <row r="79" spans="2:15" ht="17.25" customHeight="1" x14ac:dyDescent="0.3">
      <c r="B79" s="499"/>
      <c r="C79" s="637"/>
      <c r="D79" s="637"/>
      <c r="E79" s="637"/>
      <c r="F79" s="637"/>
      <c r="G79" s="637"/>
      <c r="H79" s="637"/>
      <c r="I79" s="637"/>
      <c r="J79" s="637"/>
      <c r="K79" s="637"/>
      <c r="L79" s="637"/>
      <c r="M79" s="499"/>
      <c r="N79" s="525"/>
      <c r="O79" s="493"/>
    </row>
    <row r="80" spans="2:15" ht="17.25" customHeight="1" x14ac:dyDescent="0.3">
      <c r="B80" s="496"/>
      <c r="C80" s="638"/>
      <c r="D80" s="638"/>
      <c r="E80" s="638"/>
      <c r="F80" s="638"/>
      <c r="G80" s="638"/>
      <c r="H80" s="638"/>
      <c r="I80" s="638"/>
      <c r="J80" s="638"/>
      <c r="K80" s="638"/>
      <c r="L80" s="638"/>
      <c r="M80" s="496"/>
      <c r="N80" s="525"/>
      <c r="O80" s="493"/>
    </row>
    <row r="81" spans="2:15" ht="17.25" customHeight="1" x14ac:dyDescent="0.3">
      <c r="B81" s="499"/>
      <c r="C81" s="637"/>
      <c r="D81" s="637"/>
      <c r="E81" s="637"/>
      <c r="F81" s="637"/>
      <c r="G81" s="637"/>
      <c r="H81" s="637"/>
      <c r="I81" s="637"/>
      <c r="J81" s="637"/>
      <c r="K81" s="637"/>
      <c r="L81" s="637"/>
      <c r="M81" s="499"/>
      <c r="N81" s="525"/>
      <c r="O81" s="493"/>
    </row>
    <row r="82" spans="2:15" ht="17.25" customHeight="1" x14ac:dyDescent="0.3">
      <c r="B82" s="496"/>
      <c r="C82" s="638"/>
      <c r="D82" s="638"/>
      <c r="E82" s="638"/>
      <c r="F82" s="638"/>
      <c r="G82" s="638"/>
      <c r="H82" s="638"/>
      <c r="I82" s="638"/>
      <c r="J82" s="638"/>
      <c r="K82" s="638"/>
      <c r="L82" s="638"/>
      <c r="M82" s="496"/>
      <c r="N82" s="525"/>
      <c r="O82" s="493"/>
    </row>
    <row r="83" spans="2:15" ht="17.25" customHeight="1" x14ac:dyDescent="0.3">
      <c r="B83" s="499"/>
      <c r="C83" s="637"/>
      <c r="D83" s="637"/>
      <c r="E83" s="637"/>
      <c r="F83" s="637"/>
      <c r="G83" s="637"/>
      <c r="H83" s="637"/>
      <c r="I83" s="637"/>
      <c r="J83" s="637"/>
      <c r="K83" s="637"/>
      <c r="L83" s="637"/>
      <c r="M83" s="499"/>
      <c r="N83" s="525"/>
      <c r="O83" s="493"/>
    </row>
    <row r="84" spans="2:15" ht="17.25" customHeight="1" x14ac:dyDescent="0.3">
      <c r="B84" s="496"/>
      <c r="C84" s="638"/>
      <c r="D84" s="638"/>
      <c r="E84" s="638"/>
      <c r="F84" s="638"/>
      <c r="G84" s="638"/>
      <c r="H84" s="638"/>
      <c r="I84" s="638"/>
      <c r="J84" s="638"/>
      <c r="K84" s="638"/>
      <c r="L84" s="638"/>
      <c r="M84" s="496"/>
      <c r="N84" s="525"/>
      <c r="O84" s="493"/>
    </row>
    <row r="85" spans="2:15" ht="17.25" customHeight="1" x14ac:dyDescent="0.3">
      <c r="B85" s="499"/>
      <c r="C85" s="637"/>
      <c r="D85" s="637"/>
      <c r="E85" s="637"/>
      <c r="F85" s="637"/>
      <c r="G85" s="637"/>
      <c r="H85" s="637"/>
      <c r="I85" s="637"/>
      <c r="J85" s="637"/>
      <c r="K85" s="637"/>
      <c r="L85" s="637"/>
      <c r="M85" s="500"/>
      <c r="N85" s="525"/>
      <c r="O85" s="493"/>
    </row>
    <row r="86" spans="2:15" ht="17.25" customHeight="1" x14ac:dyDescent="0.3">
      <c r="B86" s="496"/>
      <c r="C86" s="638"/>
      <c r="D86" s="638"/>
      <c r="E86" s="638"/>
      <c r="F86" s="638"/>
      <c r="G86" s="638"/>
      <c r="H86" s="638"/>
      <c r="I86" s="638"/>
      <c r="J86" s="638"/>
      <c r="K86" s="638"/>
      <c r="L86" s="638"/>
      <c r="M86" s="496"/>
      <c r="N86" s="525"/>
      <c r="O86" s="493"/>
    </row>
    <row r="87" spans="2:15" ht="17.25" customHeight="1" x14ac:dyDescent="0.3">
      <c r="B87" s="499"/>
      <c r="C87" s="637"/>
      <c r="D87" s="637"/>
      <c r="E87" s="637"/>
      <c r="F87" s="637"/>
      <c r="G87" s="637"/>
      <c r="H87" s="637"/>
      <c r="I87" s="637"/>
      <c r="J87" s="637"/>
      <c r="K87" s="637"/>
      <c r="L87" s="637"/>
      <c r="M87" s="499"/>
      <c r="N87" s="525"/>
      <c r="O87" s="493"/>
    </row>
    <row r="88" spans="2:15" ht="17.25" customHeight="1" x14ac:dyDescent="0.3">
      <c r="B88" s="496"/>
      <c r="C88" s="638"/>
      <c r="D88" s="638"/>
      <c r="E88" s="638"/>
      <c r="F88" s="638"/>
      <c r="G88" s="638"/>
      <c r="H88" s="638"/>
      <c r="I88" s="638"/>
      <c r="J88" s="638"/>
      <c r="K88" s="638"/>
      <c r="L88" s="638"/>
      <c r="M88" s="496"/>
      <c r="N88" s="525"/>
      <c r="O88" s="493"/>
    </row>
    <row r="89" spans="2:15" ht="17.25" customHeight="1" x14ac:dyDescent="0.3">
      <c r="B89" s="499"/>
      <c r="C89" s="637"/>
      <c r="D89" s="637"/>
      <c r="E89" s="637"/>
      <c r="F89" s="637"/>
      <c r="G89" s="637"/>
      <c r="H89" s="637"/>
      <c r="I89" s="637"/>
      <c r="J89" s="637"/>
      <c r="K89" s="637"/>
      <c r="L89" s="637"/>
      <c r="M89" s="499"/>
      <c r="N89" s="525"/>
      <c r="O89" s="493"/>
    </row>
    <row r="90" spans="2:15" ht="17.25" customHeight="1" x14ac:dyDescent="0.3">
      <c r="B90" s="496"/>
      <c r="C90" s="638"/>
      <c r="D90" s="638"/>
      <c r="E90" s="638"/>
      <c r="F90" s="638"/>
      <c r="G90" s="638"/>
      <c r="H90" s="638"/>
      <c r="I90" s="638"/>
      <c r="J90" s="638"/>
      <c r="K90" s="638"/>
      <c r="L90" s="638"/>
      <c r="M90" s="496"/>
      <c r="N90" s="525"/>
      <c r="O90" s="493"/>
    </row>
    <row r="91" spans="2:15" ht="17.25" customHeight="1" x14ac:dyDescent="0.3">
      <c r="B91" s="499"/>
      <c r="C91" s="637"/>
      <c r="D91" s="637"/>
      <c r="E91" s="637"/>
      <c r="F91" s="637"/>
      <c r="G91" s="637"/>
      <c r="H91" s="637"/>
      <c r="I91" s="637"/>
      <c r="J91" s="637"/>
      <c r="K91" s="637"/>
      <c r="L91" s="637"/>
      <c r="M91" s="499"/>
      <c r="N91" s="525"/>
      <c r="O91" s="493"/>
    </row>
    <row r="92" spans="2:15" ht="17.25" customHeight="1" x14ac:dyDescent="0.3">
      <c r="B92" s="496"/>
      <c r="C92" s="638"/>
      <c r="D92" s="638"/>
      <c r="E92" s="638"/>
      <c r="F92" s="638"/>
      <c r="G92" s="638"/>
      <c r="H92" s="638"/>
      <c r="I92" s="638"/>
      <c r="J92" s="638"/>
      <c r="K92" s="638"/>
      <c r="L92" s="638"/>
      <c r="M92" s="496"/>
      <c r="N92" s="525"/>
      <c r="O92" s="493"/>
    </row>
    <row r="93" spans="2:15" ht="17.25" customHeight="1" x14ac:dyDescent="0.3">
      <c r="B93" s="499"/>
      <c r="C93" s="637"/>
      <c r="D93" s="637"/>
      <c r="E93" s="637"/>
      <c r="F93" s="637"/>
      <c r="G93" s="637"/>
      <c r="H93" s="637"/>
      <c r="I93" s="637"/>
      <c r="J93" s="637"/>
      <c r="K93" s="637"/>
      <c r="L93" s="637"/>
      <c r="M93" s="500"/>
      <c r="N93" s="525"/>
      <c r="O93" s="493"/>
    </row>
    <row r="94" spans="2:15" ht="17.25" customHeight="1" x14ac:dyDescent="0.3">
      <c r="B94" s="496"/>
      <c r="C94" s="638"/>
      <c r="D94" s="638"/>
      <c r="E94" s="638"/>
      <c r="F94" s="638"/>
      <c r="G94" s="638"/>
      <c r="H94" s="638"/>
      <c r="I94" s="638"/>
      <c r="J94" s="638"/>
      <c r="K94" s="638"/>
      <c r="L94" s="638"/>
      <c r="M94" s="496"/>
      <c r="N94" s="525"/>
      <c r="O94" s="493"/>
    </row>
    <row r="95" spans="2:15" ht="18" customHeight="1" x14ac:dyDescent="0.3">
      <c r="N95" s="62"/>
    </row>
    <row r="96" spans="2:15" ht="18" customHeight="1" x14ac:dyDescent="0.3">
      <c r="N96" s="62"/>
    </row>
    <row r="97" spans="14:14" ht="18" customHeight="1" x14ac:dyDescent="0.3">
      <c r="N97" s="62"/>
    </row>
    <row r="98" spans="14:14" ht="18" customHeight="1" x14ac:dyDescent="0.3">
      <c r="N98" s="62"/>
    </row>
    <row r="99" spans="14:14" ht="18" customHeight="1" x14ac:dyDescent="0.3">
      <c r="N99" s="62"/>
    </row>
    <row r="100" spans="14:14" ht="18" customHeight="1" x14ac:dyDescent="0.3">
      <c r="N100" s="62"/>
    </row>
    <row r="101" spans="14:14" ht="18" customHeight="1" x14ac:dyDescent="0.3">
      <c r="N101" s="62"/>
    </row>
    <row r="102" spans="14:14" ht="18" customHeight="1" x14ac:dyDescent="0.3">
      <c r="N102" s="62"/>
    </row>
    <row r="103" spans="14:14" ht="18" customHeight="1" x14ac:dyDescent="0.3">
      <c r="N103" s="62"/>
    </row>
    <row r="104" spans="14:14" ht="18" customHeight="1" x14ac:dyDescent="0.3">
      <c r="N104" s="62"/>
    </row>
    <row r="105" spans="14:14" ht="18" customHeight="1" x14ac:dyDescent="0.3">
      <c r="N105" s="62"/>
    </row>
    <row r="106" spans="14:14" ht="18" customHeight="1" x14ac:dyDescent="0.3">
      <c r="N106" s="62"/>
    </row>
    <row r="107" spans="14:14" ht="18" customHeight="1" x14ac:dyDescent="0.3">
      <c r="N107" s="62"/>
    </row>
    <row r="108" spans="14:14" ht="18" customHeight="1" x14ac:dyDescent="0.3">
      <c r="N108" s="62"/>
    </row>
    <row r="109" spans="14:14" ht="18" customHeight="1" x14ac:dyDescent="0.3">
      <c r="N109" s="62"/>
    </row>
    <row r="110" spans="14:14" ht="18" customHeight="1" x14ac:dyDescent="0.3">
      <c r="N110" s="62"/>
    </row>
    <row r="111" spans="14:14" ht="18" customHeight="1" x14ac:dyDescent="0.3">
      <c r="N111" s="62"/>
    </row>
    <row r="112" spans="14:14" ht="18" customHeight="1" x14ac:dyDescent="0.3">
      <c r="N112" s="62"/>
    </row>
    <row r="113" spans="14:14" ht="18" customHeight="1" x14ac:dyDescent="0.3">
      <c r="N113" s="62"/>
    </row>
    <row r="114" spans="14:14" ht="18" customHeight="1" x14ac:dyDescent="0.3">
      <c r="N114" s="62"/>
    </row>
    <row r="115" spans="14:14" ht="18" customHeight="1" x14ac:dyDescent="0.3">
      <c r="N115" s="62"/>
    </row>
    <row r="116" spans="14:14" ht="18" customHeight="1" x14ac:dyDescent="0.3">
      <c r="N116" s="62"/>
    </row>
    <row r="117" spans="14:14" ht="18" customHeight="1" x14ac:dyDescent="0.3">
      <c r="N117" s="62"/>
    </row>
    <row r="118" spans="14:14" ht="18" customHeight="1" x14ac:dyDescent="0.3">
      <c r="N118" s="62"/>
    </row>
    <row r="119" spans="14:14" ht="18" customHeight="1" x14ac:dyDescent="0.3">
      <c r="N119" s="62"/>
    </row>
    <row r="120" spans="14:14" ht="18" customHeight="1" x14ac:dyDescent="0.3">
      <c r="N120" s="62"/>
    </row>
    <row r="121" spans="14:14" ht="18" customHeight="1" x14ac:dyDescent="0.3">
      <c r="N121" s="62"/>
    </row>
    <row r="122" spans="14:14" ht="18" customHeight="1" x14ac:dyDescent="0.3">
      <c r="N122" s="62"/>
    </row>
    <row r="123" spans="14:14" ht="18" customHeight="1" x14ac:dyDescent="0.3">
      <c r="N123" s="62"/>
    </row>
    <row r="124" spans="14:14" ht="18" customHeight="1" x14ac:dyDescent="0.3">
      <c r="N124" s="62"/>
    </row>
    <row r="125" spans="14:14" ht="18" customHeight="1" x14ac:dyDescent="0.3">
      <c r="N125" s="62"/>
    </row>
    <row r="126" spans="14:14" ht="18" customHeight="1" x14ac:dyDescent="0.3">
      <c r="N126" s="62"/>
    </row>
    <row r="127" spans="14:14" ht="18" customHeight="1" x14ac:dyDescent="0.3">
      <c r="N127" s="62"/>
    </row>
    <row r="128" spans="14:14" ht="18" customHeight="1" x14ac:dyDescent="0.3">
      <c r="N128" s="62"/>
    </row>
    <row r="129" spans="14:14" ht="18" customHeight="1" x14ac:dyDescent="0.3">
      <c r="N129" s="62"/>
    </row>
    <row r="130" spans="14:14" ht="18" customHeight="1" x14ac:dyDescent="0.3">
      <c r="N130" s="62"/>
    </row>
    <row r="131" spans="14:14" ht="18" customHeight="1" x14ac:dyDescent="0.3">
      <c r="N131" s="62"/>
    </row>
    <row r="132" spans="14:14" ht="18" customHeight="1" x14ac:dyDescent="0.3">
      <c r="N132" s="62"/>
    </row>
    <row r="133" spans="14:14" ht="18" customHeight="1" x14ac:dyDescent="0.3">
      <c r="N133" s="62"/>
    </row>
    <row r="134" spans="14:14" ht="18" customHeight="1" x14ac:dyDescent="0.3">
      <c r="N134" s="62"/>
    </row>
    <row r="135" spans="14:14" ht="18" customHeight="1" x14ac:dyDescent="0.3">
      <c r="N135" s="62"/>
    </row>
    <row r="136" spans="14:14" ht="18" customHeight="1" x14ac:dyDescent="0.3">
      <c r="N136" s="62"/>
    </row>
    <row r="137" spans="14:14" ht="18" customHeight="1" x14ac:dyDescent="0.3">
      <c r="N137" s="62"/>
    </row>
    <row r="138" spans="14:14" ht="18" customHeight="1" x14ac:dyDescent="0.3">
      <c r="N138" s="62"/>
    </row>
    <row r="139" spans="14:14" ht="18" customHeight="1" x14ac:dyDescent="0.3">
      <c r="N139" s="62"/>
    </row>
    <row r="140" spans="14:14" ht="18" customHeight="1" x14ac:dyDescent="0.3">
      <c r="N140" s="62"/>
    </row>
    <row r="141" spans="14:14" ht="18" customHeight="1" x14ac:dyDescent="0.3">
      <c r="N141" s="62"/>
    </row>
    <row r="142" spans="14:14" ht="18" customHeight="1" x14ac:dyDescent="0.3">
      <c r="N142" s="62"/>
    </row>
    <row r="143" spans="14:14" ht="18" customHeight="1" x14ac:dyDescent="0.3">
      <c r="N143" s="62"/>
    </row>
    <row r="144" spans="14:14" ht="18" customHeight="1" x14ac:dyDescent="0.3">
      <c r="N144" s="62"/>
    </row>
    <row r="145" spans="14:14" ht="18" customHeight="1" x14ac:dyDescent="0.3">
      <c r="N145" s="62"/>
    </row>
    <row r="146" spans="14:14" ht="18" customHeight="1" x14ac:dyDescent="0.3">
      <c r="N146" s="62"/>
    </row>
    <row r="147" spans="14:14" ht="18" customHeight="1" x14ac:dyDescent="0.3">
      <c r="N147" s="62"/>
    </row>
    <row r="148" spans="14:14" ht="18" customHeight="1" x14ac:dyDescent="0.3">
      <c r="N148" s="62"/>
    </row>
    <row r="149" spans="14:14" ht="18" customHeight="1" x14ac:dyDescent="0.3">
      <c r="N149" s="62"/>
    </row>
    <row r="150" spans="14:14" ht="18" customHeight="1" x14ac:dyDescent="0.3">
      <c r="N150" s="62"/>
    </row>
    <row r="151" spans="14:14" ht="18" customHeight="1" x14ac:dyDescent="0.3">
      <c r="N151" s="62"/>
    </row>
    <row r="152" spans="14:14" ht="18" customHeight="1" x14ac:dyDescent="0.3">
      <c r="N152" s="62"/>
    </row>
    <row r="153" spans="14:14" ht="18" customHeight="1" x14ac:dyDescent="0.3">
      <c r="N153" s="62"/>
    </row>
    <row r="154" spans="14:14" ht="18" customHeight="1" x14ac:dyDescent="0.3">
      <c r="N154" s="62"/>
    </row>
    <row r="155" spans="14:14" ht="18" customHeight="1" x14ac:dyDescent="0.3">
      <c r="N155" s="62"/>
    </row>
    <row r="156" spans="14:14" ht="18" customHeight="1" x14ac:dyDescent="0.3">
      <c r="N156" s="62"/>
    </row>
    <row r="157" spans="14:14" ht="18" customHeight="1" x14ac:dyDescent="0.3">
      <c r="N157" s="62"/>
    </row>
    <row r="158" spans="14:14" ht="18" customHeight="1" x14ac:dyDescent="0.3">
      <c r="N158" s="62"/>
    </row>
    <row r="159" spans="14:14" ht="18" customHeight="1" x14ac:dyDescent="0.3">
      <c r="N159" s="62"/>
    </row>
    <row r="160" spans="14:14" ht="18" customHeight="1" x14ac:dyDescent="0.3">
      <c r="N160" s="62"/>
    </row>
    <row r="161" spans="14:14" ht="18" customHeight="1" x14ac:dyDescent="0.3">
      <c r="N161" s="62"/>
    </row>
    <row r="162" spans="14:14" ht="18" customHeight="1" x14ac:dyDescent="0.3">
      <c r="N162" s="62"/>
    </row>
    <row r="163" spans="14:14" ht="18" customHeight="1" x14ac:dyDescent="0.3">
      <c r="N163" s="62"/>
    </row>
    <row r="164" spans="14:14" ht="18" customHeight="1" x14ac:dyDescent="0.3">
      <c r="N164" s="62"/>
    </row>
    <row r="165" spans="14:14" ht="18" customHeight="1" x14ac:dyDescent="0.3">
      <c r="N165" s="62"/>
    </row>
    <row r="166" spans="14:14" ht="18" customHeight="1" x14ac:dyDescent="0.3">
      <c r="N166" s="62"/>
    </row>
    <row r="167" spans="14:14" ht="18" customHeight="1" x14ac:dyDescent="0.3">
      <c r="N167" s="62"/>
    </row>
    <row r="168" spans="14:14" ht="18" customHeight="1" x14ac:dyDescent="0.3">
      <c r="N168" s="62"/>
    </row>
    <row r="169" spans="14:14" ht="18" customHeight="1" x14ac:dyDescent="0.3">
      <c r="N169" s="62"/>
    </row>
    <row r="170" spans="14:14" ht="18" customHeight="1" x14ac:dyDescent="0.3">
      <c r="N170" s="62"/>
    </row>
    <row r="171" spans="14:14" ht="18" customHeight="1" x14ac:dyDescent="0.3">
      <c r="N171" s="62"/>
    </row>
    <row r="172" spans="14:14" ht="18" customHeight="1" x14ac:dyDescent="0.3">
      <c r="N172" s="62"/>
    </row>
    <row r="173" spans="14:14" ht="18" customHeight="1" x14ac:dyDescent="0.3">
      <c r="N173" s="62"/>
    </row>
    <row r="174" spans="14:14" ht="18" customHeight="1" x14ac:dyDescent="0.3">
      <c r="N174" s="62"/>
    </row>
    <row r="175" spans="14:14" ht="18" customHeight="1" x14ac:dyDescent="0.3">
      <c r="N175" s="62"/>
    </row>
    <row r="176" spans="14:14" ht="18" customHeight="1" x14ac:dyDescent="0.3">
      <c r="N176" s="62"/>
    </row>
    <row r="177" spans="14:14" ht="18" customHeight="1" x14ac:dyDescent="0.3">
      <c r="N177" s="62"/>
    </row>
    <row r="178" spans="14:14" ht="18" customHeight="1" x14ac:dyDescent="0.3">
      <c r="N178" s="62"/>
    </row>
    <row r="179" spans="14:14" ht="18" customHeight="1" x14ac:dyDescent="0.3">
      <c r="N179" s="62"/>
    </row>
    <row r="180" spans="14:14" ht="18" customHeight="1" x14ac:dyDescent="0.3">
      <c r="N180" s="62"/>
    </row>
    <row r="181" spans="14:14" ht="18" customHeight="1" x14ac:dyDescent="0.3">
      <c r="N181" s="62"/>
    </row>
    <row r="182" spans="14:14" ht="18" customHeight="1" x14ac:dyDescent="0.3">
      <c r="N182" s="62"/>
    </row>
    <row r="183" spans="14:14" ht="18" customHeight="1" x14ac:dyDescent="0.3">
      <c r="N183" s="62"/>
    </row>
    <row r="184" spans="14:14" ht="18" customHeight="1" x14ac:dyDescent="0.3">
      <c r="N184" s="62"/>
    </row>
    <row r="185" spans="14:14" ht="18" customHeight="1" x14ac:dyDescent="0.3">
      <c r="N185" s="62"/>
    </row>
    <row r="186" spans="14:14" ht="18" customHeight="1" x14ac:dyDescent="0.3">
      <c r="N186" s="62"/>
    </row>
    <row r="187" spans="14:14" ht="18" customHeight="1" x14ac:dyDescent="0.3">
      <c r="N187" s="62"/>
    </row>
    <row r="188" spans="14:14" ht="18" customHeight="1" x14ac:dyDescent="0.3">
      <c r="N188" s="62"/>
    </row>
    <row r="189" spans="14:14" ht="18" customHeight="1" x14ac:dyDescent="0.3">
      <c r="N189" s="62"/>
    </row>
    <row r="190" spans="14:14" ht="18" customHeight="1" x14ac:dyDescent="0.3">
      <c r="N190" s="62"/>
    </row>
    <row r="191" spans="14:14" ht="18" customHeight="1" x14ac:dyDescent="0.3">
      <c r="N191" s="62"/>
    </row>
    <row r="192" spans="14:14" ht="18" customHeight="1" x14ac:dyDescent="0.3">
      <c r="N192" s="62"/>
    </row>
    <row r="193" spans="14:14" ht="18" customHeight="1" x14ac:dyDescent="0.3">
      <c r="N193" s="62"/>
    </row>
    <row r="194" spans="14:14" ht="18" customHeight="1" x14ac:dyDescent="0.3">
      <c r="N194" s="62"/>
    </row>
    <row r="195" spans="14:14" ht="18" customHeight="1" x14ac:dyDescent="0.3">
      <c r="N195" s="62"/>
    </row>
    <row r="196" spans="14:14" ht="18" customHeight="1" x14ac:dyDescent="0.3">
      <c r="N196" s="62"/>
    </row>
    <row r="197" spans="14:14" ht="18" customHeight="1" x14ac:dyDescent="0.3">
      <c r="N197" s="62"/>
    </row>
    <row r="198" spans="14:14" ht="18" customHeight="1" x14ac:dyDescent="0.3">
      <c r="N198" s="62"/>
    </row>
    <row r="199" spans="14:14" ht="18" customHeight="1" x14ac:dyDescent="0.3">
      <c r="N199" s="62"/>
    </row>
    <row r="200" spans="14:14" ht="18" customHeight="1" x14ac:dyDescent="0.3">
      <c r="N200" s="62"/>
    </row>
    <row r="201" spans="14:14" ht="18" customHeight="1" x14ac:dyDescent="0.3">
      <c r="N201" s="62"/>
    </row>
    <row r="202" spans="14:14" ht="18" customHeight="1" x14ac:dyDescent="0.3">
      <c r="N202" s="62"/>
    </row>
    <row r="203" spans="14:14" ht="18" customHeight="1" x14ac:dyDescent="0.3">
      <c r="N203" s="62"/>
    </row>
    <row r="204" spans="14:14" ht="18" customHeight="1" x14ac:dyDescent="0.3">
      <c r="N204" s="62"/>
    </row>
    <row r="205" spans="14:14" ht="18" customHeight="1" x14ac:dyDescent="0.3">
      <c r="N205" s="62"/>
    </row>
    <row r="206" spans="14:14" ht="18" customHeight="1" x14ac:dyDescent="0.3">
      <c r="N206" s="62"/>
    </row>
    <row r="207" spans="14:14" ht="18" customHeight="1" x14ac:dyDescent="0.3">
      <c r="N207" s="62"/>
    </row>
    <row r="208" spans="14:14" ht="18" customHeight="1" x14ac:dyDescent="0.3">
      <c r="N208" s="62"/>
    </row>
    <row r="209" spans="14:14" ht="18" customHeight="1" x14ac:dyDescent="0.3">
      <c r="N209" s="62"/>
    </row>
    <row r="210" spans="14:14" ht="18" customHeight="1" x14ac:dyDescent="0.3">
      <c r="N210" s="62"/>
    </row>
    <row r="211" spans="14:14" ht="18" customHeight="1" x14ac:dyDescent="0.3">
      <c r="N211" s="62"/>
    </row>
    <row r="212" spans="14:14" ht="18" customHeight="1" x14ac:dyDescent="0.3">
      <c r="N212" s="62"/>
    </row>
    <row r="213" spans="14:14" ht="18" customHeight="1" x14ac:dyDescent="0.3">
      <c r="N213" s="62"/>
    </row>
    <row r="214" spans="14:14" ht="18" customHeight="1" x14ac:dyDescent="0.3">
      <c r="N214" s="62"/>
    </row>
    <row r="215" spans="14:14" ht="18" customHeight="1" x14ac:dyDescent="0.3">
      <c r="N215" s="62"/>
    </row>
    <row r="216" spans="14:14" ht="18" customHeight="1" x14ac:dyDescent="0.3">
      <c r="N216" s="62"/>
    </row>
    <row r="217" spans="14:14" ht="18" customHeight="1" x14ac:dyDescent="0.3">
      <c r="N217" s="62"/>
    </row>
    <row r="218" spans="14:14" ht="18" customHeight="1" x14ac:dyDescent="0.3">
      <c r="N218" s="62"/>
    </row>
    <row r="219" spans="14:14" ht="18" customHeight="1" x14ac:dyDescent="0.3">
      <c r="N219" s="62"/>
    </row>
    <row r="220" spans="14:14" ht="18" customHeight="1" x14ac:dyDescent="0.3">
      <c r="N220" s="62"/>
    </row>
    <row r="221" spans="14:14" ht="18" customHeight="1" x14ac:dyDescent="0.3">
      <c r="N221" s="62"/>
    </row>
    <row r="222" spans="14:14" ht="18" customHeight="1" x14ac:dyDescent="0.3">
      <c r="N222" s="62"/>
    </row>
    <row r="223" spans="14:14" ht="18" customHeight="1" x14ac:dyDescent="0.3">
      <c r="N223" s="62"/>
    </row>
    <row r="224" spans="14:14" ht="18" customHeight="1" x14ac:dyDescent="0.3">
      <c r="N224" s="62"/>
    </row>
    <row r="225" spans="14:14" ht="18" customHeight="1" x14ac:dyDescent="0.3">
      <c r="N225" s="62"/>
    </row>
    <row r="226" spans="14:14" ht="18" customHeight="1" x14ac:dyDescent="0.3">
      <c r="N226" s="62"/>
    </row>
    <row r="227" spans="14:14" ht="18" customHeight="1" x14ac:dyDescent="0.3">
      <c r="N227" s="62"/>
    </row>
    <row r="228" spans="14:14" ht="18" customHeight="1" x14ac:dyDescent="0.3">
      <c r="N228" s="62"/>
    </row>
    <row r="229" spans="14:14" ht="18" customHeight="1" x14ac:dyDescent="0.3">
      <c r="N229" s="62"/>
    </row>
    <row r="230" spans="14:14" ht="18" customHeight="1" x14ac:dyDescent="0.3">
      <c r="N230" s="62"/>
    </row>
    <row r="231" spans="14:14" ht="18" customHeight="1" x14ac:dyDescent="0.3">
      <c r="N231" s="62"/>
    </row>
    <row r="232" spans="14:14" ht="18" customHeight="1" x14ac:dyDescent="0.3">
      <c r="N232" s="62"/>
    </row>
    <row r="233" spans="14:14" ht="18" customHeight="1" x14ac:dyDescent="0.3">
      <c r="N233" s="62"/>
    </row>
    <row r="234" spans="14:14" ht="18" customHeight="1" x14ac:dyDescent="0.3">
      <c r="N234" s="62"/>
    </row>
    <row r="235" spans="14:14" ht="18" customHeight="1" x14ac:dyDescent="0.3">
      <c r="N235" s="62"/>
    </row>
    <row r="236" spans="14:14" ht="18" customHeight="1" x14ac:dyDescent="0.3">
      <c r="N236" s="62"/>
    </row>
    <row r="237" spans="14:14" ht="18" customHeight="1" x14ac:dyDescent="0.3">
      <c r="N237" s="62"/>
    </row>
    <row r="238" spans="14:14" ht="18" customHeight="1" x14ac:dyDescent="0.3">
      <c r="N238" s="62"/>
    </row>
    <row r="239" spans="14:14" ht="18" customHeight="1" x14ac:dyDescent="0.3">
      <c r="N239" s="62"/>
    </row>
    <row r="240" spans="14:14" ht="18" customHeight="1" x14ac:dyDescent="0.3">
      <c r="N240" s="62"/>
    </row>
    <row r="241" spans="14:14" ht="18" customHeight="1" x14ac:dyDescent="0.3">
      <c r="N241" s="62"/>
    </row>
    <row r="242" spans="14:14" ht="18" customHeight="1" x14ac:dyDescent="0.3">
      <c r="N242" s="62"/>
    </row>
    <row r="243" spans="14:14" ht="18" customHeight="1" x14ac:dyDescent="0.3">
      <c r="N243" s="62"/>
    </row>
    <row r="244" spans="14:14" ht="18" customHeight="1" x14ac:dyDescent="0.3">
      <c r="N244" s="62"/>
    </row>
    <row r="245" spans="14:14" ht="18" customHeight="1" x14ac:dyDescent="0.3">
      <c r="N245" s="62"/>
    </row>
    <row r="246" spans="14:14" ht="18" customHeight="1" x14ac:dyDescent="0.3">
      <c r="N246" s="62"/>
    </row>
    <row r="247" spans="14:14" ht="18" customHeight="1" x14ac:dyDescent="0.3">
      <c r="N247" s="62"/>
    </row>
    <row r="248" spans="14:14" ht="18" customHeight="1" x14ac:dyDescent="0.3">
      <c r="N248" s="62"/>
    </row>
    <row r="249" spans="14:14" ht="18" customHeight="1" x14ac:dyDescent="0.3">
      <c r="N249" s="62"/>
    </row>
    <row r="250" spans="14:14" ht="18" customHeight="1" x14ac:dyDescent="0.3">
      <c r="N250" s="62"/>
    </row>
    <row r="251" spans="14:14" ht="18" customHeight="1" x14ac:dyDescent="0.3">
      <c r="N251" s="62"/>
    </row>
    <row r="252" spans="14:14" ht="18" customHeight="1" x14ac:dyDescent="0.3">
      <c r="N252" s="62"/>
    </row>
    <row r="253" spans="14:14" ht="18" customHeight="1" x14ac:dyDescent="0.3">
      <c r="N253" s="62"/>
    </row>
    <row r="254" spans="14:14" ht="18" customHeight="1" x14ac:dyDescent="0.3">
      <c r="N254" s="62"/>
    </row>
    <row r="255" spans="14:14" ht="18" customHeight="1" x14ac:dyDescent="0.3">
      <c r="N255" s="62"/>
    </row>
    <row r="256" spans="14:14" ht="18" customHeight="1" x14ac:dyDescent="0.3">
      <c r="N256" s="62"/>
    </row>
    <row r="257" spans="14:14" ht="18" customHeight="1" x14ac:dyDescent="0.3">
      <c r="N257" s="62"/>
    </row>
    <row r="258" spans="14:14" ht="18" customHeight="1" x14ac:dyDescent="0.3">
      <c r="N258" s="62"/>
    </row>
    <row r="259" spans="14:14" ht="18" customHeight="1" x14ac:dyDescent="0.3">
      <c r="N259" s="62"/>
    </row>
    <row r="260" spans="14:14" ht="18" customHeight="1" x14ac:dyDescent="0.3">
      <c r="N260" s="62"/>
    </row>
    <row r="261" spans="14:14" ht="18" customHeight="1" x14ac:dyDescent="0.3">
      <c r="N261" s="62"/>
    </row>
    <row r="262" spans="14:14" ht="18" customHeight="1" x14ac:dyDescent="0.3">
      <c r="N262" s="62"/>
    </row>
    <row r="263" spans="14:14" ht="18" customHeight="1" x14ac:dyDescent="0.3">
      <c r="N263" s="62"/>
    </row>
    <row r="264" spans="14:14" ht="18" customHeight="1" x14ac:dyDescent="0.3">
      <c r="N264" s="62"/>
    </row>
    <row r="265" spans="14:14" ht="18" customHeight="1" x14ac:dyDescent="0.3">
      <c r="N265" s="62"/>
    </row>
    <row r="266" spans="14:14" ht="18" customHeight="1" x14ac:dyDescent="0.3">
      <c r="N266" s="62"/>
    </row>
    <row r="267" spans="14:14" ht="18" customHeight="1" x14ac:dyDescent="0.3">
      <c r="N267" s="62"/>
    </row>
    <row r="268" spans="14:14" ht="18" customHeight="1" x14ac:dyDescent="0.3">
      <c r="N268" s="62"/>
    </row>
    <row r="269" spans="14:14" ht="18" customHeight="1" x14ac:dyDescent="0.3">
      <c r="N269" s="62"/>
    </row>
    <row r="270" spans="14:14" ht="18" customHeight="1" x14ac:dyDescent="0.3">
      <c r="N270" s="62"/>
    </row>
    <row r="271" spans="14:14" ht="18" customHeight="1" x14ac:dyDescent="0.3">
      <c r="N271" s="62"/>
    </row>
    <row r="272" spans="14:14" ht="18" customHeight="1" x14ac:dyDescent="0.3">
      <c r="N272" s="62"/>
    </row>
    <row r="273" spans="14:14" ht="18" customHeight="1" x14ac:dyDescent="0.3">
      <c r="N273" s="62"/>
    </row>
    <row r="274" spans="14:14" ht="18" customHeight="1" x14ac:dyDescent="0.3">
      <c r="N274" s="62"/>
    </row>
    <row r="275" spans="14:14" ht="18" customHeight="1" x14ac:dyDescent="0.3">
      <c r="N275" s="62"/>
    </row>
    <row r="276" spans="14:14" ht="18" customHeight="1" x14ac:dyDescent="0.3">
      <c r="N276" s="62"/>
    </row>
    <row r="277" spans="14:14" ht="18" customHeight="1" x14ac:dyDescent="0.3">
      <c r="N277" s="62"/>
    </row>
    <row r="278" spans="14:14" ht="18" customHeight="1" x14ac:dyDescent="0.3">
      <c r="N278" s="62"/>
    </row>
    <row r="279" spans="14:14" ht="18" customHeight="1" x14ac:dyDescent="0.3">
      <c r="N279" s="62"/>
    </row>
    <row r="280" spans="14:14" ht="18" customHeight="1" x14ac:dyDescent="0.3">
      <c r="N280" s="62"/>
    </row>
    <row r="281" spans="14:14" ht="18" customHeight="1" x14ac:dyDescent="0.3">
      <c r="N281" s="62"/>
    </row>
    <row r="282" spans="14:14" ht="18" customHeight="1" x14ac:dyDescent="0.3">
      <c r="N282" s="62"/>
    </row>
    <row r="283" spans="14:14" ht="18" customHeight="1" x14ac:dyDescent="0.3">
      <c r="N283" s="62"/>
    </row>
    <row r="284" spans="14:14" ht="18" customHeight="1" x14ac:dyDescent="0.3">
      <c r="N284" s="62"/>
    </row>
    <row r="285" spans="14:14" ht="18" customHeight="1" x14ac:dyDescent="0.3">
      <c r="N285" s="62"/>
    </row>
    <row r="286" spans="14:14" ht="18" customHeight="1" x14ac:dyDescent="0.3">
      <c r="N286" s="62"/>
    </row>
    <row r="287" spans="14:14" ht="18" customHeight="1" x14ac:dyDescent="0.3">
      <c r="N287" s="62"/>
    </row>
    <row r="288" spans="14:14" ht="18" customHeight="1" x14ac:dyDescent="0.3">
      <c r="N288" s="62"/>
    </row>
    <row r="289" spans="14:14" ht="18" customHeight="1" x14ac:dyDescent="0.3">
      <c r="N289" s="62"/>
    </row>
    <row r="290" spans="14:14" ht="18" customHeight="1" x14ac:dyDescent="0.3">
      <c r="N290" s="62"/>
    </row>
    <row r="291" spans="14:14" ht="18" customHeight="1" x14ac:dyDescent="0.3">
      <c r="N291" s="62"/>
    </row>
    <row r="292" spans="14:14" ht="18" customHeight="1" x14ac:dyDescent="0.3">
      <c r="N292" s="62"/>
    </row>
    <row r="293" spans="14:14" ht="18" customHeight="1" x14ac:dyDescent="0.3">
      <c r="N293" s="62"/>
    </row>
    <row r="294" spans="14:14" ht="18" customHeight="1" x14ac:dyDescent="0.3">
      <c r="N294" s="62"/>
    </row>
    <row r="295" spans="14:14" ht="18" customHeight="1" x14ac:dyDescent="0.3">
      <c r="N295" s="62"/>
    </row>
    <row r="296" spans="14:14" ht="18" customHeight="1" x14ac:dyDescent="0.3">
      <c r="N296" s="62"/>
    </row>
    <row r="297" spans="14:14" ht="18" customHeight="1" x14ac:dyDescent="0.3">
      <c r="N297" s="62"/>
    </row>
    <row r="298" spans="14:14" ht="18" customHeight="1" x14ac:dyDescent="0.3">
      <c r="N298" s="62"/>
    </row>
    <row r="299" spans="14:14" ht="18" customHeight="1" x14ac:dyDescent="0.3">
      <c r="N299" s="62"/>
    </row>
    <row r="300" spans="14:14" ht="18" customHeight="1" x14ac:dyDescent="0.3">
      <c r="N300" s="62"/>
    </row>
  </sheetData>
  <mergeCells count="369">
    <mergeCell ref="C93:D93"/>
    <mergeCell ref="E93:F93"/>
    <mergeCell ref="G93:J93"/>
    <mergeCell ref="K93:L93"/>
    <mergeCell ref="C94:D94"/>
    <mergeCell ref="E94:F94"/>
    <mergeCell ref="G94:J94"/>
    <mergeCell ref="K94:L94"/>
    <mergeCell ref="C91:D91"/>
    <mergeCell ref="E91:F91"/>
    <mergeCell ref="G91:J91"/>
    <mergeCell ref="K91:L91"/>
    <mergeCell ref="C92:D92"/>
    <mergeCell ref="E92:F92"/>
    <mergeCell ref="G92:J92"/>
    <mergeCell ref="K92:L92"/>
    <mergeCell ref="C89:D89"/>
    <mergeCell ref="E89:F89"/>
    <mergeCell ref="G89:J89"/>
    <mergeCell ref="K89:L89"/>
    <mergeCell ref="C90:D90"/>
    <mergeCell ref="E90:F90"/>
    <mergeCell ref="G90:J90"/>
    <mergeCell ref="K90:L90"/>
    <mergeCell ref="C87:D87"/>
    <mergeCell ref="E87:F87"/>
    <mergeCell ref="G87:J87"/>
    <mergeCell ref="K87:L87"/>
    <mergeCell ref="C88:D88"/>
    <mergeCell ref="E88:F88"/>
    <mergeCell ref="G88:J88"/>
    <mergeCell ref="K88:L88"/>
    <mergeCell ref="C85:D85"/>
    <mergeCell ref="E85:F85"/>
    <mergeCell ref="G85:J85"/>
    <mergeCell ref="K85:L85"/>
    <mergeCell ref="C86:D86"/>
    <mergeCell ref="E86:F86"/>
    <mergeCell ref="G86:J86"/>
    <mergeCell ref="K86:L86"/>
    <mergeCell ref="C83:D83"/>
    <mergeCell ref="E83:F83"/>
    <mergeCell ref="G83:J83"/>
    <mergeCell ref="K83:L83"/>
    <mergeCell ref="C84:D84"/>
    <mergeCell ref="E84:F84"/>
    <mergeCell ref="G84:J84"/>
    <mergeCell ref="K84:L84"/>
    <mergeCell ref="C81:D81"/>
    <mergeCell ref="E81:F81"/>
    <mergeCell ref="G81:J81"/>
    <mergeCell ref="K81:L81"/>
    <mergeCell ref="C82:D82"/>
    <mergeCell ref="E82:F82"/>
    <mergeCell ref="G82:J82"/>
    <mergeCell ref="K82:L82"/>
    <mergeCell ref="C79:D79"/>
    <mergeCell ref="E79:F79"/>
    <mergeCell ref="G79:J79"/>
    <mergeCell ref="K79:L79"/>
    <mergeCell ref="C80:D80"/>
    <mergeCell ref="E80:F80"/>
    <mergeCell ref="G80:J80"/>
    <mergeCell ref="K80:L80"/>
    <mergeCell ref="C77:D77"/>
    <mergeCell ref="E77:F77"/>
    <mergeCell ref="G77:J77"/>
    <mergeCell ref="K77:L77"/>
    <mergeCell ref="C78:D78"/>
    <mergeCell ref="E78:F78"/>
    <mergeCell ref="G78:J78"/>
    <mergeCell ref="K78:L78"/>
    <mergeCell ref="C75:D75"/>
    <mergeCell ref="E75:F75"/>
    <mergeCell ref="G75:J75"/>
    <mergeCell ref="K75:L75"/>
    <mergeCell ref="C76:D76"/>
    <mergeCell ref="E76:F76"/>
    <mergeCell ref="G76:J76"/>
    <mergeCell ref="K76:L76"/>
    <mergeCell ref="C73:D73"/>
    <mergeCell ref="E73:F73"/>
    <mergeCell ref="G73:J73"/>
    <mergeCell ref="K73:L73"/>
    <mergeCell ref="C74:D74"/>
    <mergeCell ref="E74:F74"/>
    <mergeCell ref="G74:J74"/>
    <mergeCell ref="K74:L74"/>
    <mergeCell ref="C71:D71"/>
    <mergeCell ref="E71:F71"/>
    <mergeCell ref="G71:J71"/>
    <mergeCell ref="K71:L71"/>
    <mergeCell ref="C72:D72"/>
    <mergeCell ref="E72:F72"/>
    <mergeCell ref="G72:J72"/>
    <mergeCell ref="K72:L72"/>
    <mergeCell ref="C69:D69"/>
    <mergeCell ref="E69:F69"/>
    <mergeCell ref="G69:J69"/>
    <mergeCell ref="K69:L69"/>
    <mergeCell ref="C70:D70"/>
    <mergeCell ref="E70:F70"/>
    <mergeCell ref="G70:J70"/>
    <mergeCell ref="K70:L70"/>
    <mergeCell ref="C67:D67"/>
    <mergeCell ref="E67:F67"/>
    <mergeCell ref="G67:J67"/>
    <mergeCell ref="K67:L67"/>
    <mergeCell ref="C68:D68"/>
    <mergeCell ref="E68:F68"/>
    <mergeCell ref="G68:J68"/>
    <mergeCell ref="K68:L68"/>
    <mergeCell ref="C65:D65"/>
    <mergeCell ref="E65:F65"/>
    <mergeCell ref="G65:J65"/>
    <mergeCell ref="K65:L65"/>
    <mergeCell ref="C66:D66"/>
    <mergeCell ref="E66:F66"/>
    <mergeCell ref="G66:J66"/>
    <mergeCell ref="K66:L66"/>
    <mergeCell ref="C63:D63"/>
    <mergeCell ref="E63:F63"/>
    <mergeCell ref="G63:J63"/>
    <mergeCell ref="K63:L63"/>
    <mergeCell ref="C64:D64"/>
    <mergeCell ref="E64:F64"/>
    <mergeCell ref="G64:J64"/>
    <mergeCell ref="K64:L64"/>
    <mergeCell ref="C61:D61"/>
    <mergeCell ref="E61:F61"/>
    <mergeCell ref="G61:J61"/>
    <mergeCell ref="K61:L61"/>
    <mergeCell ref="C62:D62"/>
    <mergeCell ref="E62:F62"/>
    <mergeCell ref="G62:J62"/>
    <mergeCell ref="K62:L62"/>
    <mergeCell ref="C59:D59"/>
    <mergeCell ref="E59:F59"/>
    <mergeCell ref="G59:J59"/>
    <mergeCell ref="K59:L59"/>
    <mergeCell ref="C60:D60"/>
    <mergeCell ref="E60:F60"/>
    <mergeCell ref="G60:J60"/>
    <mergeCell ref="K60:L60"/>
    <mergeCell ref="C57:D57"/>
    <mergeCell ref="E57:F57"/>
    <mergeCell ref="G57:J57"/>
    <mergeCell ref="K57:L57"/>
    <mergeCell ref="C58:D58"/>
    <mergeCell ref="E58:F58"/>
    <mergeCell ref="G58:J58"/>
    <mergeCell ref="K58:L58"/>
    <mergeCell ref="C55:D55"/>
    <mergeCell ref="E55:F55"/>
    <mergeCell ref="G55:J55"/>
    <mergeCell ref="K55:L55"/>
    <mergeCell ref="C56:D56"/>
    <mergeCell ref="E56:F56"/>
    <mergeCell ref="G56:J56"/>
    <mergeCell ref="K56:L56"/>
    <mergeCell ref="C53:D53"/>
    <mergeCell ref="E53:F53"/>
    <mergeCell ref="G53:J53"/>
    <mergeCell ref="K53:L53"/>
    <mergeCell ref="C54:D54"/>
    <mergeCell ref="E54:F54"/>
    <mergeCell ref="G54:J54"/>
    <mergeCell ref="K54:L54"/>
    <mergeCell ref="C51:D51"/>
    <mergeCell ref="E51:F51"/>
    <mergeCell ref="G51:J51"/>
    <mergeCell ref="K51:L51"/>
    <mergeCell ref="C52:D52"/>
    <mergeCell ref="E52:F52"/>
    <mergeCell ref="G52:J52"/>
    <mergeCell ref="K52:L52"/>
    <mergeCell ref="C49:D49"/>
    <mergeCell ref="E49:F49"/>
    <mergeCell ref="G49:J49"/>
    <mergeCell ref="K49:L49"/>
    <mergeCell ref="C50:D50"/>
    <mergeCell ref="E50:F50"/>
    <mergeCell ref="G50:J50"/>
    <mergeCell ref="K50:L50"/>
    <mergeCell ref="C47:D47"/>
    <mergeCell ref="E47:F47"/>
    <mergeCell ref="G47:J47"/>
    <mergeCell ref="K47:L47"/>
    <mergeCell ref="C48:D48"/>
    <mergeCell ref="E48:F48"/>
    <mergeCell ref="G48:J48"/>
    <mergeCell ref="K48:L48"/>
    <mergeCell ref="C45:D45"/>
    <mergeCell ref="E45:F45"/>
    <mergeCell ref="G45:J45"/>
    <mergeCell ref="K45:L45"/>
    <mergeCell ref="C46:D46"/>
    <mergeCell ref="E46:F46"/>
    <mergeCell ref="G46:J46"/>
    <mergeCell ref="K46:L46"/>
    <mergeCell ref="C43:D43"/>
    <mergeCell ref="E43:F43"/>
    <mergeCell ref="G43:J43"/>
    <mergeCell ref="K43:L43"/>
    <mergeCell ref="C44:D44"/>
    <mergeCell ref="E44:F44"/>
    <mergeCell ref="G44:J44"/>
    <mergeCell ref="K44:L44"/>
    <mergeCell ref="C41:D41"/>
    <mergeCell ref="E41:F41"/>
    <mergeCell ref="G41:J41"/>
    <mergeCell ref="K41:L41"/>
    <mergeCell ref="C42:D42"/>
    <mergeCell ref="E42:F42"/>
    <mergeCell ref="G42:J42"/>
    <mergeCell ref="K42:L42"/>
    <mergeCell ref="C39:D39"/>
    <mergeCell ref="E39:F39"/>
    <mergeCell ref="G39:J39"/>
    <mergeCell ref="K39:L39"/>
    <mergeCell ref="C40:D40"/>
    <mergeCell ref="E40:F40"/>
    <mergeCell ref="G40:J40"/>
    <mergeCell ref="K40:L40"/>
    <mergeCell ref="C37:D37"/>
    <mergeCell ref="E37:F37"/>
    <mergeCell ref="G37:J37"/>
    <mergeCell ref="K37:L37"/>
    <mergeCell ref="C38:D38"/>
    <mergeCell ref="E38:F38"/>
    <mergeCell ref="G38:J38"/>
    <mergeCell ref="K38:L38"/>
    <mergeCell ref="C35:D35"/>
    <mergeCell ref="E35:F35"/>
    <mergeCell ref="G35:J35"/>
    <mergeCell ref="K35:L35"/>
    <mergeCell ref="C36:D36"/>
    <mergeCell ref="E36:F36"/>
    <mergeCell ref="G36:J36"/>
    <mergeCell ref="K36:L36"/>
    <mergeCell ref="C33:D33"/>
    <mergeCell ref="E33:F33"/>
    <mergeCell ref="G33:J33"/>
    <mergeCell ref="K33:L33"/>
    <mergeCell ref="C34:D34"/>
    <mergeCell ref="E34:F34"/>
    <mergeCell ref="G34:J34"/>
    <mergeCell ref="K34:L34"/>
    <mergeCell ref="C31:D31"/>
    <mergeCell ref="E31:F31"/>
    <mergeCell ref="G31:J31"/>
    <mergeCell ref="K31:L31"/>
    <mergeCell ref="C32:D32"/>
    <mergeCell ref="E32:F32"/>
    <mergeCell ref="G32:J32"/>
    <mergeCell ref="K32:L32"/>
    <mergeCell ref="C29:D29"/>
    <mergeCell ref="E29:F29"/>
    <mergeCell ref="G29:J29"/>
    <mergeCell ref="K29:L29"/>
    <mergeCell ref="C30:D30"/>
    <mergeCell ref="E30:F30"/>
    <mergeCell ref="G30:J30"/>
    <mergeCell ref="K30:L30"/>
    <mergeCell ref="C27:D27"/>
    <mergeCell ref="E27:F27"/>
    <mergeCell ref="G27:J27"/>
    <mergeCell ref="K27:L27"/>
    <mergeCell ref="C28:D28"/>
    <mergeCell ref="E28:F28"/>
    <mergeCell ref="G28:J28"/>
    <mergeCell ref="K28:L28"/>
    <mergeCell ref="C25:D25"/>
    <mergeCell ref="E25:F25"/>
    <mergeCell ref="G25:J25"/>
    <mergeCell ref="K25:L25"/>
    <mergeCell ref="C26:D26"/>
    <mergeCell ref="E26:F26"/>
    <mergeCell ref="G26:J26"/>
    <mergeCell ref="K26:L26"/>
    <mergeCell ref="C23:D23"/>
    <mergeCell ref="E23:F23"/>
    <mergeCell ref="G23:J23"/>
    <mergeCell ref="K23:L23"/>
    <mergeCell ref="C24:D24"/>
    <mergeCell ref="E24:F24"/>
    <mergeCell ref="G24:J24"/>
    <mergeCell ref="K24:L24"/>
    <mergeCell ref="C21:D21"/>
    <mergeCell ref="E21:F21"/>
    <mergeCell ref="G21:J21"/>
    <mergeCell ref="K21:L21"/>
    <mergeCell ref="C22:D22"/>
    <mergeCell ref="E22:F22"/>
    <mergeCell ref="G22:J22"/>
    <mergeCell ref="K22:L22"/>
    <mergeCell ref="C19:D19"/>
    <mergeCell ref="E19:F19"/>
    <mergeCell ref="G19:J19"/>
    <mergeCell ref="K19:L19"/>
    <mergeCell ref="C20:D20"/>
    <mergeCell ref="E20:F20"/>
    <mergeCell ref="G20:J20"/>
    <mergeCell ref="K20:L20"/>
    <mergeCell ref="C17:D17"/>
    <mergeCell ref="E17:F17"/>
    <mergeCell ref="G17:J17"/>
    <mergeCell ref="K17:L17"/>
    <mergeCell ref="C18:D18"/>
    <mergeCell ref="E18:F18"/>
    <mergeCell ref="G18:J18"/>
    <mergeCell ref="K18:L18"/>
    <mergeCell ref="C15:D15"/>
    <mergeCell ref="E15:F15"/>
    <mergeCell ref="G15:J15"/>
    <mergeCell ref="K15:L15"/>
    <mergeCell ref="C16:D16"/>
    <mergeCell ref="E16:F16"/>
    <mergeCell ref="G16:J16"/>
    <mergeCell ref="K16:L16"/>
    <mergeCell ref="C13:D13"/>
    <mergeCell ref="E13:F13"/>
    <mergeCell ref="G13:J13"/>
    <mergeCell ref="K13:L13"/>
    <mergeCell ref="C14:D14"/>
    <mergeCell ref="E14:F14"/>
    <mergeCell ref="G14:J14"/>
    <mergeCell ref="K14:L14"/>
    <mergeCell ref="C11:D11"/>
    <mergeCell ref="E11:F11"/>
    <mergeCell ref="G11:J11"/>
    <mergeCell ref="K11:L11"/>
    <mergeCell ref="C12:D12"/>
    <mergeCell ref="E12:F12"/>
    <mergeCell ref="G12:J12"/>
    <mergeCell ref="K12:L12"/>
    <mergeCell ref="C9:D9"/>
    <mergeCell ref="E9:F9"/>
    <mergeCell ref="G9:J9"/>
    <mergeCell ref="K9:L9"/>
    <mergeCell ref="C10:D10"/>
    <mergeCell ref="E10:F10"/>
    <mergeCell ref="G10:J10"/>
    <mergeCell ref="K10:L10"/>
    <mergeCell ref="C7:D7"/>
    <mergeCell ref="E7:F7"/>
    <mergeCell ref="G7:J7"/>
    <mergeCell ref="K7:L7"/>
    <mergeCell ref="C8:D8"/>
    <mergeCell ref="E8:F8"/>
    <mergeCell ref="G8:J8"/>
    <mergeCell ref="K8:L8"/>
    <mergeCell ref="C5:D5"/>
    <mergeCell ref="E5:F5"/>
    <mergeCell ref="G5:J5"/>
    <mergeCell ref="K5:L5"/>
    <mergeCell ref="C6:D6"/>
    <mergeCell ref="E6:F6"/>
    <mergeCell ref="G6:J6"/>
    <mergeCell ref="K6:L6"/>
    <mergeCell ref="B1:N2"/>
    <mergeCell ref="C3:D3"/>
    <mergeCell ref="E3:F3"/>
    <mergeCell ref="G3:J3"/>
    <mergeCell ref="K3:L3"/>
    <mergeCell ref="C4:D4"/>
    <mergeCell ref="E4:F4"/>
    <mergeCell ref="G4:J4"/>
    <mergeCell ref="K4:L4"/>
  </mergeCells>
  <conditionalFormatting sqref="C4:J500">
    <cfRule type="expression" dxfId="30" priority="1">
      <formula>$N4&lt;&gt;""</formula>
    </cfRule>
  </conditionalFormatting>
  <conditionalFormatting sqref="M4:N500">
    <cfRule type="expression" dxfId="29" priority="2">
      <formula>$N4&lt;&gt;""</formula>
    </cfRule>
  </conditionalFormatting>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60E9-29E1-4AF8-A30D-15FE61385D76}">
  <sheetPr>
    <tabColor rgb="FF2F3A4A"/>
  </sheetPr>
  <dimension ref="A1:AO217"/>
  <sheetViews>
    <sheetView showGridLines="0" zoomScale="90" zoomScaleNormal="90" workbookViewId="0">
      <selection activeCell="A127" sqref="A127:D127"/>
    </sheetView>
  </sheetViews>
  <sheetFormatPr defaultColWidth="8.5546875" defaultRowHeight="14.4" x14ac:dyDescent="0.3"/>
  <cols>
    <col min="1" max="1" width="36.44140625" style="1" customWidth="1"/>
    <col min="2" max="2" width="28" style="1" customWidth="1"/>
    <col min="3" max="3" width="14" style="1" customWidth="1"/>
    <col min="4" max="4" width="13" style="1" customWidth="1"/>
    <col min="5" max="5" width="10" style="1" customWidth="1"/>
    <col min="6" max="8" width="13" style="1" customWidth="1"/>
    <col min="9" max="9" width="16.5546875" style="1" customWidth="1"/>
    <col min="10" max="13" width="12" style="1" hidden="1" customWidth="1"/>
    <col min="14" max="14" width="10.21875" style="588" customWidth="1"/>
    <col min="15" max="15" width="17.77734375" style="590" customWidth="1"/>
    <col min="16" max="26" width="8.5546875" style="1"/>
    <col min="27" max="41" width="0" hidden="1" customWidth="1"/>
    <col min="42" max="16384" width="8.5546875" style="1"/>
  </cols>
  <sheetData>
    <row r="1" spans="1:41" ht="21.75" customHeight="1" x14ac:dyDescent="0.3">
      <c r="A1" s="596" t="s">
        <v>168</v>
      </c>
      <c r="B1" s="596"/>
      <c r="C1" s="596"/>
      <c r="D1" s="596"/>
      <c r="E1" s="596"/>
      <c r="F1" s="596"/>
      <c r="G1" s="596"/>
      <c r="H1" s="596"/>
      <c r="I1" s="596"/>
      <c r="J1" s="1" t="s">
        <v>169</v>
      </c>
      <c r="K1" s="1" t="s">
        <v>170</v>
      </c>
      <c r="L1" s="1" t="s">
        <v>171</v>
      </c>
      <c r="M1" s="1" t="s">
        <v>172</v>
      </c>
      <c r="AA1" t="s">
        <v>1404</v>
      </c>
      <c r="AB1" t="s">
        <v>1420</v>
      </c>
      <c r="AC1" t="s">
        <v>1410</v>
      </c>
      <c r="AD1" t="s">
        <v>1411</v>
      </c>
      <c r="AE1" t="s">
        <v>1416</v>
      </c>
      <c r="AF1" t="s">
        <v>1417</v>
      </c>
      <c r="AG1" t="s">
        <v>1408</v>
      </c>
      <c r="AH1" t="s">
        <v>1419</v>
      </c>
      <c r="AI1" t="s">
        <v>1406</v>
      </c>
      <c r="AJ1" t="s">
        <v>1415</v>
      </c>
      <c r="AK1" t="s">
        <v>1409</v>
      </c>
      <c r="AL1" t="s">
        <v>1418</v>
      </c>
      <c r="AM1" t="s">
        <v>1407</v>
      </c>
      <c r="AN1" t="s">
        <v>1412</v>
      </c>
      <c r="AO1" t="s">
        <v>1421</v>
      </c>
    </row>
    <row r="2" spans="1:41" ht="18" customHeight="1" x14ac:dyDescent="0.3">
      <c r="A2" s="597" t="s">
        <v>173</v>
      </c>
      <c r="B2" s="597"/>
      <c r="C2" s="597"/>
      <c r="D2" s="597"/>
      <c r="E2" s="597"/>
      <c r="F2" s="597"/>
      <c r="G2" s="597" t="s">
        <v>174</v>
      </c>
      <c r="H2" s="597"/>
      <c r="I2" s="597"/>
      <c r="AA2" t="s">
        <v>193</v>
      </c>
      <c r="AB2" t="s">
        <v>1422</v>
      </c>
      <c r="AC2" s="900">
        <v>100</v>
      </c>
      <c r="AD2" s="900">
        <v>100</v>
      </c>
      <c r="AE2" s="900">
        <v>120</v>
      </c>
      <c r="AF2" s="900">
        <v>125</v>
      </c>
      <c r="AG2" s="900">
        <v>180</v>
      </c>
      <c r="AH2" s="900">
        <v>180</v>
      </c>
      <c r="AI2" s="900">
        <v>200</v>
      </c>
      <c r="AJ2" s="900">
        <v>210</v>
      </c>
      <c r="AK2" s="900">
        <v>400</v>
      </c>
      <c r="AL2" s="900">
        <v>400</v>
      </c>
      <c r="AM2" s="900">
        <v>600</v>
      </c>
      <c r="AN2" s="900">
        <v>70</v>
      </c>
      <c r="AO2" s="900">
        <v>70</v>
      </c>
    </row>
    <row r="3" spans="1:41" ht="15" customHeight="1" x14ac:dyDescent="0.3">
      <c r="A3" s="75">
        <v>46357</v>
      </c>
      <c r="B3" s="113" t="s">
        <v>49</v>
      </c>
      <c r="C3" s="112" t="s">
        <v>176</v>
      </c>
      <c r="D3" s="111" t="s">
        <v>177</v>
      </c>
      <c r="E3" s="111" t="s">
        <v>178</v>
      </c>
      <c r="F3" s="860" t="s">
        <v>179</v>
      </c>
      <c r="G3" s="111" t="s">
        <v>180</v>
      </c>
      <c r="H3" s="111" t="s">
        <v>181</v>
      </c>
      <c r="I3" s="111" t="s">
        <v>182</v>
      </c>
      <c r="AA3" t="s">
        <v>31</v>
      </c>
      <c r="AB3" t="s">
        <v>1423</v>
      </c>
      <c r="AD3" s="900">
        <v>180</v>
      </c>
      <c r="AH3" s="900">
        <v>400</v>
      </c>
      <c r="AL3" s="900">
        <v>600</v>
      </c>
      <c r="AO3" s="900">
        <v>100</v>
      </c>
    </row>
    <row r="4" spans="1:41" ht="21" customHeight="1" x14ac:dyDescent="0.3">
      <c r="A4" s="110"/>
      <c r="B4" s="109"/>
      <c r="C4" s="108"/>
      <c r="D4" s="104"/>
      <c r="E4" s="107" t="s">
        <v>184</v>
      </c>
      <c r="F4" s="871" t="str">
        <f>IF($B4="","",IF(SUMIFS(CONFIG_PALETES!$C:$C,CONFIG_PALETES!$A:$A,TRIM($B4),CONFIG_PALETES!$B:$B,$C4&amp;" ml")&gt;0,SUMIFS(CONFIG_PALETES!$C:$C,CONFIG_PALETES!$A:$A,TRIM($B4),CONFIG_PALETES!$B:$B,$C4&amp;" ml"),IF(SUMIFS(CONFIG_PALETES!$C:$C,CONFIG_PALETES!$A:$A,"GERAL",CONFIG_PALETES!$B:$B,$C4&amp;" ml")&gt;0,SUMIFS(CONFIG_PALETES!$C:$C,CONFIG_PALETES!$A:$A,"GERAL",CONFIG_PALETES!$B:$B,$C4&amp;" ml"),"")))</f>
        <v/>
      </c>
      <c r="G4" s="106" t="str">
        <f>IFERROR(ROUNDUP(D4/F4,0),"")</f>
        <v/>
      </c>
      <c r="H4" s="105"/>
      <c r="I4" s="104" t="str">
        <f>IF(H4="","",H4*IF(SUMIFS(CONFIG_PALETES!$D:$D,CONFIG_PALETES!$A:$A,IF(ISNUMBER(SEARCH("ESPUMA",$B4)),"ESPUMA",IF(OR(ISNUMBER(SEARCH("OLEO DE COCO",$B4)),ISNUMBER(SEARCH("ÓLEO DE COCO",$B4)),ISNUMBER(SEARCH("COPRA",$B4))),"ÓLEO DE COCO",IF(ISNUMBER(SEARCH("CORANTE",$B4)),"CORANTE",TRIM($B4)))),CONFIG_PALETES!$B:$B,$C4&amp;" ml")&gt;0,SUMIFS(CONFIG_PALETES!$D:$D,CONFIG_PALETES!$A:$A,IF(ISNUMBER(SEARCH("ESPUMA",$B4)),"ESPUMA",IF(OR(ISNUMBER(SEARCH("OLEO DE COCO",$B4)),ISNUMBER(SEARCH("ÓLEO DE COCO",$B4)),ISNUMBER(SEARCH("COPRA",$B4))),"ÓLEO DE COCO",IF(ISNUMBER(SEARCH("CORANTE",$B4)),"CORANTE",TRIM($B4)))),CONFIG_PALETES!$B:$B,$C4&amp;" ml"),IF(SUMIFS(CONFIG_PALETES!$D:$D,CONFIG_PALETES!$A:$A,"GERAL",CONFIG_PALETES!$B:$B,$C4&amp;" ml")&gt;0,SUMIFS(CONFIG_PALETES!$D:$D,CONFIG_PALETES!$A:$A,"GERAL",CONFIG_PALETES!$B:$B,$C4&amp;" ml"),12)))</f>
        <v/>
      </c>
      <c r="AA4" t="s">
        <v>185</v>
      </c>
      <c r="AB4" t="s">
        <v>1423</v>
      </c>
      <c r="AH4" s="900">
        <v>600</v>
      </c>
      <c r="AO4" s="900">
        <v>125</v>
      </c>
    </row>
    <row r="5" spans="1:41" ht="21" customHeight="1" x14ac:dyDescent="0.3">
      <c r="A5" s="110"/>
      <c r="B5" s="109"/>
      <c r="C5" s="108"/>
      <c r="D5" s="104"/>
      <c r="E5" s="107" t="s">
        <v>184</v>
      </c>
      <c r="F5" s="871" t="str">
        <f>IF($B5="","",IF(SUMIFS(CONFIG_PALETES!$C:$C,CONFIG_PALETES!$A:$A,TRIM($B5),CONFIG_PALETES!$B:$B,$C5&amp;" ml")&gt;0,SUMIFS(CONFIG_PALETES!$C:$C,CONFIG_PALETES!$A:$A,TRIM($B5),CONFIG_PALETES!$B:$B,$C5&amp;" ml"),IF(SUMIFS(CONFIG_PALETES!$C:$C,CONFIG_PALETES!$A:$A,"GERAL",CONFIG_PALETES!$B:$B,$C5&amp;" ml")&gt;0,SUMIFS(CONFIG_PALETES!$C:$C,CONFIG_PALETES!$A:$A,"GERAL",CONFIG_PALETES!$B:$B,$C5&amp;" ml"),"")))</f>
        <v/>
      </c>
      <c r="G5" s="106" t="str">
        <f>IFERROR(ROUNDUP(D5/F5,0),"")</f>
        <v/>
      </c>
      <c r="H5" s="105"/>
      <c r="I5" s="104" t="str">
        <f>IF(H5="","",H5*IF(SUMIFS(CONFIG_PALETES!$D:$D,CONFIG_PALETES!$A:$A,IF(ISNUMBER(SEARCH("ESPUMA",$B5)),"ESPUMA",IF(OR(ISNUMBER(SEARCH("OLEO DE COCO",$B5)),ISNUMBER(SEARCH("ÓLEO DE COCO",$B5)),ISNUMBER(SEARCH("COPRA",$B5))),"ÓLEO DE COCO",IF(ISNUMBER(SEARCH("CORANTE",$B5)),"CORANTE",TRIM($B5)))),CONFIG_PALETES!$B:$B,$C5&amp;" ml")&gt;0,SUMIFS(CONFIG_PALETES!$D:$D,CONFIG_PALETES!$A:$A,IF(ISNUMBER(SEARCH("ESPUMA",$B5)),"ESPUMA",IF(OR(ISNUMBER(SEARCH("OLEO DE COCO",$B5)),ISNUMBER(SEARCH("ÓLEO DE COCO",$B5)),ISNUMBER(SEARCH("COPRA",$B5))),"ÓLEO DE COCO",IF(ISNUMBER(SEARCH("CORANTE",$B5)),"CORANTE",TRIM($B5)))),CONFIG_PALETES!$B:$B,$C5&amp;" ml"),IF(SUMIFS(CONFIG_PALETES!$D:$D,CONFIG_PALETES!$A:$A,"GERAL",CONFIG_PALETES!$B:$B,$C5&amp;" ml")&gt;0,SUMIFS(CONFIG_PALETES!$D:$D,CONFIG_PALETES!$A:$A,"GERAL",CONFIG_PALETES!$B:$B,$C5&amp;" ml"),12)))</f>
        <v/>
      </c>
      <c r="AA5" t="s">
        <v>183</v>
      </c>
      <c r="AB5" t="s">
        <v>1423</v>
      </c>
      <c r="AO5" s="900">
        <v>180</v>
      </c>
    </row>
    <row r="6" spans="1:41" ht="21" customHeight="1" x14ac:dyDescent="0.3">
      <c r="A6" s="110"/>
      <c r="B6" s="109"/>
      <c r="C6" s="108"/>
      <c r="D6" s="104"/>
      <c r="E6" s="107" t="s">
        <v>184</v>
      </c>
      <c r="F6" s="871" t="str">
        <f>IF($B6="","",IF(SUMIFS(CONFIG_PALETES!$C:$C,CONFIG_PALETES!$A:$A,TRIM($B6),CONFIG_PALETES!$B:$B,$C6&amp;" ml")&gt;0,SUMIFS(CONFIG_PALETES!$C:$C,CONFIG_PALETES!$A:$A,TRIM($B6),CONFIG_PALETES!$B:$B,$C6&amp;" ml"),IF(SUMIFS(CONFIG_PALETES!$C:$C,CONFIG_PALETES!$A:$A,"GERAL",CONFIG_PALETES!$B:$B,$C6&amp;" ml")&gt;0,SUMIFS(CONFIG_PALETES!$C:$C,CONFIG_PALETES!$A:$A,"GERAL",CONFIG_PALETES!$B:$B,$C6&amp;" ml"),"")))</f>
        <v/>
      </c>
      <c r="G6" s="106" t="str">
        <f>IFERROR(ROUNDUP(D6/F6,0),"")</f>
        <v/>
      </c>
      <c r="H6" s="105"/>
      <c r="I6" s="104" t="str">
        <f>IF(H6="","",H6*IF(SUMIFS(CONFIG_PALETES!$D:$D,CONFIG_PALETES!$A:$A,IF(ISNUMBER(SEARCH("ESPUMA",$B6)),"ESPUMA",IF(OR(ISNUMBER(SEARCH("OLEO DE COCO",$B6)),ISNUMBER(SEARCH("ÓLEO DE COCO",$B6)),ISNUMBER(SEARCH("COPRA",$B6))),"ÓLEO DE COCO",IF(ISNUMBER(SEARCH("CORANTE",$B6)),"CORANTE",TRIM($B6)))),CONFIG_PALETES!$B:$B,$C6&amp;" ml")&gt;0,SUMIFS(CONFIG_PALETES!$D:$D,CONFIG_PALETES!$A:$A,IF(ISNUMBER(SEARCH("ESPUMA",$B6)),"ESPUMA",IF(OR(ISNUMBER(SEARCH("OLEO DE COCO",$B6)),ISNUMBER(SEARCH("ÓLEO DE COCO",$B6)),ISNUMBER(SEARCH("COPRA",$B6))),"ÓLEO DE COCO",IF(ISNUMBER(SEARCH("CORANTE",$B6)),"CORANTE",TRIM($B6)))),CONFIG_PALETES!$B:$B,$C6&amp;" ml"),IF(SUMIFS(CONFIG_PALETES!$D:$D,CONFIG_PALETES!$A:$A,"GERAL",CONFIG_PALETES!$B:$B,$C6&amp;" ml")&gt;0,SUMIFS(CONFIG_PALETES!$D:$D,CONFIG_PALETES!$A:$A,"GERAL",CONFIG_PALETES!$B:$B,$C6&amp;" ml"),12)))</f>
        <v/>
      </c>
      <c r="AA6" t="s">
        <v>499</v>
      </c>
      <c r="AB6" t="s">
        <v>1423</v>
      </c>
      <c r="AO6" s="900">
        <v>200</v>
      </c>
    </row>
    <row r="7" spans="1:41" ht="21" customHeight="1" x14ac:dyDescent="0.3">
      <c r="A7" s="110"/>
      <c r="B7" s="109"/>
      <c r="C7" s="108"/>
      <c r="D7" s="104"/>
      <c r="E7" s="107" t="s">
        <v>184</v>
      </c>
      <c r="F7" s="871" t="str">
        <f>IF($B7="","",IF(SUMIFS(CONFIG_PALETES!$C:$C,CONFIG_PALETES!$A:$A,TRIM($B7),CONFIG_PALETES!$B:$B,$C7&amp;" ml")&gt;0,SUMIFS(CONFIG_PALETES!$C:$C,CONFIG_PALETES!$A:$A,TRIM($B7),CONFIG_PALETES!$B:$B,$C7&amp;" ml"),IF(SUMIFS(CONFIG_PALETES!$C:$C,CONFIG_PALETES!$A:$A,"GERAL",CONFIG_PALETES!$B:$B,$C7&amp;" ml")&gt;0,SUMIFS(CONFIG_PALETES!$C:$C,CONFIG_PALETES!$A:$A,"GERAL",CONFIG_PALETES!$B:$B,$C7&amp;" ml"),"")))</f>
        <v/>
      </c>
      <c r="G7" s="106" t="str">
        <f>IFERROR(ROUNDUP(D7/F7,0),"")</f>
        <v/>
      </c>
      <c r="H7" s="105"/>
      <c r="I7" s="104" t="str">
        <f>IF(H7="","",H7*IF(SUMIFS(CONFIG_PALETES!$D:$D,CONFIG_PALETES!$A:$A,IF(ISNUMBER(SEARCH("ESPUMA",$B7)),"ESPUMA",IF(OR(ISNUMBER(SEARCH("OLEO DE COCO",$B7)),ISNUMBER(SEARCH("ÓLEO DE COCO",$B7)),ISNUMBER(SEARCH("COPRA",$B7))),"ÓLEO DE COCO",IF(ISNUMBER(SEARCH("CORANTE",$B7)),"CORANTE",TRIM($B7)))),CONFIG_PALETES!$B:$B,$C7&amp;" ml")&gt;0,SUMIFS(CONFIG_PALETES!$D:$D,CONFIG_PALETES!$A:$A,IF(ISNUMBER(SEARCH("ESPUMA",$B7)),"ESPUMA",IF(OR(ISNUMBER(SEARCH("OLEO DE COCO",$B7)),ISNUMBER(SEARCH("ÓLEO DE COCO",$B7)),ISNUMBER(SEARCH("COPRA",$B7))),"ÓLEO DE COCO",IF(ISNUMBER(SEARCH("CORANTE",$B7)),"CORANTE",TRIM($B7)))),CONFIG_PALETES!$B:$B,$C7&amp;" ml"),IF(SUMIFS(CONFIG_PALETES!$D:$D,CONFIG_PALETES!$A:$A,"GERAL",CONFIG_PALETES!$B:$B,$C7&amp;" ml")&gt;0,SUMIFS(CONFIG_PALETES!$D:$D,CONFIG_PALETES!$A:$A,"GERAL",CONFIG_PALETES!$B:$B,$C7&amp;" ml"),12)))</f>
        <v/>
      </c>
      <c r="AA7" t="s">
        <v>254</v>
      </c>
      <c r="AB7" t="s">
        <v>1424</v>
      </c>
      <c r="AO7" s="900">
        <v>400</v>
      </c>
    </row>
    <row r="8" spans="1:41" ht="21" customHeight="1" x14ac:dyDescent="0.3">
      <c r="A8" s="817"/>
      <c r="B8" s="818"/>
      <c r="C8" s="819"/>
      <c r="D8" s="820"/>
      <c r="E8" s="821" t="s">
        <v>184</v>
      </c>
      <c r="F8" s="872" t="str">
        <f>IF($B8="","",IF(SUMIFS(CONFIG_PALETES!$C:$C,CONFIG_PALETES!$A:$A,TRIM($B8),CONFIG_PALETES!$B:$B,$C8&amp;" ml")&gt;0,SUMIFS(CONFIG_PALETES!$C:$C,CONFIG_PALETES!$A:$A,TRIM($B8),CONFIG_PALETES!$B:$B,$C8&amp;" ml"),IF(SUMIFS(CONFIG_PALETES!$C:$C,CONFIG_PALETES!$A:$A,"GERAL",CONFIG_PALETES!$B:$B,$C8&amp;" ml")&gt;0,SUMIFS(CONFIG_PALETES!$C:$C,CONFIG_PALETES!$A:$A,"GERAL",CONFIG_PALETES!$B:$B,$C8&amp;" ml"),"")))</f>
        <v/>
      </c>
      <c r="G8" s="822" t="str">
        <f>IFERROR(ROUNDUP(D8/F8,0),"")</f>
        <v/>
      </c>
      <c r="H8" s="823"/>
      <c r="I8" s="820" t="str">
        <f>IF(H8="","",H8*IF(SUMIFS(CONFIG_PALETES!$D:$D,CONFIG_PALETES!$A:$A,IF(ISNUMBER(SEARCH("ESPUMA",$B8)),"ESPUMA",IF(OR(ISNUMBER(SEARCH("OLEO DE COCO",$B8)),ISNUMBER(SEARCH("ÓLEO DE COCO",$B8)),ISNUMBER(SEARCH("COPRA",$B8))),"ÓLEO DE COCO",IF(ISNUMBER(SEARCH("CORANTE",$B8)),"CORANTE",TRIM($B8)))),CONFIG_PALETES!$B:$B,$C8&amp;" ml")&gt;0,SUMIFS(CONFIG_PALETES!$D:$D,CONFIG_PALETES!$A:$A,IF(ISNUMBER(SEARCH("ESPUMA",$B8)),"ESPUMA",IF(OR(ISNUMBER(SEARCH("OLEO DE COCO",$B8)),ISNUMBER(SEARCH("ÓLEO DE COCO",$B8)),ISNUMBER(SEARCH("COPRA",$B8))),"ÓLEO DE COCO",IF(ISNUMBER(SEARCH("CORANTE",$B8)),"CORANTE",TRIM($B8)))),CONFIG_PALETES!$B:$B,$C8&amp;" ml"),IF(SUMIFS(CONFIG_PALETES!$D:$D,CONFIG_PALETES!$A:$A,"GERAL",CONFIG_PALETES!$B:$B,$C8&amp;" ml")&gt;0,SUMIFS(CONFIG_PALETES!$D:$D,CONFIG_PALETES!$A:$A,"GERAL",CONFIG_PALETES!$B:$B,$C8&amp;" ml"),12)))</f>
        <v/>
      </c>
      <c r="AA8" t="s">
        <v>1104</v>
      </c>
      <c r="AB8" t="s">
        <v>1424</v>
      </c>
      <c r="AO8" s="900">
        <v>500</v>
      </c>
    </row>
    <row r="9" spans="1:41" ht="15" customHeight="1" x14ac:dyDescent="0.3">
      <c r="A9" s="899"/>
      <c r="B9" s="846" t="s">
        <v>186</v>
      </c>
      <c r="C9" s="847"/>
      <c r="D9" s="848">
        <f>SUM(D2:D8)</f>
        <v>0</v>
      </c>
      <c r="E9" s="849"/>
      <c r="F9" s="856" t="s">
        <v>1400</v>
      </c>
      <c r="G9" s="850">
        <f>SUM(G2:G8)</f>
        <v>0</v>
      </c>
      <c r="H9" s="848">
        <f>SUM(H2:H8)</f>
        <v>0</v>
      </c>
      <c r="I9" s="848">
        <f>SUM(I2:I8)</f>
        <v>0</v>
      </c>
      <c r="J9" s="63">
        <f>D9</f>
        <v>0</v>
      </c>
      <c r="K9" s="93">
        <f>G9</f>
        <v>0</v>
      </c>
      <c r="L9" s="63">
        <f>H9</f>
        <v>0</v>
      </c>
      <c r="M9" s="63">
        <f>I9</f>
        <v>0</v>
      </c>
      <c r="N9" s="587" t="str" cm="1">
        <f t="array" ref="N9">IF(H9=0,"",SUMPRODUCT(IFERROR(INT(H4:H8/F4:F8),0)))</f>
        <v/>
      </c>
      <c r="O9" s="770" t="str">
        <f>IF(N9="","",MAX(0,G9-N9))</f>
        <v/>
      </c>
      <c r="AA9" t="s">
        <v>58</v>
      </c>
      <c r="AB9" t="s">
        <v>1423</v>
      </c>
      <c r="AO9" s="900">
        <v>600</v>
      </c>
    </row>
    <row r="10" spans="1:41" ht="6" customHeight="1" x14ac:dyDescent="0.3">
      <c r="C10" s="65"/>
      <c r="AA10" t="s">
        <v>496</v>
      </c>
      <c r="AB10" t="s">
        <v>1423</v>
      </c>
    </row>
    <row r="11" spans="1:41" ht="15" customHeight="1" x14ac:dyDescent="0.3">
      <c r="A11" s="75">
        <v>46358</v>
      </c>
      <c r="B11" s="113" t="s">
        <v>49</v>
      </c>
      <c r="C11" s="112" t="s">
        <v>176</v>
      </c>
      <c r="D11" s="111" t="s">
        <v>177</v>
      </c>
      <c r="E11" s="111" t="s">
        <v>178</v>
      </c>
      <c r="F11" s="860" t="s">
        <v>179</v>
      </c>
      <c r="G11" s="111" t="s">
        <v>180</v>
      </c>
      <c r="H11" s="111" t="s">
        <v>181</v>
      </c>
      <c r="I11" s="111" t="s">
        <v>182</v>
      </c>
      <c r="AA11" t="s">
        <v>37</v>
      </c>
      <c r="AB11" t="s">
        <v>1423</v>
      </c>
    </row>
    <row r="12" spans="1:41" ht="21" customHeight="1" x14ac:dyDescent="0.3">
      <c r="A12" s="110"/>
      <c r="B12" s="109"/>
      <c r="C12" s="108"/>
      <c r="D12" s="104"/>
      <c r="E12" s="107" t="s">
        <v>184</v>
      </c>
      <c r="F12" s="871" t="str">
        <f>IF($B12="","",IF(SUMIFS(CONFIG_PALETES!$C:$C,CONFIG_PALETES!$A:$A,TRIM($B12),CONFIG_PALETES!$B:$B,$C12&amp;" ml")&gt;0,SUMIFS(CONFIG_PALETES!$C:$C,CONFIG_PALETES!$A:$A,TRIM($B12),CONFIG_PALETES!$B:$B,$C12&amp;" ml"),IF(SUMIFS(CONFIG_PALETES!$C:$C,CONFIG_PALETES!$A:$A,"GERAL",CONFIG_PALETES!$B:$B,$C12&amp;" ml")&gt;0,SUMIFS(CONFIG_PALETES!$C:$C,CONFIG_PALETES!$A:$A,"GERAL",CONFIG_PALETES!$B:$B,$C12&amp;" ml"),"")))</f>
        <v/>
      </c>
      <c r="G12" s="106" t="str">
        <f>IFERROR(ROUNDUP(D12/F12,0),"")</f>
        <v/>
      </c>
      <c r="H12" s="105"/>
      <c r="I12" s="104" t="str">
        <f>IF(H12="","",H12*IF(SUMIFS(CONFIG_PALETES!$D:$D,CONFIG_PALETES!$A:$A,IF(ISNUMBER(SEARCH("ESPUMA",$B12)),"ESPUMA",IF(OR(ISNUMBER(SEARCH("OLEO DE COCO",$B12)),ISNUMBER(SEARCH("ÓLEO DE COCO",$B12)),ISNUMBER(SEARCH("COPRA",$B12))),"ÓLEO DE COCO",IF(ISNUMBER(SEARCH("CORANTE",$B12)),"CORANTE",TRIM($B12)))),CONFIG_PALETES!$B:$B,$C12&amp;" ml")&gt;0,SUMIFS(CONFIG_PALETES!$D:$D,CONFIG_PALETES!$A:$A,IF(ISNUMBER(SEARCH("ESPUMA",$B12)),"ESPUMA",IF(OR(ISNUMBER(SEARCH("OLEO DE COCO",$B12)),ISNUMBER(SEARCH("ÓLEO DE COCO",$B12)),ISNUMBER(SEARCH("COPRA",$B12))),"ÓLEO DE COCO",IF(ISNUMBER(SEARCH("CORANTE",$B12)),"CORANTE",TRIM($B12)))),CONFIG_PALETES!$B:$B,$C12&amp;" ml"),IF(SUMIFS(CONFIG_PALETES!$D:$D,CONFIG_PALETES!$A:$A,"GERAL",CONFIG_PALETES!$B:$B,$C12&amp;" ml")&gt;0,SUMIFS(CONFIG_PALETES!$D:$D,CONFIG_PALETES!$A:$A,"GERAL",CONFIG_PALETES!$B:$B,$C12&amp;" ml"),12)))</f>
        <v/>
      </c>
      <c r="AA12" t="s">
        <v>1080</v>
      </c>
      <c r="AB12" t="s">
        <v>1423</v>
      </c>
    </row>
    <row r="13" spans="1:41" ht="21" customHeight="1" x14ac:dyDescent="0.3">
      <c r="A13" s="110"/>
      <c r="B13" s="109"/>
      <c r="C13" s="108"/>
      <c r="D13" s="104"/>
      <c r="E13" s="107" t="s">
        <v>184</v>
      </c>
      <c r="F13" s="871" t="str">
        <f>IF($B13="","",IF(SUMIFS(CONFIG_PALETES!$C:$C,CONFIG_PALETES!$A:$A,TRIM($B13),CONFIG_PALETES!$B:$B,$C13&amp;" ml")&gt;0,SUMIFS(CONFIG_PALETES!$C:$C,CONFIG_PALETES!$A:$A,TRIM($B13),CONFIG_PALETES!$B:$B,$C13&amp;" ml"),IF(SUMIFS(CONFIG_PALETES!$C:$C,CONFIG_PALETES!$A:$A,"GERAL",CONFIG_PALETES!$B:$B,$C13&amp;" ml")&gt;0,SUMIFS(CONFIG_PALETES!$C:$C,CONFIG_PALETES!$A:$A,"GERAL",CONFIG_PALETES!$B:$B,$C13&amp;" ml"),"")))</f>
        <v/>
      </c>
      <c r="G13" s="106" t="str">
        <f>IFERROR(ROUNDUP(D13/F13,0),"")</f>
        <v/>
      </c>
      <c r="H13" s="105"/>
      <c r="I13" s="104" t="str">
        <f>IF(H13="","",H13*IF(SUMIFS(CONFIG_PALETES!$D:$D,CONFIG_PALETES!$A:$A,IF(ISNUMBER(SEARCH("ESPUMA",$B13)),"ESPUMA",IF(OR(ISNUMBER(SEARCH("OLEO DE COCO",$B13)),ISNUMBER(SEARCH("ÓLEO DE COCO",$B13)),ISNUMBER(SEARCH("COPRA",$B13))),"ÓLEO DE COCO",IF(ISNUMBER(SEARCH("CORANTE",$B13)),"CORANTE",TRIM($B13)))),CONFIG_PALETES!$B:$B,$C13&amp;" ml")&gt;0,SUMIFS(CONFIG_PALETES!$D:$D,CONFIG_PALETES!$A:$A,IF(ISNUMBER(SEARCH("ESPUMA",$B13)),"ESPUMA",IF(OR(ISNUMBER(SEARCH("OLEO DE COCO",$B13)),ISNUMBER(SEARCH("ÓLEO DE COCO",$B13)),ISNUMBER(SEARCH("COPRA",$B13))),"ÓLEO DE COCO",IF(ISNUMBER(SEARCH("CORANTE",$B13)),"CORANTE",TRIM($B13)))),CONFIG_PALETES!$B:$B,$C13&amp;" ml"),IF(SUMIFS(CONFIG_PALETES!$D:$D,CONFIG_PALETES!$A:$A,"GERAL",CONFIG_PALETES!$B:$B,$C13&amp;" ml")&gt;0,SUMIFS(CONFIG_PALETES!$D:$D,CONFIG_PALETES!$A:$A,"GERAL",CONFIG_PALETES!$B:$B,$C13&amp;" ml"),12)))</f>
        <v/>
      </c>
      <c r="AA13" t="s">
        <v>489</v>
      </c>
      <c r="AB13" t="s">
        <v>1423</v>
      </c>
    </row>
    <row r="14" spans="1:41" ht="21" customHeight="1" x14ac:dyDescent="0.3">
      <c r="A14" s="110"/>
      <c r="B14" s="109"/>
      <c r="C14" s="108"/>
      <c r="D14" s="104"/>
      <c r="E14" s="107" t="s">
        <v>184</v>
      </c>
      <c r="F14" s="871" t="str">
        <f>IF($B14="","",IF(SUMIFS(CONFIG_PALETES!$C:$C,CONFIG_PALETES!$A:$A,TRIM($B14),CONFIG_PALETES!$B:$B,$C14&amp;" ml")&gt;0,SUMIFS(CONFIG_PALETES!$C:$C,CONFIG_PALETES!$A:$A,TRIM($B14),CONFIG_PALETES!$B:$B,$C14&amp;" ml"),IF(SUMIFS(CONFIG_PALETES!$C:$C,CONFIG_PALETES!$A:$A,"GERAL",CONFIG_PALETES!$B:$B,$C14&amp;" ml")&gt;0,SUMIFS(CONFIG_PALETES!$C:$C,CONFIG_PALETES!$A:$A,"GERAL",CONFIG_PALETES!$B:$B,$C14&amp;" ml"),"")))</f>
        <v/>
      </c>
      <c r="G14" s="106" t="str">
        <f>IFERROR(ROUNDUP(D14/F14,0),"")</f>
        <v/>
      </c>
      <c r="H14" s="105"/>
      <c r="I14" s="104" t="str">
        <f>IF(H14="","",H14*IF(SUMIFS(CONFIG_PALETES!$D:$D,CONFIG_PALETES!$A:$A,IF(ISNUMBER(SEARCH("ESPUMA",$B14)),"ESPUMA",IF(OR(ISNUMBER(SEARCH("OLEO DE COCO",$B14)),ISNUMBER(SEARCH("ÓLEO DE COCO",$B14)),ISNUMBER(SEARCH("COPRA",$B14))),"ÓLEO DE COCO",IF(ISNUMBER(SEARCH("CORANTE",$B14)),"CORANTE",TRIM($B14)))),CONFIG_PALETES!$B:$B,$C14&amp;" ml")&gt;0,SUMIFS(CONFIG_PALETES!$D:$D,CONFIG_PALETES!$A:$A,IF(ISNUMBER(SEARCH("ESPUMA",$B14)),"ESPUMA",IF(OR(ISNUMBER(SEARCH("OLEO DE COCO",$B14)),ISNUMBER(SEARCH("ÓLEO DE COCO",$B14)),ISNUMBER(SEARCH("COPRA",$B14))),"ÓLEO DE COCO",IF(ISNUMBER(SEARCH("CORANTE",$B14)),"CORANTE",TRIM($B14)))),CONFIG_PALETES!$B:$B,$C14&amp;" ml"),IF(SUMIFS(CONFIG_PALETES!$D:$D,CONFIG_PALETES!$A:$A,"GERAL",CONFIG_PALETES!$B:$B,$C14&amp;" ml")&gt;0,SUMIFS(CONFIG_PALETES!$D:$D,CONFIG_PALETES!$A:$A,"GERAL",CONFIG_PALETES!$B:$B,$C14&amp;" ml"),12)))</f>
        <v/>
      </c>
      <c r="AA14" t="s">
        <v>43</v>
      </c>
      <c r="AB14" t="s">
        <v>1425</v>
      </c>
    </row>
    <row r="15" spans="1:41" ht="21" customHeight="1" x14ac:dyDescent="0.3">
      <c r="A15" s="110"/>
      <c r="B15" s="109"/>
      <c r="C15" s="108"/>
      <c r="D15" s="104"/>
      <c r="E15" s="107" t="s">
        <v>184</v>
      </c>
      <c r="F15" s="871" t="str">
        <f>IF($B15="","",IF(SUMIFS(CONFIG_PALETES!$C:$C,CONFIG_PALETES!$A:$A,TRIM($B15),CONFIG_PALETES!$B:$B,$C15&amp;" ml")&gt;0,SUMIFS(CONFIG_PALETES!$C:$C,CONFIG_PALETES!$A:$A,TRIM($B15),CONFIG_PALETES!$B:$B,$C15&amp;" ml"),IF(SUMIFS(CONFIG_PALETES!$C:$C,CONFIG_PALETES!$A:$A,"GERAL",CONFIG_PALETES!$B:$B,$C15&amp;" ml")&gt;0,SUMIFS(CONFIG_PALETES!$C:$C,CONFIG_PALETES!$A:$A,"GERAL",CONFIG_PALETES!$B:$B,$C15&amp;" ml"),"")))</f>
        <v/>
      </c>
      <c r="G15" s="106" t="str">
        <f>IFERROR(ROUNDUP(D15/F15,0),"")</f>
        <v/>
      </c>
      <c r="H15" s="105"/>
      <c r="I15" s="104" t="str">
        <f>IF(H15="","",H15*IF(SUMIFS(CONFIG_PALETES!$D:$D,CONFIG_PALETES!$A:$A,IF(ISNUMBER(SEARCH("ESPUMA",$B15)),"ESPUMA",IF(OR(ISNUMBER(SEARCH("OLEO DE COCO",$B15)),ISNUMBER(SEARCH("ÓLEO DE COCO",$B15)),ISNUMBER(SEARCH("COPRA",$B15))),"ÓLEO DE COCO",IF(ISNUMBER(SEARCH("CORANTE",$B15)),"CORANTE",TRIM($B15)))),CONFIG_PALETES!$B:$B,$C15&amp;" ml")&gt;0,SUMIFS(CONFIG_PALETES!$D:$D,CONFIG_PALETES!$A:$A,IF(ISNUMBER(SEARCH("ESPUMA",$B15)),"ESPUMA",IF(OR(ISNUMBER(SEARCH("OLEO DE COCO",$B15)),ISNUMBER(SEARCH("ÓLEO DE COCO",$B15)),ISNUMBER(SEARCH("COPRA",$B15))),"ÓLEO DE COCO",IF(ISNUMBER(SEARCH("CORANTE",$B15)),"CORANTE",TRIM($B15)))),CONFIG_PALETES!$B:$B,$C15&amp;" ml"),IF(SUMIFS(CONFIG_PALETES!$D:$D,CONFIG_PALETES!$A:$A,"GERAL",CONFIG_PALETES!$B:$B,$C15&amp;" ml")&gt;0,SUMIFS(CONFIG_PALETES!$D:$D,CONFIG_PALETES!$A:$A,"GERAL",CONFIG_PALETES!$B:$B,$C15&amp;" ml"),12)))</f>
        <v/>
      </c>
      <c r="AA15" t="s">
        <v>1224</v>
      </c>
      <c r="AB15" t="s">
        <v>1426</v>
      </c>
    </row>
    <row r="16" spans="1:41" ht="21" customHeight="1" x14ac:dyDescent="0.3">
      <c r="A16" s="817"/>
      <c r="B16" s="818"/>
      <c r="C16" s="819"/>
      <c r="D16" s="820"/>
      <c r="E16" s="821" t="s">
        <v>184</v>
      </c>
      <c r="F16" s="872" t="str">
        <f>IF($B16="","",IF(SUMIFS(CONFIG_PALETES!$C:$C,CONFIG_PALETES!$A:$A,TRIM($B16),CONFIG_PALETES!$B:$B,$C16&amp;" ml")&gt;0,SUMIFS(CONFIG_PALETES!$C:$C,CONFIG_PALETES!$A:$A,TRIM($B16),CONFIG_PALETES!$B:$B,$C16&amp;" ml"),IF(SUMIFS(CONFIG_PALETES!$C:$C,CONFIG_PALETES!$A:$A,"GERAL",CONFIG_PALETES!$B:$B,$C16&amp;" ml")&gt;0,SUMIFS(CONFIG_PALETES!$C:$C,CONFIG_PALETES!$A:$A,"GERAL",CONFIG_PALETES!$B:$B,$C16&amp;" ml"),"")))</f>
        <v/>
      </c>
      <c r="G16" s="822" t="str">
        <f>IFERROR(ROUNDUP(D16/F16,0),"")</f>
        <v/>
      </c>
      <c r="H16" s="823"/>
      <c r="I16" s="820" t="str">
        <f>IF(H16="","",H16*IF(SUMIFS(CONFIG_PALETES!$D:$D,CONFIG_PALETES!$A:$A,IF(ISNUMBER(SEARCH("ESPUMA",$B16)),"ESPUMA",IF(OR(ISNUMBER(SEARCH("OLEO DE COCO",$B16)),ISNUMBER(SEARCH("ÓLEO DE COCO",$B16)),ISNUMBER(SEARCH("COPRA",$B16))),"ÓLEO DE COCO",IF(ISNUMBER(SEARCH("CORANTE",$B16)),"CORANTE",TRIM($B16)))),CONFIG_PALETES!$B:$B,$C16&amp;" ml")&gt;0,SUMIFS(CONFIG_PALETES!$D:$D,CONFIG_PALETES!$A:$A,IF(ISNUMBER(SEARCH("ESPUMA",$B16)),"ESPUMA",IF(OR(ISNUMBER(SEARCH("OLEO DE COCO",$B16)),ISNUMBER(SEARCH("ÓLEO DE COCO",$B16)),ISNUMBER(SEARCH("COPRA",$B16))),"ÓLEO DE COCO",IF(ISNUMBER(SEARCH("CORANTE",$B16)),"CORANTE",TRIM($B16)))),CONFIG_PALETES!$B:$B,$C16&amp;" ml"),IF(SUMIFS(CONFIG_PALETES!$D:$D,CONFIG_PALETES!$A:$A,"GERAL",CONFIG_PALETES!$B:$B,$C16&amp;" ml")&gt;0,SUMIFS(CONFIG_PALETES!$D:$D,CONFIG_PALETES!$A:$A,"GERAL",CONFIG_PALETES!$B:$B,$C16&amp;" ml"),12)))</f>
        <v/>
      </c>
      <c r="AA16" t="s">
        <v>1014</v>
      </c>
      <c r="AB16" t="s">
        <v>1425</v>
      </c>
    </row>
    <row r="17" spans="1:28" ht="15" customHeight="1" x14ac:dyDescent="0.3">
      <c r="A17" s="899"/>
      <c r="B17" s="846" t="s">
        <v>186</v>
      </c>
      <c r="C17" s="847"/>
      <c r="D17" s="848">
        <f>SUM(D10:D16)</f>
        <v>0</v>
      </c>
      <c r="E17" s="849"/>
      <c r="F17" s="856" t="s">
        <v>1400</v>
      </c>
      <c r="G17" s="850">
        <f>SUM(G10:G16)</f>
        <v>0</v>
      </c>
      <c r="H17" s="848">
        <f>SUM(H10:H16)</f>
        <v>0</v>
      </c>
      <c r="I17" s="848">
        <f>SUM(I10:I16)</f>
        <v>0</v>
      </c>
      <c r="J17" s="63">
        <f>D17</f>
        <v>0</v>
      </c>
      <c r="K17" s="93">
        <f>G17</f>
        <v>0</v>
      </c>
      <c r="L17" s="63">
        <f>H17</f>
        <v>0</v>
      </c>
      <c r="M17" s="63">
        <f>I17</f>
        <v>0</v>
      </c>
      <c r="N17" s="587" t="str" cm="1">
        <f t="array" ref="N17">IF(H17=0,"",SUMPRODUCT(IFERROR(INT(H12:H16/F12:F16),0)))</f>
        <v/>
      </c>
      <c r="O17" s="770" t="str">
        <f>IF(N17="","",MAX(0,G17-N17))</f>
        <v/>
      </c>
      <c r="AA17" t="s">
        <v>236</v>
      </c>
      <c r="AB17" t="s">
        <v>1425</v>
      </c>
    </row>
    <row r="18" spans="1:28" ht="6" customHeight="1" x14ac:dyDescent="0.3">
      <c r="C18" s="65"/>
      <c r="AA18" t="s">
        <v>593</v>
      </c>
      <c r="AB18" t="s">
        <v>1426</v>
      </c>
    </row>
    <row r="19" spans="1:28" ht="15" customHeight="1" x14ac:dyDescent="0.3">
      <c r="A19" s="75">
        <v>46359</v>
      </c>
      <c r="B19" s="113" t="s">
        <v>49</v>
      </c>
      <c r="C19" s="112" t="s">
        <v>176</v>
      </c>
      <c r="D19" s="111" t="s">
        <v>177</v>
      </c>
      <c r="E19" s="111" t="s">
        <v>178</v>
      </c>
      <c r="F19" s="860" t="s">
        <v>179</v>
      </c>
      <c r="G19" s="111" t="s">
        <v>180</v>
      </c>
      <c r="H19" s="111" t="s">
        <v>181</v>
      </c>
      <c r="I19" s="111" t="s">
        <v>182</v>
      </c>
      <c r="AA19" t="s">
        <v>139</v>
      </c>
      <c r="AB19" t="s">
        <v>1425</v>
      </c>
    </row>
    <row r="20" spans="1:28" ht="21" customHeight="1" x14ac:dyDescent="0.3">
      <c r="A20" s="110"/>
      <c r="B20" s="109"/>
      <c r="C20" s="108"/>
      <c r="D20" s="104"/>
      <c r="E20" s="107" t="s">
        <v>184</v>
      </c>
      <c r="F20" s="871" t="str">
        <f>IF($B20="","",IF(SUMIFS(CONFIG_PALETES!$C:$C,CONFIG_PALETES!$A:$A,TRIM($B20),CONFIG_PALETES!$B:$B,$C20&amp;" ml")&gt;0,SUMIFS(CONFIG_PALETES!$C:$C,CONFIG_PALETES!$A:$A,TRIM($B20),CONFIG_PALETES!$B:$B,$C20&amp;" ml"),IF(SUMIFS(CONFIG_PALETES!$C:$C,CONFIG_PALETES!$A:$A,"GERAL",CONFIG_PALETES!$B:$B,$C20&amp;" ml")&gt;0,SUMIFS(CONFIG_PALETES!$C:$C,CONFIG_PALETES!$A:$A,"GERAL",CONFIG_PALETES!$B:$B,$C20&amp;" ml"),"")))</f>
        <v/>
      </c>
      <c r="G20" s="106" t="str">
        <f>IFERROR(ROUNDUP(D20/F20,0),"")</f>
        <v/>
      </c>
      <c r="H20" s="105"/>
      <c r="I20" s="104" t="str">
        <f>IF(H20="","",H20*IF(SUMIFS(CONFIG_PALETES!$D:$D,CONFIG_PALETES!$A:$A,IF(ISNUMBER(SEARCH("ESPUMA",$B20)),"ESPUMA",IF(OR(ISNUMBER(SEARCH("OLEO DE COCO",$B20)),ISNUMBER(SEARCH("ÓLEO DE COCO",$B20)),ISNUMBER(SEARCH("COPRA",$B20))),"ÓLEO DE COCO",IF(ISNUMBER(SEARCH("CORANTE",$B20)),"CORANTE",TRIM($B20)))),CONFIG_PALETES!$B:$B,$C20&amp;" ml")&gt;0,SUMIFS(CONFIG_PALETES!$D:$D,CONFIG_PALETES!$A:$A,IF(ISNUMBER(SEARCH("ESPUMA",$B20)),"ESPUMA",IF(OR(ISNUMBER(SEARCH("OLEO DE COCO",$B20)),ISNUMBER(SEARCH("ÓLEO DE COCO",$B20)),ISNUMBER(SEARCH("COPRA",$B20))),"ÓLEO DE COCO",IF(ISNUMBER(SEARCH("CORANTE",$B20)),"CORANTE",TRIM($B20)))),CONFIG_PALETES!$B:$B,$C20&amp;" ml"),IF(SUMIFS(CONFIG_PALETES!$D:$D,CONFIG_PALETES!$A:$A,"GERAL",CONFIG_PALETES!$B:$B,$C20&amp;" ml")&gt;0,SUMIFS(CONFIG_PALETES!$D:$D,CONFIG_PALETES!$A:$A,"GERAL",CONFIG_PALETES!$B:$B,$C20&amp;" ml"),12)))</f>
        <v/>
      </c>
      <c r="AA20" t="s">
        <v>189</v>
      </c>
      <c r="AB20" t="s">
        <v>1425</v>
      </c>
    </row>
    <row r="21" spans="1:28" ht="21" customHeight="1" x14ac:dyDescent="0.3">
      <c r="A21" s="110"/>
      <c r="B21" s="109"/>
      <c r="C21" s="108"/>
      <c r="D21" s="104"/>
      <c r="E21" s="107" t="s">
        <v>184</v>
      </c>
      <c r="F21" s="871" t="str">
        <f>IF($B21="","",IF(SUMIFS(CONFIG_PALETES!$C:$C,CONFIG_PALETES!$A:$A,TRIM($B21),CONFIG_PALETES!$B:$B,$C21&amp;" ml")&gt;0,SUMIFS(CONFIG_PALETES!$C:$C,CONFIG_PALETES!$A:$A,TRIM($B21),CONFIG_PALETES!$B:$B,$C21&amp;" ml"),IF(SUMIFS(CONFIG_PALETES!$C:$C,CONFIG_PALETES!$A:$A,"GERAL",CONFIG_PALETES!$B:$B,$C21&amp;" ml")&gt;0,SUMIFS(CONFIG_PALETES!$C:$C,CONFIG_PALETES!$A:$A,"GERAL",CONFIG_PALETES!$B:$B,$C21&amp;" ml"),"")))</f>
        <v/>
      </c>
      <c r="G21" s="106" t="str">
        <f>IFERROR(ROUNDUP(D21/F21,0),"")</f>
        <v/>
      </c>
      <c r="H21" s="105"/>
      <c r="I21" s="104" t="str">
        <f>IF(H21="","",H21*IF(SUMIFS(CONFIG_PALETES!$D:$D,CONFIG_PALETES!$A:$A,IF(ISNUMBER(SEARCH("ESPUMA",$B21)),"ESPUMA",IF(OR(ISNUMBER(SEARCH("OLEO DE COCO",$B21)),ISNUMBER(SEARCH("ÓLEO DE COCO",$B21)),ISNUMBER(SEARCH("COPRA",$B21))),"ÓLEO DE COCO",IF(ISNUMBER(SEARCH("CORANTE",$B21)),"CORANTE",TRIM($B21)))),CONFIG_PALETES!$B:$B,$C21&amp;" ml")&gt;0,SUMIFS(CONFIG_PALETES!$D:$D,CONFIG_PALETES!$A:$A,IF(ISNUMBER(SEARCH("ESPUMA",$B21)),"ESPUMA",IF(OR(ISNUMBER(SEARCH("OLEO DE COCO",$B21)),ISNUMBER(SEARCH("ÓLEO DE COCO",$B21)),ISNUMBER(SEARCH("COPRA",$B21))),"ÓLEO DE COCO",IF(ISNUMBER(SEARCH("CORANTE",$B21)),"CORANTE",TRIM($B21)))),CONFIG_PALETES!$B:$B,$C21&amp;" ml"),IF(SUMIFS(CONFIG_PALETES!$D:$D,CONFIG_PALETES!$A:$A,"GERAL",CONFIG_PALETES!$B:$B,$C21&amp;" ml")&gt;0,SUMIFS(CONFIG_PALETES!$D:$D,CONFIG_PALETES!$A:$A,"GERAL",CONFIG_PALETES!$B:$B,$C21&amp;" ml"),12)))</f>
        <v/>
      </c>
      <c r="AA21" t="s">
        <v>403</v>
      </c>
      <c r="AB21" t="s">
        <v>1425</v>
      </c>
    </row>
    <row r="22" spans="1:28" ht="21" customHeight="1" x14ac:dyDescent="0.3">
      <c r="A22" s="110"/>
      <c r="B22" s="109"/>
      <c r="C22" s="108"/>
      <c r="D22" s="104"/>
      <c r="E22" s="107" t="s">
        <v>184</v>
      </c>
      <c r="F22" s="871" t="str">
        <f>IF($B22="","",IF(SUMIFS(CONFIG_PALETES!$C:$C,CONFIG_PALETES!$A:$A,TRIM($B22),CONFIG_PALETES!$B:$B,$C22&amp;" ml")&gt;0,SUMIFS(CONFIG_PALETES!$C:$C,CONFIG_PALETES!$A:$A,TRIM($B22),CONFIG_PALETES!$B:$B,$C22&amp;" ml"),IF(SUMIFS(CONFIG_PALETES!$C:$C,CONFIG_PALETES!$A:$A,"GERAL",CONFIG_PALETES!$B:$B,$C22&amp;" ml")&gt;0,SUMIFS(CONFIG_PALETES!$C:$C,CONFIG_PALETES!$A:$A,"GERAL",CONFIG_PALETES!$B:$B,$C22&amp;" ml"),"")))</f>
        <v/>
      </c>
      <c r="G22" s="106" t="str">
        <f>IFERROR(ROUNDUP(D22/F22,0),"")</f>
        <v/>
      </c>
      <c r="H22" s="105"/>
      <c r="I22" s="104" t="str">
        <f>IF(H22="","",H22*IF(SUMIFS(CONFIG_PALETES!$D:$D,CONFIG_PALETES!$A:$A,IF(ISNUMBER(SEARCH("ESPUMA",$B22)),"ESPUMA",IF(OR(ISNUMBER(SEARCH("OLEO DE COCO",$B22)),ISNUMBER(SEARCH("ÓLEO DE COCO",$B22)),ISNUMBER(SEARCH("COPRA",$B22))),"ÓLEO DE COCO",IF(ISNUMBER(SEARCH("CORANTE",$B22)),"CORANTE",TRIM($B22)))),CONFIG_PALETES!$B:$B,$C22&amp;" ml")&gt;0,SUMIFS(CONFIG_PALETES!$D:$D,CONFIG_PALETES!$A:$A,IF(ISNUMBER(SEARCH("ESPUMA",$B22)),"ESPUMA",IF(OR(ISNUMBER(SEARCH("OLEO DE COCO",$B22)),ISNUMBER(SEARCH("ÓLEO DE COCO",$B22)),ISNUMBER(SEARCH("COPRA",$B22))),"ÓLEO DE COCO",IF(ISNUMBER(SEARCH("CORANTE",$B22)),"CORANTE",TRIM($B22)))),CONFIG_PALETES!$B:$B,$C22&amp;" ml"),IF(SUMIFS(CONFIG_PALETES!$D:$D,CONFIG_PALETES!$A:$A,"GERAL",CONFIG_PALETES!$B:$B,$C22&amp;" ml")&gt;0,SUMIFS(CONFIG_PALETES!$D:$D,CONFIG_PALETES!$A:$A,"GERAL",CONFIG_PALETES!$B:$B,$C22&amp;" ml"),12)))</f>
        <v/>
      </c>
      <c r="AA22" t="s">
        <v>553</v>
      </c>
      <c r="AB22" t="s">
        <v>1423</v>
      </c>
    </row>
    <row r="23" spans="1:28" ht="21" customHeight="1" x14ac:dyDescent="0.3">
      <c r="A23" s="110"/>
      <c r="B23" s="109"/>
      <c r="C23" s="108"/>
      <c r="D23" s="104"/>
      <c r="E23" s="107" t="s">
        <v>184</v>
      </c>
      <c r="F23" s="871" t="str">
        <f>IF($B23="","",IF(SUMIFS(CONFIG_PALETES!$C:$C,CONFIG_PALETES!$A:$A,TRIM($B23),CONFIG_PALETES!$B:$B,$C23&amp;" ml")&gt;0,SUMIFS(CONFIG_PALETES!$C:$C,CONFIG_PALETES!$A:$A,TRIM($B23),CONFIG_PALETES!$B:$B,$C23&amp;" ml"),IF(SUMIFS(CONFIG_PALETES!$C:$C,CONFIG_PALETES!$A:$A,"GERAL",CONFIG_PALETES!$B:$B,$C23&amp;" ml")&gt;0,SUMIFS(CONFIG_PALETES!$C:$C,CONFIG_PALETES!$A:$A,"GERAL",CONFIG_PALETES!$B:$B,$C23&amp;" ml"),"")))</f>
        <v/>
      </c>
      <c r="G23" s="106" t="str">
        <f>IFERROR(ROUNDUP(D23/F23,0),"")</f>
        <v/>
      </c>
      <c r="H23" s="105"/>
      <c r="I23" s="104" t="str">
        <f>IF(H23="","",H23*IF(SUMIFS(CONFIG_PALETES!$D:$D,CONFIG_PALETES!$A:$A,IF(ISNUMBER(SEARCH("ESPUMA",$B23)),"ESPUMA",IF(OR(ISNUMBER(SEARCH("OLEO DE COCO",$B23)),ISNUMBER(SEARCH("ÓLEO DE COCO",$B23)),ISNUMBER(SEARCH("COPRA",$B23))),"ÓLEO DE COCO",IF(ISNUMBER(SEARCH("CORANTE",$B23)),"CORANTE",TRIM($B23)))),CONFIG_PALETES!$B:$B,$C23&amp;" ml")&gt;0,SUMIFS(CONFIG_PALETES!$D:$D,CONFIG_PALETES!$A:$A,IF(ISNUMBER(SEARCH("ESPUMA",$B23)),"ESPUMA",IF(OR(ISNUMBER(SEARCH("OLEO DE COCO",$B23)),ISNUMBER(SEARCH("ÓLEO DE COCO",$B23)),ISNUMBER(SEARCH("COPRA",$B23))),"ÓLEO DE COCO",IF(ISNUMBER(SEARCH("CORANTE",$B23)),"CORANTE",TRIM($B23)))),CONFIG_PALETES!$B:$B,$C23&amp;" ml"),IF(SUMIFS(CONFIG_PALETES!$D:$D,CONFIG_PALETES!$A:$A,"GERAL",CONFIG_PALETES!$B:$B,$C23&amp;" ml")&gt;0,SUMIFS(CONFIG_PALETES!$D:$D,CONFIG_PALETES!$A:$A,"GERAL",CONFIG_PALETES!$B:$B,$C23&amp;" ml"),12)))</f>
        <v/>
      </c>
      <c r="AA23" t="s">
        <v>1205</v>
      </c>
      <c r="AB23" t="s">
        <v>1426</v>
      </c>
    </row>
    <row r="24" spans="1:28" ht="21" customHeight="1" x14ac:dyDescent="0.3">
      <c r="A24" s="817"/>
      <c r="B24" s="818"/>
      <c r="C24" s="819"/>
      <c r="D24" s="820"/>
      <c r="E24" s="821" t="s">
        <v>184</v>
      </c>
      <c r="F24" s="872" t="str">
        <f>IF($B24="","",IF(SUMIFS(CONFIG_PALETES!$C:$C,CONFIG_PALETES!$A:$A,TRIM($B24),CONFIG_PALETES!$B:$B,$C24&amp;" ml")&gt;0,SUMIFS(CONFIG_PALETES!$C:$C,CONFIG_PALETES!$A:$A,TRIM($B24),CONFIG_PALETES!$B:$B,$C24&amp;" ml"),IF(SUMIFS(CONFIG_PALETES!$C:$C,CONFIG_PALETES!$A:$A,"GERAL",CONFIG_PALETES!$B:$B,$C24&amp;" ml")&gt;0,SUMIFS(CONFIG_PALETES!$C:$C,CONFIG_PALETES!$A:$A,"GERAL",CONFIG_PALETES!$B:$B,$C24&amp;" ml"),"")))</f>
        <v/>
      </c>
      <c r="G24" s="822" t="str">
        <f>IFERROR(ROUNDUP(D24/F24,0),"")</f>
        <v/>
      </c>
      <c r="H24" s="823"/>
      <c r="I24" s="820" t="str">
        <f>IF(H24="","",H24*IF(SUMIFS(CONFIG_PALETES!$D:$D,CONFIG_PALETES!$A:$A,IF(ISNUMBER(SEARCH("ESPUMA",$B24)),"ESPUMA",IF(OR(ISNUMBER(SEARCH("OLEO DE COCO",$B24)),ISNUMBER(SEARCH("ÓLEO DE COCO",$B24)),ISNUMBER(SEARCH("COPRA",$B24))),"ÓLEO DE COCO",IF(ISNUMBER(SEARCH("CORANTE",$B24)),"CORANTE",TRIM($B24)))),CONFIG_PALETES!$B:$B,$C24&amp;" ml")&gt;0,SUMIFS(CONFIG_PALETES!$D:$D,CONFIG_PALETES!$A:$A,IF(ISNUMBER(SEARCH("ESPUMA",$B24)),"ESPUMA",IF(OR(ISNUMBER(SEARCH("OLEO DE COCO",$B24)),ISNUMBER(SEARCH("ÓLEO DE COCO",$B24)),ISNUMBER(SEARCH("COPRA",$B24))),"ÓLEO DE COCO",IF(ISNUMBER(SEARCH("CORANTE",$B24)),"CORANTE",TRIM($B24)))),CONFIG_PALETES!$B:$B,$C24&amp;" ml"),IF(SUMIFS(CONFIG_PALETES!$D:$D,CONFIG_PALETES!$A:$A,"GERAL",CONFIG_PALETES!$B:$B,$C24&amp;" ml")&gt;0,SUMIFS(CONFIG_PALETES!$D:$D,CONFIG_PALETES!$A:$A,"GERAL",CONFIG_PALETES!$B:$B,$C24&amp;" ml"),12)))</f>
        <v/>
      </c>
      <c r="AA24" t="s">
        <v>1165</v>
      </c>
      <c r="AB24" t="s">
        <v>1426</v>
      </c>
    </row>
    <row r="25" spans="1:28" ht="15" customHeight="1" x14ac:dyDescent="0.3">
      <c r="A25" s="899"/>
      <c r="B25" s="846" t="s">
        <v>186</v>
      </c>
      <c r="C25" s="847"/>
      <c r="D25" s="848">
        <f>SUM(D18:D24)</f>
        <v>0</v>
      </c>
      <c r="E25" s="849"/>
      <c r="F25" s="856" t="s">
        <v>1400</v>
      </c>
      <c r="G25" s="850">
        <f>SUM(G18:G24)</f>
        <v>0</v>
      </c>
      <c r="H25" s="848">
        <f>SUM(H18:H24)</f>
        <v>0</v>
      </c>
      <c r="I25" s="848">
        <f>SUM(I18:I24)</f>
        <v>0</v>
      </c>
      <c r="J25" s="63">
        <f>D25</f>
        <v>0</v>
      </c>
      <c r="K25" s="93">
        <f>G25</f>
        <v>0</v>
      </c>
      <c r="L25" s="63">
        <f>H25</f>
        <v>0</v>
      </c>
      <c r="M25" s="63">
        <f>I25</f>
        <v>0</v>
      </c>
      <c r="N25" s="587" t="str" cm="1">
        <f t="array" ref="N25">IF(H25=0,"",SUMPRODUCT(IFERROR(INT(H20:H24/F20:F24),0)))</f>
        <v/>
      </c>
      <c r="O25" s="770" t="str">
        <f>IF(N25="","",MAX(0,G25-N25))</f>
        <v/>
      </c>
      <c r="AA25" t="s">
        <v>1159</v>
      </c>
      <c r="AB25" t="s">
        <v>1423</v>
      </c>
    </row>
    <row r="26" spans="1:28" ht="6" customHeight="1" x14ac:dyDescent="0.3">
      <c r="C26" s="65"/>
      <c r="AA26" t="s">
        <v>287</v>
      </c>
      <c r="AB26" t="s">
        <v>1427</v>
      </c>
    </row>
    <row r="27" spans="1:28" ht="15" customHeight="1" x14ac:dyDescent="0.3">
      <c r="A27" s="75">
        <v>46360</v>
      </c>
      <c r="B27" s="113" t="s">
        <v>49</v>
      </c>
      <c r="C27" s="112" t="s">
        <v>176</v>
      </c>
      <c r="D27" s="111" t="s">
        <v>177</v>
      </c>
      <c r="E27" s="111" t="s">
        <v>178</v>
      </c>
      <c r="F27" s="860" t="s">
        <v>179</v>
      </c>
      <c r="G27" s="111" t="s">
        <v>180</v>
      </c>
      <c r="H27" s="111" t="s">
        <v>181</v>
      </c>
      <c r="I27" s="111" t="s">
        <v>182</v>
      </c>
      <c r="AA27" t="s">
        <v>996</v>
      </c>
      <c r="AB27" t="s">
        <v>1426</v>
      </c>
    </row>
    <row r="28" spans="1:28" ht="21" customHeight="1" x14ac:dyDescent="0.3">
      <c r="A28" s="110"/>
      <c r="B28" s="109"/>
      <c r="C28" s="108"/>
      <c r="D28" s="104"/>
      <c r="E28" s="107" t="s">
        <v>184</v>
      </c>
      <c r="F28" s="871" t="str">
        <f>IF($B28="","",IF(SUMIFS(CONFIG_PALETES!$C:$C,CONFIG_PALETES!$A:$A,TRIM($B28),CONFIG_PALETES!$B:$B,$C28&amp;" ml")&gt;0,SUMIFS(CONFIG_PALETES!$C:$C,CONFIG_PALETES!$A:$A,TRIM($B28),CONFIG_PALETES!$B:$B,$C28&amp;" ml"),IF(SUMIFS(CONFIG_PALETES!$C:$C,CONFIG_PALETES!$A:$A,"GERAL",CONFIG_PALETES!$B:$B,$C28&amp;" ml")&gt;0,SUMIFS(CONFIG_PALETES!$C:$C,CONFIG_PALETES!$A:$A,"GERAL",CONFIG_PALETES!$B:$B,$C28&amp;" ml"),"")))</f>
        <v/>
      </c>
      <c r="G28" s="106" t="str">
        <f>IFERROR(ROUNDUP(D28/F28,0),"")</f>
        <v/>
      </c>
      <c r="H28" s="105"/>
      <c r="I28" s="104" t="str">
        <f>IF(H28="","",H28*IF(SUMIFS(CONFIG_PALETES!$D:$D,CONFIG_PALETES!$A:$A,IF(ISNUMBER(SEARCH("ESPUMA",$B28)),"ESPUMA",IF(OR(ISNUMBER(SEARCH("OLEO DE COCO",$B28)),ISNUMBER(SEARCH("ÓLEO DE COCO",$B28)),ISNUMBER(SEARCH("COPRA",$B28))),"ÓLEO DE COCO",IF(ISNUMBER(SEARCH("CORANTE",$B28)),"CORANTE",TRIM($B28)))),CONFIG_PALETES!$B:$B,$C28&amp;" ml")&gt;0,SUMIFS(CONFIG_PALETES!$D:$D,CONFIG_PALETES!$A:$A,IF(ISNUMBER(SEARCH("ESPUMA",$B28)),"ESPUMA",IF(OR(ISNUMBER(SEARCH("OLEO DE COCO",$B28)),ISNUMBER(SEARCH("ÓLEO DE COCO",$B28)),ISNUMBER(SEARCH("COPRA",$B28))),"ÓLEO DE COCO",IF(ISNUMBER(SEARCH("CORANTE",$B28)),"CORANTE",TRIM($B28)))),CONFIG_PALETES!$B:$B,$C28&amp;" ml"),IF(SUMIFS(CONFIG_PALETES!$D:$D,CONFIG_PALETES!$A:$A,"GERAL",CONFIG_PALETES!$B:$B,$C28&amp;" ml")&gt;0,SUMIFS(CONFIG_PALETES!$D:$D,CONFIG_PALETES!$A:$A,"GERAL",CONFIG_PALETES!$B:$B,$C28&amp;" ml"),12)))</f>
        <v/>
      </c>
      <c r="AA28" t="s">
        <v>288</v>
      </c>
      <c r="AB28" t="s">
        <v>1426</v>
      </c>
    </row>
    <row r="29" spans="1:28" ht="21" customHeight="1" x14ac:dyDescent="0.3">
      <c r="A29" s="110"/>
      <c r="B29" s="109"/>
      <c r="C29" s="108"/>
      <c r="D29" s="104"/>
      <c r="E29" s="107" t="s">
        <v>184</v>
      </c>
      <c r="F29" s="871" t="str">
        <f>IF($B29="","",IF(SUMIFS(CONFIG_PALETES!$C:$C,CONFIG_PALETES!$A:$A,TRIM($B29),CONFIG_PALETES!$B:$B,$C29&amp;" ml")&gt;0,SUMIFS(CONFIG_PALETES!$C:$C,CONFIG_PALETES!$A:$A,TRIM($B29),CONFIG_PALETES!$B:$B,$C29&amp;" ml"),IF(SUMIFS(CONFIG_PALETES!$C:$C,CONFIG_PALETES!$A:$A,"GERAL",CONFIG_PALETES!$B:$B,$C29&amp;" ml")&gt;0,SUMIFS(CONFIG_PALETES!$C:$C,CONFIG_PALETES!$A:$A,"GERAL",CONFIG_PALETES!$B:$B,$C29&amp;" ml"),"")))</f>
        <v/>
      </c>
      <c r="G29" s="106" t="str">
        <f>IFERROR(ROUNDUP(D29/F29,0),"")</f>
        <v/>
      </c>
      <c r="H29" s="105"/>
      <c r="I29" s="104" t="str">
        <f>IF(H29="","",H29*IF(SUMIFS(CONFIG_PALETES!$D:$D,CONFIG_PALETES!$A:$A,IF(ISNUMBER(SEARCH("ESPUMA",$B29)),"ESPUMA",IF(OR(ISNUMBER(SEARCH("OLEO DE COCO",$B29)),ISNUMBER(SEARCH("ÓLEO DE COCO",$B29)),ISNUMBER(SEARCH("COPRA",$B29))),"ÓLEO DE COCO",IF(ISNUMBER(SEARCH("CORANTE",$B29)),"CORANTE",TRIM($B29)))),CONFIG_PALETES!$B:$B,$C29&amp;" ml")&gt;0,SUMIFS(CONFIG_PALETES!$D:$D,CONFIG_PALETES!$A:$A,IF(ISNUMBER(SEARCH("ESPUMA",$B29)),"ESPUMA",IF(OR(ISNUMBER(SEARCH("OLEO DE COCO",$B29)),ISNUMBER(SEARCH("ÓLEO DE COCO",$B29)),ISNUMBER(SEARCH("COPRA",$B29))),"ÓLEO DE COCO",IF(ISNUMBER(SEARCH("CORANTE",$B29)),"CORANTE",TRIM($B29)))),CONFIG_PALETES!$B:$B,$C29&amp;" ml"),IF(SUMIFS(CONFIG_PALETES!$D:$D,CONFIG_PALETES!$A:$A,"GERAL",CONFIG_PALETES!$B:$B,$C29&amp;" ml")&gt;0,SUMIFS(CONFIG_PALETES!$D:$D,CONFIG_PALETES!$A:$A,"GERAL",CONFIG_PALETES!$B:$B,$C29&amp;" ml"),12)))</f>
        <v/>
      </c>
      <c r="AA29" t="s">
        <v>93</v>
      </c>
      <c r="AB29" t="s">
        <v>1428</v>
      </c>
    </row>
    <row r="30" spans="1:28" ht="21" customHeight="1" x14ac:dyDescent="0.3">
      <c r="A30" s="110"/>
      <c r="B30" s="109"/>
      <c r="C30" s="108"/>
      <c r="D30" s="104"/>
      <c r="E30" s="107" t="s">
        <v>184</v>
      </c>
      <c r="F30" s="871" t="str">
        <f>IF($B30="","",IF(SUMIFS(CONFIG_PALETES!$C:$C,CONFIG_PALETES!$A:$A,TRIM($B30),CONFIG_PALETES!$B:$B,$C30&amp;" ml")&gt;0,SUMIFS(CONFIG_PALETES!$C:$C,CONFIG_PALETES!$A:$A,TRIM($B30),CONFIG_PALETES!$B:$B,$C30&amp;" ml"),IF(SUMIFS(CONFIG_PALETES!$C:$C,CONFIG_PALETES!$A:$A,"GERAL",CONFIG_PALETES!$B:$B,$C30&amp;" ml")&gt;0,SUMIFS(CONFIG_PALETES!$C:$C,CONFIG_PALETES!$A:$A,"GERAL",CONFIG_PALETES!$B:$B,$C30&amp;" ml"),"")))</f>
        <v/>
      </c>
      <c r="G30" s="106" t="str">
        <f>IFERROR(ROUNDUP(D30/F30,0),"")</f>
        <v/>
      </c>
      <c r="H30" s="105"/>
      <c r="I30" s="104" t="str">
        <f>IF(H30="","",H30*IF(SUMIFS(CONFIG_PALETES!$D:$D,CONFIG_PALETES!$A:$A,IF(ISNUMBER(SEARCH("ESPUMA",$B30)),"ESPUMA",IF(OR(ISNUMBER(SEARCH("OLEO DE COCO",$B30)),ISNUMBER(SEARCH("ÓLEO DE COCO",$B30)),ISNUMBER(SEARCH("COPRA",$B30))),"ÓLEO DE COCO",IF(ISNUMBER(SEARCH("CORANTE",$B30)),"CORANTE",TRIM($B30)))),CONFIG_PALETES!$B:$B,$C30&amp;" ml")&gt;0,SUMIFS(CONFIG_PALETES!$D:$D,CONFIG_PALETES!$A:$A,IF(ISNUMBER(SEARCH("ESPUMA",$B30)),"ESPUMA",IF(OR(ISNUMBER(SEARCH("OLEO DE COCO",$B30)),ISNUMBER(SEARCH("ÓLEO DE COCO",$B30)),ISNUMBER(SEARCH("COPRA",$B30))),"ÓLEO DE COCO",IF(ISNUMBER(SEARCH("CORANTE",$B30)),"CORANTE",TRIM($B30)))),CONFIG_PALETES!$B:$B,$C30&amp;" ml"),IF(SUMIFS(CONFIG_PALETES!$D:$D,CONFIG_PALETES!$A:$A,"GERAL",CONFIG_PALETES!$B:$B,$C30&amp;" ml")&gt;0,SUMIFS(CONFIG_PALETES!$D:$D,CONFIG_PALETES!$A:$A,"GERAL",CONFIG_PALETES!$B:$B,$C30&amp;" ml"),12)))</f>
        <v/>
      </c>
      <c r="AA30" t="s">
        <v>406</v>
      </c>
      <c r="AB30" t="s">
        <v>1428</v>
      </c>
    </row>
    <row r="31" spans="1:28" ht="21" customHeight="1" x14ac:dyDescent="0.3">
      <c r="A31" s="110"/>
      <c r="B31" s="109"/>
      <c r="C31" s="108"/>
      <c r="D31" s="104"/>
      <c r="E31" s="107" t="s">
        <v>184</v>
      </c>
      <c r="F31" s="871" t="str">
        <f>IF($B31="","",IF(SUMIFS(CONFIG_PALETES!$C:$C,CONFIG_PALETES!$A:$A,TRIM($B31),CONFIG_PALETES!$B:$B,$C31&amp;" ml")&gt;0,SUMIFS(CONFIG_PALETES!$C:$C,CONFIG_PALETES!$A:$A,TRIM($B31),CONFIG_PALETES!$B:$B,$C31&amp;" ml"),IF(SUMIFS(CONFIG_PALETES!$C:$C,CONFIG_PALETES!$A:$A,"GERAL",CONFIG_PALETES!$B:$B,$C31&amp;" ml")&gt;0,SUMIFS(CONFIG_PALETES!$C:$C,CONFIG_PALETES!$A:$A,"GERAL",CONFIG_PALETES!$B:$B,$C31&amp;" ml"),"")))</f>
        <v/>
      </c>
      <c r="G31" s="106" t="str">
        <f>IFERROR(ROUNDUP(D31/F31,0),"")</f>
        <v/>
      </c>
      <c r="H31" s="105"/>
      <c r="I31" s="104" t="str">
        <f>IF(H31="","",H31*IF(SUMIFS(CONFIG_PALETES!$D:$D,CONFIG_PALETES!$A:$A,IF(ISNUMBER(SEARCH("ESPUMA",$B31)),"ESPUMA",IF(OR(ISNUMBER(SEARCH("OLEO DE COCO",$B31)),ISNUMBER(SEARCH("ÓLEO DE COCO",$B31)),ISNUMBER(SEARCH("COPRA",$B31))),"ÓLEO DE COCO",IF(ISNUMBER(SEARCH("CORANTE",$B31)),"CORANTE",TRIM($B31)))),CONFIG_PALETES!$B:$B,$C31&amp;" ml")&gt;0,SUMIFS(CONFIG_PALETES!$D:$D,CONFIG_PALETES!$A:$A,IF(ISNUMBER(SEARCH("ESPUMA",$B31)),"ESPUMA",IF(OR(ISNUMBER(SEARCH("OLEO DE COCO",$B31)),ISNUMBER(SEARCH("ÓLEO DE COCO",$B31)),ISNUMBER(SEARCH("COPRA",$B31))),"ÓLEO DE COCO",IF(ISNUMBER(SEARCH("CORANTE",$B31)),"CORANTE",TRIM($B31)))),CONFIG_PALETES!$B:$B,$C31&amp;" ml"),IF(SUMIFS(CONFIG_PALETES!$D:$D,CONFIG_PALETES!$A:$A,"GERAL",CONFIG_PALETES!$B:$B,$C31&amp;" ml")&gt;0,SUMIFS(CONFIG_PALETES!$D:$D,CONFIG_PALETES!$A:$A,"GERAL",CONFIG_PALETES!$B:$B,$C31&amp;" ml"),12)))</f>
        <v/>
      </c>
      <c r="AA31" t="s">
        <v>407</v>
      </c>
      <c r="AB31" t="s">
        <v>1428</v>
      </c>
    </row>
    <row r="32" spans="1:28" ht="21" customHeight="1" x14ac:dyDescent="0.3">
      <c r="A32" s="817"/>
      <c r="B32" s="818"/>
      <c r="C32" s="819"/>
      <c r="D32" s="820"/>
      <c r="E32" s="821" t="s">
        <v>184</v>
      </c>
      <c r="F32" s="872" t="str">
        <f>IF($B32="","",IF(SUMIFS(CONFIG_PALETES!$C:$C,CONFIG_PALETES!$A:$A,TRIM($B32),CONFIG_PALETES!$B:$B,$C32&amp;" ml")&gt;0,SUMIFS(CONFIG_PALETES!$C:$C,CONFIG_PALETES!$A:$A,TRIM($B32),CONFIG_PALETES!$B:$B,$C32&amp;" ml"),IF(SUMIFS(CONFIG_PALETES!$C:$C,CONFIG_PALETES!$A:$A,"GERAL",CONFIG_PALETES!$B:$B,$C32&amp;" ml")&gt;0,SUMIFS(CONFIG_PALETES!$C:$C,CONFIG_PALETES!$A:$A,"GERAL",CONFIG_PALETES!$B:$B,$C32&amp;" ml"),"")))</f>
        <v/>
      </c>
      <c r="G32" s="822" t="str">
        <f>IFERROR(ROUNDUP(D32/F32,0),"")</f>
        <v/>
      </c>
      <c r="H32" s="823"/>
      <c r="I32" s="820" t="str">
        <f>IF(H32="","",H32*IF(SUMIFS(CONFIG_PALETES!$D:$D,CONFIG_PALETES!$A:$A,IF(ISNUMBER(SEARCH("ESPUMA",$B32)),"ESPUMA",IF(OR(ISNUMBER(SEARCH("OLEO DE COCO",$B32)),ISNUMBER(SEARCH("ÓLEO DE COCO",$B32)),ISNUMBER(SEARCH("COPRA",$B32))),"ÓLEO DE COCO",IF(ISNUMBER(SEARCH("CORANTE",$B32)),"CORANTE",TRIM($B32)))),CONFIG_PALETES!$B:$B,$C32&amp;" ml")&gt;0,SUMIFS(CONFIG_PALETES!$D:$D,CONFIG_PALETES!$A:$A,IF(ISNUMBER(SEARCH("ESPUMA",$B32)),"ESPUMA",IF(OR(ISNUMBER(SEARCH("OLEO DE COCO",$B32)),ISNUMBER(SEARCH("ÓLEO DE COCO",$B32)),ISNUMBER(SEARCH("COPRA",$B32))),"ÓLEO DE COCO",IF(ISNUMBER(SEARCH("CORANTE",$B32)),"CORANTE",TRIM($B32)))),CONFIG_PALETES!$B:$B,$C32&amp;" ml"),IF(SUMIFS(CONFIG_PALETES!$D:$D,CONFIG_PALETES!$A:$A,"GERAL",CONFIG_PALETES!$B:$B,$C32&amp;" ml")&gt;0,SUMIFS(CONFIG_PALETES!$D:$D,CONFIG_PALETES!$A:$A,"GERAL",CONFIG_PALETES!$B:$B,$C32&amp;" ml"),12)))</f>
        <v/>
      </c>
      <c r="AA32" t="s">
        <v>95</v>
      </c>
      <c r="AB32" t="s">
        <v>1428</v>
      </c>
    </row>
    <row r="33" spans="1:28" ht="15" customHeight="1" x14ac:dyDescent="0.3">
      <c r="A33" s="899"/>
      <c r="B33" s="846" t="s">
        <v>186</v>
      </c>
      <c r="C33" s="847"/>
      <c r="D33" s="848">
        <f>SUM(D26:D32)</f>
        <v>0</v>
      </c>
      <c r="E33" s="849"/>
      <c r="F33" s="856" t="s">
        <v>1400</v>
      </c>
      <c r="G33" s="850">
        <f>SUM(G26:G32)</f>
        <v>0</v>
      </c>
      <c r="H33" s="848">
        <f>SUM(H26:H32)</f>
        <v>0</v>
      </c>
      <c r="I33" s="848">
        <f>SUM(I26:I32)</f>
        <v>0</v>
      </c>
      <c r="J33" s="63">
        <f>D33</f>
        <v>0</v>
      </c>
      <c r="K33" s="93">
        <f>G33</f>
        <v>0</v>
      </c>
      <c r="L33" s="63">
        <f>H33</f>
        <v>0</v>
      </c>
      <c r="M33" s="63">
        <f>I33</f>
        <v>0</v>
      </c>
      <c r="N33" s="587" t="str" cm="1">
        <f t="array" ref="N33">IF(H33=0,"",SUMPRODUCT(IFERROR(INT(H28:H32/F28:F32),0)))</f>
        <v/>
      </c>
      <c r="O33" s="770" t="str">
        <f>IF(N33="","",MAX(0,G33-N33))</f>
        <v/>
      </c>
      <c r="AA33" t="s">
        <v>471</v>
      </c>
      <c r="AB33" t="s">
        <v>1428</v>
      </c>
    </row>
    <row r="34" spans="1:28" ht="6" customHeight="1" x14ac:dyDescent="0.3">
      <c r="C34" s="65"/>
      <c r="AA34" t="s">
        <v>292</v>
      </c>
      <c r="AB34" t="s">
        <v>1428</v>
      </c>
    </row>
    <row r="35" spans="1:28" ht="15" customHeight="1" x14ac:dyDescent="0.3">
      <c r="A35" s="135">
        <v>46361</v>
      </c>
      <c r="B35" s="113" t="s">
        <v>49</v>
      </c>
      <c r="C35" s="112" t="s">
        <v>176</v>
      </c>
      <c r="D35" s="111" t="s">
        <v>177</v>
      </c>
      <c r="E35" s="111" t="s">
        <v>178</v>
      </c>
      <c r="F35" s="862" t="s">
        <v>179</v>
      </c>
      <c r="G35" s="111" t="s">
        <v>180</v>
      </c>
      <c r="H35" s="111" t="s">
        <v>181</v>
      </c>
      <c r="I35" s="111" t="s">
        <v>182</v>
      </c>
      <c r="J35" s="128"/>
      <c r="K35" s="128"/>
      <c r="L35" s="128"/>
      <c r="M35" s="128"/>
      <c r="AA35" t="s">
        <v>1193</v>
      </c>
      <c r="AB35" t="s">
        <v>1428</v>
      </c>
    </row>
    <row r="36" spans="1:28" ht="21" customHeight="1" x14ac:dyDescent="0.3">
      <c r="A36" s="110"/>
      <c r="B36" s="127"/>
      <c r="C36" s="126"/>
      <c r="D36" s="129"/>
      <c r="E36" s="131" t="s">
        <v>184</v>
      </c>
      <c r="F36" s="877" t="str">
        <f>IF($B36="","",IF(SUMIFS(CONFIG_PALETES!$C:$C,CONFIG_PALETES!$A:$A,TRIM($B36),CONFIG_PALETES!$B:$B,$C36&amp;" ml")&gt;0,SUMIFS(CONFIG_PALETES!$C:$C,CONFIG_PALETES!$A:$A,TRIM($B36),CONFIG_PALETES!$B:$B,$C36&amp;" ml"),IF(SUMIFS(CONFIG_PALETES!$C:$C,CONFIG_PALETES!$A:$A,"GERAL",CONFIG_PALETES!$B:$B,$C36&amp;" ml")&gt;0,SUMIFS(CONFIG_PALETES!$C:$C,CONFIG_PALETES!$A:$A,"GERAL",CONFIG_PALETES!$B:$B,$C36&amp;" ml"),"")))</f>
        <v/>
      </c>
      <c r="G36" s="130" t="str">
        <f>IFERROR(ROUNDUP(D36/F36,0),"")</f>
        <v/>
      </c>
      <c r="H36" s="105"/>
      <c r="I36" s="129" t="str">
        <f>IF(H36="","",H36*IF(SUMIFS(CONFIG_PALETES!$D:$D,CONFIG_PALETES!$A:$A,IF(ISNUMBER(SEARCH("ESPUMA",$B36)),"ESPUMA",IF(OR(ISNUMBER(SEARCH("OLEO DE COCO",$B36)),ISNUMBER(SEARCH("ÓLEO DE COCO",$B36)),ISNUMBER(SEARCH("COPRA",$B36))),"ÓLEO DE COCO",IF(ISNUMBER(SEARCH("CORANTE",$B36)),"CORANTE",TRIM($B36)))),CONFIG_PALETES!$B:$B,$C36&amp;" ml")&gt;0,SUMIFS(CONFIG_PALETES!$D:$D,CONFIG_PALETES!$A:$A,IF(ISNUMBER(SEARCH("ESPUMA",$B36)),"ESPUMA",IF(OR(ISNUMBER(SEARCH("OLEO DE COCO",$B36)),ISNUMBER(SEARCH("ÓLEO DE COCO",$B36)),ISNUMBER(SEARCH("COPRA",$B36))),"ÓLEO DE COCO",IF(ISNUMBER(SEARCH("CORANTE",$B36)),"CORANTE",TRIM($B36)))),CONFIG_PALETES!$B:$B,$C36&amp;" ml"),IF(SUMIFS(CONFIG_PALETES!$D:$D,CONFIG_PALETES!$A:$A,"GERAL",CONFIG_PALETES!$B:$B,$C36&amp;" ml")&gt;0,SUMIFS(CONFIG_PALETES!$D:$D,CONFIG_PALETES!$A:$A,"GERAL",CONFIG_PALETES!$B:$B,$C36&amp;" ml"),12)))</f>
        <v/>
      </c>
      <c r="J36" s="128"/>
      <c r="K36" s="128"/>
      <c r="L36" s="128"/>
      <c r="M36" s="128"/>
      <c r="AA36" t="s">
        <v>294</v>
      </c>
      <c r="AB36" t="s">
        <v>1428</v>
      </c>
    </row>
    <row r="37" spans="1:28" ht="21" customHeight="1" x14ac:dyDescent="0.3">
      <c r="A37" s="110"/>
      <c r="B37" s="127"/>
      <c r="C37" s="126"/>
      <c r="D37" s="129"/>
      <c r="E37" s="131" t="s">
        <v>184</v>
      </c>
      <c r="F37" s="877" t="str">
        <f>IF($B37="","",IF(SUMIFS(CONFIG_PALETES!$C:$C,CONFIG_PALETES!$A:$A,TRIM($B37),CONFIG_PALETES!$B:$B,$C37&amp;" ml")&gt;0,SUMIFS(CONFIG_PALETES!$C:$C,CONFIG_PALETES!$A:$A,TRIM($B37),CONFIG_PALETES!$B:$B,$C37&amp;" ml"),IF(SUMIFS(CONFIG_PALETES!$C:$C,CONFIG_PALETES!$A:$A,"GERAL",CONFIG_PALETES!$B:$B,$C37&amp;" ml")&gt;0,SUMIFS(CONFIG_PALETES!$C:$C,CONFIG_PALETES!$A:$A,"GERAL",CONFIG_PALETES!$B:$B,$C37&amp;" ml"),"")))</f>
        <v/>
      </c>
      <c r="G37" s="130" t="str">
        <f>IFERROR(ROUNDUP(D37/F37,0),"")</f>
        <v/>
      </c>
      <c r="H37" s="105"/>
      <c r="I37" s="129" t="str">
        <f>IF(H37="","",H37*IF(SUMIFS(CONFIG_PALETES!$D:$D,CONFIG_PALETES!$A:$A,IF(ISNUMBER(SEARCH("ESPUMA",$B37)),"ESPUMA",IF(OR(ISNUMBER(SEARCH("OLEO DE COCO",$B37)),ISNUMBER(SEARCH("ÓLEO DE COCO",$B37)),ISNUMBER(SEARCH("COPRA",$B37))),"ÓLEO DE COCO",IF(ISNUMBER(SEARCH("CORANTE",$B37)),"CORANTE",TRIM($B37)))),CONFIG_PALETES!$B:$B,$C37&amp;" ml")&gt;0,SUMIFS(CONFIG_PALETES!$D:$D,CONFIG_PALETES!$A:$A,IF(ISNUMBER(SEARCH("ESPUMA",$B37)),"ESPUMA",IF(OR(ISNUMBER(SEARCH("OLEO DE COCO",$B37)),ISNUMBER(SEARCH("ÓLEO DE COCO",$B37)),ISNUMBER(SEARCH("COPRA",$B37))),"ÓLEO DE COCO",IF(ISNUMBER(SEARCH("CORANTE",$B37)),"CORANTE",TRIM($B37)))),CONFIG_PALETES!$B:$B,$C37&amp;" ml"),IF(SUMIFS(CONFIG_PALETES!$D:$D,CONFIG_PALETES!$A:$A,"GERAL",CONFIG_PALETES!$B:$B,$C37&amp;" ml")&gt;0,SUMIFS(CONFIG_PALETES!$D:$D,CONFIG_PALETES!$A:$A,"GERAL",CONFIG_PALETES!$B:$B,$C37&amp;" ml"),12)))</f>
        <v/>
      </c>
      <c r="J37" s="128"/>
      <c r="K37" s="128"/>
      <c r="L37" s="128"/>
      <c r="M37" s="128"/>
      <c r="AA37" t="s">
        <v>591</v>
      </c>
      <c r="AB37" t="s">
        <v>1428</v>
      </c>
    </row>
    <row r="38" spans="1:28" ht="21" customHeight="1" x14ac:dyDescent="0.3">
      <c r="A38" s="110"/>
      <c r="B38" s="127"/>
      <c r="C38" s="126"/>
      <c r="D38" s="129"/>
      <c r="E38" s="131" t="s">
        <v>184</v>
      </c>
      <c r="F38" s="877" t="str">
        <f>IF($B38="","",IF(SUMIFS(CONFIG_PALETES!$C:$C,CONFIG_PALETES!$A:$A,TRIM($B38),CONFIG_PALETES!$B:$B,$C38&amp;" ml")&gt;0,SUMIFS(CONFIG_PALETES!$C:$C,CONFIG_PALETES!$A:$A,TRIM($B38),CONFIG_PALETES!$B:$B,$C38&amp;" ml"),IF(SUMIFS(CONFIG_PALETES!$C:$C,CONFIG_PALETES!$A:$A,"GERAL",CONFIG_PALETES!$B:$B,$C38&amp;" ml")&gt;0,SUMIFS(CONFIG_PALETES!$C:$C,CONFIG_PALETES!$A:$A,"GERAL",CONFIG_PALETES!$B:$B,$C38&amp;" ml"),"")))</f>
        <v/>
      </c>
      <c r="G38" s="130" t="str">
        <f>IFERROR(ROUNDUP(D38/F38,0),"")</f>
        <v/>
      </c>
      <c r="H38" s="105"/>
      <c r="I38" s="129" t="str">
        <f>IF(H38="","",H38*IF(SUMIFS(CONFIG_PALETES!$D:$D,CONFIG_PALETES!$A:$A,IF(ISNUMBER(SEARCH("ESPUMA",$B38)),"ESPUMA",IF(OR(ISNUMBER(SEARCH("OLEO DE COCO",$B38)),ISNUMBER(SEARCH("ÓLEO DE COCO",$B38)),ISNUMBER(SEARCH("COPRA",$B38))),"ÓLEO DE COCO",IF(ISNUMBER(SEARCH("CORANTE",$B38)),"CORANTE",TRIM($B38)))),CONFIG_PALETES!$B:$B,$C38&amp;" ml")&gt;0,SUMIFS(CONFIG_PALETES!$D:$D,CONFIG_PALETES!$A:$A,IF(ISNUMBER(SEARCH("ESPUMA",$B38)),"ESPUMA",IF(OR(ISNUMBER(SEARCH("OLEO DE COCO",$B38)),ISNUMBER(SEARCH("ÓLEO DE COCO",$B38)),ISNUMBER(SEARCH("COPRA",$B38))),"ÓLEO DE COCO",IF(ISNUMBER(SEARCH("CORANTE",$B38)),"CORANTE",TRIM($B38)))),CONFIG_PALETES!$B:$B,$C38&amp;" ml"),IF(SUMIFS(CONFIG_PALETES!$D:$D,CONFIG_PALETES!$A:$A,"GERAL",CONFIG_PALETES!$B:$B,$C38&amp;" ml")&gt;0,SUMIFS(CONFIG_PALETES!$D:$D,CONFIG_PALETES!$A:$A,"GERAL",CONFIG_PALETES!$B:$B,$C38&amp;" ml"),12)))</f>
        <v/>
      </c>
      <c r="J38" s="128"/>
      <c r="K38" s="128"/>
      <c r="L38" s="128"/>
      <c r="M38" s="128"/>
      <c r="AA38" t="s">
        <v>590</v>
      </c>
      <c r="AB38" t="s">
        <v>1428</v>
      </c>
    </row>
    <row r="39" spans="1:28" ht="21" customHeight="1" x14ac:dyDescent="0.3">
      <c r="A39" s="110"/>
      <c r="B39" s="127"/>
      <c r="C39" s="126"/>
      <c r="D39" s="129"/>
      <c r="E39" s="131" t="s">
        <v>184</v>
      </c>
      <c r="F39" s="877" t="str">
        <f>IF($B39="","",IF(SUMIFS(CONFIG_PALETES!$C:$C,CONFIG_PALETES!$A:$A,TRIM($B39),CONFIG_PALETES!$B:$B,$C39&amp;" ml")&gt;0,SUMIFS(CONFIG_PALETES!$C:$C,CONFIG_PALETES!$A:$A,TRIM($B39),CONFIG_PALETES!$B:$B,$C39&amp;" ml"),IF(SUMIFS(CONFIG_PALETES!$C:$C,CONFIG_PALETES!$A:$A,"GERAL",CONFIG_PALETES!$B:$B,$C39&amp;" ml")&gt;0,SUMIFS(CONFIG_PALETES!$C:$C,CONFIG_PALETES!$A:$A,"GERAL",CONFIG_PALETES!$B:$B,$C39&amp;" ml"),"")))</f>
        <v/>
      </c>
      <c r="G39" s="130" t="str">
        <f>IFERROR(ROUNDUP(D39/F39,0),"")</f>
        <v/>
      </c>
      <c r="H39" s="105"/>
      <c r="I39" s="129" t="str">
        <f>IF(H39="","",H39*IF(SUMIFS(CONFIG_PALETES!$D:$D,CONFIG_PALETES!$A:$A,IF(ISNUMBER(SEARCH("ESPUMA",$B39)),"ESPUMA",IF(OR(ISNUMBER(SEARCH("OLEO DE COCO",$B39)),ISNUMBER(SEARCH("ÓLEO DE COCO",$B39)),ISNUMBER(SEARCH("COPRA",$B39))),"ÓLEO DE COCO",IF(ISNUMBER(SEARCH("CORANTE",$B39)),"CORANTE",TRIM($B39)))),CONFIG_PALETES!$B:$B,$C39&amp;" ml")&gt;0,SUMIFS(CONFIG_PALETES!$D:$D,CONFIG_PALETES!$A:$A,IF(ISNUMBER(SEARCH("ESPUMA",$B39)),"ESPUMA",IF(OR(ISNUMBER(SEARCH("OLEO DE COCO",$B39)),ISNUMBER(SEARCH("ÓLEO DE COCO",$B39)),ISNUMBER(SEARCH("COPRA",$B39))),"ÓLEO DE COCO",IF(ISNUMBER(SEARCH("CORANTE",$B39)),"CORANTE",TRIM($B39)))),CONFIG_PALETES!$B:$B,$C39&amp;" ml"),IF(SUMIFS(CONFIG_PALETES!$D:$D,CONFIG_PALETES!$A:$A,"GERAL",CONFIG_PALETES!$B:$B,$C39&amp;" ml")&gt;0,SUMIFS(CONFIG_PALETES!$D:$D,CONFIG_PALETES!$A:$A,"GERAL",CONFIG_PALETES!$B:$B,$C39&amp;" ml"),12)))</f>
        <v/>
      </c>
      <c r="J39" s="128"/>
      <c r="K39" s="128"/>
      <c r="L39" s="128"/>
      <c r="M39" s="128"/>
      <c r="AA39" t="s">
        <v>592</v>
      </c>
      <c r="AB39" t="s">
        <v>1428</v>
      </c>
    </row>
    <row r="40" spans="1:28" ht="21" customHeight="1" x14ac:dyDescent="0.3">
      <c r="A40" s="817"/>
      <c r="B40" s="829"/>
      <c r="C40" s="830"/>
      <c r="D40" s="831"/>
      <c r="E40" s="832" t="s">
        <v>184</v>
      </c>
      <c r="F40" s="878" t="str">
        <f>IF($B40="","",IF(SUMIFS(CONFIG_PALETES!$C:$C,CONFIG_PALETES!$A:$A,TRIM($B40),CONFIG_PALETES!$B:$B,$C40&amp;" ml")&gt;0,SUMIFS(CONFIG_PALETES!$C:$C,CONFIG_PALETES!$A:$A,TRIM($B40),CONFIG_PALETES!$B:$B,$C40&amp;" ml"),IF(SUMIFS(CONFIG_PALETES!$C:$C,CONFIG_PALETES!$A:$A,"GERAL",CONFIG_PALETES!$B:$B,$C40&amp;" ml")&gt;0,SUMIFS(CONFIG_PALETES!$C:$C,CONFIG_PALETES!$A:$A,"GERAL",CONFIG_PALETES!$B:$B,$C40&amp;" ml"),"")))</f>
        <v/>
      </c>
      <c r="G40" s="833" t="str">
        <f>IFERROR(ROUNDUP(D40/F40,0),"")</f>
        <v/>
      </c>
      <c r="H40" s="823"/>
      <c r="I40" s="831" t="str">
        <f>IF(H40="","",H40*IF(SUMIFS(CONFIG_PALETES!$D:$D,CONFIG_PALETES!$A:$A,IF(ISNUMBER(SEARCH("ESPUMA",$B40)),"ESPUMA",IF(OR(ISNUMBER(SEARCH("OLEO DE COCO",$B40)),ISNUMBER(SEARCH("ÓLEO DE COCO",$B40)),ISNUMBER(SEARCH("COPRA",$B40))),"ÓLEO DE COCO",IF(ISNUMBER(SEARCH("CORANTE",$B40)),"CORANTE",TRIM($B40)))),CONFIG_PALETES!$B:$B,$C40&amp;" ml")&gt;0,SUMIFS(CONFIG_PALETES!$D:$D,CONFIG_PALETES!$A:$A,IF(ISNUMBER(SEARCH("ESPUMA",$B40)),"ESPUMA",IF(OR(ISNUMBER(SEARCH("OLEO DE COCO",$B40)),ISNUMBER(SEARCH("ÓLEO DE COCO",$B40)),ISNUMBER(SEARCH("COPRA",$B40))),"ÓLEO DE COCO",IF(ISNUMBER(SEARCH("CORANTE",$B40)),"CORANTE",TRIM($B40)))),CONFIG_PALETES!$B:$B,$C40&amp;" ml"),IF(SUMIFS(CONFIG_PALETES!$D:$D,CONFIG_PALETES!$A:$A,"GERAL",CONFIG_PALETES!$B:$B,$C40&amp;" ml")&gt;0,SUMIFS(CONFIG_PALETES!$D:$D,CONFIG_PALETES!$A:$A,"GERAL",CONFIG_PALETES!$B:$B,$C40&amp;" ml"),12)))</f>
        <v/>
      </c>
      <c r="J40" s="128"/>
      <c r="K40" s="128"/>
      <c r="L40" s="128"/>
      <c r="M40" s="128"/>
      <c r="AA40" t="s">
        <v>473</v>
      </c>
      <c r="AB40" t="s">
        <v>1428</v>
      </c>
    </row>
    <row r="41" spans="1:28" ht="15" customHeight="1" x14ac:dyDescent="0.3">
      <c r="A41" s="899"/>
      <c r="B41" s="846" t="s">
        <v>186</v>
      </c>
      <c r="C41" s="851"/>
      <c r="D41" s="848">
        <f>SUM(D34:D40)</f>
        <v>0</v>
      </c>
      <c r="E41" s="852"/>
      <c r="F41" s="857" t="s">
        <v>1400</v>
      </c>
      <c r="G41" s="850">
        <f>SUM(G34:G40)</f>
        <v>0</v>
      </c>
      <c r="H41" s="848">
        <f>SUM(H34:H40)</f>
        <v>0</v>
      </c>
      <c r="I41" s="848">
        <f>SUM(I34:I40)</f>
        <v>0</v>
      </c>
      <c r="J41" s="133">
        <f>D41</f>
        <v>0</v>
      </c>
      <c r="K41" s="134">
        <f>G41</f>
        <v>0</v>
      </c>
      <c r="L41" s="133">
        <f>H41</f>
        <v>0</v>
      </c>
      <c r="M41" s="133">
        <f>I41</f>
        <v>0</v>
      </c>
      <c r="N41" s="587" t="str" cm="1">
        <f t="array" ref="N41">IF(H41=0,"",SUMPRODUCT(IFERROR(INT(H36:H40/F36:F40),0)))</f>
        <v/>
      </c>
      <c r="O41" s="770" t="str">
        <f>IF(N41="","",MAX(0,G41-N41))</f>
        <v/>
      </c>
      <c r="AA41" t="s">
        <v>296</v>
      </c>
      <c r="AB41" t="s">
        <v>1428</v>
      </c>
    </row>
    <row r="42" spans="1:28" ht="6" customHeight="1" x14ac:dyDescent="0.3">
      <c r="A42" s="128"/>
      <c r="B42" s="128"/>
      <c r="C42" s="132"/>
      <c r="D42" s="128"/>
      <c r="E42" s="128"/>
      <c r="F42" s="128"/>
      <c r="G42" s="128"/>
      <c r="H42" s="128"/>
      <c r="I42" s="128"/>
      <c r="J42" s="128"/>
      <c r="K42" s="128"/>
      <c r="L42" s="128"/>
      <c r="M42" s="128"/>
      <c r="AA42" t="s">
        <v>472</v>
      </c>
      <c r="AB42" t="s">
        <v>1428</v>
      </c>
    </row>
    <row r="43" spans="1:28" ht="15" customHeight="1" x14ac:dyDescent="0.3">
      <c r="A43" s="75">
        <v>46363</v>
      </c>
      <c r="B43" s="113" t="s">
        <v>49</v>
      </c>
      <c r="C43" s="112" t="s">
        <v>176</v>
      </c>
      <c r="D43" s="111" t="s">
        <v>177</v>
      </c>
      <c r="E43" s="111" t="s">
        <v>178</v>
      </c>
      <c r="F43" s="860" t="s">
        <v>179</v>
      </c>
      <c r="G43" s="111" t="s">
        <v>180</v>
      </c>
      <c r="H43" s="111" t="s">
        <v>181</v>
      </c>
      <c r="I43" s="111" t="s">
        <v>182</v>
      </c>
      <c r="AA43" t="s">
        <v>293</v>
      </c>
      <c r="AB43" t="s">
        <v>1428</v>
      </c>
    </row>
    <row r="44" spans="1:28" ht="21" customHeight="1" x14ac:dyDescent="0.3">
      <c r="A44" s="110"/>
      <c r="B44" s="109"/>
      <c r="C44" s="108"/>
      <c r="D44" s="104"/>
      <c r="E44" s="107" t="s">
        <v>184</v>
      </c>
      <c r="F44" s="871" t="str">
        <f>IF($B44="","",IF(SUMIFS(CONFIG_PALETES!$C:$C,CONFIG_PALETES!$A:$A,TRIM($B44),CONFIG_PALETES!$B:$B,$C44&amp;" ml")&gt;0,SUMIFS(CONFIG_PALETES!$C:$C,CONFIG_PALETES!$A:$A,TRIM($B44),CONFIG_PALETES!$B:$B,$C44&amp;" ml"),IF(SUMIFS(CONFIG_PALETES!$C:$C,CONFIG_PALETES!$A:$A,"GERAL",CONFIG_PALETES!$B:$B,$C44&amp;" ml")&gt;0,SUMIFS(CONFIG_PALETES!$C:$C,CONFIG_PALETES!$A:$A,"GERAL",CONFIG_PALETES!$B:$B,$C44&amp;" ml"),"")))</f>
        <v/>
      </c>
      <c r="G44" s="106" t="str">
        <f>IFERROR(ROUNDUP(D44/F44,0),"")</f>
        <v/>
      </c>
      <c r="H44" s="105"/>
      <c r="I44" s="104" t="str">
        <f>IF(H44="","",H44*IF(SUMIFS(CONFIG_PALETES!$D:$D,CONFIG_PALETES!$A:$A,IF(ISNUMBER(SEARCH("ESPUMA",$B44)),"ESPUMA",IF(OR(ISNUMBER(SEARCH("OLEO DE COCO",$B44)),ISNUMBER(SEARCH("ÓLEO DE COCO",$B44)),ISNUMBER(SEARCH("COPRA",$B44))),"ÓLEO DE COCO",IF(ISNUMBER(SEARCH("CORANTE",$B44)),"CORANTE",TRIM($B44)))),CONFIG_PALETES!$B:$B,$C44&amp;" ml")&gt;0,SUMIFS(CONFIG_PALETES!$D:$D,CONFIG_PALETES!$A:$A,IF(ISNUMBER(SEARCH("ESPUMA",$B44)),"ESPUMA",IF(OR(ISNUMBER(SEARCH("OLEO DE COCO",$B44)),ISNUMBER(SEARCH("ÓLEO DE COCO",$B44)),ISNUMBER(SEARCH("COPRA",$B44))),"ÓLEO DE COCO",IF(ISNUMBER(SEARCH("CORANTE",$B44)),"CORANTE",TRIM($B44)))),CONFIG_PALETES!$B:$B,$C44&amp;" ml"),IF(SUMIFS(CONFIG_PALETES!$D:$D,CONFIG_PALETES!$A:$A,"GERAL",CONFIG_PALETES!$B:$B,$C44&amp;" ml")&gt;0,SUMIFS(CONFIG_PALETES!$D:$D,CONFIG_PALETES!$A:$A,"GERAL",CONFIG_PALETES!$B:$B,$C44&amp;" ml"),12)))</f>
        <v/>
      </c>
      <c r="AA44" t="s">
        <v>101</v>
      </c>
      <c r="AB44" t="s">
        <v>1428</v>
      </c>
    </row>
    <row r="45" spans="1:28" ht="21" customHeight="1" x14ac:dyDescent="0.3">
      <c r="A45" s="110"/>
      <c r="B45" s="109"/>
      <c r="C45" s="108"/>
      <c r="D45" s="104"/>
      <c r="E45" s="107" t="s">
        <v>184</v>
      </c>
      <c r="F45" s="871" t="str">
        <f>IF($B45="","",IF(SUMIFS(CONFIG_PALETES!$C:$C,CONFIG_PALETES!$A:$A,TRIM($B45),CONFIG_PALETES!$B:$B,$C45&amp;" ml")&gt;0,SUMIFS(CONFIG_PALETES!$C:$C,CONFIG_PALETES!$A:$A,TRIM($B45),CONFIG_PALETES!$B:$B,$C45&amp;" ml"),IF(SUMIFS(CONFIG_PALETES!$C:$C,CONFIG_PALETES!$A:$A,"GERAL",CONFIG_PALETES!$B:$B,$C45&amp;" ml")&gt;0,SUMIFS(CONFIG_PALETES!$C:$C,CONFIG_PALETES!$A:$A,"GERAL",CONFIG_PALETES!$B:$B,$C45&amp;" ml"),"")))</f>
        <v/>
      </c>
      <c r="G45" s="106" t="str">
        <f>IFERROR(ROUNDUP(D45/F45,0),"")</f>
        <v/>
      </c>
      <c r="H45" s="105"/>
      <c r="I45" s="104" t="str">
        <f>IF(H45="","",H45*IF(SUMIFS(CONFIG_PALETES!$D:$D,CONFIG_PALETES!$A:$A,IF(ISNUMBER(SEARCH("ESPUMA",$B45)),"ESPUMA",IF(OR(ISNUMBER(SEARCH("OLEO DE COCO",$B45)),ISNUMBER(SEARCH("ÓLEO DE COCO",$B45)),ISNUMBER(SEARCH("COPRA",$B45))),"ÓLEO DE COCO",IF(ISNUMBER(SEARCH("CORANTE",$B45)),"CORANTE",TRIM($B45)))),CONFIG_PALETES!$B:$B,$C45&amp;" ml")&gt;0,SUMIFS(CONFIG_PALETES!$D:$D,CONFIG_PALETES!$A:$A,IF(ISNUMBER(SEARCH("ESPUMA",$B45)),"ESPUMA",IF(OR(ISNUMBER(SEARCH("OLEO DE COCO",$B45)),ISNUMBER(SEARCH("ÓLEO DE COCO",$B45)),ISNUMBER(SEARCH("COPRA",$B45))),"ÓLEO DE COCO",IF(ISNUMBER(SEARCH("CORANTE",$B45)),"CORANTE",TRIM($B45)))),CONFIG_PALETES!$B:$B,$C45&amp;" ml"),IF(SUMIFS(CONFIG_PALETES!$D:$D,CONFIG_PALETES!$A:$A,"GERAL",CONFIG_PALETES!$B:$B,$C45&amp;" ml")&gt;0,SUMIFS(CONFIG_PALETES!$D:$D,CONFIG_PALETES!$A:$A,"GERAL",CONFIG_PALETES!$B:$B,$C45&amp;" ml"),12)))</f>
        <v/>
      </c>
      <c r="AA45" t="s">
        <v>474</v>
      </c>
      <c r="AB45" t="s">
        <v>1428</v>
      </c>
    </row>
    <row r="46" spans="1:28" ht="21" customHeight="1" x14ac:dyDescent="0.3">
      <c r="A46" s="110"/>
      <c r="B46" s="109"/>
      <c r="C46" s="108"/>
      <c r="D46" s="104"/>
      <c r="E46" s="107" t="s">
        <v>184</v>
      </c>
      <c r="F46" s="871" t="str">
        <f>IF($B46="","",IF(SUMIFS(CONFIG_PALETES!$C:$C,CONFIG_PALETES!$A:$A,TRIM($B46),CONFIG_PALETES!$B:$B,$C46&amp;" ml")&gt;0,SUMIFS(CONFIG_PALETES!$C:$C,CONFIG_PALETES!$A:$A,TRIM($B46),CONFIG_PALETES!$B:$B,$C46&amp;" ml"),IF(SUMIFS(CONFIG_PALETES!$C:$C,CONFIG_PALETES!$A:$A,"GERAL",CONFIG_PALETES!$B:$B,$C46&amp;" ml")&gt;0,SUMIFS(CONFIG_PALETES!$C:$C,CONFIG_PALETES!$A:$A,"GERAL",CONFIG_PALETES!$B:$B,$C46&amp;" ml"),"")))</f>
        <v/>
      </c>
      <c r="G46" s="106" t="str">
        <f>IFERROR(ROUNDUP(D46/F46,0),"")</f>
        <v/>
      </c>
      <c r="H46" s="105"/>
      <c r="I46" s="104" t="str">
        <f>IF(H46="","",H46*IF(SUMIFS(CONFIG_PALETES!$D:$D,CONFIG_PALETES!$A:$A,IF(ISNUMBER(SEARCH("ESPUMA",$B46)),"ESPUMA",IF(OR(ISNUMBER(SEARCH("OLEO DE COCO",$B46)),ISNUMBER(SEARCH("ÓLEO DE COCO",$B46)),ISNUMBER(SEARCH("COPRA",$B46))),"ÓLEO DE COCO",IF(ISNUMBER(SEARCH("CORANTE",$B46)),"CORANTE",TRIM($B46)))),CONFIG_PALETES!$B:$B,$C46&amp;" ml")&gt;0,SUMIFS(CONFIG_PALETES!$D:$D,CONFIG_PALETES!$A:$A,IF(ISNUMBER(SEARCH("ESPUMA",$B46)),"ESPUMA",IF(OR(ISNUMBER(SEARCH("OLEO DE COCO",$B46)),ISNUMBER(SEARCH("ÓLEO DE COCO",$B46)),ISNUMBER(SEARCH("COPRA",$B46))),"ÓLEO DE COCO",IF(ISNUMBER(SEARCH("CORANTE",$B46)),"CORANTE",TRIM($B46)))),CONFIG_PALETES!$B:$B,$C46&amp;" ml"),IF(SUMIFS(CONFIG_PALETES!$D:$D,CONFIG_PALETES!$A:$A,"GERAL",CONFIG_PALETES!$B:$B,$C46&amp;" ml")&gt;0,SUMIFS(CONFIG_PALETES!$D:$D,CONFIG_PALETES!$A:$A,"GERAL",CONFIG_PALETES!$B:$B,$C46&amp;" ml"),12)))</f>
        <v/>
      </c>
      <c r="AA46" t="s">
        <v>295</v>
      </c>
      <c r="AB46" t="s">
        <v>1428</v>
      </c>
    </row>
    <row r="47" spans="1:28" ht="21" customHeight="1" x14ac:dyDescent="0.3">
      <c r="A47" s="110"/>
      <c r="B47" s="109"/>
      <c r="C47" s="108"/>
      <c r="D47" s="104"/>
      <c r="E47" s="107" t="s">
        <v>184</v>
      </c>
      <c r="F47" s="871" t="str">
        <f>IF($B47="","",IF(SUMIFS(CONFIG_PALETES!$C:$C,CONFIG_PALETES!$A:$A,TRIM($B47),CONFIG_PALETES!$B:$B,$C47&amp;" ml")&gt;0,SUMIFS(CONFIG_PALETES!$C:$C,CONFIG_PALETES!$A:$A,TRIM($B47),CONFIG_PALETES!$B:$B,$C47&amp;" ml"),IF(SUMIFS(CONFIG_PALETES!$C:$C,CONFIG_PALETES!$A:$A,"GERAL",CONFIG_PALETES!$B:$B,$C47&amp;" ml")&gt;0,SUMIFS(CONFIG_PALETES!$C:$C,CONFIG_PALETES!$A:$A,"GERAL",CONFIG_PALETES!$B:$B,$C47&amp;" ml"),"")))</f>
        <v/>
      </c>
      <c r="G47" s="106" t="str">
        <f>IFERROR(ROUNDUP(D47/F47,0),"")</f>
        <v/>
      </c>
      <c r="H47" s="105"/>
      <c r="I47" s="104" t="str">
        <f>IF(H47="","",H47*IF(SUMIFS(CONFIG_PALETES!$D:$D,CONFIG_PALETES!$A:$A,IF(ISNUMBER(SEARCH("ESPUMA",$B47)),"ESPUMA",IF(OR(ISNUMBER(SEARCH("OLEO DE COCO",$B47)),ISNUMBER(SEARCH("ÓLEO DE COCO",$B47)),ISNUMBER(SEARCH("COPRA",$B47))),"ÓLEO DE COCO",IF(ISNUMBER(SEARCH("CORANTE",$B47)),"CORANTE",TRIM($B47)))),CONFIG_PALETES!$B:$B,$C47&amp;" ml")&gt;0,SUMIFS(CONFIG_PALETES!$D:$D,CONFIG_PALETES!$A:$A,IF(ISNUMBER(SEARCH("ESPUMA",$B47)),"ESPUMA",IF(OR(ISNUMBER(SEARCH("OLEO DE COCO",$B47)),ISNUMBER(SEARCH("ÓLEO DE COCO",$B47)),ISNUMBER(SEARCH("COPRA",$B47))),"ÓLEO DE COCO",IF(ISNUMBER(SEARCH("CORANTE",$B47)),"CORANTE",TRIM($B47)))),CONFIG_PALETES!$B:$B,$C47&amp;" ml"),IF(SUMIFS(CONFIG_PALETES!$D:$D,CONFIG_PALETES!$A:$A,"GERAL",CONFIG_PALETES!$B:$B,$C47&amp;" ml")&gt;0,SUMIFS(CONFIG_PALETES!$D:$D,CONFIG_PALETES!$A:$A,"GERAL",CONFIG_PALETES!$B:$B,$C47&amp;" ml"),12)))</f>
        <v/>
      </c>
      <c r="AA47" t="s">
        <v>97</v>
      </c>
      <c r="AB47" t="s">
        <v>1428</v>
      </c>
    </row>
    <row r="48" spans="1:28" ht="21" customHeight="1" x14ac:dyDescent="0.3">
      <c r="A48" s="817"/>
      <c r="B48" s="818"/>
      <c r="C48" s="819"/>
      <c r="D48" s="820"/>
      <c r="E48" s="821" t="s">
        <v>184</v>
      </c>
      <c r="F48" s="872" t="str">
        <f>IF($B48="","",IF(SUMIFS(CONFIG_PALETES!$C:$C,CONFIG_PALETES!$A:$A,TRIM($B48),CONFIG_PALETES!$B:$B,$C48&amp;" ml")&gt;0,SUMIFS(CONFIG_PALETES!$C:$C,CONFIG_PALETES!$A:$A,TRIM($B48),CONFIG_PALETES!$B:$B,$C48&amp;" ml"),IF(SUMIFS(CONFIG_PALETES!$C:$C,CONFIG_PALETES!$A:$A,"GERAL",CONFIG_PALETES!$B:$B,$C48&amp;" ml")&gt;0,SUMIFS(CONFIG_PALETES!$C:$C,CONFIG_PALETES!$A:$A,"GERAL",CONFIG_PALETES!$B:$B,$C48&amp;" ml"),"")))</f>
        <v/>
      </c>
      <c r="G48" s="822" t="str">
        <f>IFERROR(ROUNDUP(D48/F48,0),"")</f>
        <v/>
      </c>
      <c r="H48" s="823"/>
      <c r="I48" s="820" t="str">
        <f>IF(H48="","",H48*IF(SUMIFS(CONFIG_PALETES!$D:$D,CONFIG_PALETES!$A:$A,IF(ISNUMBER(SEARCH("ESPUMA",$B48)),"ESPUMA",IF(OR(ISNUMBER(SEARCH("OLEO DE COCO",$B48)),ISNUMBER(SEARCH("ÓLEO DE COCO",$B48)),ISNUMBER(SEARCH("COPRA",$B48))),"ÓLEO DE COCO",IF(ISNUMBER(SEARCH("CORANTE",$B48)),"CORANTE",TRIM($B48)))),CONFIG_PALETES!$B:$B,$C48&amp;" ml")&gt;0,SUMIFS(CONFIG_PALETES!$D:$D,CONFIG_PALETES!$A:$A,IF(ISNUMBER(SEARCH("ESPUMA",$B48)),"ESPUMA",IF(OR(ISNUMBER(SEARCH("OLEO DE COCO",$B48)),ISNUMBER(SEARCH("ÓLEO DE COCO",$B48)),ISNUMBER(SEARCH("COPRA",$B48))),"ÓLEO DE COCO",IF(ISNUMBER(SEARCH("CORANTE",$B48)),"CORANTE",TRIM($B48)))),CONFIG_PALETES!$B:$B,$C48&amp;" ml"),IF(SUMIFS(CONFIG_PALETES!$D:$D,CONFIG_PALETES!$A:$A,"GERAL",CONFIG_PALETES!$B:$B,$C48&amp;" ml")&gt;0,SUMIFS(CONFIG_PALETES!$D:$D,CONFIG_PALETES!$A:$A,"GERAL",CONFIG_PALETES!$B:$B,$C48&amp;" ml"),12)))</f>
        <v/>
      </c>
      <c r="AA48" t="s">
        <v>475</v>
      </c>
      <c r="AB48" t="s">
        <v>1428</v>
      </c>
    </row>
    <row r="49" spans="1:28" ht="15" customHeight="1" x14ac:dyDescent="0.3">
      <c r="A49" s="899"/>
      <c r="B49" s="846" t="s">
        <v>186</v>
      </c>
      <c r="C49" s="847"/>
      <c r="D49" s="848">
        <f>SUM(D42:D48)</f>
        <v>0</v>
      </c>
      <c r="E49" s="849"/>
      <c r="F49" s="856" t="s">
        <v>1400</v>
      </c>
      <c r="G49" s="850">
        <f>SUM(G42:G48)</f>
        <v>0</v>
      </c>
      <c r="H49" s="848">
        <f>SUM(H42:H48)</f>
        <v>0</v>
      </c>
      <c r="I49" s="848">
        <f>SUM(I42:I48)</f>
        <v>0</v>
      </c>
      <c r="J49" s="63">
        <f>D49</f>
        <v>0</v>
      </c>
      <c r="K49" s="93">
        <f>G49</f>
        <v>0</v>
      </c>
      <c r="L49" s="63">
        <f>H49</f>
        <v>0</v>
      </c>
      <c r="M49" s="63">
        <f>I49</f>
        <v>0</v>
      </c>
      <c r="N49" s="587" t="str" cm="1">
        <f t="array" ref="N49">IF(H49=0,"",SUMPRODUCT(IFERROR(INT(H44:H48/F44:F48),0)))</f>
        <v/>
      </c>
      <c r="O49" s="770" t="str">
        <f>IF(N49="","",MAX(0,G49-N49))</f>
        <v/>
      </c>
      <c r="AA49" t="s">
        <v>491</v>
      </c>
      <c r="AB49" t="s">
        <v>1425</v>
      </c>
    </row>
    <row r="50" spans="1:28" ht="6" customHeight="1" x14ac:dyDescent="0.3">
      <c r="C50" s="65"/>
      <c r="AA50" t="s">
        <v>1162</v>
      </c>
      <c r="AB50" t="s">
        <v>1424</v>
      </c>
    </row>
    <row r="51" spans="1:28" ht="15" customHeight="1" x14ac:dyDescent="0.3">
      <c r="A51" s="75">
        <v>46364</v>
      </c>
      <c r="B51" s="113" t="s">
        <v>49</v>
      </c>
      <c r="C51" s="112" t="s">
        <v>176</v>
      </c>
      <c r="D51" s="111" t="s">
        <v>177</v>
      </c>
      <c r="E51" s="111" t="s">
        <v>178</v>
      </c>
      <c r="F51" s="860" t="s">
        <v>179</v>
      </c>
      <c r="G51" s="111" t="s">
        <v>180</v>
      </c>
      <c r="H51" s="111" t="s">
        <v>181</v>
      </c>
      <c r="I51" s="111" t="s">
        <v>182</v>
      </c>
      <c r="AA51" t="s">
        <v>39</v>
      </c>
      <c r="AB51" t="s">
        <v>1423</v>
      </c>
    </row>
    <row r="52" spans="1:28" ht="21" customHeight="1" x14ac:dyDescent="0.3">
      <c r="A52" s="110"/>
      <c r="B52" s="109"/>
      <c r="C52" s="108"/>
      <c r="D52" s="104"/>
      <c r="E52" s="107" t="s">
        <v>184</v>
      </c>
      <c r="F52" s="871" t="str">
        <f>IF($B52="","",IF(SUMIFS(CONFIG_PALETES!$C:$C,CONFIG_PALETES!$A:$A,TRIM($B52),CONFIG_PALETES!$B:$B,$C52&amp;" ml")&gt;0,SUMIFS(CONFIG_PALETES!$C:$C,CONFIG_PALETES!$A:$A,TRIM($B52),CONFIG_PALETES!$B:$B,$C52&amp;" ml"),IF(SUMIFS(CONFIG_PALETES!$C:$C,CONFIG_PALETES!$A:$A,"GERAL",CONFIG_PALETES!$B:$B,$C52&amp;" ml")&gt;0,SUMIFS(CONFIG_PALETES!$C:$C,CONFIG_PALETES!$A:$A,"GERAL",CONFIG_PALETES!$B:$B,$C52&amp;" ml"),"")))</f>
        <v/>
      </c>
      <c r="G52" s="106" t="str">
        <f>IFERROR(ROUNDUP(D52/F52,0),"")</f>
        <v/>
      </c>
      <c r="H52" s="105"/>
      <c r="I52" s="104" t="str">
        <f>IF(H52="","",H52*IF(SUMIFS(CONFIG_PALETES!$D:$D,CONFIG_PALETES!$A:$A,IF(ISNUMBER(SEARCH("ESPUMA",$B52)),"ESPUMA",IF(OR(ISNUMBER(SEARCH("OLEO DE COCO",$B52)),ISNUMBER(SEARCH("ÓLEO DE COCO",$B52)),ISNUMBER(SEARCH("COPRA",$B52))),"ÓLEO DE COCO",IF(ISNUMBER(SEARCH("CORANTE",$B52)),"CORANTE",TRIM($B52)))),CONFIG_PALETES!$B:$B,$C52&amp;" ml")&gt;0,SUMIFS(CONFIG_PALETES!$D:$D,CONFIG_PALETES!$A:$A,IF(ISNUMBER(SEARCH("ESPUMA",$B52)),"ESPUMA",IF(OR(ISNUMBER(SEARCH("OLEO DE COCO",$B52)),ISNUMBER(SEARCH("ÓLEO DE COCO",$B52)),ISNUMBER(SEARCH("COPRA",$B52))),"ÓLEO DE COCO",IF(ISNUMBER(SEARCH("CORANTE",$B52)),"CORANTE",TRIM($B52)))),CONFIG_PALETES!$B:$B,$C52&amp;" ml"),IF(SUMIFS(CONFIG_PALETES!$D:$D,CONFIG_PALETES!$A:$A,"GERAL",CONFIG_PALETES!$B:$B,$C52&amp;" ml")&gt;0,SUMIFS(CONFIG_PALETES!$D:$D,CONFIG_PALETES!$A:$A,"GERAL",CONFIG_PALETES!$B:$B,$C52&amp;" ml"),12)))</f>
        <v/>
      </c>
      <c r="AA52" t="s">
        <v>240</v>
      </c>
      <c r="AB52" t="s">
        <v>1425</v>
      </c>
    </row>
    <row r="53" spans="1:28" ht="21" customHeight="1" x14ac:dyDescent="0.3">
      <c r="A53" s="110"/>
      <c r="B53" s="109"/>
      <c r="C53" s="108"/>
      <c r="D53" s="104"/>
      <c r="E53" s="107" t="s">
        <v>184</v>
      </c>
      <c r="F53" s="871" t="str">
        <f>IF($B53="","",IF(SUMIFS(CONFIG_PALETES!$C:$C,CONFIG_PALETES!$A:$A,TRIM($B53),CONFIG_PALETES!$B:$B,$C53&amp;" ml")&gt;0,SUMIFS(CONFIG_PALETES!$C:$C,CONFIG_PALETES!$A:$A,TRIM($B53),CONFIG_PALETES!$B:$B,$C53&amp;" ml"),IF(SUMIFS(CONFIG_PALETES!$C:$C,CONFIG_PALETES!$A:$A,"GERAL",CONFIG_PALETES!$B:$B,$C53&amp;" ml")&gt;0,SUMIFS(CONFIG_PALETES!$C:$C,CONFIG_PALETES!$A:$A,"GERAL",CONFIG_PALETES!$B:$B,$C53&amp;" ml"),"")))</f>
        <v/>
      </c>
      <c r="G53" s="106" t="str">
        <f>IFERROR(ROUNDUP(D53/F53,0),"")</f>
        <v/>
      </c>
      <c r="H53" s="105"/>
      <c r="I53" s="104" t="str">
        <f>IF(H53="","",H53*IF(SUMIFS(CONFIG_PALETES!$D:$D,CONFIG_PALETES!$A:$A,IF(ISNUMBER(SEARCH("ESPUMA",$B53)),"ESPUMA",IF(OR(ISNUMBER(SEARCH("OLEO DE COCO",$B53)),ISNUMBER(SEARCH("ÓLEO DE COCO",$B53)),ISNUMBER(SEARCH("COPRA",$B53))),"ÓLEO DE COCO",IF(ISNUMBER(SEARCH("CORANTE",$B53)),"CORANTE",TRIM($B53)))),CONFIG_PALETES!$B:$B,$C53&amp;" ml")&gt;0,SUMIFS(CONFIG_PALETES!$D:$D,CONFIG_PALETES!$A:$A,IF(ISNUMBER(SEARCH("ESPUMA",$B53)),"ESPUMA",IF(OR(ISNUMBER(SEARCH("OLEO DE COCO",$B53)),ISNUMBER(SEARCH("ÓLEO DE COCO",$B53)),ISNUMBER(SEARCH("COPRA",$B53))),"ÓLEO DE COCO",IF(ISNUMBER(SEARCH("CORANTE",$B53)),"CORANTE",TRIM($B53)))),CONFIG_PALETES!$B:$B,$C53&amp;" ml"),IF(SUMIFS(CONFIG_PALETES!$D:$D,CONFIG_PALETES!$A:$A,"GERAL",CONFIG_PALETES!$B:$B,$C53&amp;" ml")&gt;0,SUMIFS(CONFIG_PALETES!$D:$D,CONFIG_PALETES!$A:$A,"GERAL",CONFIG_PALETES!$B:$B,$C53&amp;" ml"),12)))</f>
        <v/>
      </c>
      <c r="AA53" t="s">
        <v>596</v>
      </c>
      <c r="AB53" t="s">
        <v>1425</v>
      </c>
    </row>
    <row r="54" spans="1:28" ht="21" customHeight="1" x14ac:dyDescent="0.3">
      <c r="A54" s="110"/>
      <c r="B54" s="109"/>
      <c r="C54" s="108"/>
      <c r="D54" s="104"/>
      <c r="E54" s="107" t="s">
        <v>184</v>
      </c>
      <c r="F54" s="871" t="str">
        <f>IF($B54="","",IF(SUMIFS(CONFIG_PALETES!$C:$C,CONFIG_PALETES!$A:$A,TRIM($B54),CONFIG_PALETES!$B:$B,$C54&amp;" ml")&gt;0,SUMIFS(CONFIG_PALETES!$C:$C,CONFIG_PALETES!$A:$A,TRIM($B54),CONFIG_PALETES!$B:$B,$C54&amp;" ml"),IF(SUMIFS(CONFIG_PALETES!$C:$C,CONFIG_PALETES!$A:$A,"GERAL",CONFIG_PALETES!$B:$B,$C54&amp;" ml")&gt;0,SUMIFS(CONFIG_PALETES!$C:$C,CONFIG_PALETES!$A:$A,"GERAL",CONFIG_PALETES!$B:$B,$C54&amp;" ml"),"")))</f>
        <v/>
      </c>
      <c r="G54" s="106" t="str">
        <f>IFERROR(ROUNDUP(D54/F54,0),"")</f>
        <v/>
      </c>
      <c r="H54" s="105"/>
      <c r="I54" s="104" t="str">
        <f>IF(H54="","",H54*IF(SUMIFS(CONFIG_PALETES!$D:$D,CONFIG_PALETES!$A:$A,IF(ISNUMBER(SEARCH("ESPUMA",$B54)),"ESPUMA",IF(OR(ISNUMBER(SEARCH("OLEO DE COCO",$B54)),ISNUMBER(SEARCH("ÓLEO DE COCO",$B54)),ISNUMBER(SEARCH("COPRA",$B54))),"ÓLEO DE COCO",IF(ISNUMBER(SEARCH("CORANTE",$B54)),"CORANTE",TRIM($B54)))),CONFIG_PALETES!$B:$B,$C54&amp;" ml")&gt;0,SUMIFS(CONFIG_PALETES!$D:$D,CONFIG_PALETES!$A:$A,IF(ISNUMBER(SEARCH("ESPUMA",$B54)),"ESPUMA",IF(OR(ISNUMBER(SEARCH("OLEO DE COCO",$B54)),ISNUMBER(SEARCH("ÓLEO DE COCO",$B54)),ISNUMBER(SEARCH("COPRA",$B54))),"ÓLEO DE COCO",IF(ISNUMBER(SEARCH("CORANTE",$B54)),"CORANTE",TRIM($B54)))),CONFIG_PALETES!$B:$B,$C54&amp;" ml"),IF(SUMIFS(CONFIG_PALETES!$D:$D,CONFIG_PALETES!$A:$A,"GERAL",CONFIG_PALETES!$B:$B,$C54&amp;" ml")&gt;0,SUMIFS(CONFIG_PALETES!$D:$D,CONFIG_PALETES!$A:$A,"GERAL",CONFIG_PALETES!$B:$B,$C54&amp;" ml"),12)))</f>
        <v/>
      </c>
      <c r="AA54" t="s">
        <v>33</v>
      </c>
      <c r="AB54" t="s">
        <v>1425</v>
      </c>
    </row>
    <row r="55" spans="1:28" ht="21" customHeight="1" x14ac:dyDescent="0.3">
      <c r="A55" s="110"/>
      <c r="B55" s="109"/>
      <c r="C55" s="108"/>
      <c r="D55" s="104"/>
      <c r="E55" s="107" t="s">
        <v>184</v>
      </c>
      <c r="F55" s="871" t="str">
        <f>IF($B55="","",IF(SUMIFS(CONFIG_PALETES!$C:$C,CONFIG_PALETES!$A:$A,TRIM($B55),CONFIG_PALETES!$B:$B,$C55&amp;" ml")&gt;0,SUMIFS(CONFIG_PALETES!$C:$C,CONFIG_PALETES!$A:$A,TRIM($B55),CONFIG_PALETES!$B:$B,$C55&amp;" ml"),IF(SUMIFS(CONFIG_PALETES!$C:$C,CONFIG_PALETES!$A:$A,"GERAL",CONFIG_PALETES!$B:$B,$C55&amp;" ml")&gt;0,SUMIFS(CONFIG_PALETES!$C:$C,CONFIG_PALETES!$A:$A,"GERAL",CONFIG_PALETES!$B:$B,$C55&amp;" ml"),"")))</f>
        <v/>
      </c>
      <c r="G55" s="106" t="str">
        <f>IFERROR(ROUNDUP(D55/F55,0),"")</f>
        <v/>
      </c>
      <c r="H55" s="105"/>
      <c r="I55" s="104" t="str">
        <f>IF(H55="","",H55*IF(SUMIFS(CONFIG_PALETES!$D:$D,CONFIG_PALETES!$A:$A,IF(ISNUMBER(SEARCH("ESPUMA",$B55)),"ESPUMA",IF(OR(ISNUMBER(SEARCH("OLEO DE COCO",$B55)),ISNUMBER(SEARCH("ÓLEO DE COCO",$B55)),ISNUMBER(SEARCH("COPRA",$B55))),"ÓLEO DE COCO",IF(ISNUMBER(SEARCH("CORANTE",$B55)),"CORANTE",TRIM($B55)))),CONFIG_PALETES!$B:$B,$C55&amp;" ml")&gt;0,SUMIFS(CONFIG_PALETES!$D:$D,CONFIG_PALETES!$A:$A,IF(ISNUMBER(SEARCH("ESPUMA",$B55)),"ESPUMA",IF(OR(ISNUMBER(SEARCH("OLEO DE COCO",$B55)),ISNUMBER(SEARCH("ÓLEO DE COCO",$B55)),ISNUMBER(SEARCH("COPRA",$B55))),"ÓLEO DE COCO",IF(ISNUMBER(SEARCH("CORANTE",$B55)),"CORANTE",TRIM($B55)))),CONFIG_PALETES!$B:$B,$C55&amp;" ml"),IF(SUMIFS(CONFIG_PALETES!$D:$D,CONFIG_PALETES!$A:$A,"GERAL",CONFIG_PALETES!$B:$B,$C55&amp;" ml")&gt;0,SUMIFS(CONFIG_PALETES!$D:$D,CONFIG_PALETES!$A:$A,"GERAL",CONFIG_PALETES!$B:$B,$C55&amp;" ml"),12)))</f>
        <v/>
      </c>
      <c r="AA55" t="s">
        <v>571</v>
      </c>
      <c r="AB55" t="s">
        <v>1425</v>
      </c>
    </row>
    <row r="56" spans="1:28" ht="21" customHeight="1" x14ac:dyDescent="0.3">
      <c r="A56" s="817"/>
      <c r="B56" s="818"/>
      <c r="C56" s="819"/>
      <c r="D56" s="820"/>
      <c r="E56" s="821" t="s">
        <v>184</v>
      </c>
      <c r="F56" s="872" t="str">
        <f>IF($B56="","",IF(SUMIFS(CONFIG_PALETES!$C:$C,CONFIG_PALETES!$A:$A,TRIM($B56),CONFIG_PALETES!$B:$B,$C56&amp;" ml")&gt;0,SUMIFS(CONFIG_PALETES!$C:$C,CONFIG_PALETES!$A:$A,TRIM($B56),CONFIG_PALETES!$B:$B,$C56&amp;" ml"),IF(SUMIFS(CONFIG_PALETES!$C:$C,CONFIG_PALETES!$A:$A,"GERAL",CONFIG_PALETES!$B:$B,$C56&amp;" ml")&gt;0,SUMIFS(CONFIG_PALETES!$C:$C,CONFIG_PALETES!$A:$A,"GERAL",CONFIG_PALETES!$B:$B,$C56&amp;" ml"),"")))</f>
        <v/>
      </c>
      <c r="G56" s="822" t="str">
        <f>IFERROR(ROUNDUP(D56/F56,0),"")</f>
        <v/>
      </c>
      <c r="H56" s="823"/>
      <c r="I56" s="820" t="str">
        <f>IF(H56="","",H56*IF(SUMIFS(CONFIG_PALETES!$D:$D,CONFIG_PALETES!$A:$A,IF(ISNUMBER(SEARCH("ESPUMA",$B56)),"ESPUMA",IF(OR(ISNUMBER(SEARCH("OLEO DE COCO",$B56)),ISNUMBER(SEARCH("ÓLEO DE COCO",$B56)),ISNUMBER(SEARCH("COPRA",$B56))),"ÓLEO DE COCO",IF(ISNUMBER(SEARCH("CORANTE",$B56)),"CORANTE",TRIM($B56)))),CONFIG_PALETES!$B:$B,$C56&amp;" ml")&gt;0,SUMIFS(CONFIG_PALETES!$D:$D,CONFIG_PALETES!$A:$A,IF(ISNUMBER(SEARCH("ESPUMA",$B56)),"ESPUMA",IF(OR(ISNUMBER(SEARCH("OLEO DE COCO",$B56)),ISNUMBER(SEARCH("ÓLEO DE COCO",$B56)),ISNUMBER(SEARCH("COPRA",$B56))),"ÓLEO DE COCO",IF(ISNUMBER(SEARCH("CORANTE",$B56)),"CORANTE",TRIM($B56)))),CONFIG_PALETES!$B:$B,$C56&amp;" ml"),IF(SUMIFS(CONFIG_PALETES!$D:$D,CONFIG_PALETES!$A:$A,"GERAL",CONFIG_PALETES!$B:$B,$C56&amp;" ml")&gt;0,SUMIFS(CONFIG_PALETES!$D:$D,CONFIG_PALETES!$A:$A,"GERAL",CONFIG_PALETES!$B:$B,$C56&amp;" ml"),12)))</f>
        <v/>
      </c>
      <c r="AA56" t="s">
        <v>280</v>
      </c>
      <c r="AB56" t="s">
        <v>1423</v>
      </c>
    </row>
    <row r="57" spans="1:28" ht="15" customHeight="1" x14ac:dyDescent="0.3">
      <c r="A57" s="899"/>
      <c r="B57" s="846" t="s">
        <v>186</v>
      </c>
      <c r="C57" s="847"/>
      <c r="D57" s="848">
        <f>SUM(D50:D56)</f>
        <v>0</v>
      </c>
      <c r="E57" s="849"/>
      <c r="F57" s="856" t="s">
        <v>1400</v>
      </c>
      <c r="G57" s="850">
        <f>SUM(G50:G56)</f>
        <v>0</v>
      </c>
      <c r="H57" s="848">
        <f>SUM(H50:H56)</f>
        <v>0</v>
      </c>
      <c r="I57" s="848">
        <f>SUM(I50:I56)</f>
        <v>0</v>
      </c>
      <c r="J57" s="63">
        <f>D57</f>
        <v>0</v>
      </c>
      <c r="K57" s="93">
        <f>G57</f>
        <v>0</v>
      </c>
      <c r="L57" s="63">
        <f>H57</f>
        <v>0</v>
      </c>
      <c r="M57" s="63">
        <f>I57</f>
        <v>0</v>
      </c>
      <c r="N57" s="587" t="str" cm="1">
        <f t="array" ref="N57">IF(H57=0,"",SUMPRODUCT(IFERROR(INT(H52:H56/F52:F56),0)))</f>
        <v/>
      </c>
      <c r="O57" s="770" t="str">
        <f>IF(N57="","",MAX(0,G57-N57))</f>
        <v/>
      </c>
      <c r="AA57" t="s">
        <v>595</v>
      </c>
      <c r="AB57" t="s">
        <v>1425</v>
      </c>
    </row>
    <row r="58" spans="1:28" ht="6" customHeight="1" x14ac:dyDescent="0.3">
      <c r="C58" s="65"/>
      <c r="AA58" t="s">
        <v>483</v>
      </c>
      <c r="AB58" t="s">
        <v>1422</v>
      </c>
    </row>
    <row r="59" spans="1:28" ht="15" customHeight="1" x14ac:dyDescent="0.3">
      <c r="A59" s="75">
        <v>46365</v>
      </c>
      <c r="B59" s="113" t="s">
        <v>49</v>
      </c>
      <c r="C59" s="112" t="s">
        <v>176</v>
      </c>
      <c r="D59" s="111" t="s">
        <v>177</v>
      </c>
      <c r="E59" s="111" t="s">
        <v>178</v>
      </c>
      <c r="F59" s="860" t="s">
        <v>179</v>
      </c>
      <c r="G59" s="111" t="s">
        <v>180</v>
      </c>
      <c r="H59" s="111" t="s">
        <v>181</v>
      </c>
      <c r="I59" s="111" t="s">
        <v>182</v>
      </c>
      <c r="AA59" t="s">
        <v>1202</v>
      </c>
      <c r="AB59" t="s">
        <v>1422</v>
      </c>
    </row>
    <row r="60" spans="1:28" ht="21" customHeight="1" x14ac:dyDescent="0.3">
      <c r="A60" s="110"/>
      <c r="B60" s="109"/>
      <c r="C60" s="108"/>
      <c r="D60" s="104"/>
      <c r="E60" s="107" t="s">
        <v>184</v>
      </c>
      <c r="F60" s="871" t="str">
        <f>IF($B60="","",IF(SUMIFS(CONFIG_PALETES!$C:$C,CONFIG_PALETES!$A:$A,TRIM($B60),CONFIG_PALETES!$B:$B,$C60&amp;" ml")&gt;0,SUMIFS(CONFIG_PALETES!$C:$C,CONFIG_PALETES!$A:$A,TRIM($B60),CONFIG_PALETES!$B:$B,$C60&amp;" ml"),IF(SUMIFS(CONFIG_PALETES!$C:$C,CONFIG_PALETES!$A:$A,"GERAL",CONFIG_PALETES!$B:$B,$C60&amp;" ml")&gt;0,SUMIFS(CONFIG_PALETES!$C:$C,CONFIG_PALETES!$A:$A,"GERAL",CONFIG_PALETES!$B:$B,$C60&amp;" ml"),"")))</f>
        <v/>
      </c>
      <c r="G60" s="106" t="str">
        <f>IFERROR(ROUNDUP(D60/F60,0),"")</f>
        <v/>
      </c>
      <c r="H60" s="105"/>
      <c r="I60" s="104" t="str">
        <f>IF(H60="","",H60*IF(SUMIFS(CONFIG_PALETES!$D:$D,CONFIG_PALETES!$A:$A,IF(ISNUMBER(SEARCH("ESPUMA",$B60)),"ESPUMA",IF(OR(ISNUMBER(SEARCH("OLEO DE COCO",$B60)),ISNUMBER(SEARCH("ÓLEO DE COCO",$B60)),ISNUMBER(SEARCH("COPRA",$B60))),"ÓLEO DE COCO",IF(ISNUMBER(SEARCH("CORANTE",$B60)),"CORANTE",TRIM($B60)))),CONFIG_PALETES!$B:$B,$C60&amp;" ml")&gt;0,SUMIFS(CONFIG_PALETES!$D:$D,CONFIG_PALETES!$A:$A,IF(ISNUMBER(SEARCH("ESPUMA",$B60)),"ESPUMA",IF(OR(ISNUMBER(SEARCH("OLEO DE COCO",$B60)),ISNUMBER(SEARCH("ÓLEO DE COCO",$B60)),ISNUMBER(SEARCH("COPRA",$B60))),"ÓLEO DE COCO",IF(ISNUMBER(SEARCH("CORANTE",$B60)),"CORANTE",TRIM($B60)))),CONFIG_PALETES!$B:$B,$C60&amp;" ml"),IF(SUMIFS(CONFIG_PALETES!$D:$D,CONFIG_PALETES!$A:$A,"GERAL",CONFIG_PALETES!$B:$B,$C60&amp;" ml")&gt;0,SUMIFS(CONFIG_PALETES!$D:$D,CONFIG_PALETES!$A:$A,"GERAL",CONFIG_PALETES!$B:$B,$C60&amp;" ml"),12)))</f>
        <v/>
      </c>
      <c r="AA60" t="s">
        <v>577</v>
      </c>
      <c r="AB60" t="s">
        <v>1422</v>
      </c>
    </row>
    <row r="61" spans="1:28" ht="21" customHeight="1" x14ac:dyDescent="0.3">
      <c r="A61" s="110"/>
      <c r="B61" s="109"/>
      <c r="C61" s="108"/>
      <c r="D61" s="104"/>
      <c r="E61" s="107" t="s">
        <v>184</v>
      </c>
      <c r="F61" s="871" t="str">
        <f>IF($B61="","",IF(SUMIFS(CONFIG_PALETES!$C:$C,CONFIG_PALETES!$A:$A,TRIM($B61),CONFIG_PALETES!$B:$B,$C61&amp;" ml")&gt;0,SUMIFS(CONFIG_PALETES!$C:$C,CONFIG_PALETES!$A:$A,TRIM($B61),CONFIG_PALETES!$B:$B,$C61&amp;" ml"),IF(SUMIFS(CONFIG_PALETES!$C:$C,CONFIG_PALETES!$A:$A,"GERAL",CONFIG_PALETES!$B:$B,$C61&amp;" ml")&gt;0,SUMIFS(CONFIG_PALETES!$C:$C,CONFIG_PALETES!$A:$A,"GERAL",CONFIG_PALETES!$B:$B,$C61&amp;" ml"),"")))</f>
        <v/>
      </c>
      <c r="G61" s="106" t="str">
        <f>IFERROR(ROUNDUP(D61/F61,0),"")</f>
        <v/>
      </c>
      <c r="H61" s="105"/>
      <c r="I61" s="104" t="str">
        <f>IF(H61="","",H61*IF(SUMIFS(CONFIG_PALETES!$D:$D,CONFIG_PALETES!$A:$A,IF(ISNUMBER(SEARCH("ESPUMA",$B61)),"ESPUMA",IF(OR(ISNUMBER(SEARCH("OLEO DE COCO",$B61)),ISNUMBER(SEARCH("ÓLEO DE COCO",$B61)),ISNUMBER(SEARCH("COPRA",$B61))),"ÓLEO DE COCO",IF(ISNUMBER(SEARCH("CORANTE",$B61)),"CORANTE",TRIM($B61)))),CONFIG_PALETES!$B:$B,$C61&amp;" ml")&gt;0,SUMIFS(CONFIG_PALETES!$D:$D,CONFIG_PALETES!$A:$A,IF(ISNUMBER(SEARCH("ESPUMA",$B61)),"ESPUMA",IF(OR(ISNUMBER(SEARCH("OLEO DE COCO",$B61)),ISNUMBER(SEARCH("ÓLEO DE COCO",$B61)),ISNUMBER(SEARCH("COPRA",$B61))),"ÓLEO DE COCO",IF(ISNUMBER(SEARCH("CORANTE",$B61)),"CORANTE",TRIM($B61)))),CONFIG_PALETES!$B:$B,$C61&amp;" ml"),IF(SUMIFS(CONFIG_PALETES!$D:$D,CONFIG_PALETES!$A:$A,"GERAL",CONFIG_PALETES!$B:$B,$C61&amp;" ml")&gt;0,SUMIFS(CONFIG_PALETES!$D:$D,CONFIG_PALETES!$A:$A,"GERAL",CONFIG_PALETES!$B:$B,$C61&amp;" ml"),12)))</f>
        <v/>
      </c>
      <c r="AA61" t="s">
        <v>578</v>
      </c>
      <c r="AB61" t="s">
        <v>1422</v>
      </c>
    </row>
    <row r="62" spans="1:28" ht="21" customHeight="1" x14ac:dyDescent="0.3">
      <c r="A62" s="110"/>
      <c r="B62" s="109"/>
      <c r="C62" s="108"/>
      <c r="D62" s="104"/>
      <c r="E62" s="107" t="s">
        <v>184</v>
      </c>
      <c r="F62" s="871" t="str">
        <f>IF($B62="","",IF(SUMIFS(CONFIG_PALETES!$C:$C,CONFIG_PALETES!$A:$A,TRIM($B62),CONFIG_PALETES!$B:$B,$C62&amp;" ml")&gt;0,SUMIFS(CONFIG_PALETES!$C:$C,CONFIG_PALETES!$A:$A,TRIM($B62),CONFIG_PALETES!$B:$B,$C62&amp;" ml"),IF(SUMIFS(CONFIG_PALETES!$C:$C,CONFIG_PALETES!$A:$A,"GERAL",CONFIG_PALETES!$B:$B,$C62&amp;" ml")&gt;0,SUMIFS(CONFIG_PALETES!$C:$C,CONFIG_PALETES!$A:$A,"GERAL",CONFIG_PALETES!$B:$B,$C62&amp;" ml"),"")))</f>
        <v/>
      </c>
      <c r="G62" s="106" t="str">
        <f>IFERROR(ROUNDUP(D62/F62,0),"")</f>
        <v/>
      </c>
      <c r="H62" s="105"/>
      <c r="I62" s="104" t="str">
        <f>IF(H62="","",H62*IF(SUMIFS(CONFIG_PALETES!$D:$D,CONFIG_PALETES!$A:$A,IF(ISNUMBER(SEARCH("ESPUMA",$B62)),"ESPUMA",IF(OR(ISNUMBER(SEARCH("OLEO DE COCO",$B62)),ISNUMBER(SEARCH("ÓLEO DE COCO",$B62)),ISNUMBER(SEARCH("COPRA",$B62))),"ÓLEO DE COCO",IF(ISNUMBER(SEARCH("CORANTE",$B62)),"CORANTE",TRIM($B62)))),CONFIG_PALETES!$B:$B,$C62&amp;" ml")&gt;0,SUMIFS(CONFIG_PALETES!$D:$D,CONFIG_PALETES!$A:$A,IF(ISNUMBER(SEARCH("ESPUMA",$B62)),"ESPUMA",IF(OR(ISNUMBER(SEARCH("OLEO DE COCO",$B62)),ISNUMBER(SEARCH("ÓLEO DE COCO",$B62)),ISNUMBER(SEARCH("COPRA",$B62))),"ÓLEO DE COCO",IF(ISNUMBER(SEARCH("CORANTE",$B62)),"CORANTE",TRIM($B62)))),CONFIG_PALETES!$B:$B,$C62&amp;" ml"),IF(SUMIFS(CONFIG_PALETES!$D:$D,CONFIG_PALETES!$A:$A,"GERAL",CONFIG_PALETES!$B:$B,$C62&amp;" ml")&gt;0,SUMIFS(CONFIG_PALETES!$D:$D,CONFIG_PALETES!$A:$A,"GERAL",CONFIG_PALETES!$B:$B,$C62&amp;" ml"),12)))</f>
        <v/>
      </c>
      <c r="AA62" t="s">
        <v>587</v>
      </c>
      <c r="AB62" t="s">
        <v>1422</v>
      </c>
    </row>
    <row r="63" spans="1:28" ht="21" customHeight="1" x14ac:dyDescent="0.3">
      <c r="A63" s="110"/>
      <c r="B63" s="109"/>
      <c r="C63" s="108"/>
      <c r="D63" s="104"/>
      <c r="E63" s="107" t="s">
        <v>184</v>
      </c>
      <c r="F63" s="871" t="str">
        <f>IF($B63="","",IF(SUMIFS(CONFIG_PALETES!$C:$C,CONFIG_PALETES!$A:$A,TRIM($B63),CONFIG_PALETES!$B:$B,$C63&amp;" ml")&gt;0,SUMIFS(CONFIG_PALETES!$C:$C,CONFIG_PALETES!$A:$A,TRIM($B63),CONFIG_PALETES!$B:$B,$C63&amp;" ml"),IF(SUMIFS(CONFIG_PALETES!$C:$C,CONFIG_PALETES!$A:$A,"GERAL",CONFIG_PALETES!$B:$B,$C63&amp;" ml")&gt;0,SUMIFS(CONFIG_PALETES!$C:$C,CONFIG_PALETES!$A:$A,"GERAL",CONFIG_PALETES!$B:$B,$C63&amp;" ml"),"")))</f>
        <v/>
      </c>
      <c r="G63" s="106" t="str">
        <f>IFERROR(ROUNDUP(D63/F63,0),"")</f>
        <v/>
      </c>
      <c r="H63" s="105"/>
      <c r="I63" s="104" t="str">
        <f>IF(H63="","",H63*IF(SUMIFS(CONFIG_PALETES!$D:$D,CONFIG_PALETES!$A:$A,IF(ISNUMBER(SEARCH("ESPUMA",$B63)),"ESPUMA",IF(OR(ISNUMBER(SEARCH("OLEO DE COCO",$B63)),ISNUMBER(SEARCH("ÓLEO DE COCO",$B63)),ISNUMBER(SEARCH("COPRA",$B63))),"ÓLEO DE COCO",IF(ISNUMBER(SEARCH("CORANTE",$B63)),"CORANTE",TRIM($B63)))),CONFIG_PALETES!$B:$B,$C63&amp;" ml")&gt;0,SUMIFS(CONFIG_PALETES!$D:$D,CONFIG_PALETES!$A:$A,IF(ISNUMBER(SEARCH("ESPUMA",$B63)),"ESPUMA",IF(OR(ISNUMBER(SEARCH("OLEO DE COCO",$B63)),ISNUMBER(SEARCH("ÓLEO DE COCO",$B63)),ISNUMBER(SEARCH("COPRA",$B63))),"ÓLEO DE COCO",IF(ISNUMBER(SEARCH("CORANTE",$B63)),"CORANTE",TRIM($B63)))),CONFIG_PALETES!$B:$B,$C63&amp;" ml"),IF(SUMIFS(CONFIG_PALETES!$D:$D,CONFIG_PALETES!$A:$A,"GERAL",CONFIG_PALETES!$B:$B,$C63&amp;" ml")&gt;0,SUMIFS(CONFIG_PALETES!$D:$D,CONFIG_PALETES!$A:$A,"GERAL",CONFIG_PALETES!$B:$B,$C63&amp;" ml"),12)))</f>
        <v/>
      </c>
      <c r="AA63" t="s">
        <v>1413</v>
      </c>
      <c r="AB63" t="s">
        <v>1422</v>
      </c>
    </row>
    <row r="64" spans="1:28" ht="21" customHeight="1" x14ac:dyDescent="0.3">
      <c r="A64" s="817"/>
      <c r="B64" s="818"/>
      <c r="C64" s="819"/>
      <c r="D64" s="820"/>
      <c r="E64" s="821" t="s">
        <v>184</v>
      </c>
      <c r="F64" s="872" t="str">
        <f>IF($B64="","",IF(SUMIFS(CONFIG_PALETES!$C:$C,CONFIG_PALETES!$A:$A,TRIM($B64),CONFIG_PALETES!$B:$B,$C64&amp;" ml")&gt;0,SUMIFS(CONFIG_PALETES!$C:$C,CONFIG_PALETES!$A:$A,TRIM($B64),CONFIG_PALETES!$B:$B,$C64&amp;" ml"),IF(SUMIFS(CONFIG_PALETES!$C:$C,CONFIG_PALETES!$A:$A,"GERAL",CONFIG_PALETES!$B:$B,$C64&amp;" ml")&gt;0,SUMIFS(CONFIG_PALETES!$C:$C,CONFIG_PALETES!$A:$A,"GERAL",CONFIG_PALETES!$B:$B,$C64&amp;" ml"),"")))</f>
        <v/>
      </c>
      <c r="G64" s="822" t="str">
        <f>IFERROR(ROUNDUP(D64/F64,0),"")</f>
        <v/>
      </c>
      <c r="H64" s="823"/>
      <c r="I64" s="820" t="str">
        <f>IF(H64="","",H64*IF(SUMIFS(CONFIG_PALETES!$D:$D,CONFIG_PALETES!$A:$A,IF(ISNUMBER(SEARCH("ESPUMA",$B64)),"ESPUMA",IF(OR(ISNUMBER(SEARCH("OLEO DE COCO",$B64)),ISNUMBER(SEARCH("ÓLEO DE COCO",$B64)),ISNUMBER(SEARCH("COPRA",$B64))),"ÓLEO DE COCO",IF(ISNUMBER(SEARCH("CORANTE",$B64)),"CORANTE",TRIM($B64)))),CONFIG_PALETES!$B:$B,$C64&amp;" ml")&gt;0,SUMIFS(CONFIG_PALETES!$D:$D,CONFIG_PALETES!$A:$A,IF(ISNUMBER(SEARCH("ESPUMA",$B64)),"ESPUMA",IF(OR(ISNUMBER(SEARCH("OLEO DE COCO",$B64)),ISNUMBER(SEARCH("ÓLEO DE COCO",$B64)),ISNUMBER(SEARCH("COPRA",$B64))),"ÓLEO DE COCO",IF(ISNUMBER(SEARCH("CORANTE",$B64)),"CORANTE",TRIM($B64)))),CONFIG_PALETES!$B:$B,$C64&amp;" ml"),IF(SUMIFS(CONFIG_PALETES!$D:$D,CONFIG_PALETES!$A:$A,"GERAL",CONFIG_PALETES!$B:$B,$C64&amp;" ml")&gt;0,SUMIFS(CONFIG_PALETES!$D:$D,CONFIG_PALETES!$A:$A,"GERAL",CONFIG_PALETES!$B:$B,$C64&amp;" ml"),12)))</f>
        <v/>
      </c>
      <c r="AA64" t="s">
        <v>1403</v>
      </c>
      <c r="AB64" t="s">
        <v>1422</v>
      </c>
    </row>
    <row r="65" spans="1:28" ht="15" customHeight="1" x14ac:dyDescent="0.3">
      <c r="A65" s="899"/>
      <c r="B65" s="846" t="s">
        <v>186</v>
      </c>
      <c r="C65" s="847"/>
      <c r="D65" s="848">
        <f>SUM(D58:D64)</f>
        <v>0</v>
      </c>
      <c r="E65" s="849"/>
      <c r="F65" s="856" t="s">
        <v>1400</v>
      </c>
      <c r="G65" s="850">
        <f>SUM(G58:G64)</f>
        <v>0</v>
      </c>
      <c r="H65" s="848">
        <f>SUM(H58:H64)</f>
        <v>0</v>
      </c>
      <c r="I65" s="848">
        <f>SUM(I58:I64)</f>
        <v>0</v>
      </c>
      <c r="J65" s="63">
        <f>D65</f>
        <v>0</v>
      </c>
      <c r="K65" s="93">
        <f>G65</f>
        <v>0</v>
      </c>
      <c r="L65" s="63">
        <f>H65</f>
        <v>0</v>
      </c>
      <c r="M65" s="63">
        <f>I65</f>
        <v>0</v>
      </c>
      <c r="N65" s="587" t="str" cm="1">
        <f t="array" ref="N65">IF(H65=0,"",SUMPRODUCT(IFERROR(INT(H60:H64/F60:F64),0)))</f>
        <v/>
      </c>
      <c r="O65" s="770" t="str">
        <f>IF(N65="","",MAX(0,G65-N65))</f>
        <v/>
      </c>
      <c r="AA65" t="s">
        <v>114</v>
      </c>
      <c r="AB65" t="s">
        <v>1422</v>
      </c>
    </row>
    <row r="66" spans="1:28" ht="6" customHeight="1" x14ac:dyDescent="0.3">
      <c r="C66" s="65"/>
      <c r="AA66" t="s">
        <v>487</v>
      </c>
      <c r="AB66" t="s">
        <v>1422</v>
      </c>
    </row>
    <row r="67" spans="1:28" ht="15" customHeight="1" x14ac:dyDescent="0.3">
      <c r="A67" s="75">
        <v>46366</v>
      </c>
      <c r="B67" s="113" t="s">
        <v>49</v>
      </c>
      <c r="C67" s="112" t="s">
        <v>176</v>
      </c>
      <c r="D67" s="111" t="s">
        <v>177</v>
      </c>
      <c r="E67" s="111" t="s">
        <v>178</v>
      </c>
      <c r="F67" s="860" t="s">
        <v>179</v>
      </c>
      <c r="G67" s="111" t="s">
        <v>180</v>
      </c>
      <c r="H67" s="111" t="s">
        <v>181</v>
      </c>
      <c r="I67" s="111" t="s">
        <v>182</v>
      </c>
      <c r="AA67" t="s">
        <v>488</v>
      </c>
      <c r="AB67" t="s">
        <v>1422</v>
      </c>
    </row>
    <row r="68" spans="1:28" ht="21" customHeight="1" x14ac:dyDescent="0.3">
      <c r="A68" s="110"/>
      <c r="B68" s="109"/>
      <c r="C68" s="108"/>
      <c r="D68" s="104"/>
      <c r="E68" s="107" t="s">
        <v>184</v>
      </c>
      <c r="F68" s="871" t="str">
        <f>IF($B68="","",IF(SUMIFS(CONFIG_PALETES!$C:$C,CONFIG_PALETES!$A:$A,TRIM($B68),CONFIG_PALETES!$B:$B,$C68&amp;" ml")&gt;0,SUMIFS(CONFIG_PALETES!$C:$C,CONFIG_PALETES!$A:$A,TRIM($B68),CONFIG_PALETES!$B:$B,$C68&amp;" ml"),IF(SUMIFS(CONFIG_PALETES!$C:$C,CONFIG_PALETES!$A:$A,"GERAL",CONFIG_PALETES!$B:$B,$C68&amp;" ml")&gt;0,SUMIFS(CONFIG_PALETES!$C:$C,CONFIG_PALETES!$A:$A,"GERAL",CONFIG_PALETES!$B:$B,$C68&amp;" ml"),"")))</f>
        <v/>
      </c>
      <c r="G68" s="106" t="str">
        <f>IFERROR(ROUNDUP(D68/F68,0),"")</f>
        <v/>
      </c>
      <c r="H68" s="105"/>
      <c r="I68" s="104" t="str">
        <f>IF(H68="","",H68*IF(SUMIFS(CONFIG_PALETES!$D:$D,CONFIG_PALETES!$A:$A,IF(ISNUMBER(SEARCH("ESPUMA",$B68)),"ESPUMA",IF(OR(ISNUMBER(SEARCH("OLEO DE COCO",$B68)),ISNUMBER(SEARCH("ÓLEO DE COCO",$B68)),ISNUMBER(SEARCH("COPRA",$B68))),"ÓLEO DE COCO",IF(ISNUMBER(SEARCH("CORANTE",$B68)),"CORANTE",TRIM($B68)))),CONFIG_PALETES!$B:$B,$C68&amp;" ml")&gt;0,SUMIFS(CONFIG_PALETES!$D:$D,CONFIG_PALETES!$A:$A,IF(ISNUMBER(SEARCH("ESPUMA",$B68)),"ESPUMA",IF(OR(ISNUMBER(SEARCH("OLEO DE COCO",$B68)),ISNUMBER(SEARCH("ÓLEO DE COCO",$B68)),ISNUMBER(SEARCH("COPRA",$B68))),"ÓLEO DE COCO",IF(ISNUMBER(SEARCH("CORANTE",$B68)),"CORANTE",TRIM($B68)))),CONFIG_PALETES!$B:$B,$C68&amp;" ml"),IF(SUMIFS(CONFIG_PALETES!$D:$D,CONFIG_PALETES!$A:$A,"GERAL",CONFIG_PALETES!$B:$B,$C68&amp;" ml")&gt;0,SUMIFS(CONFIG_PALETES!$D:$D,CONFIG_PALETES!$A:$A,"GERAL",CONFIG_PALETES!$B:$B,$C68&amp;" ml"),12)))</f>
        <v/>
      </c>
      <c r="AA68" t="s">
        <v>477</v>
      </c>
      <c r="AB68" t="s">
        <v>1422</v>
      </c>
    </row>
    <row r="69" spans="1:28" ht="21" customHeight="1" x14ac:dyDescent="0.3">
      <c r="A69" s="110"/>
      <c r="B69" s="109"/>
      <c r="C69" s="108"/>
      <c r="D69" s="104"/>
      <c r="E69" s="107" t="s">
        <v>184</v>
      </c>
      <c r="F69" s="871" t="str">
        <f>IF($B69="","",IF(SUMIFS(CONFIG_PALETES!$C:$C,CONFIG_PALETES!$A:$A,TRIM($B69),CONFIG_PALETES!$B:$B,$C69&amp;" ml")&gt;0,SUMIFS(CONFIG_PALETES!$C:$C,CONFIG_PALETES!$A:$A,TRIM($B69),CONFIG_PALETES!$B:$B,$C69&amp;" ml"),IF(SUMIFS(CONFIG_PALETES!$C:$C,CONFIG_PALETES!$A:$A,"GERAL",CONFIG_PALETES!$B:$B,$C69&amp;" ml")&gt;0,SUMIFS(CONFIG_PALETES!$C:$C,CONFIG_PALETES!$A:$A,"GERAL",CONFIG_PALETES!$B:$B,$C69&amp;" ml"),"")))</f>
        <v/>
      </c>
      <c r="G69" s="106" t="str">
        <f>IFERROR(ROUNDUP(D69/F69,0),"")</f>
        <v/>
      </c>
      <c r="H69" s="105"/>
      <c r="I69" s="104" t="str">
        <f>IF(H69="","",H69*IF(SUMIFS(CONFIG_PALETES!$D:$D,CONFIG_PALETES!$A:$A,IF(ISNUMBER(SEARCH("ESPUMA",$B69)),"ESPUMA",IF(OR(ISNUMBER(SEARCH("OLEO DE COCO",$B69)),ISNUMBER(SEARCH("ÓLEO DE COCO",$B69)),ISNUMBER(SEARCH("COPRA",$B69))),"ÓLEO DE COCO",IF(ISNUMBER(SEARCH("CORANTE",$B69)),"CORANTE",TRIM($B69)))),CONFIG_PALETES!$B:$B,$C69&amp;" ml")&gt;0,SUMIFS(CONFIG_PALETES!$D:$D,CONFIG_PALETES!$A:$A,IF(ISNUMBER(SEARCH("ESPUMA",$B69)),"ESPUMA",IF(OR(ISNUMBER(SEARCH("OLEO DE COCO",$B69)),ISNUMBER(SEARCH("ÓLEO DE COCO",$B69)),ISNUMBER(SEARCH("COPRA",$B69))),"ÓLEO DE COCO",IF(ISNUMBER(SEARCH("CORANTE",$B69)),"CORANTE",TRIM($B69)))),CONFIG_PALETES!$B:$B,$C69&amp;" ml"),IF(SUMIFS(CONFIG_PALETES!$D:$D,CONFIG_PALETES!$A:$A,"GERAL",CONFIG_PALETES!$B:$B,$C69&amp;" ml")&gt;0,SUMIFS(CONFIG_PALETES!$D:$D,CONFIG_PALETES!$A:$A,"GERAL",CONFIG_PALETES!$B:$B,$C69&amp;" ml"),12)))</f>
        <v/>
      </c>
      <c r="AA69" t="s">
        <v>1189</v>
      </c>
      <c r="AB69" t="s">
        <v>1422</v>
      </c>
    </row>
    <row r="70" spans="1:28" ht="21" customHeight="1" x14ac:dyDescent="0.3">
      <c r="A70" s="110"/>
      <c r="B70" s="109"/>
      <c r="C70" s="108"/>
      <c r="D70" s="104"/>
      <c r="E70" s="107" t="s">
        <v>184</v>
      </c>
      <c r="F70" s="871" t="str">
        <f>IF($B70="","",IF(SUMIFS(CONFIG_PALETES!$C:$C,CONFIG_PALETES!$A:$A,TRIM($B70),CONFIG_PALETES!$B:$B,$C70&amp;" ml")&gt;0,SUMIFS(CONFIG_PALETES!$C:$C,CONFIG_PALETES!$A:$A,TRIM($B70),CONFIG_PALETES!$B:$B,$C70&amp;" ml"),IF(SUMIFS(CONFIG_PALETES!$C:$C,CONFIG_PALETES!$A:$A,"GERAL",CONFIG_PALETES!$B:$B,$C70&amp;" ml")&gt;0,SUMIFS(CONFIG_PALETES!$C:$C,CONFIG_PALETES!$A:$A,"GERAL",CONFIG_PALETES!$B:$B,$C70&amp;" ml"),"")))</f>
        <v/>
      </c>
      <c r="G70" s="106" t="str">
        <f>IFERROR(ROUNDUP(D70/F70,0),"")</f>
        <v/>
      </c>
      <c r="H70" s="105"/>
      <c r="I70" s="104" t="str">
        <f>IF(H70="","",H70*IF(SUMIFS(CONFIG_PALETES!$D:$D,CONFIG_PALETES!$A:$A,IF(ISNUMBER(SEARCH("ESPUMA",$B70)),"ESPUMA",IF(OR(ISNUMBER(SEARCH("OLEO DE COCO",$B70)),ISNUMBER(SEARCH("ÓLEO DE COCO",$B70)),ISNUMBER(SEARCH("COPRA",$B70))),"ÓLEO DE COCO",IF(ISNUMBER(SEARCH("CORANTE",$B70)),"CORANTE",TRIM($B70)))),CONFIG_PALETES!$B:$B,$C70&amp;" ml")&gt;0,SUMIFS(CONFIG_PALETES!$D:$D,CONFIG_PALETES!$A:$A,IF(ISNUMBER(SEARCH("ESPUMA",$B70)),"ESPUMA",IF(OR(ISNUMBER(SEARCH("OLEO DE COCO",$B70)),ISNUMBER(SEARCH("ÓLEO DE COCO",$B70)),ISNUMBER(SEARCH("COPRA",$B70))),"ÓLEO DE COCO",IF(ISNUMBER(SEARCH("CORANTE",$B70)),"CORANTE",TRIM($B70)))),CONFIG_PALETES!$B:$B,$C70&amp;" ml"),IF(SUMIFS(CONFIG_PALETES!$D:$D,CONFIG_PALETES!$A:$A,"GERAL",CONFIG_PALETES!$B:$B,$C70&amp;" ml")&gt;0,SUMIFS(CONFIG_PALETES!$D:$D,CONFIG_PALETES!$A:$A,"GERAL",CONFIG_PALETES!$B:$B,$C70&amp;" ml"),12)))</f>
        <v/>
      </c>
      <c r="AA70" t="s">
        <v>479</v>
      </c>
      <c r="AB70" t="s">
        <v>1422</v>
      </c>
    </row>
    <row r="71" spans="1:28" ht="21" customHeight="1" x14ac:dyDescent="0.3">
      <c r="A71" s="110"/>
      <c r="B71" s="109"/>
      <c r="C71" s="108"/>
      <c r="D71" s="104"/>
      <c r="E71" s="107" t="s">
        <v>184</v>
      </c>
      <c r="F71" s="871" t="str">
        <f>IF($B71="","",IF(SUMIFS(CONFIG_PALETES!$C:$C,CONFIG_PALETES!$A:$A,TRIM($B71),CONFIG_PALETES!$B:$B,$C71&amp;" ml")&gt;0,SUMIFS(CONFIG_PALETES!$C:$C,CONFIG_PALETES!$A:$A,TRIM($B71),CONFIG_PALETES!$B:$B,$C71&amp;" ml"),IF(SUMIFS(CONFIG_PALETES!$C:$C,CONFIG_PALETES!$A:$A,"GERAL",CONFIG_PALETES!$B:$B,$C71&amp;" ml")&gt;0,SUMIFS(CONFIG_PALETES!$C:$C,CONFIG_PALETES!$A:$A,"GERAL",CONFIG_PALETES!$B:$B,$C71&amp;" ml"),"")))</f>
        <v/>
      </c>
      <c r="G71" s="106" t="str">
        <f>IFERROR(ROUNDUP(D71/F71,0),"")</f>
        <v/>
      </c>
      <c r="H71" s="105"/>
      <c r="I71" s="104" t="str">
        <f>IF(H71="","",H71*IF(SUMIFS(CONFIG_PALETES!$D:$D,CONFIG_PALETES!$A:$A,IF(ISNUMBER(SEARCH("ESPUMA",$B71)),"ESPUMA",IF(OR(ISNUMBER(SEARCH("OLEO DE COCO",$B71)),ISNUMBER(SEARCH("ÓLEO DE COCO",$B71)),ISNUMBER(SEARCH("COPRA",$B71))),"ÓLEO DE COCO",IF(ISNUMBER(SEARCH("CORANTE",$B71)),"CORANTE",TRIM($B71)))),CONFIG_PALETES!$B:$B,$C71&amp;" ml")&gt;0,SUMIFS(CONFIG_PALETES!$D:$D,CONFIG_PALETES!$A:$A,IF(ISNUMBER(SEARCH("ESPUMA",$B71)),"ESPUMA",IF(OR(ISNUMBER(SEARCH("OLEO DE COCO",$B71)),ISNUMBER(SEARCH("ÓLEO DE COCO",$B71)),ISNUMBER(SEARCH("COPRA",$B71))),"ÓLEO DE COCO",IF(ISNUMBER(SEARCH("CORANTE",$B71)),"CORANTE",TRIM($B71)))),CONFIG_PALETES!$B:$B,$C71&amp;" ml"),IF(SUMIFS(CONFIG_PALETES!$D:$D,CONFIG_PALETES!$A:$A,"GERAL",CONFIG_PALETES!$B:$B,$C71&amp;" ml")&gt;0,SUMIFS(CONFIG_PALETES!$D:$D,CONFIG_PALETES!$A:$A,"GERAL",CONFIG_PALETES!$B:$B,$C71&amp;" ml"),12)))</f>
        <v/>
      </c>
      <c r="AA71" t="s">
        <v>476</v>
      </c>
      <c r="AB71" t="s">
        <v>1422</v>
      </c>
    </row>
    <row r="72" spans="1:28" ht="21" customHeight="1" x14ac:dyDescent="0.3">
      <c r="A72" s="817"/>
      <c r="B72" s="818"/>
      <c r="C72" s="819"/>
      <c r="D72" s="820"/>
      <c r="E72" s="821" t="s">
        <v>184</v>
      </c>
      <c r="F72" s="872" t="str">
        <f>IF($B72="","",IF(SUMIFS(CONFIG_PALETES!$C:$C,CONFIG_PALETES!$A:$A,TRIM($B72),CONFIG_PALETES!$B:$B,$C72&amp;" ml")&gt;0,SUMIFS(CONFIG_PALETES!$C:$C,CONFIG_PALETES!$A:$A,TRIM($B72),CONFIG_PALETES!$B:$B,$C72&amp;" ml"),IF(SUMIFS(CONFIG_PALETES!$C:$C,CONFIG_PALETES!$A:$A,"GERAL",CONFIG_PALETES!$B:$B,$C72&amp;" ml")&gt;0,SUMIFS(CONFIG_PALETES!$C:$C,CONFIG_PALETES!$A:$A,"GERAL",CONFIG_PALETES!$B:$B,$C72&amp;" ml"),"")))</f>
        <v/>
      </c>
      <c r="G72" s="822" t="str">
        <f>IFERROR(ROUNDUP(D72/F72,0),"")</f>
        <v/>
      </c>
      <c r="H72" s="823"/>
      <c r="I72" s="820" t="str">
        <f>IF(H72="","",H72*IF(SUMIFS(CONFIG_PALETES!$D:$D,CONFIG_PALETES!$A:$A,IF(ISNUMBER(SEARCH("ESPUMA",$B72)),"ESPUMA",IF(OR(ISNUMBER(SEARCH("OLEO DE COCO",$B72)),ISNUMBER(SEARCH("ÓLEO DE COCO",$B72)),ISNUMBER(SEARCH("COPRA",$B72))),"ÓLEO DE COCO",IF(ISNUMBER(SEARCH("CORANTE",$B72)),"CORANTE",TRIM($B72)))),CONFIG_PALETES!$B:$B,$C72&amp;" ml")&gt;0,SUMIFS(CONFIG_PALETES!$D:$D,CONFIG_PALETES!$A:$A,IF(ISNUMBER(SEARCH("ESPUMA",$B72)),"ESPUMA",IF(OR(ISNUMBER(SEARCH("OLEO DE COCO",$B72)),ISNUMBER(SEARCH("ÓLEO DE COCO",$B72)),ISNUMBER(SEARCH("COPRA",$B72))),"ÓLEO DE COCO",IF(ISNUMBER(SEARCH("CORANTE",$B72)),"CORANTE",TRIM($B72)))),CONFIG_PALETES!$B:$B,$C72&amp;" ml"),IF(SUMIFS(CONFIG_PALETES!$D:$D,CONFIG_PALETES!$A:$A,"GERAL",CONFIG_PALETES!$B:$B,$C72&amp;" ml")&gt;0,SUMIFS(CONFIG_PALETES!$D:$D,CONFIG_PALETES!$A:$A,"GERAL",CONFIG_PALETES!$B:$B,$C72&amp;" ml"),12)))</f>
        <v/>
      </c>
      <c r="AA72" t="s">
        <v>1190</v>
      </c>
      <c r="AB72" t="s">
        <v>1422</v>
      </c>
    </row>
    <row r="73" spans="1:28" ht="15" customHeight="1" x14ac:dyDescent="0.3">
      <c r="A73" s="899"/>
      <c r="B73" s="846" t="s">
        <v>186</v>
      </c>
      <c r="C73" s="847"/>
      <c r="D73" s="848">
        <f>SUM(D66:D72)</f>
        <v>0</v>
      </c>
      <c r="E73" s="849"/>
      <c r="F73" s="856" t="s">
        <v>1400</v>
      </c>
      <c r="G73" s="850">
        <f>SUM(G66:G72)</f>
        <v>0</v>
      </c>
      <c r="H73" s="848">
        <f>SUM(H66:H72)</f>
        <v>0</v>
      </c>
      <c r="I73" s="848">
        <f>SUM(I66:I72)</f>
        <v>0</v>
      </c>
      <c r="J73" s="63">
        <f>D73</f>
        <v>0</v>
      </c>
      <c r="K73" s="93">
        <f>G73</f>
        <v>0</v>
      </c>
      <c r="L73" s="63">
        <f>H73</f>
        <v>0</v>
      </c>
      <c r="M73" s="63">
        <f>I73</f>
        <v>0</v>
      </c>
      <c r="N73" s="587" t="str" cm="1">
        <f t="array" ref="N73">IF(H73=0,"",SUMPRODUCT(IFERROR(INT(H68:H72/F68:F72),0)))</f>
        <v/>
      </c>
      <c r="O73" s="770" t="str">
        <f>IF(N73="","",MAX(0,G73-N73))</f>
        <v/>
      </c>
      <c r="AA73" t="s">
        <v>1191</v>
      </c>
      <c r="AB73" t="s">
        <v>1422</v>
      </c>
    </row>
    <row r="74" spans="1:28" ht="6" customHeight="1" x14ac:dyDescent="0.3">
      <c r="C74" s="65"/>
      <c r="AA74" t="s">
        <v>481</v>
      </c>
      <c r="AB74" t="s">
        <v>1422</v>
      </c>
    </row>
    <row r="75" spans="1:28" ht="15" customHeight="1" x14ac:dyDescent="0.3">
      <c r="A75" s="75">
        <v>46367</v>
      </c>
      <c r="B75" s="113" t="s">
        <v>49</v>
      </c>
      <c r="C75" s="112" t="s">
        <v>176</v>
      </c>
      <c r="D75" s="111" t="s">
        <v>177</v>
      </c>
      <c r="E75" s="111" t="s">
        <v>178</v>
      </c>
      <c r="F75" s="860" t="s">
        <v>179</v>
      </c>
      <c r="G75" s="111" t="s">
        <v>180</v>
      </c>
      <c r="H75" s="111" t="s">
        <v>181</v>
      </c>
      <c r="I75" s="111" t="s">
        <v>182</v>
      </c>
      <c r="AA75" t="s">
        <v>482</v>
      </c>
      <c r="AB75" t="s">
        <v>1422</v>
      </c>
    </row>
    <row r="76" spans="1:28" ht="21" customHeight="1" x14ac:dyDescent="0.3">
      <c r="A76" s="110"/>
      <c r="B76" s="109"/>
      <c r="C76" s="108"/>
      <c r="D76" s="104"/>
      <c r="E76" s="107" t="s">
        <v>184</v>
      </c>
      <c r="F76" s="871" t="str">
        <f>IF($B76="","",IF(SUMIFS(CONFIG_PALETES!$C:$C,CONFIG_PALETES!$A:$A,TRIM($B76),CONFIG_PALETES!$B:$B,$C76&amp;" ml")&gt;0,SUMIFS(CONFIG_PALETES!$C:$C,CONFIG_PALETES!$A:$A,TRIM($B76),CONFIG_PALETES!$B:$B,$C76&amp;" ml"),IF(SUMIFS(CONFIG_PALETES!$C:$C,CONFIG_PALETES!$A:$A,"GERAL",CONFIG_PALETES!$B:$B,$C76&amp;" ml")&gt;0,SUMIFS(CONFIG_PALETES!$C:$C,CONFIG_PALETES!$A:$A,"GERAL",CONFIG_PALETES!$B:$B,$C76&amp;" ml"),"")))</f>
        <v/>
      </c>
      <c r="G76" s="106" t="str">
        <f>IFERROR(ROUNDUP(D76/F76,0),"")</f>
        <v/>
      </c>
      <c r="H76" s="105"/>
      <c r="I76" s="104" t="str">
        <f>IF(H76="","",H76*IF(SUMIFS(CONFIG_PALETES!$D:$D,CONFIG_PALETES!$A:$A,IF(ISNUMBER(SEARCH("ESPUMA",$B76)),"ESPUMA",IF(OR(ISNUMBER(SEARCH("OLEO DE COCO",$B76)),ISNUMBER(SEARCH("ÓLEO DE COCO",$B76)),ISNUMBER(SEARCH("COPRA",$B76))),"ÓLEO DE COCO",IF(ISNUMBER(SEARCH("CORANTE",$B76)),"CORANTE",TRIM($B76)))),CONFIG_PALETES!$B:$B,$C76&amp;" ml")&gt;0,SUMIFS(CONFIG_PALETES!$D:$D,CONFIG_PALETES!$A:$A,IF(ISNUMBER(SEARCH("ESPUMA",$B76)),"ESPUMA",IF(OR(ISNUMBER(SEARCH("OLEO DE COCO",$B76)),ISNUMBER(SEARCH("ÓLEO DE COCO",$B76)),ISNUMBER(SEARCH("COPRA",$B76))),"ÓLEO DE COCO",IF(ISNUMBER(SEARCH("CORANTE",$B76)),"CORANTE",TRIM($B76)))),CONFIG_PALETES!$B:$B,$C76&amp;" ml"),IF(SUMIFS(CONFIG_PALETES!$D:$D,CONFIG_PALETES!$A:$A,"GERAL",CONFIG_PALETES!$B:$B,$C76&amp;" ml")&gt;0,SUMIFS(CONFIG_PALETES!$D:$D,CONFIG_PALETES!$A:$A,"GERAL",CONFIG_PALETES!$B:$B,$C76&amp;" ml"),12)))</f>
        <v/>
      </c>
      <c r="AA76" t="s">
        <v>1192</v>
      </c>
      <c r="AB76" t="s">
        <v>1422</v>
      </c>
    </row>
    <row r="77" spans="1:28" ht="21" customHeight="1" x14ac:dyDescent="0.3">
      <c r="A77" s="110"/>
      <c r="B77" s="109"/>
      <c r="C77" s="108"/>
      <c r="D77" s="104"/>
      <c r="E77" s="107" t="s">
        <v>184</v>
      </c>
      <c r="F77" s="871" t="str">
        <f>IF($B77="","",IF(SUMIFS(CONFIG_PALETES!$C:$C,CONFIG_PALETES!$A:$A,TRIM($B77),CONFIG_PALETES!$B:$B,$C77&amp;" ml")&gt;0,SUMIFS(CONFIG_PALETES!$C:$C,CONFIG_PALETES!$A:$A,TRIM($B77),CONFIG_PALETES!$B:$B,$C77&amp;" ml"),IF(SUMIFS(CONFIG_PALETES!$C:$C,CONFIG_PALETES!$A:$A,"GERAL",CONFIG_PALETES!$B:$B,$C77&amp;" ml")&gt;0,SUMIFS(CONFIG_PALETES!$C:$C,CONFIG_PALETES!$A:$A,"GERAL",CONFIG_PALETES!$B:$B,$C77&amp;" ml"),"")))</f>
        <v/>
      </c>
      <c r="G77" s="106" t="str">
        <f>IFERROR(ROUNDUP(D77/F77,0),"")</f>
        <v/>
      </c>
      <c r="H77" s="105"/>
      <c r="I77" s="104" t="str">
        <f>IF(H77="","",H77*IF(SUMIFS(CONFIG_PALETES!$D:$D,CONFIG_PALETES!$A:$A,IF(ISNUMBER(SEARCH("ESPUMA",$B77)),"ESPUMA",IF(OR(ISNUMBER(SEARCH("OLEO DE COCO",$B77)),ISNUMBER(SEARCH("ÓLEO DE COCO",$B77)),ISNUMBER(SEARCH("COPRA",$B77))),"ÓLEO DE COCO",IF(ISNUMBER(SEARCH("CORANTE",$B77)),"CORANTE",TRIM($B77)))),CONFIG_PALETES!$B:$B,$C77&amp;" ml")&gt;0,SUMIFS(CONFIG_PALETES!$D:$D,CONFIG_PALETES!$A:$A,IF(ISNUMBER(SEARCH("ESPUMA",$B77)),"ESPUMA",IF(OR(ISNUMBER(SEARCH("OLEO DE COCO",$B77)),ISNUMBER(SEARCH("ÓLEO DE COCO",$B77)),ISNUMBER(SEARCH("COPRA",$B77))),"ÓLEO DE COCO",IF(ISNUMBER(SEARCH("CORANTE",$B77)),"CORANTE",TRIM($B77)))),CONFIG_PALETES!$B:$B,$C77&amp;" ml"),IF(SUMIFS(CONFIG_PALETES!$D:$D,CONFIG_PALETES!$A:$A,"GERAL",CONFIG_PALETES!$B:$B,$C77&amp;" ml")&gt;0,SUMIFS(CONFIG_PALETES!$D:$D,CONFIG_PALETES!$A:$A,"GERAL",CONFIG_PALETES!$B:$B,$C77&amp;" ml"),12)))</f>
        <v/>
      </c>
      <c r="AA77" t="s">
        <v>480</v>
      </c>
      <c r="AB77" t="s">
        <v>1422</v>
      </c>
    </row>
    <row r="78" spans="1:28" ht="21" customHeight="1" x14ac:dyDescent="0.3">
      <c r="A78" s="110"/>
      <c r="B78" s="109"/>
      <c r="C78" s="108"/>
      <c r="D78" s="104"/>
      <c r="E78" s="107" t="s">
        <v>184</v>
      </c>
      <c r="F78" s="871" t="str">
        <f>IF($B78="","",IF(SUMIFS(CONFIG_PALETES!$C:$C,CONFIG_PALETES!$A:$A,TRIM($B78),CONFIG_PALETES!$B:$B,$C78&amp;" ml")&gt;0,SUMIFS(CONFIG_PALETES!$C:$C,CONFIG_PALETES!$A:$A,TRIM($B78),CONFIG_PALETES!$B:$B,$C78&amp;" ml"),IF(SUMIFS(CONFIG_PALETES!$C:$C,CONFIG_PALETES!$A:$A,"GERAL",CONFIG_PALETES!$B:$B,$C78&amp;" ml")&gt;0,SUMIFS(CONFIG_PALETES!$C:$C,CONFIG_PALETES!$A:$A,"GERAL",CONFIG_PALETES!$B:$B,$C78&amp;" ml"),"")))</f>
        <v/>
      </c>
      <c r="G78" s="106" t="str">
        <f>IFERROR(ROUNDUP(D78/F78,0),"")</f>
        <v/>
      </c>
      <c r="H78" s="105"/>
      <c r="I78" s="104" t="str">
        <f>IF(H78="","",H78*IF(SUMIFS(CONFIG_PALETES!$D:$D,CONFIG_PALETES!$A:$A,IF(ISNUMBER(SEARCH("ESPUMA",$B78)),"ESPUMA",IF(OR(ISNUMBER(SEARCH("OLEO DE COCO",$B78)),ISNUMBER(SEARCH("ÓLEO DE COCO",$B78)),ISNUMBER(SEARCH("COPRA",$B78))),"ÓLEO DE COCO",IF(ISNUMBER(SEARCH("CORANTE",$B78)),"CORANTE",TRIM($B78)))),CONFIG_PALETES!$B:$B,$C78&amp;" ml")&gt;0,SUMIFS(CONFIG_PALETES!$D:$D,CONFIG_PALETES!$A:$A,IF(ISNUMBER(SEARCH("ESPUMA",$B78)),"ESPUMA",IF(OR(ISNUMBER(SEARCH("OLEO DE COCO",$B78)),ISNUMBER(SEARCH("ÓLEO DE COCO",$B78)),ISNUMBER(SEARCH("COPRA",$B78))),"ÓLEO DE COCO",IF(ISNUMBER(SEARCH("CORANTE",$B78)),"CORANTE",TRIM($B78)))),CONFIG_PALETES!$B:$B,$C78&amp;" ml"),IF(SUMIFS(CONFIG_PALETES!$D:$D,CONFIG_PALETES!$A:$A,"GERAL",CONFIG_PALETES!$B:$B,$C78&amp;" ml")&gt;0,SUMIFS(CONFIG_PALETES!$D:$D,CONFIG_PALETES!$A:$A,"GERAL",CONFIG_PALETES!$B:$B,$C78&amp;" ml"),12)))</f>
        <v/>
      </c>
      <c r="AA78" t="s">
        <v>1414</v>
      </c>
      <c r="AB78" t="s">
        <v>1422</v>
      </c>
    </row>
    <row r="79" spans="1:28" ht="21" customHeight="1" x14ac:dyDescent="0.3">
      <c r="A79" s="110"/>
      <c r="B79" s="109"/>
      <c r="C79" s="108"/>
      <c r="D79" s="104"/>
      <c r="E79" s="107" t="s">
        <v>184</v>
      </c>
      <c r="F79" s="871" t="str">
        <f>IF($B79="","",IF(SUMIFS(CONFIG_PALETES!$C:$C,CONFIG_PALETES!$A:$A,TRIM($B79),CONFIG_PALETES!$B:$B,$C79&amp;" ml")&gt;0,SUMIFS(CONFIG_PALETES!$C:$C,CONFIG_PALETES!$A:$A,TRIM($B79),CONFIG_PALETES!$B:$B,$C79&amp;" ml"),IF(SUMIFS(CONFIG_PALETES!$C:$C,CONFIG_PALETES!$A:$A,"GERAL",CONFIG_PALETES!$B:$B,$C79&amp;" ml")&gt;0,SUMIFS(CONFIG_PALETES!$C:$C,CONFIG_PALETES!$A:$A,"GERAL",CONFIG_PALETES!$B:$B,$C79&amp;" ml"),"")))</f>
        <v/>
      </c>
      <c r="G79" s="106" t="str">
        <f>IFERROR(ROUNDUP(D79/F79,0),"")</f>
        <v/>
      </c>
      <c r="H79" s="105"/>
      <c r="I79" s="104" t="str">
        <f>IF(H79="","",H79*IF(SUMIFS(CONFIG_PALETES!$D:$D,CONFIG_PALETES!$A:$A,IF(ISNUMBER(SEARCH("ESPUMA",$B79)),"ESPUMA",IF(OR(ISNUMBER(SEARCH("OLEO DE COCO",$B79)),ISNUMBER(SEARCH("ÓLEO DE COCO",$B79)),ISNUMBER(SEARCH("COPRA",$B79))),"ÓLEO DE COCO",IF(ISNUMBER(SEARCH("CORANTE",$B79)),"CORANTE",TRIM($B79)))),CONFIG_PALETES!$B:$B,$C79&amp;" ml")&gt;0,SUMIFS(CONFIG_PALETES!$D:$D,CONFIG_PALETES!$A:$A,IF(ISNUMBER(SEARCH("ESPUMA",$B79)),"ESPUMA",IF(OR(ISNUMBER(SEARCH("OLEO DE COCO",$B79)),ISNUMBER(SEARCH("ÓLEO DE COCO",$B79)),ISNUMBER(SEARCH("COPRA",$B79))),"ÓLEO DE COCO",IF(ISNUMBER(SEARCH("CORANTE",$B79)),"CORANTE",TRIM($B79)))),CONFIG_PALETES!$B:$B,$C79&amp;" ml"),IF(SUMIFS(CONFIG_PALETES!$D:$D,CONFIG_PALETES!$A:$A,"GERAL",CONFIG_PALETES!$B:$B,$C79&amp;" ml")&gt;0,SUMIFS(CONFIG_PALETES!$D:$D,CONFIG_PALETES!$A:$A,"GERAL",CONFIG_PALETES!$B:$B,$C79&amp;" ml"),12)))</f>
        <v/>
      </c>
      <c r="AA79" t="s">
        <v>582</v>
      </c>
      <c r="AB79" t="s">
        <v>1422</v>
      </c>
    </row>
    <row r="80" spans="1:28" ht="21" customHeight="1" x14ac:dyDescent="0.3">
      <c r="A80" s="817"/>
      <c r="B80" s="818"/>
      <c r="C80" s="819"/>
      <c r="D80" s="820"/>
      <c r="E80" s="821" t="s">
        <v>184</v>
      </c>
      <c r="F80" s="872" t="str">
        <f>IF($B80="","",IF(SUMIFS(CONFIG_PALETES!$C:$C,CONFIG_PALETES!$A:$A,TRIM($B80),CONFIG_PALETES!$B:$B,$C80&amp;" ml")&gt;0,SUMIFS(CONFIG_PALETES!$C:$C,CONFIG_PALETES!$A:$A,TRIM($B80),CONFIG_PALETES!$B:$B,$C80&amp;" ml"),IF(SUMIFS(CONFIG_PALETES!$C:$C,CONFIG_PALETES!$A:$A,"GERAL",CONFIG_PALETES!$B:$B,$C80&amp;" ml")&gt;0,SUMIFS(CONFIG_PALETES!$C:$C,CONFIG_PALETES!$A:$A,"GERAL",CONFIG_PALETES!$B:$B,$C80&amp;" ml"),"")))</f>
        <v/>
      </c>
      <c r="G80" s="822" t="str">
        <f>IFERROR(ROUNDUP(D80/F80,0),"")</f>
        <v/>
      </c>
      <c r="H80" s="823"/>
      <c r="I80" s="820" t="str">
        <f>IF(H80="","",H80*IF(SUMIFS(CONFIG_PALETES!$D:$D,CONFIG_PALETES!$A:$A,IF(ISNUMBER(SEARCH("ESPUMA",$B80)),"ESPUMA",IF(OR(ISNUMBER(SEARCH("OLEO DE COCO",$B80)),ISNUMBER(SEARCH("ÓLEO DE COCO",$B80)),ISNUMBER(SEARCH("COPRA",$B80))),"ÓLEO DE COCO",IF(ISNUMBER(SEARCH("CORANTE",$B80)),"CORANTE",TRIM($B80)))),CONFIG_PALETES!$B:$B,$C80&amp;" ml")&gt;0,SUMIFS(CONFIG_PALETES!$D:$D,CONFIG_PALETES!$A:$A,IF(ISNUMBER(SEARCH("ESPUMA",$B80)),"ESPUMA",IF(OR(ISNUMBER(SEARCH("OLEO DE COCO",$B80)),ISNUMBER(SEARCH("ÓLEO DE COCO",$B80)),ISNUMBER(SEARCH("COPRA",$B80))),"ÓLEO DE COCO",IF(ISNUMBER(SEARCH("CORANTE",$B80)),"CORANTE",TRIM($B80)))),CONFIG_PALETES!$B:$B,$C80&amp;" ml"),IF(SUMIFS(CONFIG_PALETES!$D:$D,CONFIG_PALETES!$A:$A,"GERAL",CONFIG_PALETES!$B:$B,$C80&amp;" ml")&gt;0,SUMIFS(CONFIG_PALETES!$D:$D,CONFIG_PALETES!$A:$A,"GERAL",CONFIG_PALETES!$B:$B,$C80&amp;" ml"),12)))</f>
        <v/>
      </c>
      <c r="AA80" t="s">
        <v>1207</v>
      </c>
      <c r="AB80" t="s">
        <v>1422</v>
      </c>
    </row>
    <row r="81" spans="1:28" ht="15" customHeight="1" x14ac:dyDescent="0.3">
      <c r="A81" s="899"/>
      <c r="B81" s="846" t="s">
        <v>186</v>
      </c>
      <c r="C81" s="847"/>
      <c r="D81" s="848">
        <f>SUM(D74:D80)</f>
        <v>0</v>
      </c>
      <c r="E81" s="849"/>
      <c r="F81" s="856" t="s">
        <v>1400</v>
      </c>
      <c r="G81" s="850">
        <f>SUM(G74:G80)</f>
        <v>0</v>
      </c>
      <c r="H81" s="848">
        <f>SUM(H74:H80)</f>
        <v>0</v>
      </c>
      <c r="I81" s="848">
        <f>SUM(I74:I80)</f>
        <v>0</v>
      </c>
      <c r="J81" s="63">
        <f>D81</f>
        <v>0</v>
      </c>
      <c r="K81" s="93">
        <f>G81</f>
        <v>0</v>
      </c>
      <c r="L81" s="63">
        <f>H81</f>
        <v>0</v>
      </c>
      <c r="M81" s="63">
        <f>I81</f>
        <v>0</v>
      </c>
      <c r="N81" s="587" t="str" cm="1">
        <f t="array" ref="N81">IF(H81=0,"",SUMPRODUCT(IFERROR(INT(H76:H80/F76:F80),0)))</f>
        <v/>
      </c>
      <c r="O81" s="770" t="str">
        <f>IF(N81="","",MAX(0,G81-N81))</f>
        <v/>
      </c>
      <c r="AA81" t="s">
        <v>486</v>
      </c>
      <c r="AB81" t="s">
        <v>1422</v>
      </c>
    </row>
    <row r="82" spans="1:28" ht="6" customHeight="1" x14ac:dyDescent="0.3">
      <c r="C82" s="65"/>
      <c r="AA82" t="s">
        <v>485</v>
      </c>
      <c r="AB82" t="s">
        <v>1422</v>
      </c>
    </row>
    <row r="83" spans="1:28" ht="15" customHeight="1" x14ac:dyDescent="0.3">
      <c r="A83" s="135">
        <v>46368</v>
      </c>
      <c r="B83" s="113" t="s">
        <v>49</v>
      </c>
      <c r="C83" s="112" t="s">
        <v>176</v>
      </c>
      <c r="D83" s="111" t="s">
        <v>177</v>
      </c>
      <c r="E83" s="111" t="s">
        <v>178</v>
      </c>
      <c r="F83" s="862" t="s">
        <v>179</v>
      </c>
      <c r="G83" s="111" t="s">
        <v>180</v>
      </c>
      <c r="H83" s="111" t="s">
        <v>181</v>
      </c>
      <c r="I83" s="111" t="s">
        <v>182</v>
      </c>
      <c r="J83" s="128"/>
      <c r="K83" s="128"/>
      <c r="L83" s="128"/>
      <c r="M83" s="128"/>
      <c r="AA83" t="s">
        <v>583</v>
      </c>
      <c r="AB83" t="s">
        <v>1422</v>
      </c>
    </row>
    <row r="84" spans="1:28" ht="21" customHeight="1" x14ac:dyDescent="0.3">
      <c r="A84" s="110"/>
      <c r="B84" s="127"/>
      <c r="C84" s="126"/>
      <c r="D84" s="129"/>
      <c r="E84" s="131" t="s">
        <v>184</v>
      </c>
      <c r="F84" s="877" t="str">
        <f>IF($B84="","",IF(SUMIFS(CONFIG_PALETES!$C:$C,CONFIG_PALETES!$A:$A,TRIM($B84),CONFIG_PALETES!$B:$B,$C84&amp;" ml")&gt;0,SUMIFS(CONFIG_PALETES!$C:$C,CONFIG_PALETES!$A:$A,TRIM($B84),CONFIG_PALETES!$B:$B,$C84&amp;" ml"),IF(SUMIFS(CONFIG_PALETES!$C:$C,CONFIG_PALETES!$A:$A,"GERAL",CONFIG_PALETES!$B:$B,$C84&amp;" ml")&gt;0,SUMIFS(CONFIG_PALETES!$C:$C,CONFIG_PALETES!$A:$A,"GERAL",CONFIG_PALETES!$B:$B,$C84&amp;" ml"),"")))</f>
        <v/>
      </c>
      <c r="G84" s="130" t="str">
        <f>IFERROR(ROUNDUP(D84/F84,0),"")</f>
        <v/>
      </c>
      <c r="H84" s="105"/>
      <c r="I84" s="129" t="str">
        <f>IF(H84="","",H84*IF(SUMIFS(CONFIG_PALETES!$D:$D,CONFIG_PALETES!$A:$A,IF(ISNUMBER(SEARCH("ESPUMA",$B84)),"ESPUMA",IF(OR(ISNUMBER(SEARCH("OLEO DE COCO",$B84)),ISNUMBER(SEARCH("ÓLEO DE COCO",$B84)),ISNUMBER(SEARCH("COPRA",$B84))),"ÓLEO DE COCO",IF(ISNUMBER(SEARCH("CORANTE",$B84)),"CORANTE",TRIM($B84)))),CONFIG_PALETES!$B:$B,$C84&amp;" ml")&gt;0,SUMIFS(CONFIG_PALETES!$D:$D,CONFIG_PALETES!$A:$A,IF(ISNUMBER(SEARCH("ESPUMA",$B84)),"ESPUMA",IF(OR(ISNUMBER(SEARCH("OLEO DE COCO",$B84)),ISNUMBER(SEARCH("ÓLEO DE COCO",$B84)),ISNUMBER(SEARCH("COPRA",$B84))),"ÓLEO DE COCO",IF(ISNUMBER(SEARCH("CORANTE",$B84)),"CORANTE",TRIM($B84)))),CONFIG_PALETES!$B:$B,$C84&amp;" ml"),IF(SUMIFS(CONFIG_PALETES!$D:$D,CONFIG_PALETES!$A:$A,"GERAL",CONFIG_PALETES!$B:$B,$C84&amp;" ml")&gt;0,SUMIFS(CONFIG_PALETES!$D:$D,CONFIG_PALETES!$A:$A,"GERAL",CONFIG_PALETES!$B:$B,$C84&amp;" ml"),12)))</f>
        <v/>
      </c>
      <c r="J84" s="128"/>
      <c r="K84" s="128"/>
      <c r="L84" s="128"/>
      <c r="M84" s="128"/>
      <c r="AA84" t="s">
        <v>584</v>
      </c>
      <c r="AB84" t="s">
        <v>1422</v>
      </c>
    </row>
    <row r="85" spans="1:28" ht="21" customHeight="1" x14ac:dyDescent="0.3">
      <c r="A85" s="110"/>
      <c r="B85" s="127"/>
      <c r="C85" s="126"/>
      <c r="D85" s="129"/>
      <c r="E85" s="131" t="s">
        <v>184</v>
      </c>
      <c r="F85" s="877" t="str">
        <f>IF($B85="","",IF(SUMIFS(CONFIG_PALETES!$C:$C,CONFIG_PALETES!$A:$A,TRIM($B85),CONFIG_PALETES!$B:$B,$C85&amp;" ml")&gt;0,SUMIFS(CONFIG_PALETES!$C:$C,CONFIG_PALETES!$A:$A,TRIM($B85),CONFIG_PALETES!$B:$B,$C85&amp;" ml"),IF(SUMIFS(CONFIG_PALETES!$C:$C,CONFIG_PALETES!$A:$A,"GERAL",CONFIG_PALETES!$B:$B,$C85&amp;" ml")&gt;0,SUMIFS(CONFIG_PALETES!$C:$C,CONFIG_PALETES!$A:$A,"GERAL",CONFIG_PALETES!$B:$B,$C85&amp;" ml"),"")))</f>
        <v/>
      </c>
      <c r="G85" s="130" t="str">
        <f>IFERROR(ROUNDUP(D85/F85,0),"")</f>
        <v/>
      </c>
      <c r="H85" s="105"/>
      <c r="I85" s="129" t="str">
        <f>IF(H85="","",H85*IF(SUMIFS(CONFIG_PALETES!$D:$D,CONFIG_PALETES!$A:$A,IF(ISNUMBER(SEARCH("ESPUMA",$B85)),"ESPUMA",IF(OR(ISNUMBER(SEARCH("OLEO DE COCO",$B85)),ISNUMBER(SEARCH("ÓLEO DE COCO",$B85)),ISNUMBER(SEARCH("COPRA",$B85))),"ÓLEO DE COCO",IF(ISNUMBER(SEARCH("CORANTE",$B85)),"CORANTE",TRIM($B85)))),CONFIG_PALETES!$B:$B,$C85&amp;" ml")&gt;0,SUMIFS(CONFIG_PALETES!$D:$D,CONFIG_PALETES!$A:$A,IF(ISNUMBER(SEARCH("ESPUMA",$B85)),"ESPUMA",IF(OR(ISNUMBER(SEARCH("OLEO DE COCO",$B85)),ISNUMBER(SEARCH("ÓLEO DE COCO",$B85)),ISNUMBER(SEARCH("COPRA",$B85))),"ÓLEO DE COCO",IF(ISNUMBER(SEARCH("CORANTE",$B85)),"CORANTE",TRIM($B85)))),CONFIG_PALETES!$B:$B,$C85&amp;" ml"),IF(SUMIFS(CONFIG_PALETES!$D:$D,CONFIG_PALETES!$A:$A,"GERAL",CONFIG_PALETES!$B:$B,$C85&amp;" ml")&gt;0,SUMIFS(CONFIG_PALETES!$D:$D,CONFIG_PALETES!$A:$A,"GERAL",CONFIG_PALETES!$B:$B,$C85&amp;" ml"),12)))</f>
        <v/>
      </c>
      <c r="J85" s="128"/>
      <c r="K85" s="128"/>
      <c r="L85" s="128"/>
      <c r="M85" s="128"/>
      <c r="AA85" t="s">
        <v>579</v>
      </c>
      <c r="AB85" t="s">
        <v>1422</v>
      </c>
    </row>
    <row r="86" spans="1:28" ht="21" customHeight="1" x14ac:dyDescent="0.3">
      <c r="A86" s="110"/>
      <c r="B86" s="127"/>
      <c r="C86" s="126"/>
      <c r="D86" s="129"/>
      <c r="E86" s="131" t="s">
        <v>184</v>
      </c>
      <c r="F86" s="877" t="str">
        <f>IF($B86="","",IF(SUMIFS(CONFIG_PALETES!$C:$C,CONFIG_PALETES!$A:$A,TRIM($B86),CONFIG_PALETES!$B:$B,$C86&amp;" ml")&gt;0,SUMIFS(CONFIG_PALETES!$C:$C,CONFIG_PALETES!$A:$A,TRIM($B86),CONFIG_PALETES!$B:$B,$C86&amp;" ml"),IF(SUMIFS(CONFIG_PALETES!$C:$C,CONFIG_PALETES!$A:$A,"GERAL",CONFIG_PALETES!$B:$B,$C86&amp;" ml")&gt;0,SUMIFS(CONFIG_PALETES!$C:$C,CONFIG_PALETES!$A:$A,"GERAL",CONFIG_PALETES!$B:$B,$C86&amp;" ml"),"")))</f>
        <v/>
      </c>
      <c r="G86" s="130" t="str">
        <f>IFERROR(ROUNDUP(D86/F86,0),"")</f>
        <v/>
      </c>
      <c r="H86" s="105"/>
      <c r="I86" s="129" t="str">
        <f>IF(H86="","",H86*IF(SUMIFS(CONFIG_PALETES!$D:$D,CONFIG_PALETES!$A:$A,IF(ISNUMBER(SEARCH("ESPUMA",$B86)),"ESPUMA",IF(OR(ISNUMBER(SEARCH("OLEO DE COCO",$B86)),ISNUMBER(SEARCH("ÓLEO DE COCO",$B86)),ISNUMBER(SEARCH("COPRA",$B86))),"ÓLEO DE COCO",IF(ISNUMBER(SEARCH("CORANTE",$B86)),"CORANTE",TRIM($B86)))),CONFIG_PALETES!$B:$B,$C86&amp;" ml")&gt;0,SUMIFS(CONFIG_PALETES!$D:$D,CONFIG_PALETES!$A:$A,IF(ISNUMBER(SEARCH("ESPUMA",$B86)),"ESPUMA",IF(OR(ISNUMBER(SEARCH("OLEO DE COCO",$B86)),ISNUMBER(SEARCH("ÓLEO DE COCO",$B86)),ISNUMBER(SEARCH("COPRA",$B86))),"ÓLEO DE COCO",IF(ISNUMBER(SEARCH("CORANTE",$B86)),"CORANTE",TRIM($B86)))),CONFIG_PALETES!$B:$B,$C86&amp;" ml"),IF(SUMIFS(CONFIG_PALETES!$D:$D,CONFIG_PALETES!$A:$A,"GERAL",CONFIG_PALETES!$B:$B,$C86&amp;" ml")&gt;0,SUMIFS(CONFIG_PALETES!$D:$D,CONFIG_PALETES!$A:$A,"GERAL",CONFIG_PALETES!$B:$B,$C86&amp;" ml"),12)))</f>
        <v/>
      </c>
      <c r="J86" s="128"/>
      <c r="K86" s="128"/>
      <c r="L86" s="128"/>
      <c r="M86" s="128"/>
      <c r="AA86" t="s">
        <v>484</v>
      </c>
      <c r="AB86" t="s">
        <v>1422</v>
      </c>
    </row>
    <row r="87" spans="1:28" ht="21" customHeight="1" x14ac:dyDescent="0.3">
      <c r="A87" s="110"/>
      <c r="B87" s="127"/>
      <c r="C87" s="126"/>
      <c r="D87" s="129"/>
      <c r="E87" s="131" t="s">
        <v>184</v>
      </c>
      <c r="F87" s="877" t="str">
        <f>IF($B87="","",IF(SUMIFS(CONFIG_PALETES!$C:$C,CONFIG_PALETES!$A:$A,TRIM($B87),CONFIG_PALETES!$B:$B,$C87&amp;" ml")&gt;0,SUMIFS(CONFIG_PALETES!$C:$C,CONFIG_PALETES!$A:$A,TRIM($B87),CONFIG_PALETES!$B:$B,$C87&amp;" ml"),IF(SUMIFS(CONFIG_PALETES!$C:$C,CONFIG_PALETES!$A:$A,"GERAL",CONFIG_PALETES!$B:$B,$C87&amp;" ml")&gt;0,SUMIFS(CONFIG_PALETES!$C:$C,CONFIG_PALETES!$A:$A,"GERAL",CONFIG_PALETES!$B:$B,$C87&amp;" ml"),"")))</f>
        <v/>
      </c>
      <c r="G87" s="130" t="str">
        <f>IFERROR(ROUNDUP(D87/F87,0),"")</f>
        <v/>
      </c>
      <c r="H87" s="105"/>
      <c r="I87" s="129" t="str">
        <f>IF(H87="","",H87*IF(SUMIFS(CONFIG_PALETES!$D:$D,CONFIG_PALETES!$A:$A,IF(ISNUMBER(SEARCH("ESPUMA",$B87)),"ESPUMA",IF(OR(ISNUMBER(SEARCH("OLEO DE COCO",$B87)),ISNUMBER(SEARCH("ÓLEO DE COCO",$B87)),ISNUMBER(SEARCH("COPRA",$B87))),"ÓLEO DE COCO",IF(ISNUMBER(SEARCH("CORANTE",$B87)),"CORANTE",TRIM($B87)))),CONFIG_PALETES!$B:$B,$C87&amp;" ml")&gt;0,SUMIFS(CONFIG_PALETES!$D:$D,CONFIG_PALETES!$A:$A,IF(ISNUMBER(SEARCH("ESPUMA",$B87)),"ESPUMA",IF(OR(ISNUMBER(SEARCH("OLEO DE COCO",$B87)),ISNUMBER(SEARCH("ÓLEO DE COCO",$B87)),ISNUMBER(SEARCH("COPRA",$B87))),"ÓLEO DE COCO",IF(ISNUMBER(SEARCH("CORANTE",$B87)),"CORANTE",TRIM($B87)))),CONFIG_PALETES!$B:$B,$C87&amp;" ml"),IF(SUMIFS(CONFIG_PALETES!$D:$D,CONFIG_PALETES!$A:$A,"GERAL",CONFIG_PALETES!$B:$B,$C87&amp;" ml")&gt;0,SUMIFS(CONFIG_PALETES!$D:$D,CONFIG_PALETES!$A:$A,"GERAL",CONFIG_PALETES!$B:$B,$C87&amp;" ml"),12)))</f>
        <v/>
      </c>
      <c r="J87" s="128"/>
      <c r="K87" s="128"/>
      <c r="L87" s="128"/>
      <c r="M87" s="128"/>
      <c r="AA87" t="s">
        <v>580</v>
      </c>
      <c r="AB87" t="s">
        <v>1422</v>
      </c>
    </row>
    <row r="88" spans="1:28" ht="21" customHeight="1" x14ac:dyDescent="0.3">
      <c r="A88" s="817"/>
      <c r="B88" s="829"/>
      <c r="C88" s="830"/>
      <c r="D88" s="831"/>
      <c r="E88" s="832" t="s">
        <v>184</v>
      </c>
      <c r="F88" s="878" t="str">
        <f>IF($B88="","",IF(SUMIFS(CONFIG_PALETES!$C:$C,CONFIG_PALETES!$A:$A,TRIM($B88),CONFIG_PALETES!$B:$B,$C88&amp;" ml")&gt;0,SUMIFS(CONFIG_PALETES!$C:$C,CONFIG_PALETES!$A:$A,TRIM($B88),CONFIG_PALETES!$B:$B,$C88&amp;" ml"),IF(SUMIFS(CONFIG_PALETES!$C:$C,CONFIG_PALETES!$A:$A,"GERAL",CONFIG_PALETES!$B:$B,$C88&amp;" ml")&gt;0,SUMIFS(CONFIG_PALETES!$C:$C,CONFIG_PALETES!$A:$A,"GERAL",CONFIG_PALETES!$B:$B,$C88&amp;" ml"),"")))</f>
        <v/>
      </c>
      <c r="G88" s="833" t="str">
        <f>IFERROR(ROUNDUP(D88/F88,0),"")</f>
        <v/>
      </c>
      <c r="H88" s="823"/>
      <c r="I88" s="831" t="str">
        <f>IF(H88="","",H88*IF(SUMIFS(CONFIG_PALETES!$D:$D,CONFIG_PALETES!$A:$A,IF(ISNUMBER(SEARCH("ESPUMA",$B88)),"ESPUMA",IF(OR(ISNUMBER(SEARCH("OLEO DE COCO",$B88)),ISNUMBER(SEARCH("ÓLEO DE COCO",$B88)),ISNUMBER(SEARCH("COPRA",$B88))),"ÓLEO DE COCO",IF(ISNUMBER(SEARCH("CORANTE",$B88)),"CORANTE",TRIM($B88)))),CONFIG_PALETES!$B:$B,$C88&amp;" ml")&gt;0,SUMIFS(CONFIG_PALETES!$D:$D,CONFIG_PALETES!$A:$A,IF(ISNUMBER(SEARCH("ESPUMA",$B88)),"ESPUMA",IF(OR(ISNUMBER(SEARCH("OLEO DE COCO",$B88)),ISNUMBER(SEARCH("ÓLEO DE COCO",$B88)),ISNUMBER(SEARCH("COPRA",$B88))),"ÓLEO DE COCO",IF(ISNUMBER(SEARCH("CORANTE",$B88)),"CORANTE",TRIM($B88)))),CONFIG_PALETES!$B:$B,$C88&amp;" ml"),IF(SUMIFS(CONFIG_PALETES!$D:$D,CONFIG_PALETES!$A:$A,"GERAL",CONFIG_PALETES!$B:$B,$C88&amp;" ml")&gt;0,SUMIFS(CONFIG_PALETES!$D:$D,CONFIG_PALETES!$A:$A,"GERAL",CONFIG_PALETES!$B:$B,$C88&amp;" ml"),12)))</f>
        <v/>
      </c>
      <c r="J88" s="128"/>
      <c r="K88" s="128"/>
      <c r="L88" s="128"/>
      <c r="M88" s="128"/>
      <c r="AA88" t="s">
        <v>585</v>
      </c>
      <c r="AB88" t="s">
        <v>1422</v>
      </c>
    </row>
    <row r="89" spans="1:28" ht="15" customHeight="1" x14ac:dyDescent="0.3">
      <c r="A89" s="899"/>
      <c r="B89" s="846" t="s">
        <v>186</v>
      </c>
      <c r="C89" s="851"/>
      <c r="D89" s="848">
        <f>SUM(D82:D88)</f>
        <v>0</v>
      </c>
      <c r="E89" s="852"/>
      <c r="F89" s="857" t="s">
        <v>1400</v>
      </c>
      <c r="G89" s="850">
        <f>SUM(G82:G88)</f>
        <v>0</v>
      </c>
      <c r="H89" s="848">
        <f>SUM(H82:H88)</f>
        <v>0</v>
      </c>
      <c r="I89" s="848">
        <f>SUM(I82:I88)</f>
        <v>0</v>
      </c>
      <c r="J89" s="133">
        <f>D89</f>
        <v>0</v>
      </c>
      <c r="K89" s="134">
        <f>G89</f>
        <v>0</v>
      </c>
      <c r="L89" s="133">
        <f>H89</f>
        <v>0</v>
      </c>
      <c r="M89" s="133">
        <f>I89</f>
        <v>0</v>
      </c>
      <c r="N89" s="587" t="str" cm="1">
        <f t="array" ref="N89">IF(H89=0,"",SUMPRODUCT(IFERROR(INT(H84:H88/F84:F88),0)))</f>
        <v/>
      </c>
      <c r="O89" s="770" t="str">
        <f>IF(N89="","",MAX(0,G89-N89))</f>
        <v/>
      </c>
      <c r="AA89" t="s">
        <v>586</v>
      </c>
      <c r="AB89" t="s">
        <v>1422</v>
      </c>
    </row>
    <row r="90" spans="1:28" ht="6" customHeight="1" x14ac:dyDescent="0.3">
      <c r="A90" s="128"/>
      <c r="B90" s="128"/>
      <c r="C90" s="132"/>
      <c r="D90" s="128"/>
      <c r="E90" s="128"/>
      <c r="F90" s="128"/>
      <c r="G90" s="128"/>
      <c r="H90" s="128"/>
      <c r="I90" s="128"/>
      <c r="J90" s="128"/>
      <c r="K90" s="128"/>
      <c r="L90" s="128"/>
      <c r="M90" s="128"/>
      <c r="AA90" t="s">
        <v>194</v>
      </c>
      <c r="AB90" t="s">
        <v>1422</v>
      </c>
    </row>
    <row r="91" spans="1:28" ht="15" customHeight="1" x14ac:dyDescent="0.3">
      <c r="A91" s="75">
        <v>46370</v>
      </c>
      <c r="B91" s="113" t="s">
        <v>49</v>
      </c>
      <c r="C91" s="112" t="s">
        <v>176</v>
      </c>
      <c r="D91" s="111" t="s">
        <v>177</v>
      </c>
      <c r="E91" s="111" t="s">
        <v>178</v>
      </c>
      <c r="F91" s="860" t="s">
        <v>179</v>
      </c>
      <c r="G91" s="111" t="s">
        <v>180</v>
      </c>
      <c r="H91" s="111" t="s">
        <v>181</v>
      </c>
      <c r="I91" s="111" t="s">
        <v>182</v>
      </c>
      <c r="AA91" t="s">
        <v>35</v>
      </c>
      <c r="AB91" t="s">
        <v>1425</v>
      </c>
    </row>
    <row r="92" spans="1:28" ht="21" customHeight="1" x14ac:dyDescent="0.3">
      <c r="A92" s="110"/>
      <c r="B92" s="109"/>
      <c r="C92" s="108"/>
      <c r="D92" s="104"/>
      <c r="E92" s="107" t="s">
        <v>184</v>
      </c>
      <c r="F92" s="871" t="str">
        <f>IF($B92="","",IF(SUMIFS(CONFIG_PALETES!$C:$C,CONFIG_PALETES!$A:$A,TRIM($B92),CONFIG_PALETES!$B:$B,$C92&amp;" ml")&gt;0,SUMIFS(CONFIG_PALETES!$C:$C,CONFIG_PALETES!$A:$A,TRIM($B92),CONFIG_PALETES!$B:$B,$C92&amp;" ml"),IF(SUMIFS(CONFIG_PALETES!$C:$C,CONFIG_PALETES!$A:$A,"GERAL",CONFIG_PALETES!$B:$B,$C92&amp;" ml")&gt;0,SUMIFS(CONFIG_PALETES!$C:$C,CONFIG_PALETES!$A:$A,"GERAL",CONFIG_PALETES!$B:$B,$C92&amp;" ml"),"")))</f>
        <v/>
      </c>
      <c r="G92" s="106" t="str">
        <f>IFERROR(ROUNDUP(D92/F92,0),"")</f>
        <v/>
      </c>
      <c r="H92" s="105"/>
      <c r="I92" s="104" t="str">
        <f>IF(H92="","",H92*IF(SUMIFS(CONFIG_PALETES!$D:$D,CONFIG_PALETES!$A:$A,IF(ISNUMBER(SEARCH("ESPUMA",$B92)),"ESPUMA",IF(OR(ISNUMBER(SEARCH("OLEO DE COCO",$B92)),ISNUMBER(SEARCH("ÓLEO DE COCO",$B92)),ISNUMBER(SEARCH("COPRA",$B92))),"ÓLEO DE COCO",IF(ISNUMBER(SEARCH("CORANTE",$B92)),"CORANTE",TRIM($B92)))),CONFIG_PALETES!$B:$B,$C92&amp;" ml")&gt;0,SUMIFS(CONFIG_PALETES!$D:$D,CONFIG_PALETES!$A:$A,IF(ISNUMBER(SEARCH("ESPUMA",$B92)),"ESPUMA",IF(OR(ISNUMBER(SEARCH("OLEO DE COCO",$B92)),ISNUMBER(SEARCH("ÓLEO DE COCO",$B92)),ISNUMBER(SEARCH("COPRA",$B92))),"ÓLEO DE COCO",IF(ISNUMBER(SEARCH("CORANTE",$B92)),"CORANTE",TRIM($B92)))),CONFIG_PALETES!$B:$B,$C92&amp;" ml"),IF(SUMIFS(CONFIG_PALETES!$D:$D,CONFIG_PALETES!$A:$A,"GERAL",CONFIG_PALETES!$B:$B,$C92&amp;" ml")&gt;0,SUMIFS(CONFIG_PALETES!$D:$D,CONFIG_PALETES!$A:$A,"GERAL",CONFIG_PALETES!$B:$B,$C92&amp;" ml"),12)))</f>
        <v/>
      </c>
      <c r="AA92" t="s">
        <v>597</v>
      </c>
      <c r="AB92" t="s">
        <v>1425</v>
      </c>
    </row>
    <row r="93" spans="1:28" ht="21" customHeight="1" x14ac:dyDescent="0.3">
      <c r="A93" s="110"/>
      <c r="B93" s="109"/>
      <c r="C93" s="108"/>
      <c r="D93" s="104"/>
      <c r="E93" s="107" t="s">
        <v>184</v>
      </c>
      <c r="F93" s="871" t="str">
        <f>IF($B93="","",IF(SUMIFS(CONFIG_PALETES!$C:$C,CONFIG_PALETES!$A:$A,TRIM($B93),CONFIG_PALETES!$B:$B,$C93&amp;" ml")&gt;0,SUMIFS(CONFIG_PALETES!$C:$C,CONFIG_PALETES!$A:$A,TRIM($B93),CONFIG_PALETES!$B:$B,$C93&amp;" ml"),IF(SUMIFS(CONFIG_PALETES!$C:$C,CONFIG_PALETES!$A:$A,"GERAL",CONFIG_PALETES!$B:$B,$C93&amp;" ml")&gt;0,SUMIFS(CONFIG_PALETES!$C:$C,CONFIG_PALETES!$A:$A,"GERAL",CONFIG_PALETES!$B:$B,$C93&amp;" ml"),"")))</f>
        <v/>
      </c>
      <c r="G93" s="106" t="str">
        <f>IFERROR(ROUNDUP(D93/F93,0),"")</f>
        <v/>
      </c>
      <c r="H93" s="105"/>
      <c r="I93" s="104" t="str">
        <f>IF(H93="","",H93*IF(SUMIFS(CONFIG_PALETES!$D:$D,CONFIG_PALETES!$A:$A,IF(ISNUMBER(SEARCH("ESPUMA",$B93)),"ESPUMA",IF(OR(ISNUMBER(SEARCH("OLEO DE COCO",$B93)),ISNUMBER(SEARCH("ÓLEO DE COCO",$B93)),ISNUMBER(SEARCH("COPRA",$B93))),"ÓLEO DE COCO",IF(ISNUMBER(SEARCH("CORANTE",$B93)),"CORANTE",TRIM($B93)))),CONFIG_PALETES!$B:$B,$C93&amp;" ml")&gt;0,SUMIFS(CONFIG_PALETES!$D:$D,CONFIG_PALETES!$A:$A,IF(ISNUMBER(SEARCH("ESPUMA",$B93)),"ESPUMA",IF(OR(ISNUMBER(SEARCH("OLEO DE COCO",$B93)),ISNUMBER(SEARCH("ÓLEO DE COCO",$B93)),ISNUMBER(SEARCH("COPRA",$B93))),"ÓLEO DE COCO",IF(ISNUMBER(SEARCH("CORANTE",$B93)),"CORANTE",TRIM($B93)))),CONFIG_PALETES!$B:$B,$C93&amp;" ml"),IF(SUMIFS(CONFIG_PALETES!$D:$D,CONFIG_PALETES!$A:$A,"GERAL",CONFIG_PALETES!$B:$B,$C93&amp;" ml")&gt;0,SUMIFS(CONFIG_PALETES!$D:$D,CONFIG_PALETES!$A:$A,"GERAL",CONFIG_PALETES!$B:$B,$C93&amp;" ml"),12)))</f>
        <v/>
      </c>
      <c r="AA93" t="s">
        <v>196</v>
      </c>
      <c r="AB93" t="s">
        <v>1429</v>
      </c>
    </row>
    <row r="94" spans="1:28" ht="21" customHeight="1" x14ac:dyDescent="0.3">
      <c r="A94" s="110"/>
      <c r="B94" s="109"/>
      <c r="C94" s="108"/>
      <c r="D94" s="104"/>
      <c r="E94" s="107" t="s">
        <v>184</v>
      </c>
      <c r="F94" s="871" t="str">
        <f>IF($B94="","",IF(SUMIFS(CONFIG_PALETES!$C:$C,CONFIG_PALETES!$A:$A,TRIM($B94),CONFIG_PALETES!$B:$B,$C94&amp;" ml")&gt;0,SUMIFS(CONFIG_PALETES!$C:$C,CONFIG_PALETES!$A:$A,TRIM($B94),CONFIG_PALETES!$B:$B,$C94&amp;" ml"),IF(SUMIFS(CONFIG_PALETES!$C:$C,CONFIG_PALETES!$A:$A,"GERAL",CONFIG_PALETES!$B:$B,$C94&amp;" ml")&gt;0,SUMIFS(CONFIG_PALETES!$C:$C,CONFIG_PALETES!$A:$A,"GERAL",CONFIG_PALETES!$B:$B,$C94&amp;" ml"),"")))</f>
        <v/>
      </c>
      <c r="G94" s="106" t="str">
        <f>IFERROR(ROUNDUP(D94/F94,0),"")</f>
        <v/>
      </c>
      <c r="H94" s="105"/>
      <c r="I94" s="104" t="str">
        <f>IF(H94="","",H94*IF(SUMIFS(CONFIG_PALETES!$D:$D,CONFIG_PALETES!$A:$A,IF(ISNUMBER(SEARCH("ESPUMA",$B94)),"ESPUMA",IF(OR(ISNUMBER(SEARCH("OLEO DE COCO",$B94)),ISNUMBER(SEARCH("ÓLEO DE COCO",$B94)),ISNUMBER(SEARCH("COPRA",$B94))),"ÓLEO DE COCO",IF(ISNUMBER(SEARCH("CORANTE",$B94)),"CORANTE",TRIM($B94)))),CONFIG_PALETES!$B:$B,$C94&amp;" ml")&gt;0,SUMIFS(CONFIG_PALETES!$D:$D,CONFIG_PALETES!$A:$A,IF(ISNUMBER(SEARCH("ESPUMA",$B94)),"ESPUMA",IF(OR(ISNUMBER(SEARCH("OLEO DE COCO",$B94)),ISNUMBER(SEARCH("ÓLEO DE COCO",$B94)),ISNUMBER(SEARCH("COPRA",$B94))),"ÓLEO DE COCO",IF(ISNUMBER(SEARCH("CORANTE",$B94)),"CORANTE",TRIM($B94)))),CONFIG_PALETES!$B:$B,$C94&amp;" ml"),IF(SUMIFS(CONFIG_PALETES!$D:$D,CONFIG_PALETES!$A:$A,"GERAL",CONFIG_PALETES!$B:$B,$C94&amp;" ml")&gt;0,SUMIFS(CONFIG_PALETES!$D:$D,CONFIG_PALETES!$A:$A,"GERAL",CONFIG_PALETES!$B:$B,$C94&amp;" ml"),12)))</f>
        <v/>
      </c>
      <c r="AA94" t="s">
        <v>298</v>
      </c>
      <c r="AB94" t="s">
        <v>1422</v>
      </c>
    </row>
    <row r="95" spans="1:28" ht="21" customHeight="1" x14ac:dyDescent="0.3">
      <c r="A95" s="110"/>
      <c r="B95" s="109"/>
      <c r="C95" s="108"/>
      <c r="D95" s="104"/>
      <c r="E95" s="107" t="s">
        <v>184</v>
      </c>
      <c r="F95" s="871" t="str">
        <f>IF($B95="","",IF(SUMIFS(CONFIG_PALETES!$C:$C,CONFIG_PALETES!$A:$A,TRIM($B95),CONFIG_PALETES!$B:$B,$C95&amp;" ml")&gt;0,SUMIFS(CONFIG_PALETES!$C:$C,CONFIG_PALETES!$A:$A,TRIM($B95),CONFIG_PALETES!$B:$B,$C95&amp;" ml"),IF(SUMIFS(CONFIG_PALETES!$C:$C,CONFIG_PALETES!$A:$A,"GERAL",CONFIG_PALETES!$B:$B,$C95&amp;" ml")&gt;0,SUMIFS(CONFIG_PALETES!$C:$C,CONFIG_PALETES!$A:$A,"GERAL",CONFIG_PALETES!$B:$B,$C95&amp;" ml"),"")))</f>
        <v/>
      </c>
      <c r="G95" s="106" t="str">
        <f>IFERROR(ROUNDUP(D95/F95,0),"")</f>
        <v/>
      </c>
      <c r="H95" s="105"/>
      <c r="I95" s="104" t="str">
        <f>IF(H95="","",H95*IF(SUMIFS(CONFIG_PALETES!$D:$D,CONFIG_PALETES!$A:$A,IF(ISNUMBER(SEARCH("ESPUMA",$B95)),"ESPUMA",IF(OR(ISNUMBER(SEARCH("OLEO DE COCO",$B95)),ISNUMBER(SEARCH("ÓLEO DE COCO",$B95)),ISNUMBER(SEARCH("COPRA",$B95))),"ÓLEO DE COCO",IF(ISNUMBER(SEARCH("CORANTE",$B95)),"CORANTE",TRIM($B95)))),CONFIG_PALETES!$B:$B,$C95&amp;" ml")&gt;0,SUMIFS(CONFIG_PALETES!$D:$D,CONFIG_PALETES!$A:$A,IF(ISNUMBER(SEARCH("ESPUMA",$B95)),"ESPUMA",IF(OR(ISNUMBER(SEARCH("OLEO DE COCO",$B95)),ISNUMBER(SEARCH("ÓLEO DE COCO",$B95)),ISNUMBER(SEARCH("COPRA",$B95))),"ÓLEO DE COCO",IF(ISNUMBER(SEARCH("CORANTE",$B95)),"CORANTE",TRIM($B95)))),CONFIG_PALETES!$B:$B,$C95&amp;" ml"),IF(SUMIFS(CONFIG_PALETES!$D:$D,CONFIG_PALETES!$A:$A,"GERAL",CONFIG_PALETES!$B:$B,$C95&amp;" ml")&gt;0,SUMIFS(CONFIG_PALETES!$D:$D,CONFIG_PALETES!$A:$A,"GERAL",CONFIG_PALETES!$B:$B,$C95&amp;" ml"),12)))</f>
        <v/>
      </c>
      <c r="AA95" t="s">
        <v>191</v>
      </c>
      <c r="AB95" t="s">
        <v>1422</v>
      </c>
    </row>
    <row r="96" spans="1:28" ht="21" customHeight="1" x14ac:dyDescent="0.3">
      <c r="A96" s="817"/>
      <c r="B96" s="818"/>
      <c r="C96" s="819"/>
      <c r="D96" s="820"/>
      <c r="E96" s="821" t="s">
        <v>184</v>
      </c>
      <c r="F96" s="872" t="str">
        <f>IF($B96="","",IF(SUMIFS(CONFIG_PALETES!$C:$C,CONFIG_PALETES!$A:$A,TRIM($B96),CONFIG_PALETES!$B:$B,$C96&amp;" ml")&gt;0,SUMIFS(CONFIG_PALETES!$C:$C,CONFIG_PALETES!$A:$A,TRIM($B96),CONFIG_PALETES!$B:$B,$C96&amp;" ml"),IF(SUMIFS(CONFIG_PALETES!$C:$C,CONFIG_PALETES!$A:$A,"GERAL",CONFIG_PALETES!$B:$B,$C96&amp;" ml")&gt;0,SUMIFS(CONFIG_PALETES!$C:$C,CONFIG_PALETES!$A:$A,"GERAL",CONFIG_PALETES!$B:$B,$C96&amp;" ml"),"")))</f>
        <v/>
      </c>
      <c r="G96" s="822" t="str">
        <f>IFERROR(ROUNDUP(D96/F96,0),"")</f>
        <v/>
      </c>
      <c r="H96" s="823"/>
      <c r="I96" s="820" t="str">
        <f>IF(H96="","",H96*IF(SUMIFS(CONFIG_PALETES!$D:$D,CONFIG_PALETES!$A:$A,IF(ISNUMBER(SEARCH("ESPUMA",$B96)),"ESPUMA",IF(OR(ISNUMBER(SEARCH("OLEO DE COCO",$B96)),ISNUMBER(SEARCH("ÓLEO DE COCO",$B96)),ISNUMBER(SEARCH("COPRA",$B96))),"ÓLEO DE COCO",IF(ISNUMBER(SEARCH("CORANTE",$B96)),"CORANTE",TRIM($B96)))),CONFIG_PALETES!$B:$B,$C96&amp;" ml")&gt;0,SUMIFS(CONFIG_PALETES!$D:$D,CONFIG_PALETES!$A:$A,IF(ISNUMBER(SEARCH("ESPUMA",$B96)),"ESPUMA",IF(OR(ISNUMBER(SEARCH("OLEO DE COCO",$B96)),ISNUMBER(SEARCH("ÓLEO DE COCO",$B96)),ISNUMBER(SEARCH("COPRA",$B96))),"ÓLEO DE COCO",IF(ISNUMBER(SEARCH("CORANTE",$B96)),"CORANTE",TRIM($B96)))),CONFIG_PALETES!$B:$B,$C96&amp;" ml"),IF(SUMIFS(CONFIG_PALETES!$D:$D,CONFIG_PALETES!$A:$A,"GERAL",CONFIG_PALETES!$B:$B,$C96&amp;" ml")&gt;0,SUMIFS(CONFIG_PALETES!$D:$D,CONFIG_PALETES!$A:$A,"GERAL",CONFIG_PALETES!$B:$B,$C96&amp;" ml"),12)))</f>
        <v/>
      </c>
      <c r="AA96" t="s">
        <v>190</v>
      </c>
      <c r="AB96" t="s">
        <v>1422</v>
      </c>
    </row>
    <row r="97" spans="1:28" ht="15" customHeight="1" x14ac:dyDescent="0.3">
      <c r="A97" s="899"/>
      <c r="B97" s="846" t="s">
        <v>186</v>
      </c>
      <c r="C97" s="847"/>
      <c r="D97" s="848">
        <f>SUM(D90:D96)</f>
        <v>0</v>
      </c>
      <c r="E97" s="849"/>
      <c r="F97" s="856" t="s">
        <v>1400</v>
      </c>
      <c r="G97" s="850">
        <f>SUM(G90:G96)</f>
        <v>0</v>
      </c>
      <c r="H97" s="848">
        <f>SUM(H90:H96)</f>
        <v>0</v>
      </c>
      <c r="I97" s="848">
        <f>SUM(I90:I96)</f>
        <v>0</v>
      </c>
      <c r="J97" s="63">
        <f>D97</f>
        <v>0</v>
      </c>
      <c r="K97" s="93">
        <f>G97</f>
        <v>0</v>
      </c>
      <c r="L97" s="63">
        <f>H97</f>
        <v>0</v>
      </c>
      <c r="M97" s="63">
        <f>I97</f>
        <v>0</v>
      </c>
      <c r="N97" s="587" t="str" cm="1">
        <f t="array" ref="N97">IF(H97=0,"",SUMPRODUCT(IFERROR(INT(H92:H96/F92:F96),0)))</f>
        <v/>
      </c>
      <c r="O97" s="770" t="str">
        <f>IF(N97="","",MAX(0,G97-N97))</f>
        <v/>
      </c>
      <c r="AA97" t="s">
        <v>594</v>
      </c>
      <c r="AB97" t="s">
        <v>1424</v>
      </c>
    </row>
    <row r="98" spans="1:28" ht="6" customHeight="1" x14ac:dyDescent="0.3">
      <c r="C98" s="65"/>
      <c r="AA98" t="s">
        <v>1061</v>
      </c>
      <c r="AB98" t="s">
        <v>1429</v>
      </c>
    </row>
    <row r="99" spans="1:28" ht="15" customHeight="1" x14ac:dyDescent="0.3">
      <c r="A99" s="75">
        <v>46371</v>
      </c>
      <c r="B99" s="113" t="s">
        <v>49</v>
      </c>
      <c r="C99" s="112" t="s">
        <v>176</v>
      </c>
      <c r="D99" s="111" t="s">
        <v>177</v>
      </c>
      <c r="E99" s="111" t="s">
        <v>178</v>
      </c>
      <c r="F99" s="860" t="s">
        <v>179</v>
      </c>
      <c r="G99" s="111" t="s">
        <v>180</v>
      </c>
      <c r="H99" s="111" t="s">
        <v>181</v>
      </c>
      <c r="I99" s="111" t="s">
        <v>182</v>
      </c>
      <c r="AA99" t="s">
        <v>149</v>
      </c>
      <c r="AB99" t="s">
        <v>1425</v>
      </c>
    </row>
    <row r="100" spans="1:28" ht="21" customHeight="1" x14ac:dyDescent="0.3">
      <c r="A100" s="110"/>
      <c r="B100" s="109"/>
      <c r="C100" s="108"/>
      <c r="D100" s="104"/>
      <c r="E100" s="107" t="s">
        <v>184</v>
      </c>
      <c r="F100" s="871" t="str">
        <f>IF($B100="","",IF(SUMIFS(CONFIG_PALETES!$C:$C,CONFIG_PALETES!$A:$A,TRIM($B100),CONFIG_PALETES!$B:$B,$C100&amp;" ml")&gt;0,SUMIFS(CONFIG_PALETES!$C:$C,CONFIG_PALETES!$A:$A,TRIM($B100),CONFIG_PALETES!$B:$B,$C100&amp;" ml"),IF(SUMIFS(CONFIG_PALETES!$C:$C,CONFIG_PALETES!$A:$A,"GERAL",CONFIG_PALETES!$B:$B,$C100&amp;" ml")&gt;0,SUMIFS(CONFIG_PALETES!$C:$C,CONFIG_PALETES!$A:$A,"GERAL",CONFIG_PALETES!$B:$B,$C100&amp;" ml"),"")))</f>
        <v/>
      </c>
      <c r="G100" s="106" t="str">
        <f>IFERROR(ROUNDUP(D100/F100,0),"")</f>
        <v/>
      </c>
      <c r="H100" s="105"/>
      <c r="I100" s="104" t="str">
        <f>IF(H100="","",H100*IF(SUMIFS(CONFIG_PALETES!$D:$D,CONFIG_PALETES!$A:$A,IF(ISNUMBER(SEARCH("ESPUMA",$B100)),"ESPUMA",IF(OR(ISNUMBER(SEARCH("OLEO DE COCO",$B100)),ISNUMBER(SEARCH("ÓLEO DE COCO",$B100)),ISNUMBER(SEARCH("COPRA",$B100))),"ÓLEO DE COCO",IF(ISNUMBER(SEARCH("CORANTE",$B100)),"CORANTE",TRIM($B100)))),CONFIG_PALETES!$B:$B,$C100&amp;" ml")&gt;0,SUMIFS(CONFIG_PALETES!$D:$D,CONFIG_PALETES!$A:$A,IF(ISNUMBER(SEARCH("ESPUMA",$B100)),"ESPUMA",IF(OR(ISNUMBER(SEARCH("OLEO DE COCO",$B100)),ISNUMBER(SEARCH("ÓLEO DE COCO",$B100)),ISNUMBER(SEARCH("COPRA",$B100))),"ÓLEO DE COCO",IF(ISNUMBER(SEARCH("CORANTE",$B100)),"CORANTE",TRIM($B100)))),CONFIG_PALETES!$B:$B,$C100&amp;" ml"),IF(SUMIFS(CONFIG_PALETES!$D:$D,CONFIG_PALETES!$A:$A,"GERAL",CONFIG_PALETES!$B:$B,$C100&amp;" ml")&gt;0,SUMIFS(CONFIG_PALETES!$D:$D,CONFIG_PALETES!$A:$A,"GERAL",CONFIG_PALETES!$B:$B,$C100&amp;" ml"),12)))</f>
        <v/>
      </c>
      <c r="AA100" t="s">
        <v>29</v>
      </c>
      <c r="AB100" t="s">
        <v>1425</v>
      </c>
    </row>
    <row r="101" spans="1:28" ht="21" customHeight="1" x14ac:dyDescent="0.3">
      <c r="A101" s="110"/>
      <c r="B101" s="109"/>
      <c r="C101" s="108"/>
      <c r="D101" s="104"/>
      <c r="E101" s="107" t="s">
        <v>184</v>
      </c>
      <c r="F101" s="871" t="str">
        <f>IF($B101="","",IF(SUMIFS(CONFIG_PALETES!$C:$C,CONFIG_PALETES!$A:$A,TRIM($B101),CONFIG_PALETES!$B:$B,$C101&amp;" ml")&gt;0,SUMIFS(CONFIG_PALETES!$C:$C,CONFIG_PALETES!$A:$A,TRIM($B101),CONFIG_PALETES!$B:$B,$C101&amp;" ml"),IF(SUMIFS(CONFIG_PALETES!$C:$C,CONFIG_PALETES!$A:$A,"GERAL",CONFIG_PALETES!$B:$B,$C101&amp;" ml")&gt;0,SUMIFS(CONFIG_PALETES!$C:$C,CONFIG_PALETES!$A:$A,"GERAL",CONFIG_PALETES!$B:$B,$C101&amp;" ml"),"")))</f>
        <v/>
      </c>
      <c r="G101" s="106" t="str">
        <f>IFERROR(ROUNDUP(D101/F101,0),"")</f>
        <v/>
      </c>
      <c r="H101" s="105"/>
      <c r="I101" s="104" t="str">
        <f>IF(H101="","",H101*IF(SUMIFS(CONFIG_PALETES!$D:$D,CONFIG_PALETES!$A:$A,IF(ISNUMBER(SEARCH("ESPUMA",$B101)),"ESPUMA",IF(OR(ISNUMBER(SEARCH("OLEO DE COCO",$B101)),ISNUMBER(SEARCH("ÓLEO DE COCO",$B101)),ISNUMBER(SEARCH("COPRA",$B101))),"ÓLEO DE COCO",IF(ISNUMBER(SEARCH("CORANTE",$B101)),"CORANTE",TRIM($B101)))),CONFIG_PALETES!$B:$B,$C101&amp;" ml")&gt;0,SUMIFS(CONFIG_PALETES!$D:$D,CONFIG_PALETES!$A:$A,IF(ISNUMBER(SEARCH("ESPUMA",$B101)),"ESPUMA",IF(OR(ISNUMBER(SEARCH("OLEO DE COCO",$B101)),ISNUMBER(SEARCH("ÓLEO DE COCO",$B101)),ISNUMBER(SEARCH("COPRA",$B101))),"ÓLEO DE COCO",IF(ISNUMBER(SEARCH("CORANTE",$B101)),"CORANTE",TRIM($B101)))),CONFIG_PALETES!$B:$B,$C101&amp;" ml"),IF(SUMIFS(CONFIG_PALETES!$D:$D,CONFIG_PALETES!$A:$A,"GERAL",CONFIG_PALETES!$B:$B,$C101&amp;" ml")&gt;0,SUMIFS(CONFIG_PALETES!$D:$D,CONFIG_PALETES!$A:$A,"GERAL",CONFIG_PALETES!$B:$B,$C101&amp;" ml"),12)))</f>
        <v/>
      </c>
      <c r="AA101" t="s">
        <v>62</v>
      </c>
      <c r="AB101" t="s">
        <v>1423</v>
      </c>
    </row>
    <row r="102" spans="1:28" ht="21" customHeight="1" x14ac:dyDescent="0.3">
      <c r="A102" s="110"/>
      <c r="B102" s="109"/>
      <c r="C102" s="108"/>
      <c r="D102" s="104"/>
      <c r="E102" s="107" t="s">
        <v>184</v>
      </c>
      <c r="F102" s="871" t="str">
        <f>IF($B102="","",IF(SUMIFS(CONFIG_PALETES!$C:$C,CONFIG_PALETES!$A:$A,TRIM($B102),CONFIG_PALETES!$B:$B,$C102&amp;" ml")&gt;0,SUMIFS(CONFIG_PALETES!$C:$C,CONFIG_PALETES!$A:$A,TRIM($B102),CONFIG_PALETES!$B:$B,$C102&amp;" ml"),IF(SUMIFS(CONFIG_PALETES!$C:$C,CONFIG_PALETES!$A:$A,"GERAL",CONFIG_PALETES!$B:$B,$C102&amp;" ml")&gt;0,SUMIFS(CONFIG_PALETES!$C:$C,CONFIG_PALETES!$A:$A,"GERAL",CONFIG_PALETES!$B:$B,$C102&amp;" ml"),"")))</f>
        <v/>
      </c>
      <c r="G102" s="106" t="str">
        <f>IFERROR(ROUNDUP(D102/F102,0),"")</f>
        <v/>
      </c>
      <c r="H102" s="105"/>
      <c r="I102" s="104" t="str">
        <f>IF(H102="","",H102*IF(SUMIFS(CONFIG_PALETES!$D:$D,CONFIG_PALETES!$A:$A,IF(ISNUMBER(SEARCH("ESPUMA",$B102)),"ESPUMA",IF(OR(ISNUMBER(SEARCH("OLEO DE COCO",$B102)),ISNUMBER(SEARCH("ÓLEO DE COCO",$B102)),ISNUMBER(SEARCH("COPRA",$B102))),"ÓLEO DE COCO",IF(ISNUMBER(SEARCH("CORANTE",$B102)),"CORANTE",TRIM($B102)))),CONFIG_PALETES!$B:$B,$C102&amp;" ml")&gt;0,SUMIFS(CONFIG_PALETES!$D:$D,CONFIG_PALETES!$A:$A,IF(ISNUMBER(SEARCH("ESPUMA",$B102)),"ESPUMA",IF(OR(ISNUMBER(SEARCH("OLEO DE COCO",$B102)),ISNUMBER(SEARCH("ÓLEO DE COCO",$B102)),ISNUMBER(SEARCH("COPRA",$B102))),"ÓLEO DE COCO",IF(ISNUMBER(SEARCH("CORANTE",$B102)),"CORANTE",TRIM($B102)))),CONFIG_PALETES!$B:$B,$C102&amp;" ml"),IF(SUMIFS(CONFIG_PALETES!$D:$D,CONFIG_PALETES!$A:$A,"GERAL",CONFIG_PALETES!$B:$B,$C102&amp;" ml")&gt;0,SUMIFS(CONFIG_PALETES!$D:$D,CONFIG_PALETES!$A:$A,"GERAL",CONFIG_PALETES!$B:$B,$C102&amp;" ml"),12)))</f>
        <v/>
      </c>
      <c r="AA102" t="s">
        <v>649</v>
      </c>
      <c r="AB102" t="s">
        <v>1423</v>
      </c>
    </row>
    <row r="103" spans="1:28" ht="21" customHeight="1" x14ac:dyDescent="0.3">
      <c r="A103" s="110"/>
      <c r="B103" s="109"/>
      <c r="C103" s="108"/>
      <c r="D103" s="104"/>
      <c r="E103" s="107" t="s">
        <v>184</v>
      </c>
      <c r="F103" s="871" t="str">
        <f>IF($B103="","",IF(SUMIFS(CONFIG_PALETES!$C:$C,CONFIG_PALETES!$A:$A,TRIM($B103),CONFIG_PALETES!$B:$B,$C103&amp;" ml")&gt;0,SUMIFS(CONFIG_PALETES!$C:$C,CONFIG_PALETES!$A:$A,TRIM($B103),CONFIG_PALETES!$B:$B,$C103&amp;" ml"),IF(SUMIFS(CONFIG_PALETES!$C:$C,CONFIG_PALETES!$A:$A,"GERAL",CONFIG_PALETES!$B:$B,$C103&amp;" ml")&gt;0,SUMIFS(CONFIG_PALETES!$C:$C,CONFIG_PALETES!$A:$A,"GERAL",CONFIG_PALETES!$B:$B,$C103&amp;" ml"),"")))</f>
        <v/>
      </c>
      <c r="G103" s="106" t="str">
        <f>IFERROR(ROUNDUP(D103/F103,0),"")</f>
        <v/>
      </c>
      <c r="H103" s="105"/>
      <c r="I103" s="104" t="str">
        <f>IF(H103="","",H103*IF(SUMIFS(CONFIG_PALETES!$D:$D,CONFIG_PALETES!$A:$A,IF(ISNUMBER(SEARCH("ESPUMA",$B103)),"ESPUMA",IF(OR(ISNUMBER(SEARCH("OLEO DE COCO",$B103)),ISNUMBER(SEARCH("ÓLEO DE COCO",$B103)),ISNUMBER(SEARCH("COPRA",$B103))),"ÓLEO DE COCO",IF(ISNUMBER(SEARCH("CORANTE",$B103)),"CORANTE",TRIM($B103)))),CONFIG_PALETES!$B:$B,$C103&amp;" ml")&gt;0,SUMIFS(CONFIG_PALETES!$D:$D,CONFIG_PALETES!$A:$A,IF(ISNUMBER(SEARCH("ESPUMA",$B103)),"ESPUMA",IF(OR(ISNUMBER(SEARCH("OLEO DE COCO",$B103)),ISNUMBER(SEARCH("ÓLEO DE COCO",$B103)),ISNUMBER(SEARCH("COPRA",$B103))),"ÓLEO DE COCO",IF(ISNUMBER(SEARCH("CORANTE",$B103)),"CORANTE",TRIM($B103)))),CONFIG_PALETES!$B:$B,$C103&amp;" ml"),IF(SUMIFS(CONFIG_PALETES!$D:$D,CONFIG_PALETES!$A:$A,"GERAL",CONFIG_PALETES!$B:$B,$C103&amp;" ml")&gt;0,SUMIFS(CONFIG_PALETES!$D:$D,CONFIG_PALETES!$A:$A,"GERAL",CONFIG_PALETES!$B:$B,$C103&amp;" ml"),12)))</f>
        <v/>
      </c>
      <c r="AA103" t="s">
        <v>188</v>
      </c>
      <c r="AB103" t="s">
        <v>1423</v>
      </c>
    </row>
    <row r="104" spans="1:28" ht="21" customHeight="1" x14ac:dyDescent="0.3">
      <c r="A104" s="817"/>
      <c r="B104" s="818"/>
      <c r="C104" s="819"/>
      <c r="D104" s="820"/>
      <c r="E104" s="821" t="s">
        <v>184</v>
      </c>
      <c r="F104" s="872" t="str">
        <f>IF($B104="","",IF(SUMIFS(CONFIG_PALETES!$C:$C,CONFIG_PALETES!$A:$A,TRIM($B104),CONFIG_PALETES!$B:$B,$C104&amp;" ml")&gt;0,SUMIFS(CONFIG_PALETES!$C:$C,CONFIG_PALETES!$A:$A,TRIM($B104),CONFIG_PALETES!$B:$B,$C104&amp;" ml"),IF(SUMIFS(CONFIG_PALETES!$C:$C,CONFIG_PALETES!$A:$A,"GERAL",CONFIG_PALETES!$B:$B,$C104&amp;" ml")&gt;0,SUMIFS(CONFIG_PALETES!$C:$C,CONFIG_PALETES!$A:$A,"GERAL",CONFIG_PALETES!$B:$B,$C104&amp;" ml"),"")))</f>
        <v/>
      </c>
      <c r="G104" s="822" t="str">
        <f>IFERROR(ROUNDUP(D104/F104,0),"")</f>
        <v/>
      </c>
      <c r="H104" s="823"/>
      <c r="I104" s="820" t="str">
        <f>IF(H104="","",H104*IF(SUMIFS(CONFIG_PALETES!$D:$D,CONFIG_PALETES!$A:$A,IF(ISNUMBER(SEARCH("ESPUMA",$B104)),"ESPUMA",IF(OR(ISNUMBER(SEARCH("OLEO DE COCO",$B104)),ISNUMBER(SEARCH("ÓLEO DE COCO",$B104)),ISNUMBER(SEARCH("COPRA",$B104))),"ÓLEO DE COCO",IF(ISNUMBER(SEARCH("CORANTE",$B104)),"CORANTE",TRIM($B104)))),CONFIG_PALETES!$B:$B,$C104&amp;" ml")&gt;0,SUMIFS(CONFIG_PALETES!$D:$D,CONFIG_PALETES!$A:$A,IF(ISNUMBER(SEARCH("ESPUMA",$B104)),"ESPUMA",IF(OR(ISNUMBER(SEARCH("OLEO DE COCO",$B104)),ISNUMBER(SEARCH("ÓLEO DE COCO",$B104)),ISNUMBER(SEARCH("COPRA",$B104))),"ÓLEO DE COCO",IF(ISNUMBER(SEARCH("CORANTE",$B104)),"CORANTE",TRIM($B104)))),CONFIG_PALETES!$B:$B,$C104&amp;" ml"),IF(SUMIFS(CONFIG_PALETES!$D:$D,CONFIG_PALETES!$A:$A,"GERAL",CONFIG_PALETES!$B:$B,$C104&amp;" ml")&gt;0,SUMIFS(CONFIG_PALETES!$D:$D,CONFIG_PALETES!$A:$A,"GERAL",CONFIG_PALETES!$B:$B,$C104&amp;" ml"),12)))</f>
        <v/>
      </c>
      <c r="AA104" t="s">
        <v>1164</v>
      </c>
      <c r="AB104" t="s">
        <v>1423</v>
      </c>
    </row>
    <row r="105" spans="1:28" ht="15" customHeight="1" x14ac:dyDescent="0.3">
      <c r="A105" s="899"/>
      <c r="B105" s="846" t="s">
        <v>186</v>
      </c>
      <c r="C105" s="847"/>
      <c r="D105" s="848">
        <f>SUM(D98:D104)</f>
        <v>0</v>
      </c>
      <c r="E105" s="849"/>
      <c r="F105" s="856" t="s">
        <v>1400</v>
      </c>
      <c r="G105" s="850">
        <f>SUM(G98:G104)</f>
        <v>0</v>
      </c>
      <c r="H105" s="848">
        <f>SUM(H98:H104)</f>
        <v>0</v>
      </c>
      <c r="I105" s="848">
        <f>SUM(I98:I104)</f>
        <v>0</v>
      </c>
      <c r="J105" s="63">
        <f>D105</f>
        <v>0</v>
      </c>
      <c r="K105" s="93">
        <f>G105</f>
        <v>0</v>
      </c>
      <c r="L105" s="63">
        <f>H105</f>
        <v>0</v>
      </c>
      <c r="M105" s="63">
        <f>I105</f>
        <v>0</v>
      </c>
      <c r="N105" s="587" t="str" cm="1">
        <f t="array" ref="N105">IF(H105=0,"",SUMPRODUCT(IFERROR(INT(H100:H104/F100:F104),0)))</f>
        <v/>
      </c>
      <c r="O105" s="770" t="str">
        <f>IF(N105="","",MAX(0,G105-N105))</f>
        <v/>
      </c>
      <c r="AA105" t="s">
        <v>131</v>
      </c>
      <c r="AB105" t="s">
        <v>1423</v>
      </c>
    </row>
    <row r="106" spans="1:28" ht="6" customHeight="1" x14ac:dyDescent="0.3">
      <c r="C106" s="65"/>
      <c r="AA106" t="s">
        <v>1225</v>
      </c>
      <c r="AB106" t="s">
        <v>1426</v>
      </c>
    </row>
    <row r="107" spans="1:28" ht="15" customHeight="1" x14ac:dyDescent="0.3">
      <c r="A107" s="75">
        <v>46372</v>
      </c>
      <c r="B107" s="113" t="s">
        <v>49</v>
      </c>
      <c r="C107" s="112" t="s">
        <v>176</v>
      </c>
      <c r="D107" s="111" t="s">
        <v>177</v>
      </c>
      <c r="E107" s="111" t="s">
        <v>178</v>
      </c>
      <c r="F107" s="860" t="s">
        <v>179</v>
      </c>
      <c r="G107" s="111" t="s">
        <v>180</v>
      </c>
      <c r="H107" s="111" t="s">
        <v>181</v>
      </c>
      <c r="I107" s="111" t="s">
        <v>182</v>
      </c>
      <c r="AA107" t="s">
        <v>198</v>
      </c>
      <c r="AB107" t="s">
        <v>1425</v>
      </c>
    </row>
    <row r="108" spans="1:28" ht="21" customHeight="1" x14ac:dyDescent="0.3">
      <c r="A108" s="110"/>
      <c r="B108" s="109"/>
      <c r="C108" s="108"/>
      <c r="D108" s="104"/>
      <c r="E108" s="107" t="s">
        <v>184</v>
      </c>
      <c r="F108" s="871" t="str">
        <f>IF($B108="","",IF(SUMIFS(CONFIG_PALETES!$C:$C,CONFIG_PALETES!$A:$A,TRIM($B108),CONFIG_PALETES!$B:$B,$C108&amp;" ml")&gt;0,SUMIFS(CONFIG_PALETES!$C:$C,CONFIG_PALETES!$A:$A,TRIM($B108),CONFIG_PALETES!$B:$B,$C108&amp;" ml"),IF(SUMIFS(CONFIG_PALETES!$C:$C,CONFIG_PALETES!$A:$A,"GERAL",CONFIG_PALETES!$B:$B,$C108&amp;" ml")&gt;0,SUMIFS(CONFIG_PALETES!$C:$C,CONFIG_PALETES!$A:$A,"GERAL",CONFIG_PALETES!$B:$B,$C108&amp;" ml"),"")))</f>
        <v/>
      </c>
      <c r="G108" s="106" t="str">
        <f>IFERROR(ROUNDUP(D108/F108,0),"")</f>
        <v/>
      </c>
      <c r="H108" s="105"/>
      <c r="I108" s="104" t="str">
        <f>IF(H108="","",H108*IF(SUMIFS(CONFIG_PALETES!$D:$D,CONFIG_PALETES!$A:$A,IF(ISNUMBER(SEARCH("ESPUMA",$B108)),"ESPUMA",IF(OR(ISNUMBER(SEARCH("OLEO DE COCO",$B108)),ISNUMBER(SEARCH("ÓLEO DE COCO",$B108)),ISNUMBER(SEARCH("COPRA",$B108))),"ÓLEO DE COCO",IF(ISNUMBER(SEARCH("CORANTE",$B108)),"CORANTE",TRIM($B108)))),CONFIG_PALETES!$B:$B,$C108&amp;" ml")&gt;0,SUMIFS(CONFIG_PALETES!$D:$D,CONFIG_PALETES!$A:$A,IF(ISNUMBER(SEARCH("ESPUMA",$B108)),"ESPUMA",IF(OR(ISNUMBER(SEARCH("OLEO DE COCO",$B108)),ISNUMBER(SEARCH("ÓLEO DE COCO",$B108)),ISNUMBER(SEARCH("COPRA",$B108))),"ÓLEO DE COCO",IF(ISNUMBER(SEARCH("CORANTE",$B108)),"CORANTE",TRIM($B108)))),CONFIG_PALETES!$B:$B,$C108&amp;" ml"),IF(SUMIFS(CONFIG_PALETES!$D:$D,CONFIG_PALETES!$A:$A,"GERAL",CONFIG_PALETES!$B:$B,$C108&amp;" ml")&gt;0,SUMIFS(CONFIG_PALETES!$D:$D,CONFIG_PALETES!$A:$A,"GERAL",CONFIG_PALETES!$B:$B,$C108&amp;" ml"),12)))</f>
        <v/>
      </c>
      <c r="AA108" t="s">
        <v>1226</v>
      </c>
      <c r="AB108" t="s">
        <v>1426</v>
      </c>
    </row>
    <row r="109" spans="1:28" ht="21" customHeight="1" x14ac:dyDescent="0.3">
      <c r="A109" s="110"/>
      <c r="B109" s="109"/>
      <c r="C109" s="108"/>
      <c r="D109" s="104"/>
      <c r="E109" s="107" t="s">
        <v>184</v>
      </c>
      <c r="F109" s="871" t="str">
        <f>IF($B109="","",IF(SUMIFS(CONFIG_PALETES!$C:$C,CONFIG_PALETES!$A:$A,TRIM($B109),CONFIG_PALETES!$B:$B,$C109&amp;" ml")&gt;0,SUMIFS(CONFIG_PALETES!$C:$C,CONFIG_PALETES!$A:$A,TRIM($B109),CONFIG_PALETES!$B:$B,$C109&amp;" ml"),IF(SUMIFS(CONFIG_PALETES!$C:$C,CONFIG_PALETES!$A:$A,"GERAL",CONFIG_PALETES!$B:$B,$C109&amp;" ml")&gt;0,SUMIFS(CONFIG_PALETES!$C:$C,CONFIG_PALETES!$A:$A,"GERAL",CONFIG_PALETES!$B:$B,$C109&amp;" ml"),"")))</f>
        <v/>
      </c>
      <c r="G109" s="106" t="str">
        <f>IFERROR(ROUNDUP(D109/F109,0),"")</f>
        <v/>
      </c>
      <c r="H109" s="105"/>
      <c r="I109" s="104" t="str">
        <f>IF(H109="","",H109*IF(SUMIFS(CONFIG_PALETES!$D:$D,CONFIG_PALETES!$A:$A,IF(ISNUMBER(SEARCH("ESPUMA",$B109)),"ESPUMA",IF(OR(ISNUMBER(SEARCH("OLEO DE COCO",$B109)),ISNUMBER(SEARCH("ÓLEO DE COCO",$B109)),ISNUMBER(SEARCH("COPRA",$B109))),"ÓLEO DE COCO",IF(ISNUMBER(SEARCH("CORANTE",$B109)),"CORANTE",TRIM($B109)))),CONFIG_PALETES!$B:$B,$C109&amp;" ml")&gt;0,SUMIFS(CONFIG_PALETES!$D:$D,CONFIG_PALETES!$A:$A,IF(ISNUMBER(SEARCH("ESPUMA",$B109)),"ESPUMA",IF(OR(ISNUMBER(SEARCH("OLEO DE COCO",$B109)),ISNUMBER(SEARCH("ÓLEO DE COCO",$B109)),ISNUMBER(SEARCH("COPRA",$B109))),"ÓLEO DE COCO",IF(ISNUMBER(SEARCH("CORANTE",$B109)),"CORANTE",TRIM($B109)))),CONFIG_PALETES!$B:$B,$C109&amp;" ml"),IF(SUMIFS(CONFIG_PALETES!$D:$D,CONFIG_PALETES!$A:$A,"GERAL",CONFIG_PALETES!$B:$B,$C109&amp;" ml")&gt;0,SUMIFS(CONFIG_PALETES!$D:$D,CONFIG_PALETES!$A:$A,"GERAL",CONFIG_PALETES!$B:$B,$C109&amp;" ml"),12)))</f>
        <v/>
      </c>
      <c r="AA109" t="s">
        <v>192</v>
      </c>
      <c r="AB109" t="s">
        <v>1422</v>
      </c>
    </row>
    <row r="110" spans="1:28" ht="21" customHeight="1" x14ac:dyDescent="0.3">
      <c r="A110" s="110"/>
      <c r="B110" s="109"/>
      <c r="C110" s="108"/>
      <c r="D110" s="104"/>
      <c r="E110" s="107" t="s">
        <v>184</v>
      </c>
      <c r="F110" s="871" t="str">
        <f>IF($B110="","",IF(SUMIFS(CONFIG_PALETES!$C:$C,CONFIG_PALETES!$A:$A,TRIM($B110),CONFIG_PALETES!$B:$B,$C110&amp;" ml")&gt;0,SUMIFS(CONFIG_PALETES!$C:$C,CONFIG_PALETES!$A:$A,TRIM($B110),CONFIG_PALETES!$B:$B,$C110&amp;" ml"),IF(SUMIFS(CONFIG_PALETES!$C:$C,CONFIG_PALETES!$A:$A,"GERAL",CONFIG_PALETES!$B:$B,$C110&amp;" ml")&gt;0,SUMIFS(CONFIG_PALETES!$C:$C,CONFIG_PALETES!$A:$A,"GERAL",CONFIG_PALETES!$B:$B,$C110&amp;" ml"),"")))</f>
        <v/>
      </c>
      <c r="G110" s="106" t="str">
        <f>IFERROR(ROUNDUP(D110/F110,0),"")</f>
        <v/>
      </c>
      <c r="H110" s="105"/>
      <c r="I110" s="104" t="str">
        <f>IF(H110="","",H110*IF(SUMIFS(CONFIG_PALETES!$D:$D,CONFIG_PALETES!$A:$A,IF(ISNUMBER(SEARCH("ESPUMA",$B110)),"ESPUMA",IF(OR(ISNUMBER(SEARCH("OLEO DE COCO",$B110)),ISNUMBER(SEARCH("ÓLEO DE COCO",$B110)),ISNUMBER(SEARCH("COPRA",$B110))),"ÓLEO DE COCO",IF(ISNUMBER(SEARCH("CORANTE",$B110)),"CORANTE",TRIM($B110)))),CONFIG_PALETES!$B:$B,$C110&amp;" ml")&gt;0,SUMIFS(CONFIG_PALETES!$D:$D,CONFIG_PALETES!$A:$A,IF(ISNUMBER(SEARCH("ESPUMA",$B110)),"ESPUMA",IF(OR(ISNUMBER(SEARCH("OLEO DE COCO",$B110)),ISNUMBER(SEARCH("ÓLEO DE COCO",$B110)),ISNUMBER(SEARCH("COPRA",$B110))),"ÓLEO DE COCO",IF(ISNUMBER(SEARCH("CORANTE",$B110)),"CORANTE",TRIM($B110)))),CONFIG_PALETES!$B:$B,$C110&amp;" ml"),IF(SUMIFS(CONFIG_PALETES!$D:$D,CONFIG_PALETES!$A:$A,"GERAL",CONFIG_PALETES!$B:$B,$C110&amp;" ml")&gt;0,SUMIFS(CONFIG_PALETES!$D:$D,CONFIG_PALETES!$A:$A,"GERAL",CONFIG_PALETES!$B:$B,$C110&amp;" ml"),12)))</f>
        <v/>
      </c>
      <c r="AA110" t="s">
        <v>1163</v>
      </c>
      <c r="AB110" t="s">
        <v>1423</v>
      </c>
    </row>
    <row r="111" spans="1:28" ht="21" customHeight="1" x14ac:dyDescent="0.3">
      <c r="A111" s="110"/>
      <c r="B111" s="109"/>
      <c r="C111" s="108"/>
      <c r="D111" s="104"/>
      <c r="E111" s="107" t="s">
        <v>184</v>
      </c>
      <c r="F111" s="871" t="str">
        <f>IF($B111="","",IF(SUMIFS(CONFIG_PALETES!$C:$C,CONFIG_PALETES!$A:$A,TRIM($B111),CONFIG_PALETES!$B:$B,$C111&amp;" ml")&gt;0,SUMIFS(CONFIG_PALETES!$C:$C,CONFIG_PALETES!$A:$A,TRIM($B111),CONFIG_PALETES!$B:$B,$C111&amp;" ml"),IF(SUMIFS(CONFIG_PALETES!$C:$C,CONFIG_PALETES!$A:$A,"GERAL",CONFIG_PALETES!$B:$B,$C111&amp;" ml")&gt;0,SUMIFS(CONFIG_PALETES!$C:$C,CONFIG_PALETES!$A:$A,"GERAL",CONFIG_PALETES!$B:$B,$C111&amp;" ml"),"")))</f>
        <v/>
      </c>
      <c r="G111" s="106" t="str">
        <f>IFERROR(ROUNDUP(D111/F111,0),"")</f>
        <v/>
      </c>
      <c r="H111" s="105"/>
      <c r="I111" s="104" t="str">
        <f>IF(H111="","",H111*IF(SUMIFS(CONFIG_PALETES!$D:$D,CONFIG_PALETES!$A:$A,IF(ISNUMBER(SEARCH("ESPUMA",$B111)),"ESPUMA",IF(OR(ISNUMBER(SEARCH("OLEO DE COCO",$B111)),ISNUMBER(SEARCH("ÓLEO DE COCO",$B111)),ISNUMBER(SEARCH("COPRA",$B111))),"ÓLEO DE COCO",IF(ISNUMBER(SEARCH("CORANTE",$B111)),"CORANTE",TRIM($B111)))),CONFIG_PALETES!$B:$B,$C111&amp;" ml")&gt;0,SUMIFS(CONFIG_PALETES!$D:$D,CONFIG_PALETES!$A:$A,IF(ISNUMBER(SEARCH("ESPUMA",$B111)),"ESPUMA",IF(OR(ISNUMBER(SEARCH("OLEO DE COCO",$B111)),ISNUMBER(SEARCH("ÓLEO DE COCO",$B111)),ISNUMBER(SEARCH("COPRA",$B111))),"ÓLEO DE COCO",IF(ISNUMBER(SEARCH("CORANTE",$B111)),"CORANTE",TRIM($B111)))),CONFIG_PALETES!$B:$B,$C111&amp;" ml"),IF(SUMIFS(CONFIG_PALETES!$D:$D,CONFIG_PALETES!$A:$A,"GERAL",CONFIG_PALETES!$B:$B,$C111&amp;" ml")&gt;0,SUMIFS(CONFIG_PALETES!$D:$D,CONFIG_PALETES!$A:$A,"GERAL",CONFIG_PALETES!$B:$B,$C111&amp;" ml"),12)))</f>
        <v/>
      </c>
      <c r="AA111" t="s">
        <v>41</v>
      </c>
      <c r="AB111" t="s">
        <v>1423</v>
      </c>
    </row>
    <row r="112" spans="1:28" ht="21" customHeight="1" x14ac:dyDescent="0.3">
      <c r="A112" s="817"/>
      <c r="B112" s="818"/>
      <c r="C112" s="819"/>
      <c r="D112" s="820"/>
      <c r="E112" s="821" t="s">
        <v>184</v>
      </c>
      <c r="F112" s="872" t="str">
        <f>IF($B112="","",IF(SUMIFS(CONFIG_PALETES!$C:$C,CONFIG_PALETES!$A:$A,TRIM($B112),CONFIG_PALETES!$B:$B,$C112&amp;" ml")&gt;0,SUMIFS(CONFIG_PALETES!$C:$C,CONFIG_PALETES!$A:$A,TRIM($B112),CONFIG_PALETES!$B:$B,$C112&amp;" ml"),IF(SUMIFS(CONFIG_PALETES!$C:$C,CONFIG_PALETES!$A:$A,"GERAL",CONFIG_PALETES!$B:$B,$C112&amp;" ml")&gt;0,SUMIFS(CONFIG_PALETES!$C:$C,CONFIG_PALETES!$A:$A,"GERAL",CONFIG_PALETES!$B:$B,$C112&amp;" ml"),"")))</f>
        <v/>
      </c>
      <c r="G112" s="822" t="str">
        <f>IFERROR(ROUNDUP(D112/F112,0),"")</f>
        <v/>
      </c>
      <c r="H112" s="823"/>
      <c r="I112" s="820" t="str">
        <f>IF(H112="","",H112*IF(SUMIFS(CONFIG_PALETES!$D:$D,CONFIG_PALETES!$A:$A,IF(ISNUMBER(SEARCH("ESPUMA",$B112)),"ESPUMA",IF(OR(ISNUMBER(SEARCH("OLEO DE COCO",$B112)),ISNUMBER(SEARCH("ÓLEO DE COCO",$B112)),ISNUMBER(SEARCH("COPRA",$B112))),"ÓLEO DE COCO",IF(ISNUMBER(SEARCH("CORANTE",$B112)),"CORANTE",TRIM($B112)))),CONFIG_PALETES!$B:$B,$C112&amp;" ml")&gt;0,SUMIFS(CONFIG_PALETES!$D:$D,CONFIG_PALETES!$A:$A,IF(ISNUMBER(SEARCH("ESPUMA",$B112)),"ESPUMA",IF(OR(ISNUMBER(SEARCH("OLEO DE COCO",$B112)),ISNUMBER(SEARCH("ÓLEO DE COCO",$B112)),ISNUMBER(SEARCH("COPRA",$B112))),"ÓLEO DE COCO",IF(ISNUMBER(SEARCH("CORANTE",$B112)),"CORANTE",TRIM($B112)))),CONFIG_PALETES!$B:$B,$C112&amp;" ml"),IF(SUMIFS(CONFIG_PALETES!$D:$D,CONFIG_PALETES!$A:$A,"GERAL",CONFIG_PALETES!$B:$B,$C112&amp;" ml")&gt;0,SUMIFS(CONFIG_PALETES!$D:$D,CONFIG_PALETES!$A:$A,"GERAL",CONFIG_PALETES!$B:$B,$C112&amp;" ml"),12)))</f>
        <v/>
      </c>
      <c r="AA112" t="s">
        <v>399</v>
      </c>
      <c r="AB112" t="s">
        <v>1430</v>
      </c>
    </row>
    <row r="113" spans="1:28" ht="15" customHeight="1" x14ac:dyDescent="0.3">
      <c r="A113" s="899"/>
      <c r="B113" s="846" t="s">
        <v>186</v>
      </c>
      <c r="C113" s="847"/>
      <c r="D113" s="848">
        <f>SUM(D106:D112)</f>
        <v>0</v>
      </c>
      <c r="E113" s="849"/>
      <c r="F113" s="856" t="s">
        <v>1400</v>
      </c>
      <c r="G113" s="850">
        <f>SUM(G106:G112)</f>
        <v>0</v>
      </c>
      <c r="H113" s="848">
        <f>SUM(H106:H112)</f>
        <v>0</v>
      </c>
      <c r="I113" s="848">
        <f>SUM(I106:I112)</f>
        <v>0</v>
      </c>
      <c r="J113" s="63">
        <f>D113</f>
        <v>0</v>
      </c>
      <c r="K113" s="93">
        <f>G113</f>
        <v>0</v>
      </c>
      <c r="L113" s="63">
        <f>H113</f>
        <v>0</v>
      </c>
      <c r="M113" s="63">
        <f>I113</f>
        <v>0</v>
      </c>
      <c r="N113" s="587" t="str" cm="1">
        <f t="array" ref="N113">IF(H113=0,"",SUMPRODUCT(IFERROR(INT(H108:H112/F108:F112),0)))</f>
        <v/>
      </c>
      <c r="O113" s="770" t="str">
        <f>IF(N113="","",MAX(0,G113-N113))</f>
        <v/>
      </c>
      <c r="AA113" t="s">
        <v>494</v>
      </c>
      <c r="AB113" t="s">
        <v>1426</v>
      </c>
    </row>
    <row r="114" spans="1:28" ht="6" customHeight="1" x14ac:dyDescent="0.3">
      <c r="C114" s="65"/>
      <c r="AA114" t="s">
        <v>404</v>
      </c>
      <c r="AB114" t="s">
        <v>1422</v>
      </c>
    </row>
    <row r="115" spans="1:28" ht="15" customHeight="1" x14ac:dyDescent="0.3">
      <c r="A115" s="75">
        <v>46373</v>
      </c>
      <c r="B115" s="113" t="s">
        <v>49</v>
      </c>
      <c r="C115" s="112" t="s">
        <v>176</v>
      </c>
      <c r="D115" s="111" t="s">
        <v>177</v>
      </c>
      <c r="E115" s="111" t="s">
        <v>178</v>
      </c>
      <c r="F115" s="860" t="s">
        <v>179</v>
      </c>
      <c r="G115" s="111" t="s">
        <v>180</v>
      </c>
      <c r="H115" s="111" t="s">
        <v>181</v>
      </c>
      <c r="I115" s="111" t="s">
        <v>182</v>
      </c>
      <c r="AA115" t="s">
        <v>493</v>
      </c>
      <c r="AB115" t="s">
        <v>1431</v>
      </c>
    </row>
    <row r="116" spans="1:28" ht="21" customHeight="1" x14ac:dyDescent="0.3">
      <c r="A116" s="110"/>
      <c r="B116" s="109"/>
      <c r="C116" s="108"/>
      <c r="D116" s="104"/>
      <c r="E116" s="107" t="s">
        <v>184</v>
      </c>
      <c r="F116" s="871" t="str">
        <f>IF($B116="","",IF(SUMIFS(CONFIG_PALETES!$C:$C,CONFIG_PALETES!$A:$A,TRIM($B116),CONFIG_PALETES!$B:$B,$C116&amp;" ml")&gt;0,SUMIFS(CONFIG_PALETES!$C:$C,CONFIG_PALETES!$A:$A,TRIM($B116),CONFIG_PALETES!$B:$B,$C116&amp;" ml"),IF(SUMIFS(CONFIG_PALETES!$C:$C,CONFIG_PALETES!$A:$A,"GERAL",CONFIG_PALETES!$B:$B,$C116&amp;" ml")&gt;0,SUMIFS(CONFIG_PALETES!$C:$C,CONFIG_PALETES!$A:$A,"GERAL",CONFIG_PALETES!$B:$B,$C116&amp;" ml"),"")))</f>
        <v/>
      </c>
      <c r="G116" s="106" t="str">
        <f>IFERROR(ROUNDUP(D116/F116,0),"")</f>
        <v/>
      </c>
      <c r="H116" s="105"/>
      <c r="I116" s="104" t="str">
        <f>IF(H116="","",H116*IF(SUMIFS(CONFIG_PALETES!$D:$D,CONFIG_PALETES!$A:$A,IF(ISNUMBER(SEARCH("ESPUMA",$B116)),"ESPUMA",IF(OR(ISNUMBER(SEARCH("OLEO DE COCO",$B116)),ISNUMBER(SEARCH("ÓLEO DE COCO",$B116)),ISNUMBER(SEARCH("COPRA",$B116))),"ÓLEO DE COCO",IF(ISNUMBER(SEARCH("CORANTE",$B116)),"CORANTE",TRIM($B116)))),CONFIG_PALETES!$B:$B,$C116&amp;" ml")&gt;0,SUMIFS(CONFIG_PALETES!$D:$D,CONFIG_PALETES!$A:$A,IF(ISNUMBER(SEARCH("ESPUMA",$B116)),"ESPUMA",IF(OR(ISNUMBER(SEARCH("OLEO DE COCO",$B116)),ISNUMBER(SEARCH("ÓLEO DE COCO",$B116)),ISNUMBER(SEARCH("COPRA",$B116))),"ÓLEO DE COCO",IF(ISNUMBER(SEARCH("CORANTE",$B116)),"CORANTE",TRIM($B116)))),CONFIG_PALETES!$B:$B,$C116&amp;" ml"),IF(SUMIFS(CONFIG_PALETES!$D:$D,CONFIG_PALETES!$A:$A,"GERAL",CONFIG_PALETES!$B:$B,$C116&amp;" ml")&gt;0,SUMIFS(CONFIG_PALETES!$D:$D,CONFIG_PALETES!$A:$A,"GERAL",CONFIG_PALETES!$B:$B,$C116&amp;" ml"),12)))</f>
        <v/>
      </c>
      <c r="AA116" t="s">
        <v>400</v>
      </c>
      <c r="AB116" t="s">
        <v>1430</v>
      </c>
    </row>
    <row r="117" spans="1:28" ht="21" customHeight="1" x14ac:dyDescent="0.3">
      <c r="A117" s="110"/>
      <c r="B117" s="109"/>
      <c r="C117" s="108"/>
      <c r="D117" s="104"/>
      <c r="E117" s="107" t="s">
        <v>184</v>
      </c>
      <c r="F117" s="871" t="str">
        <f>IF($B117="","",IF(SUMIFS(CONFIG_PALETES!$C:$C,CONFIG_PALETES!$A:$A,TRIM($B117),CONFIG_PALETES!$B:$B,$C117&amp;" ml")&gt;0,SUMIFS(CONFIG_PALETES!$C:$C,CONFIG_PALETES!$A:$A,TRIM($B117),CONFIG_PALETES!$B:$B,$C117&amp;" ml"),IF(SUMIFS(CONFIG_PALETES!$C:$C,CONFIG_PALETES!$A:$A,"GERAL",CONFIG_PALETES!$B:$B,$C117&amp;" ml")&gt;0,SUMIFS(CONFIG_PALETES!$C:$C,CONFIG_PALETES!$A:$A,"GERAL",CONFIG_PALETES!$B:$B,$C117&amp;" ml"),"")))</f>
        <v/>
      </c>
      <c r="G117" s="106" t="str">
        <f>IFERROR(ROUNDUP(D117/F117,0),"")</f>
        <v/>
      </c>
      <c r="H117" s="105"/>
      <c r="I117" s="104" t="str">
        <f>IF(H117="","",H117*IF(SUMIFS(CONFIG_PALETES!$D:$D,CONFIG_PALETES!$A:$A,IF(ISNUMBER(SEARCH("ESPUMA",$B117)),"ESPUMA",IF(OR(ISNUMBER(SEARCH("OLEO DE COCO",$B117)),ISNUMBER(SEARCH("ÓLEO DE COCO",$B117)),ISNUMBER(SEARCH("COPRA",$B117))),"ÓLEO DE COCO",IF(ISNUMBER(SEARCH("CORANTE",$B117)),"CORANTE",TRIM($B117)))),CONFIG_PALETES!$B:$B,$C117&amp;" ml")&gt;0,SUMIFS(CONFIG_PALETES!$D:$D,CONFIG_PALETES!$A:$A,IF(ISNUMBER(SEARCH("ESPUMA",$B117)),"ESPUMA",IF(OR(ISNUMBER(SEARCH("OLEO DE COCO",$B117)),ISNUMBER(SEARCH("ÓLEO DE COCO",$B117)),ISNUMBER(SEARCH("COPRA",$B117))),"ÓLEO DE COCO",IF(ISNUMBER(SEARCH("CORANTE",$B117)),"CORANTE",TRIM($B117)))),CONFIG_PALETES!$B:$B,$C117&amp;" ml"),IF(SUMIFS(CONFIG_PALETES!$D:$D,CONFIG_PALETES!$A:$A,"GERAL",CONFIG_PALETES!$B:$B,$C117&amp;" ml")&gt;0,SUMIFS(CONFIG_PALETES!$D:$D,CONFIG_PALETES!$A:$A,"GERAL",CONFIG_PALETES!$B:$B,$C117&amp;" ml"),12)))</f>
        <v/>
      </c>
      <c r="AA117" t="s">
        <v>492</v>
      </c>
      <c r="AB117" t="s">
        <v>1423</v>
      </c>
    </row>
    <row r="118" spans="1:28" ht="21" customHeight="1" x14ac:dyDescent="0.3">
      <c r="A118" s="110"/>
      <c r="B118" s="109"/>
      <c r="C118" s="108"/>
      <c r="D118" s="104"/>
      <c r="E118" s="107" t="s">
        <v>184</v>
      </c>
      <c r="F118" s="871" t="str">
        <f>IF($B118="","",IF(SUMIFS(CONFIG_PALETES!$C:$C,CONFIG_PALETES!$A:$A,TRIM($B118),CONFIG_PALETES!$B:$B,$C118&amp;" ml")&gt;0,SUMIFS(CONFIG_PALETES!$C:$C,CONFIG_PALETES!$A:$A,TRIM($B118),CONFIG_PALETES!$B:$B,$C118&amp;" ml"),IF(SUMIFS(CONFIG_PALETES!$C:$C,CONFIG_PALETES!$A:$A,"GERAL",CONFIG_PALETES!$B:$B,$C118&amp;" ml")&gt;0,SUMIFS(CONFIG_PALETES!$C:$C,CONFIG_PALETES!$A:$A,"GERAL",CONFIG_PALETES!$B:$B,$C118&amp;" ml"),"")))</f>
        <v/>
      </c>
      <c r="G118" s="106" t="str">
        <f>IFERROR(ROUNDUP(D118/F118,0),"")</f>
        <v/>
      </c>
      <c r="H118" s="105"/>
      <c r="I118" s="104" t="str">
        <f>IF(H118="","",H118*IF(SUMIFS(CONFIG_PALETES!$D:$D,CONFIG_PALETES!$A:$A,IF(ISNUMBER(SEARCH("ESPUMA",$B118)),"ESPUMA",IF(OR(ISNUMBER(SEARCH("OLEO DE COCO",$B118)),ISNUMBER(SEARCH("ÓLEO DE COCO",$B118)),ISNUMBER(SEARCH("COPRA",$B118))),"ÓLEO DE COCO",IF(ISNUMBER(SEARCH("CORANTE",$B118)),"CORANTE",TRIM($B118)))),CONFIG_PALETES!$B:$B,$C118&amp;" ml")&gt;0,SUMIFS(CONFIG_PALETES!$D:$D,CONFIG_PALETES!$A:$A,IF(ISNUMBER(SEARCH("ESPUMA",$B118)),"ESPUMA",IF(OR(ISNUMBER(SEARCH("OLEO DE COCO",$B118)),ISNUMBER(SEARCH("ÓLEO DE COCO",$B118)),ISNUMBER(SEARCH("COPRA",$B118))),"ÓLEO DE COCO",IF(ISNUMBER(SEARCH("CORANTE",$B118)),"CORANTE",TRIM($B118)))),CONFIG_PALETES!$B:$B,$C118&amp;" ml"),IF(SUMIFS(CONFIG_PALETES!$D:$D,CONFIG_PALETES!$A:$A,"GERAL",CONFIG_PALETES!$B:$B,$C118&amp;" ml")&gt;0,SUMIFS(CONFIG_PALETES!$D:$D,CONFIG_PALETES!$A:$A,"GERAL",CONFIG_PALETES!$B:$B,$C118&amp;" ml"),12)))</f>
        <v/>
      </c>
      <c r="AA118" t="s">
        <v>498</v>
      </c>
      <c r="AB118" t="s">
        <v>1423</v>
      </c>
    </row>
    <row r="119" spans="1:28" ht="21" customHeight="1" x14ac:dyDescent="0.3">
      <c r="A119" s="110"/>
      <c r="B119" s="109"/>
      <c r="C119" s="108"/>
      <c r="D119" s="104"/>
      <c r="E119" s="107" t="s">
        <v>184</v>
      </c>
      <c r="F119" s="871" t="str">
        <f>IF($B119="","",IF(SUMIFS(CONFIG_PALETES!$C:$C,CONFIG_PALETES!$A:$A,TRIM($B119),CONFIG_PALETES!$B:$B,$C119&amp;" ml")&gt;0,SUMIFS(CONFIG_PALETES!$C:$C,CONFIG_PALETES!$A:$A,TRIM($B119),CONFIG_PALETES!$B:$B,$C119&amp;" ml"),IF(SUMIFS(CONFIG_PALETES!$C:$C,CONFIG_PALETES!$A:$A,"GERAL",CONFIG_PALETES!$B:$B,$C119&amp;" ml")&gt;0,SUMIFS(CONFIG_PALETES!$C:$C,CONFIG_PALETES!$A:$A,"GERAL",CONFIG_PALETES!$B:$B,$C119&amp;" ml"),"")))</f>
        <v/>
      </c>
      <c r="G119" s="106" t="str">
        <f>IFERROR(ROUNDUP(D119/F119,0),"")</f>
        <v/>
      </c>
      <c r="H119" s="105"/>
      <c r="I119" s="104" t="str">
        <f>IF(H119="","",H119*IF(SUMIFS(CONFIG_PALETES!$D:$D,CONFIG_PALETES!$A:$A,IF(ISNUMBER(SEARCH("ESPUMA",$B119)),"ESPUMA",IF(OR(ISNUMBER(SEARCH("OLEO DE COCO",$B119)),ISNUMBER(SEARCH("ÓLEO DE COCO",$B119)),ISNUMBER(SEARCH("COPRA",$B119))),"ÓLEO DE COCO",IF(ISNUMBER(SEARCH("CORANTE",$B119)),"CORANTE",TRIM($B119)))),CONFIG_PALETES!$B:$B,$C119&amp;" ml")&gt;0,SUMIFS(CONFIG_PALETES!$D:$D,CONFIG_PALETES!$A:$A,IF(ISNUMBER(SEARCH("ESPUMA",$B119)),"ESPUMA",IF(OR(ISNUMBER(SEARCH("OLEO DE COCO",$B119)),ISNUMBER(SEARCH("ÓLEO DE COCO",$B119)),ISNUMBER(SEARCH("COPRA",$B119))),"ÓLEO DE COCO",IF(ISNUMBER(SEARCH("CORANTE",$B119)),"CORANTE",TRIM($B119)))),CONFIG_PALETES!$B:$B,$C119&amp;" ml"),IF(SUMIFS(CONFIG_PALETES!$D:$D,CONFIG_PALETES!$A:$A,"GERAL",CONFIG_PALETES!$B:$B,$C119&amp;" ml")&gt;0,SUMIFS(CONFIG_PALETES!$D:$D,CONFIG_PALETES!$A:$A,"GERAL",CONFIG_PALETES!$B:$B,$C119&amp;" ml"),12)))</f>
        <v/>
      </c>
      <c r="AA119" t="s">
        <v>995</v>
      </c>
      <c r="AB119" t="s">
        <v>1426</v>
      </c>
    </row>
    <row r="120" spans="1:28" ht="21" customHeight="1" x14ac:dyDescent="0.3">
      <c r="A120" s="817"/>
      <c r="B120" s="818"/>
      <c r="C120" s="819"/>
      <c r="D120" s="820"/>
      <c r="E120" s="821" t="s">
        <v>184</v>
      </c>
      <c r="F120" s="872" t="str">
        <f>IF($B120="","",IF(SUMIFS(CONFIG_PALETES!$C:$C,CONFIG_PALETES!$A:$A,TRIM($B120),CONFIG_PALETES!$B:$B,$C120&amp;" ml")&gt;0,SUMIFS(CONFIG_PALETES!$C:$C,CONFIG_PALETES!$A:$A,TRIM($B120),CONFIG_PALETES!$B:$B,$C120&amp;" ml"),IF(SUMIFS(CONFIG_PALETES!$C:$C,CONFIG_PALETES!$A:$A,"GERAL",CONFIG_PALETES!$B:$B,$C120&amp;" ml")&gt;0,SUMIFS(CONFIG_PALETES!$C:$C,CONFIG_PALETES!$A:$A,"GERAL",CONFIG_PALETES!$B:$B,$C120&amp;" ml"),"")))</f>
        <v/>
      </c>
      <c r="G120" s="822" t="str">
        <f>IFERROR(ROUNDUP(D120/F120,0),"")</f>
        <v/>
      </c>
      <c r="H120" s="823"/>
      <c r="I120" s="820" t="str">
        <f>IF(H120="","",H120*IF(SUMIFS(CONFIG_PALETES!$D:$D,CONFIG_PALETES!$A:$A,IF(ISNUMBER(SEARCH("ESPUMA",$B120)),"ESPUMA",IF(OR(ISNUMBER(SEARCH("OLEO DE COCO",$B120)),ISNUMBER(SEARCH("ÓLEO DE COCO",$B120)),ISNUMBER(SEARCH("COPRA",$B120))),"ÓLEO DE COCO",IF(ISNUMBER(SEARCH("CORANTE",$B120)),"CORANTE",TRIM($B120)))),CONFIG_PALETES!$B:$B,$C120&amp;" ml")&gt;0,SUMIFS(CONFIG_PALETES!$D:$D,CONFIG_PALETES!$A:$A,IF(ISNUMBER(SEARCH("ESPUMA",$B120)),"ESPUMA",IF(OR(ISNUMBER(SEARCH("OLEO DE COCO",$B120)),ISNUMBER(SEARCH("ÓLEO DE COCO",$B120)),ISNUMBER(SEARCH("COPRA",$B120))),"ÓLEO DE COCO",IF(ISNUMBER(SEARCH("CORANTE",$B120)),"CORANTE",TRIM($B120)))),CONFIG_PALETES!$B:$B,$C120&amp;" ml"),IF(SUMIFS(CONFIG_PALETES!$D:$D,CONFIG_PALETES!$A:$A,"GERAL",CONFIG_PALETES!$B:$B,$C120&amp;" ml")&gt;0,SUMIFS(CONFIG_PALETES!$D:$D,CONFIG_PALETES!$A:$A,"GERAL",CONFIG_PALETES!$B:$B,$C120&amp;" ml"),12)))</f>
        <v/>
      </c>
      <c r="AA120" t="s">
        <v>286</v>
      </c>
      <c r="AB120" t="s">
        <v>1426</v>
      </c>
    </row>
    <row r="121" spans="1:28" ht="15" customHeight="1" x14ac:dyDescent="0.3">
      <c r="A121" s="899"/>
      <c r="B121" s="846" t="s">
        <v>186</v>
      </c>
      <c r="C121" s="847"/>
      <c r="D121" s="848">
        <f>SUM(D114:D120)</f>
        <v>0</v>
      </c>
      <c r="E121" s="849"/>
      <c r="F121" s="856" t="s">
        <v>1400</v>
      </c>
      <c r="G121" s="850">
        <f>SUM(G114:G120)</f>
        <v>0</v>
      </c>
      <c r="H121" s="848">
        <f>SUM(H114:H120)</f>
        <v>0</v>
      </c>
      <c r="I121" s="848">
        <f>SUM(I114:I120)</f>
        <v>0</v>
      </c>
      <c r="J121" s="63">
        <f>D121</f>
        <v>0</v>
      </c>
      <c r="K121" s="93">
        <f>G121</f>
        <v>0</v>
      </c>
      <c r="L121" s="63">
        <f>H121</f>
        <v>0</v>
      </c>
      <c r="M121" s="63">
        <f>I121</f>
        <v>0</v>
      </c>
      <c r="N121" s="587" t="str" cm="1">
        <f t="array" ref="N121">IF(H121=0,"",SUMPRODUCT(IFERROR(INT(H116:H120/F116:F120),0)))</f>
        <v/>
      </c>
      <c r="O121" s="770" t="str">
        <f>IF(N121="","",MAX(0,G121-N121))</f>
        <v/>
      </c>
      <c r="AA121" t="s">
        <v>285</v>
      </c>
      <c r="AB121" t="s">
        <v>1426</v>
      </c>
    </row>
    <row r="122" spans="1:28" ht="6" customHeight="1" x14ac:dyDescent="0.3">
      <c r="C122" s="65"/>
      <c r="AA122" t="s">
        <v>103</v>
      </c>
      <c r="AB122" t="s">
        <v>1425</v>
      </c>
    </row>
    <row r="123" spans="1:28" ht="15" customHeight="1" x14ac:dyDescent="0.3">
      <c r="A123" s="75">
        <v>46374</v>
      </c>
      <c r="B123" s="113" t="s">
        <v>49</v>
      </c>
      <c r="C123" s="112" t="s">
        <v>176</v>
      </c>
      <c r="D123" s="111" t="s">
        <v>177</v>
      </c>
      <c r="E123" s="111" t="s">
        <v>178</v>
      </c>
      <c r="F123" s="860" t="s">
        <v>179</v>
      </c>
      <c r="G123" s="111" t="s">
        <v>180</v>
      </c>
      <c r="H123" s="111" t="s">
        <v>181</v>
      </c>
      <c r="I123" s="111" t="s">
        <v>182</v>
      </c>
      <c r="AA123" t="s">
        <v>282</v>
      </c>
      <c r="AB123" t="s">
        <v>1425</v>
      </c>
    </row>
    <row r="124" spans="1:28" ht="21" customHeight="1" x14ac:dyDescent="0.3">
      <c r="A124" s="110"/>
      <c r="B124" s="109"/>
      <c r="C124" s="108"/>
      <c r="D124" s="104"/>
      <c r="E124" s="107" t="s">
        <v>184</v>
      </c>
      <c r="F124" s="871" t="str">
        <f>IF($B124="","",IF(SUMIFS(CONFIG_PALETES!$C:$C,CONFIG_PALETES!$A:$A,TRIM($B124),CONFIG_PALETES!$B:$B,$C124&amp;" ml")&gt;0,SUMIFS(CONFIG_PALETES!$C:$C,CONFIG_PALETES!$A:$A,TRIM($B124),CONFIG_PALETES!$B:$B,$C124&amp;" ml"),IF(SUMIFS(CONFIG_PALETES!$C:$C,CONFIG_PALETES!$A:$A,"GERAL",CONFIG_PALETES!$B:$B,$C124&amp;" ml")&gt;0,SUMIFS(CONFIG_PALETES!$C:$C,CONFIG_PALETES!$A:$A,"GERAL",CONFIG_PALETES!$B:$B,$C124&amp;" ml"),"")))</f>
        <v/>
      </c>
      <c r="G124" s="106" t="str">
        <f>IFERROR(ROUNDUP(D124/F124,0),"")</f>
        <v/>
      </c>
      <c r="H124" s="105"/>
      <c r="I124" s="104" t="str">
        <f>IF(H124="","",H124*IF(SUMIFS(CONFIG_PALETES!$D:$D,CONFIG_PALETES!$A:$A,IF(ISNUMBER(SEARCH("ESPUMA",$B124)),"ESPUMA",IF(OR(ISNUMBER(SEARCH("OLEO DE COCO",$B124)),ISNUMBER(SEARCH("ÓLEO DE COCO",$B124)),ISNUMBER(SEARCH("COPRA",$B124))),"ÓLEO DE COCO",IF(ISNUMBER(SEARCH("CORANTE",$B124)),"CORANTE",TRIM($B124)))),CONFIG_PALETES!$B:$B,$C124&amp;" ml")&gt;0,SUMIFS(CONFIG_PALETES!$D:$D,CONFIG_PALETES!$A:$A,IF(ISNUMBER(SEARCH("ESPUMA",$B124)),"ESPUMA",IF(OR(ISNUMBER(SEARCH("OLEO DE COCO",$B124)),ISNUMBER(SEARCH("ÓLEO DE COCO",$B124)),ISNUMBER(SEARCH("COPRA",$B124))),"ÓLEO DE COCO",IF(ISNUMBER(SEARCH("CORANTE",$B124)),"CORANTE",TRIM($B124)))),CONFIG_PALETES!$B:$B,$C124&amp;" ml"),IF(SUMIFS(CONFIG_PALETES!$D:$D,CONFIG_PALETES!$A:$A,"GERAL",CONFIG_PALETES!$B:$B,$C124&amp;" ml")&gt;0,SUMIFS(CONFIG_PALETES!$D:$D,CONFIG_PALETES!$A:$A,"GERAL",CONFIG_PALETES!$B:$B,$C124&amp;" ml"),12)))</f>
        <v/>
      </c>
      <c r="AA124" t="s">
        <v>576</v>
      </c>
      <c r="AB124" t="s">
        <v>1425</v>
      </c>
    </row>
    <row r="125" spans="1:28" ht="21" customHeight="1" x14ac:dyDescent="0.3">
      <c r="A125" s="110"/>
      <c r="B125" s="109"/>
      <c r="C125" s="108"/>
      <c r="D125" s="104"/>
      <c r="E125" s="107" t="s">
        <v>184</v>
      </c>
      <c r="F125" s="871" t="str">
        <f>IF($B125="","",IF(SUMIFS(CONFIG_PALETES!$C:$C,CONFIG_PALETES!$A:$A,TRIM($B125),CONFIG_PALETES!$B:$B,$C125&amp;" ml")&gt;0,SUMIFS(CONFIG_PALETES!$C:$C,CONFIG_PALETES!$A:$A,TRIM($B125),CONFIG_PALETES!$B:$B,$C125&amp;" ml"),IF(SUMIFS(CONFIG_PALETES!$C:$C,CONFIG_PALETES!$A:$A,"GERAL",CONFIG_PALETES!$B:$B,$C125&amp;" ml")&gt;0,SUMIFS(CONFIG_PALETES!$C:$C,CONFIG_PALETES!$A:$A,"GERAL",CONFIG_PALETES!$B:$B,$C125&amp;" ml"),"")))</f>
        <v/>
      </c>
      <c r="G125" s="106" t="str">
        <f>IFERROR(ROUNDUP(D125/F125,0),"")</f>
        <v/>
      </c>
      <c r="H125" s="105"/>
      <c r="I125" s="104" t="str">
        <f>IF(H125="","",H125*IF(SUMIFS(CONFIG_PALETES!$D:$D,CONFIG_PALETES!$A:$A,IF(ISNUMBER(SEARCH("ESPUMA",$B125)),"ESPUMA",IF(OR(ISNUMBER(SEARCH("OLEO DE COCO",$B125)),ISNUMBER(SEARCH("ÓLEO DE COCO",$B125)),ISNUMBER(SEARCH("COPRA",$B125))),"ÓLEO DE COCO",IF(ISNUMBER(SEARCH("CORANTE",$B125)),"CORANTE",TRIM($B125)))),CONFIG_PALETES!$B:$B,$C125&amp;" ml")&gt;0,SUMIFS(CONFIG_PALETES!$D:$D,CONFIG_PALETES!$A:$A,IF(ISNUMBER(SEARCH("ESPUMA",$B125)),"ESPUMA",IF(OR(ISNUMBER(SEARCH("OLEO DE COCO",$B125)),ISNUMBER(SEARCH("ÓLEO DE COCO",$B125)),ISNUMBER(SEARCH("COPRA",$B125))),"ÓLEO DE COCO",IF(ISNUMBER(SEARCH("CORANTE",$B125)),"CORANTE",TRIM($B125)))),CONFIG_PALETES!$B:$B,$C125&amp;" ml"),IF(SUMIFS(CONFIG_PALETES!$D:$D,CONFIG_PALETES!$A:$A,"GERAL",CONFIG_PALETES!$B:$B,$C125&amp;" ml")&gt;0,SUMIFS(CONFIG_PALETES!$D:$D,CONFIG_PALETES!$A:$A,"GERAL",CONFIG_PALETES!$B:$B,$C125&amp;" ml"),12)))</f>
        <v/>
      </c>
      <c r="AA125" t="s">
        <v>135</v>
      </c>
      <c r="AB125" t="s">
        <v>1425</v>
      </c>
    </row>
    <row r="126" spans="1:28" ht="21" customHeight="1" x14ac:dyDescent="0.3">
      <c r="A126" s="110"/>
      <c r="B126" s="109"/>
      <c r="C126" s="108"/>
      <c r="D126" s="104"/>
      <c r="E126" s="107" t="s">
        <v>184</v>
      </c>
      <c r="F126" s="871" t="str">
        <f>IF($B126="","",IF(SUMIFS(CONFIG_PALETES!$C:$C,CONFIG_PALETES!$A:$A,TRIM($B126),CONFIG_PALETES!$B:$B,$C126&amp;" ml")&gt;0,SUMIFS(CONFIG_PALETES!$C:$C,CONFIG_PALETES!$A:$A,TRIM($B126),CONFIG_PALETES!$B:$B,$C126&amp;" ml"),IF(SUMIFS(CONFIG_PALETES!$C:$C,CONFIG_PALETES!$A:$A,"GERAL",CONFIG_PALETES!$B:$B,$C126&amp;" ml")&gt;0,SUMIFS(CONFIG_PALETES!$C:$C,CONFIG_PALETES!$A:$A,"GERAL",CONFIG_PALETES!$B:$B,$C126&amp;" ml"),"")))</f>
        <v/>
      </c>
      <c r="G126" s="106" t="str">
        <f>IFERROR(ROUNDUP(D126/F126,0),"")</f>
        <v/>
      </c>
      <c r="H126" s="105"/>
      <c r="I126" s="104" t="str">
        <f>IF(H126="","",H126*IF(SUMIFS(CONFIG_PALETES!$D:$D,CONFIG_PALETES!$A:$A,IF(ISNUMBER(SEARCH("ESPUMA",$B126)),"ESPUMA",IF(OR(ISNUMBER(SEARCH("OLEO DE COCO",$B126)),ISNUMBER(SEARCH("ÓLEO DE COCO",$B126)),ISNUMBER(SEARCH("COPRA",$B126))),"ÓLEO DE COCO",IF(ISNUMBER(SEARCH("CORANTE",$B126)),"CORANTE",TRIM($B126)))),CONFIG_PALETES!$B:$B,$C126&amp;" ml")&gt;0,SUMIFS(CONFIG_PALETES!$D:$D,CONFIG_PALETES!$A:$A,IF(ISNUMBER(SEARCH("ESPUMA",$B126)),"ESPUMA",IF(OR(ISNUMBER(SEARCH("OLEO DE COCO",$B126)),ISNUMBER(SEARCH("ÓLEO DE COCO",$B126)),ISNUMBER(SEARCH("COPRA",$B126))),"ÓLEO DE COCO",IF(ISNUMBER(SEARCH("CORANTE",$B126)),"CORANTE",TRIM($B126)))),CONFIG_PALETES!$B:$B,$C126&amp;" ml"),IF(SUMIFS(CONFIG_PALETES!$D:$D,CONFIG_PALETES!$A:$A,"GERAL",CONFIG_PALETES!$B:$B,$C126&amp;" ml")&gt;0,SUMIFS(CONFIG_PALETES!$D:$D,CONFIG_PALETES!$A:$A,"GERAL",CONFIG_PALETES!$B:$B,$C126&amp;" ml"),12)))</f>
        <v/>
      </c>
      <c r="AA126" t="s">
        <v>402</v>
      </c>
      <c r="AB126" t="s">
        <v>1425</v>
      </c>
    </row>
    <row r="127" spans="1:28" ht="21" customHeight="1" x14ac:dyDescent="0.3">
      <c r="A127" s="110"/>
      <c r="B127" s="109"/>
      <c r="C127" s="108"/>
      <c r="D127" s="104"/>
      <c r="E127" s="107" t="s">
        <v>184</v>
      </c>
      <c r="F127" s="871" t="str">
        <f>IF($B127="","",IF(SUMIFS(CONFIG_PALETES!$C:$C,CONFIG_PALETES!$A:$A,TRIM($B127),CONFIG_PALETES!$B:$B,$C127&amp;" ml")&gt;0,SUMIFS(CONFIG_PALETES!$C:$C,CONFIG_PALETES!$A:$A,TRIM($B127),CONFIG_PALETES!$B:$B,$C127&amp;" ml"),IF(SUMIFS(CONFIG_PALETES!$C:$C,CONFIG_PALETES!$A:$A,"GERAL",CONFIG_PALETES!$B:$B,$C127&amp;" ml")&gt;0,SUMIFS(CONFIG_PALETES!$C:$C,CONFIG_PALETES!$A:$A,"GERAL",CONFIG_PALETES!$B:$B,$C127&amp;" ml"),"")))</f>
        <v/>
      </c>
      <c r="G127" s="106" t="str">
        <f>IFERROR(ROUNDUP(D127/F127,0),"")</f>
        <v/>
      </c>
      <c r="H127" s="105"/>
      <c r="I127" s="104" t="str">
        <f>IF(H127="","",H127*IF(SUMIFS(CONFIG_PALETES!$D:$D,CONFIG_PALETES!$A:$A,IF(ISNUMBER(SEARCH("ESPUMA",$B127)),"ESPUMA",IF(OR(ISNUMBER(SEARCH("OLEO DE COCO",$B127)),ISNUMBER(SEARCH("ÓLEO DE COCO",$B127)),ISNUMBER(SEARCH("COPRA",$B127))),"ÓLEO DE COCO",IF(ISNUMBER(SEARCH("CORANTE",$B127)),"CORANTE",TRIM($B127)))),CONFIG_PALETES!$B:$B,$C127&amp;" ml")&gt;0,SUMIFS(CONFIG_PALETES!$D:$D,CONFIG_PALETES!$A:$A,IF(ISNUMBER(SEARCH("ESPUMA",$B127)),"ESPUMA",IF(OR(ISNUMBER(SEARCH("OLEO DE COCO",$B127)),ISNUMBER(SEARCH("ÓLEO DE COCO",$B127)),ISNUMBER(SEARCH("COPRA",$B127))),"ÓLEO DE COCO",IF(ISNUMBER(SEARCH("CORANTE",$B127)),"CORANTE",TRIM($B127)))),CONFIG_PALETES!$B:$B,$C127&amp;" ml"),IF(SUMIFS(CONFIG_PALETES!$D:$D,CONFIG_PALETES!$A:$A,"GERAL",CONFIG_PALETES!$B:$B,$C127&amp;" ml")&gt;0,SUMIFS(CONFIG_PALETES!$D:$D,CONFIG_PALETES!$A:$A,"GERAL",CONFIG_PALETES!$B:$B,$C127&amp;" ml"),12)))</f>
        <v/>
      </c>
      <c r="AA127" t="s">
        <v>290</v>
      </c>
      <c r="AB127" t="s">
        <v>1426</v>
      </c>
    </row>
    <row r="128" spans="1:28" ht="21" customHeight="1" x14ac:dyDescent="0.3">
      <c r="A128" s="817"/>
      <c r="B128" s="818"/>
      <c r="C128" s="819"/>
      <c r="D128" s="820"/>
      <c r="E128" s="821" t="s">
        <v>184</v>
      </c>
      <c r="F128" s="872" t="str">
        <f>IF($B128="","",IF(SUMIFS(CONFIG_PALETES!$C:$C,CONFIG_PALETES!$A:$A,TRIM($B128),CONFIG_PALETES!$B:$B,$C128&amp;" ml")&gt;0,SUMIFS(CONFIG_PALETES!$C:$C,CONFIG_PALETES!$A:$A,TRIM($B128),CONFIG_PALETES!$B:$B,$C128&amp;" ml"),IF(SUMIFS(CONFIG_PALETES!$C:$C,CONFIG_PALETES!$A:$A,"GERAL",CONFIG_PALETES!$B:$B,$C128&amp;" ml")&gt;0,SUMIFS(CONFIG_PALETES!$C:$C,CONFIG_PALETES!$A:$A,"GERAL",CONFIG_PALETES!$B:$B,$C128&amp;" ml"),"")))</f>
        <v/>
      </c>
      <c r="G128" s="822" t="str">
        <f>IFERROR(ROUNDUP(D128/F128,0),"")</f>
        <v/>
      </c>
      <c r="H128" s="823"/>
      <c r="I128" s="820" t="str">
        <f>IF(H128="","",H128*IF(SUMIFS(CONFIG_PALETES!$D:$D,CONFIG_PALETES!$A:$A,IF(ISNUMBER(SEARCH("ESPUMA",$B128)),"ESPUMA",IF(OR(ISNUMBER(SEARCH("OLEO DE COCO",$B128)),ISNUMBER(SEARCH("ÓLEO DE COCO",$B128)),ISNUMBER(SEARCH("COPRA",$B128))),"ÓLEO DE COCO",IF(ISNUMBER(SEARCH("CORANTE",$B128)),"CORANTE",TRIM($B128)))),CONFIG_PALETES!$B:$B,$C128&amp;" ml")&gt;0,SUMIFS(CONFIG_PALETES!$D:$D,CONFIG_PALETES!$A:$A,IF(ISNUMBER(SEARCH("ESPUMA",$B128)),"ESPUMA",IF(OR(ISNUMBER(SEARCH("OLEO DE COCO",$B128)),ISNUMBER(SEARCH("ÓLEO DE COCO",$B128)),ISNUMBER(SEARCH("COPRA",$B128))),"ÓLEO DE COCO",IF(ISNUMBER(SEARCH("CORANTE",$B128)),"CORANTE",TRIM($B128)))),CONFIG_PALETES!$B:$B,$C128&amp;" ml"),IF(SUMIFS(CONFIG_PALETES!$D:$D,CONFIG_PALETES!$A:$A,"GERAL",CONFIG_PALETES!$B:$B,$C128&amp;" ml")&gt;0,SUMIFS(CONFIG_PALETES!$D:$D,CONFIG_PALETES!$A:$A,"GERAL",CONFIG_PALETES!$B:$B,$C128&amp;" ml"),12)))</f>
        <v/>
      </c>
      <c r="AA128" t="s">
        <v>289</v>
      </c>
      <c r="AB128" t="s">
        <v>1426</v>
      </c>
    </row>
    <row r="129" spans="1:28" ht="15" customHeight="1" x14ac:dyDescent="0.3">
      <c r="A129" s="899"/>
      <c r="B129" s="846" t="s">
        <v>186</v>
      </c>
      <c r="C129" s="847"/>
      <c r="D129" s="848">
        <f>SUM(D122:D128)</f>
        <v>0</v>
      </c>
      <c r="E129" s="849"/>
      <c r="F129" s="856" t="s">
        <v>1400</v>
      </c>
      <c r="G129" s="850">
        <f>SUM(G122:G128)</f>
        <v>0</v>
      </c>
      <c r="H129" s="848">
        <f>SUM(H122:H128)</f>
        <v>0</v>
      </c>
      <c r="I129" s="848">
        <f>SUM(I122:I128)</f>
        <v>0</v>
      </c>
      <c r="J129" s="63">
        <f>D129</f>
        <v>0</v>
      </c>
      <c r="K129" s="93">
        <f>G129</f>
        <v>0</v>
      </c>
      <c r="L129" s="63">
        <f>H129</f>
        <v>0</v>
      </c>
      <c r="M129" s="63">
        <f>I129</f>
        <v>0</v>
      </c>
      <c r="N129" s="587" t="str" cm="1">
        <f t="array" ref="N129">IF(H129=0,"",SUMPRODUCT(IFERROR(INT(H124:H128/F124:F128),0)))</f>
        <v/>
      </c>
      <c r="O129" s="770" t="str">
        <f>IF(N129="","",MAX(0,G129-N129))</f>
        <v/>
      </c>
      <c r="AA129" t="s">
        <v>72</v>
      </c>
      <c r="AB129" t="s">
        <v>1432</v>
      </c>
    </row>
    <row r="130" spans="1:28" ht="6" customHeight="1" x14ac:dyDescent="0.3">
      <c r="C130" s="65"/>
      <c r="AA130" t="s">
        <v>395</v>
      </c>
      <c r="AB130" t="s">
        <v>1423</v>
      </c>
    </row>
    <row r="131" spans="1:28" ht="15" customHeight="1" x14ac:dyDescent="0.3">
      <c r="A131" s="135">
        <v>46375</v>
      </c>
      <c r="B131" s="113" t="s">
        <v>49</v>
      </c>
      <c r="C131" s="112" t="s">
        <v>176</v>
      </c>
      <c r="D131" s="111" t="s">
        <v>177</v>
      </c>
      <c r="E131" s="111" t="s">
        <v>178</v>
      </c>
      <c r="F131" s="862" t="s">
        <v>179</v>
      </c>
      <c r="G131" s="111" t="s">
        <v>180</v>
      </c>
      <c r="H131" s="111" t="s">
        <v>181</v>
      </c>
      <c r="I131" s="111" t="s">
        <v>182</v>
      </c>
      <c r="J131" s="128"/>
      <c r="K131" s="128"/>
      <c r="L131" s="128"/>
      <c r="M131" s="128"/>
      <c r="AA131" t="s">
        <v>25</v>
      </c>
      <c r="AB131" t="s">
        <v>1433</v>
      </c>
    </row>
    <row r="132" spans="1:28" ht="21" customHeight="1" x14ac:dyDescent="0.3">
      <c r="A132" s="110"/>
      <c r="B132" s="127"/>
      <c r="C132" s="126"/>
      <c r="D132" s="129"/>
      <c r="E132" s="131" t="s">
        <v>184</v>
      </c>
      <c r="F132" s="877" t="str">
        <f>IF($B132="","",IF(SUMIFS(CONFIG_PALETES!$C:$C,CONFIG_PALETES!$A:$A,TRIM($B132),CONFIG_PALETES!$B:$B,$C132&amp;" ml")&gt;0,SUMIFS(CONFIG_PALETES!$C:$C,CONFIG_PALETES!$A:$A,TRIM($B132),CONFIG_PALETES!$B:$B,$C132&amp;" ml"),IF(SUMIFS(CONFIG_PALETES!$C:$C,CONFIG_PALETES!$A:$A,"GERAL",CONFIG_PALETES!$B:$B,$C132&amp;" ml")&gt;0,SUMIFS(CONFIG_PALETES!$C:$C,CONFIG_PALETES!$A:$A,"GERAL",CONFIG_PALETES!$B:$B,$C132&amp;" ml"),"")))</f>
        <v/>
      </c>
      <c r="G132" s="130" t="str">
        <f>IFERROR(ROUNDUP(D132/F132,0),"")</f>
        <v/>
      </c>
      <c r="H132" s="105"/>
      <c r="I132" s="129" t="str">
        <f>IF(H132="","",H132*IF(SUMIFS(CONFIG_PALETES!$D:$D,CONFIG_PALETES!$A:$A,IF(ISNUMBER(SEARCH("ESPUMA",$B132)),"ESPUMA",IF(OR(ISNUMBER(SEARCH("OLEO DE COCO",$B132)),ISNUMBER(SEARCH("ÓLEO DE COCO",$B132)),ISNUMBER(SEARCH("COPRA",$B132))),"ÓLEO DE COCO",IF(ISNUMBER(SEARCH("CORANTE",$B132)),"CORANTE",TRIM($B132)))),CONFIG_PALETES!$B:$B,$C132&amp;" ml")&gt;0,SUMIFS(CONFIG_PALETES!$D:$D,CONFIG_PALETES!$A:$A,IF(ISNUMBER(SEARCH("ESPUMA",$B132)),"ESPUMA",IF(OR(ISNUMBER(SEARCH("OLEO DE COCO",$B132)),ISNUMBER(SEARCH("ÓLEO DE COCO",$B132)),ISNUMBER(SEARCH("COPRA",$B132))),"ÓLEO DE COCO",IF(ISNUMBER(SEARCH("CORANTE",$B132)),"CORANTE",TRIM($B132)))),CONFIG_PALETES!$B:$B,$C132&amp;" ml"),IF(SUMIFS(CONFIG_PALETES!$D:$D,CONFIG_PALETES!$A:$A,"GERAL",CONFIG_PALETES!$B:$B,$C132&amp;" ml")&gt;0,SUMIFS(CONFIG_PALETES!$D:$D,CONFIG_PALETES!$A:$A,"GERAL",CONFIG_PALETES!$B:$B,$C132&amp;" ml"),12)))</f>
        <v/>
      </c>
      <c r="J132" s="128"/>
      <c r="K132" s="128"/>
      <c r="L132" s="128"/>
      <c r="M132" s="128"/>
      <c r="AA132" t="s">
        <v>398</v>
      </c>
      <c r="AB132" t="s">
        <v>1424</v>
      </c>
    </row>
    <row r="133" spans="1:28" ht="21" customHeight="1" x14ac:dyDescent="0.3">
      <c r="A133" s="110"/>
      <c r="B133" s="127"/>
      <c r="C133" s="126"/>
      <c r="D133" s="129"/>
      <c r="E133" s="131" t="s">
        <v>184</v>
      </c>
      <c r="F133" s="877" t="str">
        <f>IF($B133="","",IF(SUMIFS(CONFIG_PALETES!$C:$C,CONFIG_PALETES!$A:$A,TRIM($B133),CONFIG_PALETES!$B:$B,$C133&amp;" ml")&gt;0,SUMIFS(CONFIG_PALETES!$C:$C,CONFIG_PALETES!$A:$A,TRIM($B133),CONFIG_PALETES!$B:$B,$C133&amp;" ml"),IF(SUMIFS(CONFIG_PALETES!$C:$C,CONFIG_PALETES!$A:$A,"GERAL",CONFIG_PALETES!$B:$B,$C133&amp;" ml")&gt;0,SUMIFS(CONFIG_PALETES!$C:$C,CONFIG_PALETES!$A:$A,"GERAL",CONFIG_PALETES!$B:$B,$C133&amp;" ml"),"")))</f>
        <v/>
      </c>
      <c r="G133" s="130" t="str">
        <f>IFERROR(ROUNDUP(D133/F133,0),"")</f>
        <v/>
      </c>
      <c r="H133" s="105"/>
      <c r="I133" s="129" t="str">
        <f>IF(H133="","",H133*IF(SUMIFS(CONFIG_PALETES!$D:$D,CONFIG_PALETES!$A:$A,IF(ISNUMBER(SEARCH("ESPUMA",$B133)),"ESPUMA",IF(OR(ISNUMBER(SEARCH("OLEO DE COCO",$B133)),ISNUMBER(SEARCH("ÓLEO DE COCO",$B133)),ISNUMBER(SEARCH("COPRA",$B133))),"ÓLEO DE COCO",IF(ISNUMBER(SEARCH("CORANTE",$B133)),"CORANTE",TRIM($B133)))),CONFIG_PALETES!$B:$B,$C133&amp;" ml")&gt;0,SUMIFS(CONFIG_PALETES!$D:$D,CONFIG_PALETES!$A:$A,IF(ISNUMBER(SEARCH("ESPUMA",$B133)),"ESPUMA",IF(OR(ISNUMBER(SEARCH("OLEO DE COCO",$B133)),ISNUMBER(SEARCH("ÓLEO DE COCO",$B133)),ISNUMBER(SEARCH("COPRA",$B133))),"ÓLEO DE COCO",IF(ISNUMBER(SEARCH("CORANTE",$B133)),"CORANTE",TRIM($B133)))),CONFIG_PALETES!$B:$B,$C133&amp;" ml"),IF(SUMIFS(CONFIG_PALETES!$D:$D,CONFIG_PALETES!$A:$A,"GERAL",CONFIG_PALETES!$B:$B,$C133&amp;" ml")&gt;0,SUMIFS(CONFIG_PALETES!$D:$D,CONFIG_PALETES!$A:$A,"GERAL",CONFIG_PALETES!$B:$B,$C133&amp;" ml"),12)))</f>
        <v/>
      </c>
      <c r="J133" s="128"/>
      <c r="K133" s="128"/>
      <c r="L133" s="128"/>
      <c r="M133" s="128"/>
      <c r="AA133" t="s">
        <v>396</v>
      </c>
      <c r="AB133" t="s">
        <v>1432</v>
      </c>
    </row>
    <row r="134" spans="1:28" ht="21" customHeight="1" x14ac:dyDescent="0.3">
      <c r="A134" s="110"/>
      <c r="B134" s="127"/>
      <c r="C134" s="126"/>
      <c r="D134" s="129"/>
      <c r="E134" s="131" t="s">
        <v>184</v>
      </c>
      <c r="F134" s="877" t="str">
        <f>IF($B134="","",IF(SUMIFS(CONFIG_PALETES!$C:$C,CONFIG_PALETES!$A:$A,TRIM($B134),CONFIG_PALETES!$B:$B,$C134&amp;" ml")&gt;0,SUMIFS(CONFIG_PALETES!$C:$C,CONFIG_PALETES!$A:$A,TRIM($B134),CONFIG_PALETES!$B:$B,$C134&amp;" ml"),IF(SUMIFS(CONFIG_PALETES!$C:$C,CONFIG_PALETES!$A:$A,"GERAL",CONFIG_PALETES!$B:$B,$C134&amp;" ml")&gt;0,SUMIFS(CONFIG_PALETES!$C:$C,CONFIG_PALETES!$A:$A,"GERAL",CONFIG_PALETES!$B:$B,$C134&amp;" ml"),"")))</f>
        <v/>
      </c>
      <c r="G134" s="130" t="str">
        <f>IFERROR(ROUNDUP(D134/F134,0),"")</f>
        <v/>
      </c>
      <c r="H134" s="105"/>
      <c r="I134" s="129" t="str">
        <f>IF(H134="","",H134*IF(SUMIFS(CONFIG_PALETES!$D:$D,CONFIG_PALETES!$A:$A,IF(ISNUMBER(SEARCH("ESPUMA",$B134)),"ESPUMA",IF(OR(ISNUMBER(SEARCH("OLEO DE COCO",$B134)),ISNUMBER(SEARCH("ÓLEO DE COCO",$B134)),ISNUMBER(SEARCH("COPRA",$B134))),"ÓLEO DE COCO",IF(ISNUMBER(SEARCH("CORANTE",$B134)),"CORANTE",TRIM($B134)))),CONFIG_PALETES!$B:$B,$C134&amp;" ml")&gt;0,SUMIFS(CONFIG_PALETES!$D:$D,CONFIG_PALETES!$A:$A,IF(ISNUMBER(SEARCH("ESPUMA",$B134)),"ESPUMA",IF(OR(ISNUMBER(SEARCH("OLEO DE COCO",$B134)),ISNUMBER(SEARCH("ÓLEO DE COCO",$B134)),ISNUMBER(SEARCH("COPRA",$B134))),"ÓLEO DE COCO",IF(ISNUMBER(SEARCH("CORANTE",$B134)),"CORANTE",TRIM($B134)))),CONFIG_PALETES!$B:$B,$C134&amp;" ml"),IF(SUMIFS(CONFIG_PALETES!$D:$D,CONFIG_PALETES!$A:$A,"GERAL",CONFIG_PALETES!$B:$B,$C134&amp;" ml")&gt;0,SUMIFS(CONFIG_PALETES!$D:$D,CONFIG_PALETES!$A:$A,"GERAL",CONFIG_PALETES!$B:$B,$C134&amp;" ml"),12)))</f>
        <v/>
      </c>
      <c r="J134" s="128"/>
      <c r="K134" s="128"/>
      <c r="L134" s="128"/>
      <c r="M134" s="128"/>
      <c r="AA134" t="s">
        <v>490</v>
      </c>
      <c r="AB134" t="s">
        <v>1425</v>
      </c>
    </row>
    <row r="135" spans="1:28" ht="21" customHeight="1" x14ac:dyDescent="0.3">
      <c r="A135" s="110"/>
      <c r="B135" s="127"/>
      <c r="C135" s="126"/>
      <c r="D135" s="129"/>
      <c r="E135" s="131" t="s">
        <v>184</v>
      </c>
      <c r="F135" s="877" t="str">
        <f>IF($B135="","",IF(SUMIFS(CONFIG_PALETES!$C:$C,CONFIG_PALETES!$A:$A,TRIM($B135),CONFIG_PALETES!$B:$B,$C135&amp;" ml")&gt;0,SUMIFS(CONFIG_PALETES!$C:$C,CONFIG_PALETES!$A:$A,TRIM($B135),CONFIG_PALETES!$B:$B,$C135&amp;" ml"),IF(SUMIFS(CONFIG_PALETES!$C:$C,CONFIG_PALETES!$A:$A,"GERAL",CONFIG_PALETES!$B:$B,$C135&amp;" ml")&gt;0,SUMIFS(CONFIG_PALETES!$C:$C,CONFIG_PALETES!$A:$A,"GERAL",CONFIG_PALETES!$B:$B,$C135&amp;" ml"),"")))</f>
        <v/>
      </c>
      <c r="G135" s="130" t="str">
        <f>IFERROR(ROUNDUP(D135/F135,0),"")</f>
        <v/>
      </c>
      <c r="H135" s="105"/>
      <c r="I135" s="129" t="str">
        <f>IF(H135="","",H135*IF(SUMIFS(CONFIG_PALETES!$D:$D,CONFIG_PALETES!$A:$A,IF(ISNUMBER(SEARCH("ESPUMA",$B135)),"ESPUMA",IF(OR(ISNUMBER(SEARCH("OLEO DE COCO",$B135)),ISNUMBER(SEARCH("ÓLEO DE COCO",$B135)),ISNUMBER(SEARCH("COPRA",$B135))),"ÓLEO DE COCO",IF(ISNUMBER(SEARCH("CORANTE",$B135)),"CORANTE",TRIM($B135)))),CONFIG_PALETES!$B:$B,$C135&amp;" ml")&gt;0,SUMIFS(CONFIG_PALETES!$D:$D,CONFIG_PALETES!$A:$A,IF(ISNUMBER(SEARCH("ESPUMA",$B135)),"ESPUMA",IF(OR(ISNUMBER(SEARCH("OLEO DE COCO",$B135)),ISNUMBER(SEARCH("ÓLEO DE COCO",$B135)),ISNUMBER(SEARCH("COPRA",$B135))),"ÓLEO DE COCO",IF(ISNUMBER(SEARCH("CORANTE",$B135)),"CORANTE",TRIM($B135)))),CONFIG_PALETES!$B:$B,$C135&amp;" ml"),IF(SUMIFS(CONFIG_PALETES!$D:$D,CONFIG_PALETES!$A:$A,"GERAL",CONFIG_PALETES!$B:$B,$C135&amp;" ml")&gt;0,SUMIFS(CONFIG_PALETES!$D:$D,CONFIG_PALETES!$A:$A,"GERAL",CONFIG_PALETES!$B:$B,$C135&amp;" ml"),12)))</f>
        <v/>
      </c>
      <c r="J135" s="128"/>
      <c r="K135" s="128"/>
      <c r="L135" s="128"/>
      <c r="M135" s="128"/>
      <c r="AA135" t="s">
        <v>1082</v>
      </c>
      <c r="AB135" t="s">
        <v>1424</v>
      </c>
    </row>
    <row r="136" spans="1:28" ht="21" customHeight="1" x14ac:dyDescent="0.3">
      <c r="A136" s="817"/>
      <c r="B136" s="829"/>
      <c r="C136" s="830"/>
      <c r="D136" s="831"/>
      <c r="E136" s="832" t="s">
        <v>184</v>
      </c>
      <c r="F136" s="878" t="str">
        <f>IF($B136="","",IF(SUMIFS(CONFIG_PALETES!$C:$C,CONFIG_PALETES!$A:$A,TRIM($B136),CONFIG_PALETES!$B:$B,$C136&amp;" ml")&gt;0,SUMIFS(CONFIG_PALETES!$C:$C,CONFIG_PALETES!$A:$A,TRIM($B136),CONFIG_PALETES!$B:$B,$C136&amp;" ml"),IF(SUMIFS(CONFIG_PALETES!$C:$C,CONFIG_PALETES!$A:$A,"GERAL",CONFIG_PALETES!$B:$B,$C136&amp;" ml")&gt;0,SUMIFS(CONFIG_PALETES!$C:$C,CONFIG_PALETES!$A:$A,"GERAL",CONFIG_PALETES!$B:$B,$C136&amp;" ml"),"")))</f>
        <v/>
      </c>
      <c r="G136" s="833" t="str">
        <f>IFERROR(ROUNDUP(D136/F136,0),"")</f>
        <v/>
      </c>
      <c r="H136" s="823"/>
      <c r="I136" s="831" t="str">
        <f>IF(H136="","",H136*IF(SUMIFS(CONFIG_PALETES!$D:$D,CONFIG_PALETES!$A:$A,IF(ISNUMBER(SEARCH("ESPUMA",$B136)),"ESPUMA",IF(OR(ISNUMBER(SEARCH("OLEO DE COCO",$B136)),ISNUMBER(SEARCH("ÓLEO DE COCO",$B136)),ISNUMBER(SEARCH("COPRA",$B136))),"ÓLEO DE COCO",IF(ISNUMBER(SEARCH("CORANTE",$B136)),"CORANTE",TRIM($B136)))),CONFIG_PALETES!$B:$B,$C136&amp;" ml")&gt;0,SUMIFS(CONFIG_PALETES!$D:$D,CONFIG_PALETES!$A:$A,IF(ISNUMBER(SEARCH("ESPUMA",$B136)),"ESPUMA",IF(OR(ISNUMBER(SEARCH("OLEO DE COCO",$B136)),ISNUMBER(SEARCH("ÓLEO DE COCO",$B136)),ISNUMBER(SEARCH("COPRA",$B136))),"ÓLEO DE COCO",IF(ISNUMBER(SEARCH("CORANTE",$B136)),"CORANTE",TRIM($B136)))),CONFIG_PALETES!$B:$B,$C136&amp;" ml"),IF(SUMIFS(CONFIG_PALETES!$D:$D,CONFIG_PALETES!$A:$A,"GERAL",CONFIG_PALETES!$B:$B,$C136&amp;" ml")&gt;0,SUMIFS(CONFIG_PALETES!$D:$D,CONFIG_PALETES!$A:$A,"GERAL",CONFIG_PALETES!$B:$B,$C136&amp;" ml"),12)))</f>
        <v/>
      </c>
      <c r="J136" s="128"/>
      <c r="K136" s="128"/>
      <c r="L136" s="128"/>
      <c r="M136" s="128"/>
      <c r="AA136" t="s">
        <v>598</v>
      </c>
      <c r="AB136" t="s">
        <v>1432</v>
      </c>
    </row>
    <row r="137" spans="1:28" ht="15" customHeight="1" x14ac:dyDescent="0.3">
      <c r="A137" s="899"/>
      <c r="B137" s="846" t="s">
        <v>186</v>
      </c>
      <c r="C137" s="851"/>
      <c r="D137" s="848">
        <f>SUM(D130:D136)</f>
        <v>0</v>
      </c>
      <c r="E137" s="852"/>
      <c r="F137" s="857" t="s">
        <v>1400</v>
      </c>
      <c r="G137" s="850">
        <f>SUM(G130:G136)</f>
        <v>0</v>
      </c>
      <c r="H137" s="848">
        <f>SUM(H130:H136)</f>
        <v>0</v>
      </c>
      <c r="I137" s="848">
        <f>SUM(I130:I136)</f>
        <v>0</v>
      </c>
      <c r="J137" s="133">
        <f>D137</f>
        <v>0</v>
      </c>
      <c r="K137" s="134">
        <f>G137</f>
        <v>0</v>
      </c>
      <c r="L137" s="133">
        <f>H137</f>
        <v>0</v>
      </c>
      <c r="M137" s="133">
        <f>I137</f>
        <v>0</v>
      </c>
      <c r="N137" s="587" t="str" cm="1">
        <f t="array" ref="N137">IF(H137=0,"",SUMPRODUCT(IFERROR(INT(H132:H136/F132:F136),0)))</f>
        <v/>
      </c>
      <c r="O137" s="770" t="str">
        <f>IF(N137="","",MAX(0,G137-N137))</f>
        <v/>
      </c>
      <c r="AA137" t="s">
        <v>397</v>
      </c>
      <c r="AB137" t="s">
        <v>1424</v>
      </c>
    </row>
    <row r="138" spans="1:28" ht="6" customHeight="1" x14ac:dyDescent="0.3">
      <c r="A138" s="128"/>
      <c r="B138" s="128"/>
      <c r="C138" s="132"/>
      <c r="D138" s="128"/>
      <c r="E138" s="128"/>
      <c r="F138" s="128"/>
      <c r="G138" s="128"/>
      <c r="H138" s="128"/>
      <c r="I138" s="128"/>
      <c r="J138" s="128"/>
      <c r="K138" s="128"/>
      <c r="L138" s="128"/>
      <c r="M138" s="128"/>
      <c r="AA138" t="s">
        <v>163</v>
      </c>
      <c r="AB138" t="s">
        <v>1423</v>
      </c>
    </row>
    <row r="139" spans="1:28" ht="15" customHeight="1" x14ac:dyDescent="0.3">
      <c r="A139" s="75">
        <v>46377</v>
      </c>
      <c r="B139" s="113" t="s">
        <v>49</v>
      </c>
      <c r="C139" s="112" t="s">
        <v>176</v>
      </c>
      <c r="D139" s="111" t="s">
        <v>177</v>
      </c>
      <c r="E139" s="111" t="s">
        <v>178</v>
      </c>
      <c r="F139" s="860" t="s">
        <v>179</v>
      </c>
      <c r="G139" s="111" t="s">
        <v>180</v>
      </c>
      <c r="H139" s="111" t="s">
        <v>181</v>
      </c>
      <c r="I139" s="111" t="s">
        <v>182</v>
      </c>
    </row>
    <row r="140" spans="1:28" ht="21" customHeight="1" x14ac:dyDescent="0.3">
      <c r="A140" s="110"/>
      <c r="B140" s="109"/>
      <c r="C140" s="108"/>
      <c r="D140" s="104"/>
      <c r="E140" s="107" t="s">
        <v>184</v>
      </c>
      <c r="F140" s="871" t="str">
        <f>IF($B140="","",IF(SUMIFS(CONFIG_PALETES!$C:$C,CONFIG_PALETES!$A:$A,TRIM($B140),CONFIG_PALETES!$B:$B,$C140&amp;" ml")&gt;0,SUMIFS(CONFIG_PALETES!$C:$C,CONFIG_PALETES!$A:$A,TRIM($B140),CONFIG_PALETES!$B:$B,$C140&amp;" ml"),IF(SUMIFS(CONFIG_PALETES!$C:$C,CONFIG_PALETES!$A:$A,"GERAL",CONFIG_PALETES!$B:$B,$C140&amp;" ml")&gt;0,SUMIFS(CONFIG_PALETES!$C:$C,CONFIG_PALETES!$A:$A,"GERAL",CONFIG_PALETES!$B:$B,$C140&amp;" ml"),"")))</f>
        <v/>
      </c>
      <c r="G140" s="106" t="str">
        <f>IFERROR(ROUNDUP(D140/F140,0),"")</f>
        <v/>
      </c>
      <c r="H140" s="105"/>
      <c r="I140" s="104" t="str">
        <f>IF(H140="","",H140*IF(SUMIFS(CONFIG_PALETES!$D:$D,CONFIG_PALETES!$A:$A,IF(ISNUMBER(SEARCH("ESPUMA",$B140)),"ESPUMA",IF(OR(ISNUMBER(SEARCH("OLEO DE COCO",$B140)),ISNUMBER(SEARCH("ÓLEO DE COCO",$B140)),ISNUMBER(SEARCH("COPRA",$B140))),"ÓLEO DE COCO",IF(ISNUMBER(SEARCH("CORANTE",$B140)),"CORANTE",TRIM($B140)))),CONFIG_PALETES!$B:$B,$C140&amp;" ml")&gt;0,SUMIFS(CONFIG_PALETES!$D:$D,CONFIG_PALETES!$A:$A,IF(ISNUMBER(SEARCH("ESPUMA",$B140)),"ESPUMA",IF(OR(ISNUMBER(SEARCH("OLEO DE COCO",$B140)),ISNUMBER(SEARCH("ÓLEO DE COCO",$B140)),ISNUMBER(SEARCH("COPRA",$B140))),"ÓLEO DE COCO",IF(ISNUMBER(SEARCH("CORANTE",$B140)),"CORANTE",TRIM($B140)))),CONFIG_PALETES!$B:$B,$C140&amp;" ml"),IF(SUMIFS(CONFIG_PALETES!$D:$D,CONFIG_PALETES!$A:$A,"GERAL",CONFIG_PALETES!$B:$B,$C140&amp;" ml")&gt;0,SUMIFS(CONFIG_PALETES!$D:$D,CONFIG_PALETES!$A:$A,"GERAL",CONFIG_PALETES!$B:$B,$C140&amp;" ml"),12)))</f>
        <v/>
      </c>
    </row>
    <row r="141" spans="1:28" ht="21" customHeight="1" x14ac:dyDescent="0.3">
      <c r="A141" s="110"/>
      <c r="B141" s="109"/>
      <c r="C141" s="108"/>
      <c r="D141" s="104"/>
      <c r="E141" s="107" t="s">
        <v>184</v>
      </c>
      <c r="F141" s="871" t="str">
        <f>IF($B141="","",IF(SUMIFS(CONFIG_PALETES!$C:$C,CONFIG_PALETES!$A:$A,TRIM($B141),CONFIG_PALETES!$B:$B,$C141&amp;" ml")&gt;0,SUMIFS(CONFIG_PALETES!$C:$C,CONFIG_PALETES!$A:$A,TRIM($B141),CONFIG_PALETES!$B:$B,$C141&amp;" ml"),IF(SUMIFS(CONFIG_PALETES!$C:$C,CONFIG_PALETES!$A:$A,"GERAL",CONFIG_PALETES!$B:$B,$C141&amp;" ml")&gt;0,SUMIFS(CONFIG_PALETES!$C:$C,CONFIG_PALETES!$A:$A,"GERAL",CONFIG_PALETES!$B:$B,$C141&amp;" ml"),"")))</f>
        <v/>
      </c>
      <c r="G141" s="106" t="str">
        <f>IFERROR(ROUNDUP(D141/F141,0),"")</f>
        <v/>
      </c>
      <c r="H141" s="105"/>
      <c r="I141" s="104" t="str">
        <f>IF(H141="","",H141*IF(SUMIFS(CONFIG_PALETES!$D:$D,CONFIG_PALETES!$A:$A,IF(ISNUMBER(SEARCH("ESPUMA",$B141)),"ESPUMA",IF(OR(ISNUMBER(SEARCH("OLEO DE COCO",$B141)),ISNUMBER(SEARCH("ÓLEO DE COCO",$B141)),ISNUMBER(SEARCH("COPRA",$B141))),"ÓLEO DE COCO",IF(ISNUMBER(SEARCH("CORANTE",$B141)),"CORANTE",TRIM($B141)))),CONFIG_PALETES!$B:$B,$C141&amp;" ml")&gt;0,SUMIFS(CONFIG_PALETES!$D:$D,CONFIG_PALETES!$A:$A,IF(ISNUMBER(SEARCH("ESPUMA",$B141)),"ESPUMA",IF(OR(ISNUMBER(SEARCH("OLEO DE COCO",$B141)),ISNUMBER(SEARCH("ÓLEO DE COCO",$B141)),ISNUMBER(SEARCH("COPRA",$B141))),"ÓLEO DE COCO",IF(ISNUMBER(SEARCH("CORANTE",$B141)),"CORANTE",TRIM($B141)))),CONFIG_PALETES!$B:$B,$C141&amp;" ml"),IF(SUMIFS(CONFIG_PALETES!$D:$D,CONFIG_PALETES!$A:$A,"GERAL",CONFIG_PALETES!$B:$B,$C141&amp;" ml")&gt;0,SUMIFS(CONFIG_PALETES!$D:$D,CONFIG_PALETES!$A:$A,"GERAL",CONFIG_PALETES!$B:$B,$C141&amp;" ml"),12)))</f>
        <v/>
      </c>
    </row>
    <row r="142" spans="1:28" ht="21" customHeight="1" x14ac:dyDescent="0.3">
      <c r="A142" s="110"/>
      <c r="B142" s="109"/>
      <c r="C142" s="108"/>
      <c r="D142" s="104"/>
      <c r="E142" s="107" t="s">
        <v>184</v>
      </c>
      <c r="F142" s="871" t="str">
        <f>IF($B142="","",IF(SUMIFS(CONFIG_PALETES!$C:$C,CONFIG_PALETES!$A:$A,TRIM($B142),CONFIG_PALETES!$B:$B,$C142&amp;" ml")&gt;0,SUMIFS(CONFIG_PALETES!$C:$C,CONFIG_PALETES!$A:$A,TRIM($B142),CONFIG_PALETES!$B:$B,$C142&amp;" ml"),IF(SUMIFS(CONFIG_PALETES!$C:$C,CONFIG_PALETES!$A:$A,"GERAL",CONFIG_PALETES!$B:$B,$C142&amp;" ml")&gt;0,SUMIFS(CONFIG_PALETES!$C:$C,CONFIG_PALETES!$A:$A,"GERAL",CONFIG_PALETES!$B:$B,$C142&amp;" ml"),"")))</f>
        <v/>
      </c>
      <c r="G142" s="106" t="str">
        <f>IFERROR(ROUNDUP(D142/F142,0),"")</f>
        <v/>
      </c>
      <c r="H142" s="105"/>
      <c r="I142" s="104" t="str">
        <f>IF(H142="","",H142*IF(SUMIFS(CONFIG_PALETES!$D:$D,CONFIG_PALETES!$A:$A,IF(ISNUMBER(SEARCH("ESPUMA",$B142)),"ESPUMA",IF(OR(ISNUMBER(SEARCH("OLEO DE COCO",$B142)),ISNUMBER(SEARCH("ÓLEO DE COCO",$B142)),ISNUMBER(SEARCH("COPRA",$B142))),"ÓLEO DE COCO",IF(ISNUMBER(SEARCH("CORANTE",$B142)),"CORANTE",TRIM($B142)))),CONFIG_PALETES!$B:$B,$C142&amp;" ml")&gt;0,SUMIFS(CONFIG_PALETES!$D:$D,CONFIG_PALETES!$A:$A,IF(ISNUMBER(SEARCH("ESPUMA",$B142)),"ESPUMA",IF(OR(ISNUMBER(SEARCH("OLEO DE COCO",$B142)),ISNUMBER(SEARCH("ÓLEO DE COCO",$B142)),ISNUMBER(SEARCH("COPRA",$B142))),"ÓLEO DE COCO",IF(ISNUMBER(SEARCH("CORANTE",$B142)),"CORANTE",TRIM($B142)))),CONFIG_PALETES!$B:$B,$C142&amp;" ml"),IF(SUMIFS(CONFIG_PALETES!$D:$D,CONFIG_PALETES!$A:$A,"GERAL",CONFIG_PALETES!$B:$B,$C142&amp;" ml")&gt;0,SUMIFS(CONFIG_PALETES!$D:$D,CONFIG_PALETES!$A:$A,"GERAL",CONFIG_PALETES!$B:$B,$C142&amp;" ml"),12)))</f>
        <v/>
      </c>
    </row>
    <row r="143" spans="1:28" ht="21" customHeight="1" x14ac:dyDescent="0.3">
      <c r="A143" s="110"/>
      <c r="B143" s="109"/>
      <c r="C143" s="108"/>
      <c r="D143" s="104"/>
      <c r="E143" s="107" t="s">
        <v>184</v>
      </c>
      <c r="F143" s="871" t="str">
        <f>IF($B143="","",IF(SUMIFS(CONFIG_PALETES!$C:$C,CONFIG_PALETES!$A:$A,TRIM($B143),CONFIG_PALETES!$B:$B,$C143&amp;" ml")&gt;0,SUMIFS(CONFIG_PALETES!$C:$C,CONFIG_PALETES!$A:$A,TRIM($B143),CONFIG_PALETES!$B:$B,$C143&amp;" ml"),IF(SUMIFS(CONFIG_PALETES!$C:$C,CONFIG_PALETES!$A:$A,"GERAL",CONFIG_PALETES!$B:$B,$C143&amp;" ml")&gt;0,SUMIFS(CONFIG_PALETES!$C:$C,CONFIG_PALETES!$A:$A,"GERAL",CONFIG_PALETES!$B:$B,$C143&amp;" ml"),"")))</f>
        <v/>
      </c>
      <c r="G143" s="106" t="str">
        <f>IFERROR(ROUNDUP(D143/F143,0),"")</f>
        <v/>
      </c>
      <c r="H143" s="105"/>
      <c r="I143" s="104" t="str">
        <f>IF(H143="","",H143*IF(SUMIFS(CONFIG_PALETES!$D:$D,CONFIG_PALETES!$A:$A,IF(ISNUMBER(SEARCH("ESPUMA",$B143)),"ESPUMA",IF(OR(ISNUMBER(SEARCH("OLEO DE COCO",$B143)),ISNUMBER(SEARCH("ÓLEO DE COCO",$B143)),ISNUMBER(SEARCH("COPRA",$B143))),"ÓLEO DE COCO",IF(ISNUMBER(SEARCH("CORANTE",$B143)),"CORANTE",TRIM($B143)))),CONFIG_PALETES!$B:$B,$C143&amp;" ml")&gt;0,SUMIFS(CONFIG_PALETES!$D:$D,CONFIG_PALETES!$A:$A,IF(ISNUMBER(SEARCH("ESPUMA",$B143)),"ESPUMA",IF(OR(ISNUMBER(SEARCH("OLEO DE COCO",$B143)),ISNUMBER(SEARCH("ÓLEO DE COCO",$B143)),ISNUMBER(SEARCH("COPRA",$B143))),"ÓLEO DE COCO",IF(ISNUMBER(SEARCH("CORANTE",$B143)),"CORANTE",TRIM($B143)))),CONFIG_PALETES!$B:$B,$C143&amp;" ml"),IF(SUMIFS(CONFIG_PALETES!$D:$D,CONFIG_PALETES!$A:$A,"GERAL",CONFIG_PALETES!$B:$B,$C143&amp;" ml")&gt;0,SUMIFS(CONFIG_PALETES!$D:$D,CONFIG_PALETES!$A:$A,"GERAL",CONFIG_PALETES!$B:$B,$C143&amp;" ml"),12)))</f>
        <v/>
      </c>
    </row>
    <row r="144" spans="1:28" ht="21" customHeight="1" x14ac:dyDescent="0.3">
      <c r="A144" s="817"/>
      <c r="B144" s="818"/>
      <c r="C144" s="819"/>
      <c r="D144" s="820"/>
      <c r="E144" s="821" t="s">
        <v>184</v>
      </c>
      <c r="F144" s="872" t="str">
        <f>IF($B144="","",IF(SUMIFS(CONFIG_PALETES!$C:$C,CONFIG_PALETES!$A:$A,TRIM($B144),CONFIG_PALETES!$B:$B,$C144&amp;" ml")&gt;0,SUMIFS(CONFIG_PALETES!$C:$C,CONFIG_PALETES!$A:$A,TRIM($B144),CONFIG_PALETES!$B:$B,$C144&amp;" ml"),IF(SUMIFS(CONFIG_PALETES!$C:$C,CONFIG_PALETES!$A:$A,"GERAL",CONFIG_PALETES!$B:$B,$C144&amp;" ml")&gt;0,SUMIFS(CONFIG_PALETES!$C:$C,CONFIG_PALETES!$A:$A,"GERAL",CONFIG_PALETES!$B:$B,$C144&amp;" ml"),"")))</f>
        <v/>
      </c>
      <c r="G144" s="822" t="str">
        <f>IFERROR(ROUNDUP(D144/F144,0),"")</f>
        <v/>
      </c>
      <c r="H144" s="823"/>
      <c r="I144" s="820" t="str">
        <f>IF(H144="","",H144*IF(SUMIFS(CONFIG_PALETES!$D:$D,CONFIG_PALETES!$A:$A,IF(ISNUMBER(SEARCH("ESPUMA",$B144)),"ESPUMA",IF(OR(ISNUMBER(SEARCH("OLEO DE COCO",$B144)),ISNUMBER(SEARCH("ÓLEO DE COCO",$B144)),ISNUMBER(SEARCH("COPRA",$B144))),"ÓLEO DE COCO",IF(ISNUMBER(SEARCH("CORANTE",$B144)),"CORANTE",TRIM($B144)))),CONFIG_PALETES!$B:$B,$C144&amp;" ml")&gt;0,SUMIFS(CONFIG_PALETES!$D:$D,CONFIG_PALETES!$A:$A,IF(ISNUMBER(SEARCH("ESPUMA",$B144)),"ESPUMA",IF(OR(ISNUMBER(SEARCH("OLEO DE COCO",$B144)),ISNUMBER(SEARCH("ÓLEO DE COCO",$B144)),ISNUMBER(SEARCH("COPRA",$B144))),"ÓLEO DE COCO",IF(ISNUMBER(SEARCH("CORANTE",$B144)),"CORANTE",TRIM($B144)))),CONFIG_PALETES!$B:$B,$C144&amp;" ml"),IF(SUMIFS(CONFIG_PALETES!$D:$D,CONFIG_PALETES!$A:$A,"GERAL",CONFIG_PALETES!$B:$B,$C144&amp;" ml")&gt;0,SUMIFS(CONFIG_PALETES!$D:$D,CONFIG_PALETES!$A:$A,"GERAL",CONFIG_PALETES!$B:$B,$C144&amp;" ml"),12)))</f>
        <v/>
      </c>
    </row>
    <row r="145" spans="1:15" ht="15" customHeight="1" x14ac:dyDescent="0.3">
      <c r="A145" s="899"/>
      <c r="B145" s="846" t="s">
        <v>186</v>
      </c>
      <c r="C145" s="847"/>
      <c r="D145" s="848">
        <f>SUM(D138:D144)</f>
        <v>0</v>
      </c>
      <c r="E145" s="849"/>
      <c r="F145" s="856" t="s">
        <v>1400</v>
      </c>
      <c r="G145" s="850">
        <f>SUM(G138:G144)</f>
        <v>0</v>
      </c>
      <c r="H145" s="848">
        <f>SUM(H138:H144)</f>
        <v>0</v>
      </c>
      <c r="I145" s="848">
        <f>SUM(I138:I144)</f>
        <v>0</v>
      </c>
      <c r="J145" s="63">
        <f>D145</f>
        <v>0</v>
      </c>
      <c r="K145" s="93">
        <f>G145</f>
        <v>0</v>
      </c>
      <c r="L145" s="63">
        <f>H145</f>
        <v>0</v>
      </c>
      <c r="M145" s="63">
        <f>I145</f>
        <v>0</v>
      </c>
      <c r="N145" s="587" t="str" cm="1">
        <f t="array" ref="N145">IF(H145=0,"",SUMPRODUCT(IFERROR(INT(H140:H144/F140:F144),0)))</f>
        <v/>
      </c>
      <c r="O145" s="770" t="str">
        <f>IF(N145="","",MAX(0,G145-N145))</f>
        <v/>
      </c>
    </row>
    <row r="146" spans="1:15" ht="6" customHeight="1" x14ac:dyDescent="0.3">
      <c r="C146" s="65"/>
    </row>
    <row r="147" spans="1:15" ht="15" customHeight="1" x14ac:dyDescent="0.3">
      <c r="A147" s="75">
        <v>46378</v>
      </c>
      <c r="B147" s="113" t="s">
        <v>49</v>
      </c>
      <c r="C147" s="112" t="s">
        <v>176</v>
      </c>
      <c r="D147" s="111" t="s">
        <v>177</v>
      </c>
      <c r="E147" s="111" t="s">
        <v>178</v>
      </c>
      <c r="F147" s="860" t="s">
        <v>179</v>
      </c>
      <c r="G147" s="111" t="s">
        <v>180</v>
      </c>
      <c r="H147" s="111" t="s">
        <v>181</v>
      </c>
      <c r="I147" s="111" t="s">
        <v>182</v>
      </c>
    </row>
    <row r="148" spans="1:15" ht="21" customHeight="1" x14ac:dyDescent="0.3">
      <c r="A148" s="110"/>
      <c r="B148" s="109"/>
      <c r="C148" s="108"/>
      <c r="D148" s="104"/>
      <c r="E148" s="107" t="s">
        <v>184</v>
      </c>
      <c r="F148" s="871" t="str">
        <f>IF($B148="","",IF(SUMIFS(CONFIG_PALETES!$C:$C,CONFIG_PALETES!$A:$A,TRIM($B148),CONFIG_PALETES!$B:$B,$C148&amp;" ml")&gt;0,SUMIFS(CONFIG_PALETES!$C:$C,CONFIG_PALETES!$A:$A,TRIM($B148),CONFIG_PALETES!$B:$B,$C148&amp;" ml"),IF(SUMIFS(CONFIG_PALETES!$C:$C,CONFIG_PALETES!$A:$A,"GERAL",CONFIG_PALETES!$B:$B,$C148&amp;" ml")&gt;0,SUMIFS(CONFIG_PALETES!$C:$C,CONFIG_PALETES!$A:$A,"GERAL",CONFIG_PALETES!$B:$B,$C148&amp;" ml"),"")))</f>
        <v/>
      </c>
      <c r="G148" s="106" t="str">
        <f>IFERROR(ROUNDUP(D148/F148,0),"")</f>
        <v/>
      </c>
      <c r="H148" s="105"/>
      <c r="I148" s="104" t="str">
        <f>IF(H148="","",H148*IF(SUMIFS(CONFIG_PALETES!$D:$D,CONFIG_PALETES!$A:$A,IF(ISNUMBER(SEARCH("ESPUMA",$B148)),"ESPUMA",IF(OR(ISNUMBER(SEARCH("OLEO DE COCO",$B148)),ISNUMBER(SEARCH("ÓLEO DE COCO",$B148)),ISNUMBER(SEARCH("COPRA",$B148))),"ÓLEO DE COCO",IF(ISNUMBER(SEARCH("CORANTE",$B148)),"CORANTE",TRIM($B148)))),CONFIG_PALETES!$B:$B,$C148&amp;" ml")&gt;0,SUMIFS(CONFIG_PALETES!$D:$D,CONFIG_PALETES!$A:$A,IF(ISNUMBER(SEARCH("ESPUMA",$B148)),"ESPUMA",IF(OR(ISNUMBER(SEARCH("OLEO DE COCO",$B148)),ISNUMBER(SEARCH("ÓLEO DE COCO",$B148)),ISNUMBER(SEARCH("COPRA",$B148))),"ÓLEO DE COCO",IF(ISNUMBER(SEARCH("CORANTE",$B148)),"CORANTE",TRIM($B148)))),CONFIG_PALETES!$B:$B,$C148&amp;" ml"),IF(SUMIFS(CONFIG_PALETES!$D:$D,CONFIG_PALETES!$A:$A,"GERAL",CONFIG_PALETES!$B:$B,$C148&amp;" ml")&gt;0,SUMIFS(CONFIG_PALETES!$D:$D,CONFIG_PALETES!$A:$A,"GERAL",CONFIG_PALETES!$B:$B,$C148&amp;" ml"),12)))</f>
        <v/>
      </c>
    </row>
    <row r="149" spans="1:15" ht="21" customHeight="1" x14ac:dyDescent="0.3">
      <c r="A149" s="110"/>
      <c r="B149" s="109"/>
      <c r="C149" s="108"/>
      <c r="D149" s="104"/>
      <c r="E149" s="107" t="s">
        <v>184</v>
      </c>
      <c r="F149" s="871" t="str">
        <f>IF($B149="","",IF(SUMIFS(CONFIG_PALETES!$C:$C,CONFIG_PALETES!$A:$A,TRIM($B149),CONFIG_PALETES!$B:$B,$C149&amp;" ml")&gt;0,SUMIFS(CONFIG_PALETES!$C:$C,CONFIG_PALETES!$A:$A,TRIM($B149),CONFIG_PALETES!$B:$B,$C149&amp;" ml"),IF(SUMIFS(CONFIG_PALETES!$C:$C,CONFIG_PALETES!$A:$A,"GERAL",CONFIG_PALETES!$B:$B,$C149&amp;" ml")&gt;0,SUMIFS(CONFIG_PALETES!$C:$C,CONFIG_PALETES!$A:$A,"GERAL",CONFIG_PALETES!$B:$B,$C149&amp;" ml"),"")))</f>
        <v/>
      </c>
      <c r="G149" s="106" t="str">
        <f>IFERROR(ROUNDUP(D149/F149,0),"")</f>
        <v/>
      </c>
      <c r="H149" s="105"/>
      <c r="I149" s="104" t="str">
        <f>IF(H149="","",H149*IF(SUMIFS(CONFIG_PALETES!$D:$D,CONFIG_PALETES!$A:$A,IF(ISNUMBER(SEARCH("ESPUMA",$B149)),"ESPUMA",IF(OR(ISNUMBER(SEARCH("OLEO DE COCO",$B149)),ISNUMBER(SEARCH("ÓLEO DE COCO",$B149)),ISNUMBER(SEARCH("COPRA",$B149))),"ÓLEO DE COCO",IF(ISNUMBER(SEARCH("CORANTE",$B149)),"CORANTE",TRIM($B149)))),CONFIG_PALETES!$B:$B,$C149&amp;" ml")&gt;0,SUMIFS(CONFIG_PALETES!$D:$D,CONFIG_PALETES!$A:$A,IF(ISNUMBER(SEARCH("ESPUMA",$B149)),"ESPUMA",IF(OR(ISNUMBER(SEARCH("OLEO DE COCO",$B149)),ISNUMBER(SEARCH("ÓLEO DE COCO",$B149)),ISNUMBER(SEARCH("COPRA",$B149))),"ÓLEO DE COCO",IF(ISNUMBER(SEARCH("CORANTE",$B149)),"CORANTE",TRIM($B149)))),CONFIG_PALETES!$B:$B,$C149&amp;" ml"),IF(SUMIFS(CONFIG_PALETES!$D:$D,CONFIG_PALETES!$A:$A,"GERAL",CONFIG_PALETES!$B:$B,$C149&amp;" ml")&gt;0,SUMIFS(CONFIG_PALETES!$D:$D,CONFIG_PALETES!$A:$A,"GERAL",CONFIG_PALETES!$B:$B,$C149&amp;" ml"),12)))</f>
        <v/>
      </c>
    </row>
    <row r="150" spans="1:15" ht="21" customHeight="1" x14ac:dyDescent="0.3">
      <c r="A150" s="110"/>
      <c r="B150" s="109"/>
      <c r="C150" s="108"/>
      <c r="D150" s="104"/>
      <c r="E150" s="107" t="s">
        <v>184</v>
      </c>
      <c r="F150" s="871" t="str">
        <f>IF($B150="","",IF(SUMIFS(CONFIG_PALETES!$C:$C,CONFIG_PALETES!$A:$A,TRIM($B150),CONFIG_PALETES!$B:$B,$C150&amp;" ml")&gt;0,SUMIFS(CONFIG_PALETES!$C:$C,CONFIG_PALETES!$A:$A,TRIM($B150),CONFIG_PALETES!$B:$B,$C150&amp;" ml"),IF(SUMIFS(CONFIG_PALETES!$C:$C,CONFIG_PALETES!$A:$A,"GERAL",CONFIG_PALETES!$B:$B,$C150&amp;" ml")&gt;0,SUMIFS(CONFIG_PALETES!$C:$C,CONFIG_PALETES!$A:$A,"GERAL",CONFIG_PALETES!$B:$B,$C150&amp;" ml"),"")))</f>
        <v/>
      </c>
      <c r="G150" s="106" t="str">
        <f>IFERROR(ROUNDUP(D150/F150,0),"")</f>
        <v/>
      </c>
      <c r="H150" s="105"/>
      <c r="I150" s="104" t="str">
        <f>IF(H150="","",H150*IF(SUMIFS(CONFIG_PALETES!$D:$D,CONFIG_PALETES!$A:$A,IF(ISNUMBER(SEARCH("ESPUMA",$B150)),"ESPUMA",IF(OR(ISNUMBER(SEARCH("OLEO DE COCO",$B150)),ISNUMBER(SEARCH("ÓLEO DE COCO",$B150)),ISNUMBER(SEARCH("COPRA",$B150))),"ÓLEO DE COCO",IF(ISNUMBER(SEARCH("CORANTE",$B150)),"CORANTE",TRIM($B150)))),CONFIG_PALETES!$B:$B,$C150&amp;" ml")&gt;0,SUMIFS(CONFIG_PALETES!$D:$D,CONFIG_PALETES!$A:$A,IF(ISNUMBER(SEARCH("ESPUMA",$B150)),"ESPUMA",IF(OR(ISNUMBER(SEARCH("OLEO DE COCO",$B150)),ISNUMBER(SEARCH("ÓLEO DE COCO",$B150)),ISNUMBER(SEARCH("COPRA",$B150))),"ÓLEO DE COCO",IF(ISNUMBER(SEARCH("CORANTE",$B150)),"CORANTE",TRIM($B150)))),CONFIG_PALETES!$B:$B,$C150&amp;" ml"),IF(SUMIFS(CONFIG_PALETES!$D:$D,CONFIG_PALETES!$A:$A,"GERAL",CONFIG_PALETES!$B:$B,$C150&amp;" ml")&gt;0,SUMIFS(CONFIG_PALETES!$D:$D,CONFIG_PALETES!$A:$A,"GERAL",CONFIG_PALETES!$B:$B,$C150&amp;" ml"),12)))</f>
        <v/>
      </c>
    </row>
    <row r="151" spans="1:15" ht="21" customHeight="1" x14ac:dyDescent="0.3">
      <c r="A151" s="110"/>
      <c r="B151" s="109"/>
      <c r="C151" s="108"/>
      <c r="D151" s="104"/>
      <c r="E151" s="107" t="s">
        <v>184</v>
      </c>
      <c r="F151" s="871" t="str">
        <f>IF($B151="","",IF(SUMIFS(CONFIG_PALETES!$C:$C,CONFIG_PALETES!$A:$A,TRIM($B151),CONFIG_PALETES!$B:$B,$C151&amp;" ml")&gt;0,SUMIFS(CONFIG_PALETES!$C:$C,CONFIG_PALETES!$A:$A,TRIM($B151),CONFIG_PALETES!$B:$B,$C151&amp;" ml"),IF(SUMIFS(CONFIG_PALETES!$C:$C,CONFIG_PALETES!$A:$A,"GERAL",CONFIG_PALETES!$B:$B,$C151&amp;" ml")&gt;0,SUMIFS(CONFIG_PALETES!$C:$C,CONFIG_PALETES!$A:$A,"GERAL",CONFIG_PALETES!$B:$B,$C151&amp;" ml"),"")))</f>
        <v/>
      </c>
      <c r="G151" s="106" t="str">
        <f>IFERROR(ROUNDUP(D151/F151,0),"")</f>
        <v/>
      </c>
      <c r="H151" s="105"/>
      <c r="I151" s="104" t="str">
        <f>IF(H151="","",H151*IF(SUMIFS(CONFIG_PALETES!$D:$D,CONFIG_PALETES!$A:$A,IF(ISNUMBER(SEARCH("ESPUMA",$B151)),"ESPUMA",IF(OR(ISNUMBER(SEARCH("OLEO DE COCO",$B151)),ISNUMBER(SEARCH("ÓLEO DE COCO",$B151)),ISNUMBER(SEARCH("COPRA",$B151))),"ÓLEO DE COCO",IF(ISNUMBER(SEARCH("CORANTE",$B151)),"CORANTE",TRIM($B151)))),CONFIG_PALETES!$B:$B,$C151&amp;" ml")&gt;0,SUMIFS(CONFIG_PALETES!$D:$D,CONFIG_PALETES!$A:$A,IF(ISNUMBER(SEARCH("ESPUMA",$B151)),"ESPUMA",IF(OR(ISNUMBER(SEARCH("OLEO DE COCO",$B151)),ISNUMBER(SEARCH("ÓLEO DE COCO",$B151)),ISNUMBER(SEARCH("COPRA",$B151))),"ÓLEO DE COCO",IF(ISNUMBER(SEARCH("CORANTE",$B151)),"CORANTE",TRIM($B151)))),CONFIG_PALETES!$B:$B,$C151&amp;" ml"),IF(SUMIFS(CONFIG_PALETES!$D:$D,CONFIG_PALETES!$A:$A,"GERAL",CONFIG_PALETES!$B:$B,$C151&amp;" ml")&gt;0,SUMIFS(CONFIG_PALETES!$D:$D,CONFIG_PALETES!$A:$A,"GERAL",CONFIG_PALETES!$B:$B,$C151&amp;" ml"),12)))</f>
        <v/>
      </c>
    </row>
    <row r="152" spans="1:15" ht="21" customHeight="1" x14ac:dyDescent="0.3">
      <c r="A152" s="817"/>
      <c r="B152" s="818"/>
      <c r="C152" s="819"/>
      <c r="D152" s="820"/>
      <c r="E152" s="821" t="s">
        <v>184</v>
      </c>
      <c r="F152" s="872" t="str">
        <f>IF($B152="","",IF(SUMIFS(CONFIG_PALETES!$C:$C,CONFIG_PALETES!$A:$A,TRIM($B152),CONFIG_PALETES!$B:$B,$C152&amp;" ml")&gt;0,SUMIFS(CONFIG_PALETES!$C:$C,CONFIG_PALETES!$A:$A,TRIM($B152),CONFIG_PALETES!$B:$B,$C152&amp;" ml"),IF(SUMIFS(CONFIG_PALETES!$C:$C,CONFIG_PALETES!$A:$A,"GERAL",CONFIG_PALETES!$B:$B,$C152&amp;" ml")&gt;0,SUMIFS(CONFIG_PALETES!$C:$C,CONFIG_PALETES!$A:$A,"GERAL",CONFIG_PALETES!$B:$B,$C152&amp;" ml"),"")))</f>
        <v/>
      </c>
      <c r="G152" s="822" t="str">
        <f>IFERROR(ROUNDUP(D152/F152,0),"")</f>
        <v/>
      </c>
      <c r="H152" s="823"/>
      <c r="I152" s="820" t="str">
        <f>IF(H152="","",H152*IF(SUMIFS(CONFIG_PALETES!$D:$D,CONFIG_PALETES!$A:$A,IF(ISNUMBER(SEARCH("ESPUMA",$B152)),"ESPUMA",IF(OR(ISNUMBER(SEARCH("OLEO DE COCO",$B152)),ISNUMBER(SEARCH("ÓLEO DE COCO",$B152)),ISNUMBER(SEARCH("COPRA",$B152))),"ÓLEO DE COCO",IF(ISNUMBER(SEARCH("CORANTE",$B152)),"CORANTE",TRIM($B152)))),CONFIG_PALETES!$B:$B,$C152&amp;" ml")&gt;0,SUMIFS(CONFIG_PALETES!$D:$D,CONFIG_PALETES!$A:$A,IF(ISNUMBER(SEARCH("ESPUMA",$B152)),"ESPUMA",IF(OR(ISNUMBER(SEARCH("OLEO DE COCO",$B152)),ISNUMBER(SEARCH("ÓLEO DE COCO",$B152)),ISNUMBER(SEARCH("COPRA",$B152))),"ÓLEO DE COCO",IF(ISNUMBER(SEARCH("CORANTE",$B152)),"CORANTE",TRIM($B152)))),CONFIG_PALETES!$B:$B,$C152&amp;" ml"),IF(SUMIFS(CONFIG_PALETES!$D:$D,CONFIG_PALETES!$A:$A,"GERAL",CONFIG_PALETES!$B:$B,$C152&amp;" ml")&gt;0,SUMIFS(CONFIG_PALETES!$D:$D,CONFIG_PALETES!$A:$A,"GERAL",CONFIG_PALETES!$B:$B,$C152&amp;" ml"),12)))</f>
        <v/>
      </c>
    </row>
    <row r="153" spans="1:15" ht="15" customHeight="1" x14ac:dyDescent="0.3">
      <c r="A153" s="899"/>
      <c r="B153" s="846" t="s">
        <v>186</v>
      </c>
      <c r="C153" s="847"/>
      <c r="D153" s="848">
        <f>SUM(D146:D152)</f>
        <v>0</v>
      </c>
      <c r="E153" s="849"/>
      <c r="F153" s="856" t="s">
        <v>1400</v>
      </c>
      <c r="G153" s="850">
        <f>SUM(G146:G152)</f>
        <v>0</v>
      </c>
      <c r="H153" s="848">
        <f>SUM(H146:H152)</f>
        <v>0</v>
      </c>
      <c r="I153" s="848">
        <f>SUM(I146:I152)</f>
        <v>0</v>
      </c>
      <c r="J153" s="63">
        <f>D153</f>
        <v>0</v>
      </c>
      <c r="K153" s="93">
        <f>G153</f>
        <v>0</v>
      </c>
      <c r="L153" s="63">
        <f>H153</f>
        <v>0</v>
      </c>
      <c r="M153" s="63">
        <f>I153</f>
        <v>0</v>
      </c>
      <c r="N153" s="587" t="str" cm="1">
        <f t="array" ref="N153">IF(H153=0,"",SUMPRODUCT(IFERROR(INT(H148:H152/F148:F152),0)))</f>
        <v/>
      </c>
      <c r="O153" s="770" t="str">
        <f>IF(N153="","",MAX(0,G153-N153))</f>
        <v/>
      </c>
    </row>
    <row r="154" spans="1:15" ht="6" customHeight="1" x14ac:dyDescent="0.3">
      <c r="C154" s="65"/>
    </row>
    <row r="155" spans="1:15" ht="15" customHeight="1" x14ac:dyDescent="0.3">
      <c r="A155" s="75">
        <v>46379</v>
      </c>
      <c r="B155" s="113" t="s">
        <v>49</v>
      </c>
      <c r="C155" s="112" t="s">
        <v>176</v>
      </c>
      <c r="D155" s="111" t="s">
        <v>177</v>
      </c>
      <c r="E155" s="111" t="s">
        <v>178</v>
      </c>
      <c r="F155" s="860" t="s">
        <v>179</v>
      </c>
      <c r="G155" s="111" t="s">
        <v>180</v>
      </c>
      <c r="H155" s="111" t="s">
        <v>181</v>
      </c>
      <c r="I155" s="111" t="s">
        <v>182</v>
      </c>
    </row>
    <row r="156" spans="1:15" ht="21" customHeight="1" x14ac:dyDescent="0.3">
      <c r="A156" s="110"/>
      <c r="B156" s="109"/>
      <c r="C156" s="108"/>
      <c r="D156" s="104"/>
      <c r="E156" s="107" t="s">
        <v>184</v>
      </c>
      <c r="F156" s="871" t="str">
        <f>IF($B156="","",IF(SUMIFS(CONFIG_PALETES!$C:$C,CONFIG_PALETES!$A:$A,TRIM($B156),CONFIG_PALETES!$B:$B,$C156&amp;" ml")&gt;0,SUMIFS(CONFIG_PALETES!$C:$C,CONFIG_PALETES!$A:$A,TRIM($B156),CONFIG_PALETES!$B:$B,$C156&amp;" ml"),IF(SUMIFS(CONFIG_PALETES!$C:$C,CONFIG_PALETES!$A:$A,"GERAL",CONFIG_PALETES!$B:$B,$C156&amp;" ml")&gt;0,SUMIFS(CONFIG_PALETES!$C:$C,CONFIG_PALETES!$A:$A,"GERAL",CONFIG_PALETES!$B:$B,$C156&amp;" ml"),"")))</f>
        <v/>
      </c>
      <c r="G156" s="106" t="str">
        <f>IFERROR(ROUNDUP(D156/F156,0),"")</f>
        <v/>
      </c>
      <c r="H156" s="105"/>
      <c r="I156" s="104" t="str">
        <f>IF(H156="","",H156*IF(SUMIFS(CONFIG_PALETES!$D:$D,CONFIG_PALETES!$A:$A,IF(ISNUMBER(SEARCH("ESPUMA",$B156)),"ESPUMA",IF(OR(ISNUMBER(SEARCH("OLEO DE COCO",$B156)),ISNUMBER(SEARCH("ÓLEO DE COCO",$B156)),ISNUMBER(SEARCH("COPRA",$B156))),"ÓLEO DE COCO",IF(ISNUMBER(SEARCH("CORANTE",$B156)),"CORANTE",TRIM($B156)))),CONFIG_PALETES!$B:$B,$C156&amp;" ml")&gt;0,SUMIFS(CONFIG_PALETES!$D:$D,CONFIG_PALETES!$A:$A,IF(ISNUMBER(SEARCH("ESPUMA",$B156)),"ESPUMA",IF(OR(ISNUMBER(SEARCH("OLEO DE COCO",$B156)),ISNUMBER(SEARCH("ÓLEO DE COCO",$B156)),ISNUMBER(SEARCH("COPRA",$B156))),"ÓLEO DE COCO",IF(ISNUMBER(SEARCH("CORANTE",$B156)),"CORANTE",TRIM($B156)))),CONFIG_PALETES!$B:$B,$C156&amp;" ml"),IF(SUMIFS(CONFIG_PALETES!$D:$D,CONFIG_PALETES!$A:$A,"GERAL",CONFIG_PALETES!$B:$B,$C156&amp;" ml")&gt;0,SUMIFS(CONFIG_PALETES!$D:$D,CONFIG_PALETES!$A:$A,"GERAL",CONFIG_PALETES!$B:$B,$C156&amp;" ml"),12)))</f>
        <v/>
      </c>
    </row>
    <row r="157" spans="1:15" ht="21" customHeight="1" x14ac:dyDescent="0.3">
      <c r="A157" s="110"/>
      <c r="B157" s="109"/>
      <c r="C157" s="108"/>
      <c r="D157" s="104"/>
      <c r="E157" s="107" t="s">
        <v>184</v>
      </c>
      <c r="F157" s="871" t="str">
        <f>IF($B157="","",IF(SUMIFS(CONFIG_PALETES!$C:$C,CONFIG_PALETES!$A:$A,TRIM($B157),CONFIG_PALETES!$B:$B,$C157&amp;" ml")&gt;0,SUMIFS(CONFIG_PALETES!$C:$C,CONFIG_PALETES!$A:$A,TRIM($B157),CONFIG_PALETES!$B:$B,$C157&amp;" ml"),IF(SUMIFS(CONFIG_PALETES!$C:$C,CONFIG_PALETES!$A:$A,"GERAL",CONFIG_PALETES!$B:$B,$C157&amp;" ml")&gt;0,SUMIFS(CONFIG_PALETES!$C:$C,CONFIG_PALETES!$A:$A,"GERAL",CONFIG_PALETES!$B:$B,$C157&amp;" ml"),"")))</f>
        <v/>
      </c>
      <c r="G157" s="106" t="str">
        <f>IFERROR(ROUNDUP(D157/F157,0),"")</f>
        <v/>
      </c>
      <c r="H157" s="105"/>
      <c r="I157" s="104" t="str">
        <f>IF(H157="","",H157*IF(SUMIFS(CONFIG_PALETES!$D:$D,CONFIG_PALETES!$A:$A,IF(ISNUMBER(SEARCH("ESPUMA",$B157)),"ESPUMA",IF(OR(ISNUMBER(SEARCH("OLEO DE COCO",$B157)),ISNUMBER(SEARCH("ÓLEO DE COCO",$B157)),ISNUMBER(SEARCH("COPRA",$B157))),"ÓLEO DE COCO",IF(ISNUMBER(SEARCH("CORANTE",$B157)),"CORANTE",TRIM($B157)))),CONFIG_PALETES!$B:$B,$C157&amp;" ml")&gt;0,SUMIFS(CONFIG_PALETES!$D:$D,CONFIG_PALETES!$A:$A,IF(ISNUMBER(SEARCH("ESPUMA",$B157)),"ESPUMA",IF(OR(ISNUMBER(SEARCH("OLEO DE COCO",$B157)),ISNUMBER(SEARCH("ÓLEO DE COCO",$B157)),ISNUMBER(SEARCH("COPRA",$B157))),"ÓLEO DE COCO",IF(ISNUMBER(SEARCH("CORANTE",$B157)),"CORANTE",TRIM($B157)))),CONFIG_PALETES!$B:$B,$C157&amp;" ml"),IF(SUMIFS(CONFIG_PALETES!$D:$D,CONFIG_PALETES!$A:$A,"GERAL",CONFIG_PALETES!$B:$B,$C157&amp;" ml")&gt;0,SUMIFS(CONFIG_PALETES!$D:$D,CONFIG_PALETES!$A:$A,"GERAL",CONFIG_PALETES!$B:$B,$C157&amp;" ml"),12)))</f>
        <v/>
      </c>
    </row>
    <row r="158" spans="1:15" ht="21" customHeight="1" x14ac:dyDescent="0.3">
      <c r="A158" s="110"/>
      <c r="B158" s="109"/>
      <c r="C158" s="108"/>
      <c r="D158" s="104"/>
      <c r="E158" s="107" t="s">
        <v>184</v>
      </c>
      <c r="F158" s="871" t="str">
        <f>IF($B158="","",IF(SUMIFS(CONFIG_PALETES!$C:$C,CONFIG_PALETES!$A:$A,TRIM($B158),CONFIG_PALETES!$B:$B,$C158&amp;" ml")&gt;0,SUMIFS(CONFIG_PALETES!$C:$C,CONFIG_PALETES!$A:$A,TRIM($B158),CONFIG_PALETES!$B:$B,$C158&amp;" ml"),IF(SUMIFS(CONFIG_PALETES!$C:$C,CONFIG_PALETES!$A:$A,"GERAL",CONFIG_PALETES!$B:$B,$C158&amp;" ml")&gt;0,SUMIFS(CONFIG_PALETES!$C:$C,CONFIG_PALETES!$A:$A,"GERAL",CONFIG_PALETES!$B:$B,$C158&amp;" ml"),"")))</f>
        <v/>
      </c>
      <c r="G158" s="106" t="str">
        <f>IFERROR(ROUNDUP(D158/F158,0),"")</f>
        <v/>
      </c>
      <c r="H158" s="105"/>
      <c r="I158" s="104" t="str">
        <f>IF(H158="","",H158*IF(SUMIFS(CONFIG_PALETES!$D:$D,CONFIG_PALETES!$A:$A,IF(ISNUMBER(SEARCH("ESPUMA",$B158)),"ESPUMA",IF(OR(ISNUMBER(SEARCH("OLEO DE COCO",$B158)),ISNUMBER(SEARCH("ÓLEO DE COCO",$B158)),ISNUMBER(SEARCH("COPRA",$B158))),"ÓLEO DE COCO",IF(ISNUMBER(SEARCH("CORANTE",$B158)),"CORANTE",TRIM($B158)))),CONFIG_PALETES!$B:$B,$C158&amp;" ml")&gt;0,SUMIFS(CONFIG_PALETES!$D:$D,CONFIG_PALETES!$A:$A,IF(ISNUMBER(SEARCH("ESPUMA",$B158)),"ESPUMA",IF(OR(ISNUMBER(SEARCH("OLEO DE COCO",$B158)),ISNUMBER(SEARCH("ÓLEO DE COCO",$B158)),ISNUMBER(SEARCH("COPRA",$B158))),"ÓLEO DE COCO",IF(ISNUMBER(SEARCH("CORANTE",$B158)),"CORANTE",TRIM($B158)))),CONFIG_PALETES!$B:$B,$C158&amp;" ml"),IF(SUMIFS(CONFIG_PALETES!$D:$D,CONFIG_PALETES!$A:$A,"GERAL",CONFIG_PALETES!$B:$B,$C158&amp;" ml")&gt;0,SUMIFS(CONFIG_PALETES!$D:$D,CONFIG_PALETES!$A:$A,"GERAL",CONFIG_PALETES!$B:$B,$C158&amp;" ml"),12)))</f>
        <v/>
      </c>
    </row>
    <row r="159" spans="1:15" ht="21" customHeight="1" x14ac:dyDescent="0.3">
      <c r="A159" s="110"/>
      <c r="B159" s="109"/>
      <c r="C159" s="108"/>
      <c r="D159" s="104"/>
      <c r="E159" s="107" t="s">
        <v>184</v>
      </c>
      <c r="F159" s="871" t="str">
        <f>IF($B159="","",IF(SUMIFS(CONFIG_PALETES!$C:$C,CONFIG_PALETES!$A:$A,TRIM($B159),CONFIG_PALETES!$B:$B,$C159&amp;" ml")&gt;0,SUMIFS(CONFIG_PALETES!$C:$C,CONFIG_PALETES!$A:$A,TRIM($B159),CONFIG_PALETES!$B:$B,$C159&amp;" ml"),IF(SUMIFS(CONFIG_PALETES!$C:$C,CONFIG_PALETES!$A:$A,"GERAL",CONFIG_PALETES!$B:$B,$C159&amp;" ml")&gt;0,SUMIFS(CONFIG_PALETES!$C:$C,CONFIG_PALETES!$A:$A,"GERAL",CONFIG_PALETES!$B:$B,$C159&amp;" ml"),"")))</f>
        <v/>
      </c>
      <c r="G159" s="106" t="str">
        <f>IFERROR(ROUNDUP(D159/F159,0),"")</f>
        <v/>
      </c>
      <c r="H159" s="105"/>
      <c r="I159" s="104" t="str">
        <f>IF(H159="","",H159*IF(SUMIFS(CONFIG_PALETES!$D:$D,CONFIG_PALETES!$A:$A,IF(ISNUMBER(SEARCH("ESPUMA",$B159)),"ESPUMA",IF(OR(ISNUMBER(SEARCH("OLEO DE COCO",$B159)),ISNUMBER(SEARCH("ÓLEO DE COCO",$B159)),ISNUMBER(SEARCH("COPRA",$B159))),"ÓLEO DE COCO",IF(ISNUMBER(SEARCH("CORANTE",$B159)),"CORANTE",TRIM($B159)))),CONFIG_PALETES!$B:$B,$C159&amp;" ml")&gt;0,SUMIFS(CONFIG_PALETES!$D:$D,CONFIG_PALETES!$A:$A,IF(ISNUMBER(SEARCH("ESPUMA",$B159)),"ESPUMA",IF(OR(ISNUMBER(SEARCH("OLEO DE COCO",$B159)),ISNUMBER(SEARCH("ÓLEO DE COCO",$B159)),ISNUMBER(SEARCH("COPRA",$B159))),"ÓLEO DE COCO",IF(ISNUMBER(SEARCH("CORANTE",$B159)),"CORANTE",TRIM($B159)))),CONFIG_PALETES!$B:$B,$C159&amp;" ml"),IF(SUMIFS(CONFIG_PALETES!$D:$D,CONFIG_PALETES!$A:$A,"GERAL",CONFIG_PALETES!$B:$B,$C159&amp;" ml")&gt;0,SUMIFS(CONFIG_PALETES!$D:$D,CONFIG_PALETES!$A:$A,"GERAL",CONFIG_PALETES!$B:$B,$C159&amp;" ml"),12)))</f>
        <v/>
      </c>
    </row>
    <row r="160" spans="1:15" ht="21" customHeight="1" x14ac:dyDescent="0.3">
      <c r="A160" s="817"/>
      <c r="B160" s="818"/>
      <c r="C160" s="819"/>
      <c r="D160" s="820"/>
      <c r="E160" s="821" t="s">
        <v>184</v>
      </c>
      <c r="F160" s="872" t="str">
        <f>IF($B160="","",IF(SUMIFS(CONFIG_PALETES!$C:$C,CONFIG_PALETES!$A:$A,TRIM($B160),CONFIG_PALETES!$B:$B,$C160&amp;" ml")&gt;0,SUMIFS(CONFIG_PALETES!$C:$C,CONFIG_PALETES!$A:$A,TRIM($B160),CONFIG_PALETES!$B:$B,$C160&amp;" ml"),IF(SUMIFS(CONFIG_PALETES!$C:$C,CONFIG_PALETES!$A:$A,"GERAL",CONFIG_PALETES!$B:$B,$C160&amp;" ml")&gt;0,SUMIFS(CONFIG_PALETES!$C:$C,CONFIG_PALETES!$A:$A,"GERAL",CONFIG_PALETES!$B:$B,$C160&amp;" ml"),"")))</f>
        <v/>
      </c>
      <c r="G160" s="822" t="str">
        <f>IFERROR(ROUNDUP(D160/F160,0),"")</f>
        <v/>
      </c>
      <c r="H160" s="823"/>
      <c r="I160" s="820" t="str">
        <f>IF(H160="","",H160*IF(SUMIFS(CONFIG_PALETES!$D:$D,CONFIG_PALETES!$A:$A,IF(ISNUMBER(SEARCH("ESPUMA",$B160)),"ESPUMA",IF(OR(ISNUMBER(SEARCH("OLEO DE COCO",$B160)),ISNUMBER(SEARCH("ÓLEO DE COCO",$B160)),ISNUMBER(SEARCH("COPRA",$B160))),"ÓLEO DE COCO",IF(ISNUMBER(SEARCH("CORANTE",$B160)),"CORANTE",TRIM($B160)))),CONFIG_PALETES!$B:$B,$C160&amp;" ml")&gt;0,SUMIFS(CONFIG_PALETES!$D:$D,CONFIG_PALETES!$A:$A,IF(ISNUMBER(SEARCH("ESPUMA",$B160)),"ESPUMA",IF(OR(ISNUMBER(SEARCH("OLEO DE COCO",$B160)),ISNUMBER(SEARCH("ÓLEO DE COCO",$B160)),ISNUMBER(SEARCH("COPRA",$B160))),"ÓLEO DE COCO",IF(ISNUMBER(SEARCH("CORANTE",$B160)),"CORANTE",TRIM($B160)))),CONFIG_PALETES!$B:$B,$C160&amp;" ml"),IF(SUMIFS(CONFIG_PALETES!$D:$D,CONFIG_PALETES!$A:$A,"GERAL",CONFIG_PALETES!$B:$B,$C160&amp;" ml")&gt;0,SUMIFS(CONFIG_PALETES!$D:$D,CONFIG_PALETES!$A:$A,"GERAL",CONFIG_PALETES!$B:$B,$C160&amp;" ml"),12)))</f>
        <v/>
      </c>
    </row>
    <row r="161" spans="1:15" ht="15" customHeight="1" x14ac:dyDescent="0.3">
      <c r="A161" s="899"/>
      <c r="B161" s="846" t="s">
        <v>186</v>
      </c>
      <c r="C161" s="847"/>
      <c r="D161" s="848">
        <f>SUM(D154:D160)</f>
        <v>0</v>
      </c>
      <c r="E161" s="849"/>
      <c r="F161" s="856" t="s">
        <v>1400</v>
      </c>
      <c r="G161" s="850">
        <f>SUM(G154:G160)</f>
        <v>0</v>
      </c>
      <c r="H161" s="848">
        <f>SUM(H154:H160)</f>
        <v>0</v>
      </c>
      <c r="I161" s="848">
        <f>SUM(I154:I160)</f>
        <v>0</v>
      </c>
      <c r="J161" s="63">
        <f>D161</f>
        <v>0</v>
      </c>
      <c r="K161" s="93">
        <f>G161</f>
        <v>0</v>
      </c>
      <c r="L161" s="63">
        <f>H161</f>
        <v>0</v>
      </c>
      <c r="M161" s="63">
        <f>I161</f>
        <v>0</v>
      </c>
      <c r="N161" s="587" t="str" cm="1">
        <f t="array" ref="N161">IF(H161=0,"",SUMPRODUCT(IFERROR(INT(H156:H160/F156:F160),0)))</f>
        <v/>
      </c>
      <c r="O161" s="770" t="str">
        <f>IF(N161="","",MAX(0,G161-N161))</f>
        <v/>
      </c>
    </row>
    <row r="162" spans="1:15" ht="6" customHeight="1" x14ac:dyDescent="0.3">
      <c r="C162" s="65"/>
    </row>
    <row r="163" spans="1:15" ht="15" customHeight="1" x14ac:dyDescent="0.3">
      <c r="A163" s="75">
        <v>46380</v>
      </c>
      <c r="B163" s="113" t="s">
        <v>49</v>
      </c>
      <c r="C163" s="112" t="s">
        <v>176</v>
      </c>
      <c r="D163" s="111" t="s">
        <v>177</v>
      </c>
      <c r="E163" s="111" t="s">
        <v>178</v>
      </c>
      <c r="F163" s="860" t="s">
        <v>179</v>
      </c>
      <c r="G163" s="111" t="s">
        <v>180</v>
      </c>
      <c r="H163" s="111" t="s">
        <v>181</v>
      </c>
      <c r="I163" s="111" t="s">
        <v>182</v>
      </c>
    </row>
    <row r="164" spans="1:15" ht="21" customHeight="1" x14ac:dyDescent="0.3">
      <c r="A164" s="110"/>
      <c r="B164" s="109"/>
      <c r="C164" s="108"/>
      <c r="D164" s="104"/>
      <c r="E164" s="107" t="s">
        <v>184</v>
      </c>
      <c r="F164" s="871" t="str">
        <f>IF($B164="","",IF(SUMIFS(CONFIG_PALETES!$C:$C,CONFIG_PALETES!$A:$A,TRIM($B164),CONFIG_PALETES!$B:$B,$C164&amp;" ml")&gt;0,SUMIFS(CONFIG_PALETES!$C:$C,CONFIG_PALETES!$A:$A,TRIM($B164),CONFIG_PALETES!$B:$B,$C164&amp;" ml"),IF(SUMIFS(CONFIG_PALETES!$C:$C,CONFIG_PALETES!$A:$A,"GERAL",CONFIG_PALETES!$B:$B,$C164&amp;" ml")&gt;0,SUMIFS(CONFIG_PALETES!$C:$C,CONFIG_PALETES!$A:$A,"GERAL",CONFIG_PALETES!$B:$B,$C164&amp;" ml"),"")))</f>
        <v/>
      </c>
      <c r="G164" s="106" t="str">
        <f>IFERROR(ROUNDUP(D164/F164,0),"")</f>
        <v/>
      </c>
      <c r="H164" s="105"/>
      <c r="I164" s="104" t="str">
        <f>IF(H164="","",H164*IF(SUMIFS(CONFIG_PALETES!$D:$D,CONFIG_PALETES!$A:$A,IF(ISNUMBER(SEARCH("ESPUMA",$B164)),"ESPUMA",IF(OR(ISNUMBER(SEARCH("OLEO DE COCO",$B164)),ISNUMBER(SEARCH("ÓLEO DE COCO",$B164)),ISNUMBER(SEARCH("COPRA",$B164))),"ÓLEO DE COCO",IF(ISNUMBER(SEARCH("CORANTE",$B164)),"CORANTE",TRIM($B164)))),CONFIG_PALETES!$B:$B,$C164&amp;" ml")&gt;0,SUMIFS(CONFIG_PALETES!$D:$D,CONFIG_PALETES!$A:$A,IF(ISNUMBER(SEARCH("ESPUMA",$B164)),"ESPUMA",IF(OR(ISNUMBER(SEARCH("OLEO DE COCO",$B164)),ISNUMBER(SEARCH("ÓLEO DE COCO",$B164)),ISNUMBER(SEARCH("COPRA",$B164))),"ÓLEO DE COCO",IF(ISNUMBER(SEARCH("CORANTE",$B164)),"CORANTE",TRIM($B164)))),CONFIG_PALETES!$B:$B,$C164&amp;" ml"),IF(SUMIFS(CONFIG_PALETES!$D:$D,CONFIG_PALETES!$A:$A,"GERAL",CONFIG_PALETES!$B:$B,$C164&amp;" ml")&gt;0,SUMIFS(CONFIG_PALETES!$D:$D,CONFIG_PALETES!$A:$A,"GERAL",CONFIG_PALETES!$B:$B,$C164&amp;" ml"),12)))</f>
        <v/>
      </c>
    </row>
    <row r="165" spans="1:15" ht="21" customHeight="1" x14ac:dyDescent="0.3">
      <c r="A165" s="110"/>
      <c r="B165" s="109"/>
      <c r="C165" s="108"/>
      <c r="D165" s="104"/>
      <c r="E165" s="107" t="s">
        <v>184</v>
      </c>
      <c r="F165" s="871" t="str">
        <f>IF($B165="","",IF(SUMIFS(CONFIG_PALETES!$C:$C,CONFIG_PALETES!$A:$A,TRIM($B165),CONFIG_PALETES!$B:$B,$C165&amp;" ml")&gt;0,SUMIFS(CONFIG_PALETES!$C:$C,CONFIG_PALETES!$A:$A,TRIM($B165),CONFIG_PALETES!$B:$B,$C165&amp;" ml"),IF(SUMIFS(CONFIG_PALETES!$C:$C,CONFIG_PALETES!$A:$A,"GERAL",CONFIG_PALETES!$B:$B,$C165&amp;" ml")&gt;0,SUMIFS(CONFIG_PALETES!$C:$C,CONFIG_PALETES!$A:$A,"GERAL",CONFIG_PALETES!$B:$B,$C165&amp;" ml"),"")))</f>
        <v/>
      </c>
      <c r="G165" s="106" t="str">
        <f>IFERROR(ROUNDUP(D165/F165,0),"")</f>
        <v/>
      </c>
      <c r="H165" s="105"/>
      <c r="I165" s="104" t="str">
        <f>IF(H165="","",H165*IF(SUMIFS(CONFIG_PALETES!$D:$D,CONFIG_PALETES!$A:$A,IF(ISNUMBER(SEARCH("ESPUMA",$B165)),"ESPUMA",IF(OR(ISNUMBER(SEARCH("OLEO DE COCO",$B165)),ISNUMBER(SEARCH("ÓLEO DE COCO",$B165)),ISNUMBER(SEARCH("COPRA",$B165))),"ÓLEO DE COCO",IF(ISNUMBER(SEARCH("CORANTE",$B165)),"CORANTE",TRIM($B165)))),CONFIG_PALETES!$B:$B,$C165&amp;" ml")&gt;0,SUMIFS(CONFIG_PALETES!$D:$D,CONFIG_PALETES!$A:$A,IF(ISNUMBER(SEARCH("ESPUMA",$B165)),"ESPUMA",IF(OR(ISNUMBER(SEARCH("OLEO DE COCO",$B165)),ISNUMBER(SEARCH("ÓLEO DE COCO",$B165)),ISNUMBER(SEARCH("COPRA",$B165))),"ÓLEO DE COCO",IF(ISNUMBER(SEARCH("CORANTE",$B165)),"CORANTE",TRIM($B165)))),CONFIG_PALETES!$B:$B,$C165&amp;" ml"),IF(SUMIFS(CONFIG_PALETES!$D:$D,CONFIG_PALETES!$A:$A,"GERAL",CONFIG_PALETES!$B:$B,$C165&amp;" ml")&gt;0,SUMIFS(CONFIG_PALETES!$D:$D,CONFIG_PALETES!$A:$A,"GERAL",CONFIG_PALETES!$B:$B,$C165&amp;" ml"),12)))</f>
        <v/>
      </c>
    </row>
    <row r="166" spans="1:15" ht="21" customHeight="1" x14ac:dyDescent="0.3">
      <c r="A166" s="110"/>
      <c r="B166" s="109"/>
      <c r="C166" s="108"/>
      <c r="D166" s="104"/>
      <c r="E166" s="107" t="s">
        <v>184</v>
      </c>
      <c r="F166" s="871" t="str">
        <f>IF($B166="","",IF(SUMIFS(CONFIG_PALETES!$C:$C,CONFIG_PALETES!$A:$A,TRIM($B166),CONFIG_PALETES!$B:$B,$C166&amp;" ml")&gt;0,SUMIFS(CONFIG_PALETES!$C:$C,CONFIG_PALETES!$A:$A,TRIM($B166),CONFIG_PALETES!$B:$B,$C166&amp;" ml"),IF(SUMIFS(CONFIG_PALETES!$C:$C,CONFIG_PALETES!$A:$A,"GERAL",CONFIG_PALETES!$B:$B,$C166&amp;" ml")&gt;0,SUMIFS(CONFIG_PALETES!$C:$C,CONFIG_PALETES!$A:$A,"GERAL",CONFIG_PALETES!$B:$B,$C166&amp;" ml"),"")))</f>
        <v/>
      </c>
      <c r="G166" s="106" t="str">
        <f>IFERROR(ROUNDUP(D166/F166,0),"")</f>
        <v/>
      </c>
      <c r="H166" s="105"/>
      <c r="I166" s="104" t="str">
        <f>IF(H166="","",H166*IF(SUMIFS(CONFIG_PALETES!$D:$D,CONFIG_PALETES!$A:$A,IF(ISNUMBER(SEARCH("ESPUMA",$B166)),"ESPUMA",IF(OR(ISNUMBER(SEARCH("OLEO DE COCO",$B166)),ISNUMBER(SEARCH("ÓLEO DE COCO",$B166)),ISNUMBER(SEARCH("COPRA",$B166))),"ÓLEO DE COCO",IF(ISNUMBER(SEARCH("CORANTE",$B166)),"CORANTE",TRIM($B166)))),CONFIG_PALETES!$B:$B,$C166&amp;" ml")&gt;0,SUMIFS(CONFIG_PALETES!$D:$D,CONFIG_PALETES!$A:$A,IF(ISNUMBER(SEARCH("ESPUMA",$B166)),"ESPUMA",IF(OR(ISNUMBER(SEARCH("OLEO DE COCO",$B166)),ISNUMBER(SEARCH("ÓLEO DE COCO",$B166)),ISNUMBER(SEARCH("COPRA",$B166))),"ÓLEO DE COCO",IF(ISNUMBER(SEARCH("CORANTE",$B166)),"CORANTE",TRIM($B166)))),CONFIG_PALETES!$B:$B,$C166&amp;" ml"),IF(SUMIFS(CONFIG_PALETES!$D:$D,CONFIG_PALETES!$A:$A,"GERAL",CONFIG_PALETES!$B:$B,$C166&amp;" ml")&gt;0,SUMIFS(CONFIG_PALETES!$D:$D,CONFIG_PALETES!$A:$A,"GERAL",CONFIG_PALETES!$B:$B,$C166&amp;" ml"),12)))</f>
        <v/>
      </c>
    </row>
    <row r="167" spans="1:15" ht="21" customHeight="1" x14ac:dyDescent="0.3">
      <c r="A167" s="110"/>
      <c r="B167" s="109"/>
      <c r="C167" s="108"/>
      <c r="D167" s="104"/>
      <c r="E167" s="107" t="s">
        <v>184</v>
      </c>
      <c r="F167" s="871" t="str">
        <f>IF($B167="","",IF(SUMIFS(CONFIG_PALETES!$C:$C,CONFIG_PALETES!$A:$A,TRIM($B167),CONFIG_PALETES!$B:$B,$C167&amp;" ml")&gt;0,SUMIFS(CONFIG_PALETES!$C:$C,CONFIG_PALETES!$A:$A,TRIM($B167),CONFIG_PALETES!$B:$B,$C167&amp;" ml"),IF(SUMIFS(CONFIG_PALETES!$C:$C,CONFIG_PALETES!$A:$A,"GERAL",CONFIG_PALETES!$B:$B,$C167&amp;" ml")&gt;0,SUMIFS(CONFIG_PALETES!$C:$C,CONFIG_PALETES!$A:$A,"GERAL",CONFIG_PALETES!$B:$B,$C167&amp;" ml"),"")))</f>
        <v/>
      </c>
      <c r="G167" s="106" t="str">
        <f>IFERROR(ROUNDUP(D167/F167,0),"")</f>
        <v/>
      </c>
      <c r="H167" s="105"/>
      <c r="I167" s="104" t="str">
        <f>IF(H167="","",H167*IF(SUMIFS(CONFIG_PALETES!$D:$D,CONFIG_PALETES!$A:$A,IF(ISNUMBER(SEARCH("ESPUMA",$B167)),"ESPUMA",IF(OR(ISNUMBER(SEARCH("OLEO DE COCO",$B167)),ISNUMBER(SEARCH("ÓLEO DE COCO",$B167)),ISNUMBER(SEARCH("COPRA",$B167))),"ÓLEO DE COCO",IF(ISNUMBER(SEARCH("CORANTE",$B167)),"CORANTE",TRIM($B167)))),CONFIG_PALETES!$B:$B,$C167&amp;" ml")&gt;0,SUMIFS(CONFIG_PALETES!$D:$D,CONFIG_PALETES!$A:$A,IF(ISNUMBER(SEARCH("ESPUMA",$B167)),"ESPUMA",IF(OR(ISNUMBER(SEARCH("OLEO DE COCO",$B167)),ISNUMBER(SEARCH("ÓLEO DE COCO",$B167)),ISNUMBER(SEARCH("COPRA",$B167))),"ÓLEO DE COCO",IF(ISNUMBER(SEARCH("CORANTE",$B167)),"CORANTE",TRIM($B167)))),CONFIG_PALETES!$B:$B,$C167&amp;" ml"),IF(SUMIFS(CONFIG_PALETES!$D:$D,CONFIG_PALETES!$A:$A,"GERAL",CONFIG_PALETES!$B:$B,$C167&amp;" ml")&gt;0,SUMIFS(CONFIG_PALETES!$D:$D,CONFIG_PALETES!$A:$A,"GERAL",CONFIG_PALETES!$B:$B,$C167&amp;" ml"),12)))</f>
        <v/>
      </c>
    </row>
    <row r="168" spans="1:15" ht="21" customHeight="1" x14ac:dyDescent="0.3">
      <c r="A168" s="817"/>
      <c r="B168" s="818"/>
      <c r="C168" s="819"/>
      <c r="D168" s="820"/>
      <c r="E168" s="821" t="s">
        <v>184</v>
      </c>
      <c r="F168" s="872" t="str">
        <f>IF($B168="","",IF(SUMIFS(CONFIG_PALETES!$C:$C,CONFIG_PALETES!$A:$A,TRIM($B168),CONFIG_PALETES!$B:$B,$C168&amp;" ml")&gt;0,SUMIFS(CONFIG_PALETES!$C:$C,CONFIG_PALETES!$A:$A,TRIM($B168),CONFIG_PALETES!$B:$B,$C168&amp;" ml"),IF(SUMIFS(CONFIG_PALETES!$C:$C,CONFIG_PALETES!$A:$A,"GERAL",CONFIG_PALETES!$B:$B,$C168&amp;" ml")&gt;0,SUMIFS(CONFIG_PALETES!$C:$C,CONFIG_PALETES!$A:$A,"GERAL",CONFIG_PALETES!$B:$B,$C168&amp;" ml"),"")))</f>
        <v/>
      </c>
      <c r="G168" s="822" t="str">
        <f>IFERROR(ROUNDUP(D168/F168,0),"")</f>
        <v/>
      </c>
      <c r="H168" s="823"/>
      <c r="I168" s="820" t="str">
        <f>IF(H168="","",H168*IF(SUMIFS(CONFIG_PALETES!$D:$D,CONFIG_PALETES!$A:$A,IF(ISNUMBER(SEARCH("ESPUMA",$B168)),"ESPUMA",IF(OR(ISNUMBER(SEARCH("OLEO DE COCO",$B168)),ISNUMBER(SEARCH("ÓLEO DE COCO",$B168)),ISNUMBER(SEARCH("COPRA",$B168))),"ÓLEO DE COCO",IF(ISNUMBER(SEARCH("CORANTE",$B168)),"CORANTE",TRIM($B168)))),CONFIG_PALETES!$B:$B,$C168&amp;" ml")&gt;0,SUMIFS(CONFIG_PALETES!$D:$D,CONFIG_PALETES!$A:$A,IF(ISNUMBER(SEARCH("ESPUMA",$B168)),"ESPUMA",IF(OR(ISNUMBER(SEARCH("OLEO DE COCO",$B168)),ISNUMBER(SEARCH("ÓLEO DE COCO",$B168)),ISNUMBER(SEARCH("COPRA",$B168))),"ÓLEO DE COCO",IF(ISNUMBER(SEARCH("CORANTE",$B168)),"CORANTE",TRIM($B168)))),CONFIG_PALETES!$B:$B,$C168&amp;" ml"),IF(SUMIFS(CONFIG_PALETES!$D:$D,CONFIG_PALETES!$A:$A,"GERAL",CONFIG_PALETES!$B:$B,$C168&amp;" ml")&gt;0,SUMIFS(CONFIG_PALETES!$D:$D,CONFIG_PALETES!$A:$A,"GERAL",CONFIG_PALETES!$B:$B,$C168&amp;" ml"),12)))</f>
        <v/>
      </c>
    </row>
    <row r="169" spans="1:15" ht="15" customHeight="1" x14ac:dyDescent="0.3">
      <c r="A169" s="899"/>
      <c r="B169" s="846" t="s">
        <v>186</v>
      </c>
      <c r="C169" s="847"/>
      <c r="D169" s="848">
        <f>SUM(D162:D168)</f>
        <v>0</v>
      </c>
      <c r="E169" s="849"/>
      <c r="F169" s="856" t="s">
        <v>1400</v>
      </c>
      <c r="G169" s="850">
        <f>SUM(G162:G168)</f>
        <v>0</v>
      </c>
      <c r="H169" s="848">
        <f>SUM(H162:H168)</f>
        <v>0</v>
      </c>
      <c r="I169" s="848">
        <f>SUM(I162:I168)</f>
        <v>0</v>
      </c>
      <c r="J169" s="63">
        <f>D169</f>
        <v>0</v>
      </c>
      <c r="K169" s="93">
        <f>G169</f>
        <v>0</v>
      </c>
      <c r="L169" s="63">
        <f>H169</f>
        <v>0</v>
      </c>
      <c r="M169" s="63">
        <f>I169</f>
        <v>0</v>
      </c>
      <c r="N169" s="587" t="str" cm="1">
        <f t="array" ref="N169">IF(H169=0,"",SUMPRODUCT(IFERROR(INT(H164:H168/F164:F168),0)))</f>
        <v/>
      </c>
      <c r="O169" s="770" t="str">
        <f>IF(N169="","",MAX(0,G169-N169))</f>
        <v/>
      </c>
    </row>
    <row r="170" spans="1:15" ht="6" customHeight="1" x14ac:dyDescent="0.3">
      <c r="C170" s="65"/>
    </row>
    <row r="171" spans="1:15" ht="15" customHeight="1" x14ac:dyDescent="0.3">
      <c r="A171" s="75">
        <v>46381</v>
      </c>
      <c r="B171" s="113" t="s">
        <v>49</v>
      </c>
      <c r="C171" s="112" t="s">
        <v>176</v>
      </c>
      <c r="D171" s="111" t="s">
        <v>177</v>
      </c>
      <c r="E171" s="111" t="s">
        <v>178</v>
      </c>
      <c r="F171" s="860" t="s">
        <v>179</v>
      </c>
      <c r="G171" s="111" t="s">
        <v>180</v>
      </c>
      <c r="H171" s="111" t="s">
        <v>181</v>
      </c>
      <c r="I171" s="111" t="s">
        <v>182</v>
      </c>
    </row>
    <row r="172" spans="1:15" ht="21" customHeight="1" x14ac:dyDescent="0.3">
      <c r="A172" s="110"/>
      <c r="B172" s="109"/>
      <c r="C172" s="108"/>
      <c r="D172" s="104"/>
      <c r="E172" s="107" t="s">
        <v>184</v>
      </c>
      <c r="F172" s="871" t="str">
        <f>IF($B172="","",IF(SUMIFS(CONFIG_PALETES!$C:$C,CONFIG_PALETES!$A:$A,TRIM($B172),CONFIG_PALETES!$B:$B,$C172&amp;" ml")&gt;0,SUMIFS(CONFIG_PALETES!$C:$C,CONFIG_PALETES!$A:$A,TRIM($B172),CONFIG_PALETES!$B:$B,$C172&amp;" ml"),IF(SUMIFS(CONFIG_PALETES!$C:$C,CONFIG_PALETES!$A:$A,"GERAL",CONFIG_PALETES!$B:$B,$C172&amp;" ml")&gt;0,SUMIFS(CONFIG_PALETES!$C:$C,CONFIG_PALETES!$A:$A,"GERAL",CONFIG_PALETES!$B:$B,$C172&amp;" ml"),"")))</f>
        <v/>
      </c>
      <c r="G172" s="106" t="str">
        <f>IFERROR(ROUNDUP(D172/F172,0),"")</f>
        <v/>
      </c>
      <c r="H172" s="105"/>
      <c r="I172" s="104" t="str">
        <f>IF(H172="","",H172*IF(SUMIFS(CONFIG_PALETES!$D:$D,CONFIG_PALETES!$A:$A,IF(ISNUMBER(SEARCH("ESPUMA",$B172)),"ESPUMA",IF(OR(ISNUMBER(SEARCH("OLEO DE COCO",$B172)),ISNUMBER(SEARCH("ÓLEO DE COCO",$B172)),ISNUMBER(SEARCH("COPRA",$B172))),"ÓLEO DE COCO",IF(ISNUMBER(SEARCH("CORANTE",$B172)),"CORANTE",TRIM($B172)))),CONFIG_PALETES!$B:$B,$C172&amp;" ml")&gt;0,SUMIFS(CONFIG_PALETES!$D:$D,CONFIG_PALETES!$A:$A,IF(ISNUMBER(SEARCH("ESPUMA",$B172)),"ESPUMA",IF(OR(ISNUMBER(SEARCH("OLEO DE COCO",$B172)),ISNUMBER(SEARCH("ÓLEO DE COCO",$B172)),ISNUMBER(SEARCH("COPRA",$B172))),"ÓLEO DE COCO",IF(ISNUMBER(SEARCH("CORANTE",$B172)),"CORANTE",TRIM($B172)))),CONFIG_PALETES!$B:$B,$C172&amp;" ml"),IF(SUMIFS(CONFIG_PALETES!$D:$D,CONFIG_PALETES!$A:$A,"GERAL",CONFIG_PALETES!$B:$B,$C172&amp;" ml")&gt;0,SUMIFS(CONFIG_PALETES!$D:$D,CONFIG_PALETES!$A:$A,"GERAL",CONFIG_PALETES!$B:$B,$C172&amp;" ml"),12)))</f>
        <v/>
      </c>
    </row>
    <row r="173" spans="1:15" ht="21" customHeight="1" x14ac:dyDescent="0.3">
      <c r="A173" s="110"/>
      <c r="B173" s="109"/>
      <c r="C173" s="108"/>
      <c r="D173" s="104"/>
      <c r="E173" s="107" t="s">
        <v>184</v>
      </c>
      <c r="F173" s="871" t="str">
        <f>IF($B173="","",IF(SUMIFS(CONFIG_PALETES!$C:$C,CONFIG_PALETES!$A:$A,TRIM($B173),CONFIG_PALETES!$B:$B,$C173&amp;" ml")&gt;0,SUMIFS(CONFIG_PALETES!$C:$C,CONFIG_PALETES!$A:$A,TRIM($B173),CONFIG_PALETES!$B:$B,$C173&amp;" ml"),IF(SUMIFS(CONFIG_PALETES!$C:$C,CONFIG_PALETES!$A:$A,"GERAL",CONFIG_PALETES!$B:$B,$C173&amp;" ml")&gt;0,SUMIFS(CONFIG_PALETES!$C:$C,CONFIG_PALETES!$A:$A,"GERAL",CONFIG_PALETES!$B:$B,$C173&amp;" ml"),"")))</f>
        <v/>
      </c>
      <c r="G173" s="106" t="str">
        <f>IFERROR(ROUNDUP(D173/F173,0),"")</f>
        <v/>
      </c>
      <c r="H173" s="105"/>
      <c r="I173" s="104" t="str">
        <f>IF(H173="","",H173*IF(SUMIFS(CONFIG_PALETES!$D:$D,CONFIG_PALETES!$A:$A,IF(ISNUMBER(SEARCH("ESPUMA",$B173)),"ESPUMA",IF(OR(ISNUMBER(SEARCH("OLEO DE COCO",$B173)),ISNUMBER(SEARCH("ÓLEO DE COCO",$B173)),ISNUMBER(SEARCH("COPRA",$B173))),"ÓLEO DE COCO",IF(ISNUMBER(SEARCH("CORANTE",$B173)),"CORANTE",TRIM($B173)))),CONFIG_PALETES!$B:$B,$C173&amp;" ml")&gt;0,SUMIFS(CONFIG_PALETES!$D:$D,CONFIG_PALETES!$A:$A,IF(ISNUMBER(SEARCH("ESPUMA",$B173)),"ESPUMA",IF(OR(ISNUMBER(SEARCH("OLEO DE COCO",$B173)),ISNUMBER(SEARCH("ÓLEO DE COCO",$B173)),ISNUMBER(SEARCH("COPRA",$B173))),"ÓLEO DE COCO",IF(ISNUMBER(SEARCH("CORANTE",$B173)),"CORANTE",TRIM($B173)))),CONFIG_PALETES!$B:$B,$C173&amp;" ml"),IF(SUMIFS(CONFIG_PALETES!$D:$D,CONFIG_PALETES!$A:$A,"GERAL",CONFIG_PALETES!$B:$B,$C173&amp;" ml")&gt;0,SUMIFS(CONFIG_PALETES!$D:$D,CONFIG_PALETES!$A:$A,"GERAL",CONFIG_PALETES!$B:$B,$C173&amp;" ml"),12)))</f>
        <v/>
      </c>
    </row>
    <row r="174" spans="1:15" ht="21" customHeight="1" x14ac:dyDescent="0.3">
      <c r="A174" s="110"/>
      <c r="B174" s="109"/>
      <c r="C174" s="108"/>
      <c r="D174" s="104"/>
      <c r="E174" s="107" t="s">
        <v>184</v>
      </c>
      <c r="F174" s="871" t="str">
        <f>IF($B174="","",IF(SUMIFS(CONFIG_PALETES!$C:$C,CONFIG_PALETES!$A:$A,TRIM($B174),CONFIG_PALETES!$B:$B,$C174&amp;" ml")&gt;0,SUMIFS(CONFIG_PALETES!$C:$C,CONFIG_PALETES!$A:$A,TRIM($B174),CONFIG_PALETES!$B:$B,$C174&amp;" ml"),IF(SUMIFS(CONFIG_PALETES!$C:$C,CONFIG_PALETES!$A:$A,"GERAL",CONFIG_PALETES!$B:$B,$C174&amp;" ml")&gt;0,SUMIFS(CONFIG_PALETES!$C:$C,CONFIG_PALETES!$A:$A,"GERAL",CONFIG_PALETES!$B:$B,$C174&amp;" ml"),"")))</f>
        <v/>
      </c>
      <c r="G174" s="106" t="str">
        <f>IFERROR(ROUNDUP(D174/F174,0),"")</f>
        <v/>
      </c>
      <c r="H174" s="105"/>
      <c r="I174" s="104" t="str">
        <f>IF(H174="","",H174*IF(SUMIFS(CONFIG_PALETES!$D:$D,CONFIG_PALETES!$A:$A,IF(ISNUMBER(SEARCH("ESPUMA",$B174)),"ESPUMA",IF(OR(ISNUMBER(SEARCH("OLEO DE COCO",$B174)),ISNUMBER(SEARCH("ÓLEO DE COCO",$B174)),ISNUMBER(SEARCH("COPRA",$B174))),"ÓLEO DE COCO",IF(ISNUMBER(SEARCH("CORANTE",$B174)),"CORANTE",TRIM($B174)))),CONFIG_PALETES!$B:$B,$C174&amp;" ml")&gt;0,SUMIFS(CONFIG_PALETES!$D:$D,CONFIG_PALETES!$A:$A,IF(ISNUMBER(SEARCH("ESPUMA",$B174)),"ESPUMA",IF(OR(ISNUMBER(SEARCH("OLEO DE COCO",$B174)),ISNUMBER(SEARCH("ÓLEO DE COCO",$B174)),ISNUMBER(SEARCH("COPRA",$B174))),"ÓLEO DE COCO",IF(ISNUMBER(SEARCH("CORANTE",$B174)),"CORANTE",TRIM($B174)))),CONFIG_PALETES!$B:$B,$C174&amp;" ml"),IF(SUMIFS(CONFIG_PALETES!$D:$D,CONFIG_PALETES!$A:$A,"GERAL",CONFIG_PALETES!$B:$B,$C174&amp;" ml")&gt;0,SUMIFS(CONFIG_PALETES!$D:$D,CONFIG_PALETES!$A:$A,"GERAL",CONFIG_PALETES!$B:$B,$C174&amp;" ml"),12)))</f>
        <v/>
      </c>
    </row>
    <row r="175" spans="1:15" ht="21" customHeight="1" x14ac:dyDescent="0.3">
      <c r="A175" s="110"/>
      <c r="B175" s="109"/>
      <c r="C175" s="108"/>
      <c r="D175" s="104"/>
      <c r="E175" s="107" t="s">
        <v>184</v>
      </c>
      <c r="F175" s="871" t="str">
        <f>IF($B175="","",IF(SUMIFS(CONFIG_PALETES!$C:$C,CONFIG_PALETES!$A:$A,TRIM($B175),CONFIG_PALETES!$B:$B,$C175&amp;" ml")&gt;0,SUMIFS(CONFIG_PALETES!$C:$C,CONFIG_PALETES!$A:$A,TRIM($B175),CONFIG_PALETES!$B:$B,$C175&amp;" ml"),IF(SUMIFS(CONFIG_PALETES!$C:$C,CONFIG_PALETES!$A:$A,"GERAL",CONFIG_PALETES!$B:$B,$C175&amp;" ml")&gt;0,SUMIFS(CONFIG_PALETES!$C:$C,CONFIG_PALETES!$A:$A,"GERAL",CONFIG_PALETES!$B:$B,$C175&amp;" ml"),"")))</f>
        <v/>
      </c>
      <c r="G175" s="106" t="str">
        <f>IFERROR(ROUNDUP(D175/F175,0),"")</f>
        <v/>
      </c>
      <c r="H175" s="105"/>
      <c r="I175" s="104" t="str">
        <f>IF(H175="","",H175*IF(SUMIFS(CONFIG_PALETES!$D:$D,CONFIG_PALETES!$A:$A,IF(ISNUMBER(SEARCH("ESPUMA",$B175)),"ESPUMA",IF(OR(ISNUMBER(SEARCH("OLEO DE COCO",$B175)),ISNUMBER(SEARCH("ÓLEO DE COCO",$B175)),ISNUMBER(SEARCH("COPRA",$B175))),"ÓLEO DE COCO",IF(ISNUMBER(SEARCH("CORANTE",$B175)),"CORANTE",TRIM($B175)))),CONFIG_PALETES!$B:$B,$C175&amp;" ml")&gt;0,SUMIFS(CONFIG_PALETES!$D:$D,CONFIG_PALETES!$A:$A,IF(ISNUMBER(SEARCH("ESPUMA",$B175)),"ESPUMA",IF(OR(ISNUMBER(SEARCH("OLEO DE COCO",$B175)),ISNUMBER(SEARCH("ÓLEO DE COCO",$B175)),ISNUMBER(SEARCH("COPRA",$B175))),"ÓLEO DE COCO",IF(ISNUMBER(SEARCH("CORANTE",$B175)),"CORANTE",TRIM($B175)))),CONFIG_PALETES!$B:$B,$C175&amp;" ml"),IF(SUMIFS(CONFIG_PALETES!$D:$D,CONFIG_PALETES!$A:$A,"GERAL",CONFIG_PALETES!$B:$B,$C175&amp;" ml")&gt;0,SUMIFS(CONFIG_PALETES!$D:$D,CONFIG_PALETES!$A:$A,"GERAL",CONFIG_PALETES!$B:$B,$C175&amp;" ml"),12)))</f>
        <v/>
      </c>
    </row>
    <row r="176" spans="1:15" ht="21" customHeight="1" x14ac:dyDescent="0.3">
      <c r="A176" s="817"/>
      <c r="B176" s="818"/>
      <c r="C176" s="819"/>
      <c r="D176" s="820"/>
      <c r="E176" s="821" t="s">
        <v>184</v>
      </c>
      <c r="F176" s="872" t="str">
        <f>IF($B176="","",IF(SUMIFS(CONFIG_PALETES!$C:$C,CONFIG_PALETES!$A:$A,TRIM($B176),CONFIG_PALETES!$B:$B,$C176&amp;" ml")&gt;0,SUMIFS(CONFIG_PALETES!$C:$C,CONFIG_PALETES!$A:$A,TRIM($B176),CONFIG_PALETES!$B:$B,$C176&amp;" ml"),IF(SUMIFS(CONFIG_PALETES!$C:$C,CONFIG_PALETES!$A:$A,"GERAL",CONFIG_PALETES!$B:$B,$C176&amp;" ml")&gt;0,SUMIFS(CONFIG_PALETES!$C:$C,CONFIG_PALETES!$A:$A,"GERAL",CONFIG_PALETES!$B:$B,$C176&amp;" ml"),"")))</f>
        <v/>
      </c>
      <c r="G176" s="822" t="str">
        <f>IFERROR(ROUNDUP(D176/F176,0),"")</f>
        <v/>
      </c>
      <c r="H176" s="823"/>
      <c r="I176" s="820" t="str">
        <f>IF(H176="","",H176*IF(SUMIFS(CONFIG_PALETES!$D:$D,CONFIG_PALETES!$A:$A,IF(ISNUMBER(SEARCH("ESPUMA",$B176)),"ESPUMA",IF(OR(ISNUMBER(SEARCH("OLEO DE COCO",$B176)),ISNUMBER(SEARCH("ÓLEO DE COCO",$B176)),ISNUMBER(SEARCH("COPRA",$B176))),"ÓLEO DE COCO",IF(ISNUMBER(SEARCH("CORANTE",$B176)),"CORANTE",TRIM($B176)))),CONFIG_PALETES!$B:$B,$C176&amp;" ml")&gt;0,SUMIFS(CONFIG_PALETES!$D:$D,CONFIG_PALETES!$A:$A,IF(ISNUMBER(SEARCH("ESPUMA",$B176)),"ESPUMA",IF(OR(ISNUMBER(SEARCH("OLEO DE COCO",$B176)),ISNUMBER(SEARCH("ÓLEO DE COCO",$B176)),ISNUMBER(SEARCH("COPRA",$B176))),"ÓLEO DE COCO",IF(ISNUMBER(SEARCH("CORANTE",$B176)),"CORANTE",TRIM($B176)))),CONFIG_PALETES!$B:$B,$C176&amp;" ml"),IF(SUMIFS(CONFIG_PALETES!$D:$D,CONFIG_PALETES!$A:$A,"GERAL",CONFIG_PALETES!$B:$B,$C176&amp;" ml")&gt;0,SUMIFS(CONFIG_PALETES!$D:$D,CONFIG_PALETES!$A:$A,"GERAL",CONFIG_PALETES!$B:$B,$C176&amp;" ml"),12)))</f>
        <v/>
      </c>
    </row>
    <row r="177" spans="1:15" ht="15" customHeight="1" x14ac:dyDescent="0.3">
      <c r="A177" s="899"/>
      <c r="B177" s="846" t="s">
        <v>186</v>
      </c>
      <c r="C177" s="847"/>
      <c r="D177" s="848">
        <f>SUM(D170:D176)</f>
        <v>0</v>
      </c>
      <c r="E177" s="849"/>
      <c r="F177" s="856" t="s">
        <v>1400</v>
      </c>
      <c r="G177" s="850">
        <f>SUM(G170:G176)</f>
        <v>0</v>
      </c>
      <c r="H177" s="848">
        <f>SUM(H170:H176)</f>
        <v>0</v>
      </c>
      <c r="I177" s="848">
        <f>SUM(I170:I176)</f>
        <v>0</v>
      </c>
      <c r="J177" s="63">
        <f>D177</f>
        <v>0</v>
      </c>
      <c r="K177" s="93">
        <f>G177</f>
        <v>0</v>
      </c>
      <c r="L177" s="63">
        <f>H177</f>
        <v>0</v>
      </c>
      <c r="M177" s="63">
        <f>I177</f>
        <v>0</v>
      </c>
      <c r="N177" s="587" t="str" cm="1">
        <f t="array" ref="N177">IF(H177=0,"",SUMPRODUCT(IFERROR(INT(H172:H176/F172:F176),0)))</f>
        <v/>
      </c>
      <c r="O177" s="770" t="str">
        <f>IF(N177="","",MAX(0,G177-N177))</f>
        <v/>
      </c>
    </row>
    <row r="178" spans="1:15" ht="6" customHeight="1" x14ac:dyDescent="0.3">
      <c r="C178" s="65"/>
    </row>
    <row r="179" spans="1:15" ht="15" customHeight="1" x14ac:dyDescent="0.3">
      <c r="A179" s="135">
        <v>46382</v>
      </c>
      <c r="B179" s="113" t="s">
        <v>49</v>
      </c>
      <c r="C179" s="112" t="s">
        <v>176</v>
      </c>
      <c r="D179" s="111" t="s">
        <v>177</v>
      </c>
      <c r="E179" s="111" t="s">
        <v>178</v>
      </c>
      <c r="F179" s="862" t="s">
        <v>179</v>
      </c>
      <c r="G179" s="111" t="s">
        <v>180</v>
      </c>
      <c r="H179" s="111" t="s">
        <v>181</v>
      </c>
      <c r="I179" s="111" t="s">
        <v>182</v>
      </c>
      <c r="J179" s="128"/>
      <c r="K179" s="128"/>
      <c r="L179" s="128"/>
      <c r="M179" s="128"/>
    </row>
    <row r="180" spans="1:15" ht="21" customHeight="1" x14ac:dyDescent="0.3">
      <c r="A180" s="110"/>
      <c r="B180" s="127"/>
      <c r="C180" s="126"/>
      <c r="D180" s="129"/>
      <c r="E180" s="131" t="s">
        <v>184</v>
      </c>
      <c r="F180" s="877" t="str">
        <f>IF($B180="","",IF(SUMIFS(CONFIG_PALETES!$C:$C,CONFIG_PALETES!$A:$A,TRIM($B180),CONFIG_PALETES!$B:$B,$C180&amp;" ml")&gt;0,SUMIFS(CONFIG_PALETES!$C:$C,CONFIG_PALETES!$A:$A,TRIM($B180),CONFIG_PALETES!$B:$B,$C180&amp;" ml"),IF(SUMIFS(CONFIG_PALETES!$C:$C,CONFIG_PALETES!$A:$A,"GERAL",CONFIG_PALETES!$B:$B,$C180&amp;" ml")&gt;0,SUMIFS(CONFIG_PALETES!$C:$C,CONFIG_PALETES!$A:$A,"GERAL",CONFIG_PALETES!$B:$B,$C180&amp;" ml"),"")))</f>
        <v/>
      </c>
      <c r="G180" s="130" t="str">
        <f>IFERROR(ROUNDUP(D180/F180,0),"")</f>
        <v/>
      </c>
      <c r="H180" s="105"/>
      <c r="I180" s="129" t="str">
        <f>IF(H180="","",H180*IF(SUMIFS(CONFIG_PALETES!$D:$D,CONFIG_PALETES!$A:$A,IF(ISNUMBER(SEARCH("ESPUMA",$B180)),"ESPUMA",IF(OR(ISNUMBER(SEARCH("OLEO DE COCO",$B180)),ISNUMBER(SEARCH("ÓLEO DE COCO",$B180)),ISNUMBER(SEARCH("COPRA",$B180))),"ÓLEO DE COCO",IF(ISNUMBER(SEARCH("CORANTE",$B180)),"CORANTE",TRIM($B180)))),CONFIG_PALETES!$B:$B,$C180&amp;" ml")&gt;0,SUMIFS(CONFIG_PALETES!$D:$D,CONFIG_PALETES!$A:$A,IF(ISNUMBER(SEARCH("ESPUMA",$B180)),"ESPUMA",IF(OR(ISNUMBER(SEARCH("OLEO DE COCO",$B180)),ISNUMBER(SEARCH("ÓLEO DE COCO",$B180)),ISNUMBER(SEARCH("COPRA",$B180))),"ÓLEO DE COCO",IF(ISNUMBER(SEARCH("CORANTE",$B180)),"CORANTE",TRIM($B180)))),CONFIG_PALETES!$B:$B,$C180&amp;" ml"),IF(SUMIFS(CONFIG_PALETES!$D:$D,CONFIG_PALETES!$A:$A,"GERAL",CONFIG_PALETES!$B:$B,$C180&amp;" ml")&gt;0,SUMIFS(CONFIG_PALETES!$D:$D,CONFIG_PALETES!$A:$A,"GERAL",CONFIG_PALETES!$B:$B,$C180&amp;" ml"),12)))</f>
        <v/>
      </c>
      <c r="J180" s="128"/>
      <c r="K180" s="128"/>
      <c r="L180" s="128"/>
      <c r="M180" s="128"/>
    </row>
    <row r="181" spans="1:15" ht="21" customHeight="1" x14ac:dyDescent="0.3">
      <c r="A181" s="110"/>
      <c r="B181" s="127"/>
      <c r="C181" s="126"/>
      <c r="D181" s="129"/>
      <c r="E181" s="131" t="s">
        <v>184</v>
      </c>
      <c r="F181" s="877" t="str">
        <f>IF($B181="","",IF(SUMIFS(CONFIG_PALETES!$C:$C,CONFIG_PALETES!$A:$A,TRIM($B181),CONFIG_PALETES!$B:$B,$C181&amp;" ml")&gt;0,SUMIFS(CONFIG_PALETES!$C:$C,CONFIG_PALETES!$A:$A,TRIM($B181),CONFIG_PALETES!$B:$B,$C181&amp;" ml"),IF(SUMIFS(CONFIG_PALETES!$C:$C,CONFIG_PALETES!$A:$A,"GERAL",CONFIG_PALETES!$B:$B,$C181&amp;" ml")&gt;0,SUMIFS(CONFIG_PALETES!$C:$C,CONFIG_PALETES!$A:$A,"GERAL",CONFIG_PALETES!$B:$B,$C181&amp;" ml"),"")))</f>
        <v/>
      </c>
      <c r="G181" s="130" t="str">
        <f>IFERROR(ROUNDUP(D181/F181,0),"")</f>
        <v/>
      </c>
      <c r="H181" s="105"/>
      <c r="I181" s="129" t="str">
        <f>IF(H181="","",H181*IF(SUMIFS(CONFIG_PALETES!$D:$D,CONFIG_PALETES!$A:$A,IF(ISNUMBER(SEARCH("ESPUMA",$B181)),"ESPUMA",IF(OR(ISNUMBER(SEARCH("OLEO DE COCO",$B181)),ISNUMBER(SEARCH("ÓLEO DE COCO",$B181)),ISNUMBER(SEARCH("COPRA",$B181))),"ÓLEO DE COCO",IF(ISNUMBER(SEARCH("CORANTE",$B181)),"CORANTE",TRIM($B181)))),CONFIG_PALETES!$B:$B,$C181&amp;" ml")&gt;0,SUMIFS(CONFIG_PALETES!$D:$D,CONFIG_PALETES!$A:$A,IF(ISNUMBER(SEARCH("ESPUMA",$B181)),"ESPUMA",IF(OR(ISNUMBER(SEARCH("OLEO DE COCO",$B181)),ISNUMBER(SEARCH("ÓLEO DE COCO",$B181)),ISNUMBER(SEARCH("COPRA",$B181))),"ÓLEO DE COCO",IF(ISNUMBER(SEARCH("CORANTE",$B181)),"CORANTE",TRIM($B181)))),CONFIG_PALETES!$B:$B,$C181&amp;" ml"),IF(SUMIFS(CONFIG_PALETES!$D:$D,CONFIG_PALETES!$A:$A,"GERAL",CONFIG_PALETES!$B:$B,$C181&amp;" ml")&gt;0,SUMIFS(CONFIG_PALETES!$D:$D,CONFIG_PALETES!$A:$A,"GERAL",CONFIG_PALETES!$B:$B,$C181&amp;" ml"),12)))</f>
        <v/>
      </c>
      <c r="J181" s="128"/>
      <c r="K181" s="128"/>
      <c r="L181" s="128"/>
      <c r="M181" s="128"/>
    </row>
    <row r="182" spans="1:15" ht="21" customHeight="1" x14ac:dyDescent="0.3">
      <c r="A182" s="110"/>
      <c r="B182" s="127"/>
      <c r="C182" s="126"/>
      <c r="D182" s="129"/>
      <c r="E182" s="131" t="s">
        <v>184</v>
      </c>
      <c r="F182" s="877" t="str">
        <f>IF($B182="","",IF(SUMIFS(CONFIG_PALETES!$C:$C,CONFIG_PALETES!$A:$A,TRIM($B182),CONFIG_PALETES!$B:$B,$C182&amp;" ml")&gt;0,SUMIFS(CONFIG_PALETES!$C:$C,CONFIG_PALETES!$A:$A,TRIM($B182),CONFIG_PALETES!$B:$B,$C182&amp;" ml"),IF(SUMIFS(CONFIG_PALETES!$C:$C,CONFIG_PALETES!$A:$A,"GERAL",CONFIG_PALETES!$B:$B,$C182&amp;" ml")&gt;0,SUMIFS(CONFIG_PALETES!$C:$C,CONFIG_PALETES!$A:$A,"GERAL",CONFIG_PALETES!$B:$B,$C182&amp;" ml"),"")))</f>
        <v/>
      </c>
      <c r="G182" s="130" t="str">
        <f>IFERROR(ROUNDUP(D182/F182,0),"")</f>
        <v/>
      </c>
      <c r="H182" s="105"/>
      <c r="I182" s="129" t="str">
        <f>IF(H182="","",H182*IF(SUMIFS(CONFIG_PALETES!$D:$D,CONFIG_PALETES!$A:$A,IF(ISNUMBER(SEARCH("ESPUMA",$B182)),"ESPUMA",IF(OR(ISNUMBER(SEARCH("OLEO DE COCO",$B182)),ISNUMBER(SEARCH("ÓLEO DE COCO",$B182)),ISNUMBER(SEARCH("COPRA",$B182))),"ÓLEO DE COCO",IF(ISNUMBER(SEARCH("CORANTE",$B182)),"CORANTE",TRIM($B182)))),CONFIG_PALETES!$B:$B,$C182&amp;" ml")&gt;0,SUMIFS(CONFIG_PALETES!$D:$D,CONFIG_PALETES!$A:$A,IF(ISNUMBER(SEARCH("ESPUMA",$B182)),"ESPUMA",IF(OR(ISNUMBER(SEARCH("OLEO DE COCO",$B182)),ISNUMBER(SEARCH("ÓLEO DE COCO",$B182)),ISNUMBER(SEARCH("COPRA",$B182))),"ÓLEO DE COCO",IF(ISNUMBER(SEARCH("CORANTE",$B182)),"CORANTE",TRIM($B182)))),CONFIG_PALETES!$B:$B,$C182&amp;" ml"),IF(SUMIFS(CONFIG_PALETES!$D:$D,CONFIG_PALETES!$A:$A,"GERAL",CONFIG_PALETES!$B:$B,$C182&amp;" ml")&gt;0,SUMIFS(CONFIG_PALETES!$D:$D,CONFIG_PALETES!$A:$A,"GERAL",CONFIG_PALETES!$B:$B,$C182&amp;" ml"),12)))</f>
        <v/>
      </c>
      <c r="J182" s="128"/>
      <c r="K182" s="128"/>
      <c r="L182" s="128"/>
      <c r="M182" s="128"/>
    </row>
    <row r="183" spans="1:15" ht="21" customHeight="1" x14ac:dyDescent="0.3">
      <c r="A183" s="110"/>
      <c r="B183" s="127"/>
      <c r="C183" s="126"/>
      <c r="D183" s="129"/>
      <c r="E183" s="131" t="s">
        <v>184</v>
      </c>
      <c r="F183" s="877" t="str">
        <f>IF($B183="","",IF(SUMIFS(CONFIG_PALETES!$C:$C,CONFIG_PALETES!$A:$A,TRIM($B183),CONFIG_PALETES!$B:$B,$C183&amp;" ml")&gt;0,SUMIFS(CONFIG_PALETES!$C:$C,CONFIG_PALETES!$A:$A,TRIM($B183),CONFIG_PALETES!$B:$B,$C183&amp;" ml"),IF(SUMIFS(CONFIG_PALETES!$C:$C,CONFIG_PALETES!$A:$A,"GERAL",CONFIG_PALETES!$B:$B,$C183&amp;" ml")&gt;0,SUMIFS(CONFIG_PALETES!$C:$C,CONFIG_PALETES!$A:$A,"GERAL",CONFIG_PALETES!$B:$B,$C183&amp;" ml"),"")))</f>
        <v/>
      </c>
      <c r="G183" s="130" t="str">
        <f>IFERROR(ROUNDUP(D183/F183,0),"")</f>
        <v/>
      </c>
      <c r="H183" s="105"/>
      <c r="I183" s="129" t="str">
        <f>IF(H183="","",H183*IF(SUMIFS(CONFIG_PALETES!$D:$D,CONFIG_PALETES!$A:$A,IF(ISNUMBER(SEARCH("ESPUMA",$B183)),"ESPUMA",IF(OR(ISNUMBER(SEARCH("OLEO DE COCO",$B183)),ISNUMBER(SEARCH("ÓLEO DE COCO",$B183)),ISNUMBER(SEARCH("COPRA",$B183))),"ÓLEO DE COCO",IF(ISNUMBER(SEARCH("CORANTE",$B183)),"CORANTE",TRIM($B183)))),CONFIG_PALETES!$B:$B,$C183&amp;" ml")&gt;0,SUMIFS(CONFIG_PALETES!$D:$D,CONFIG_PALETES!$A:$A,IF(ISNUMBER(SEARCH("ESPUMA",$B183)),"ESPUMA",IF(OR(ISNUMBER(SEARCH("OLEO DE COCO",$B183)),ISNUMBER(SEARCH("ÓLEO DE COCO",$B183)),ISNUMBER(SEARCH("COPRA",$B183))),"ÓLEO DE COCO",IF(ISNUMBER(SEARCH("CORANTE",$B183)),"CORANTE",TRIM($B183)))),CONFIG_PALETES!$B:$B,$C183&amp;" ml"),IF(SUMIFS(CONFIG_PALETES!$D:$D,CONFIG_PALETES!$A:$A,"GERAL",CONFIG_PALETES!$B:$B,$C183&amp;" ml")&gt;0,SUMIFS(CONFIG_PALETES!$D:$D,CONFIG_PALETES!$A:$A,"GERAL",CONFIG_PALETES!$B:$B,$C183&amp;" ml"),12)))</f>
        <v/>
      </c>
      <c r="J183" s="128"/>
      <c r="K183" s="128"/>
      <c r="L183" s="128"/>
      <c r="M183" s="128"/>
    </row>
    <row r="184" spans="1:15" ht="21" customHeight="1" x14ac:dyDescent="0.3">
      <c r="A184" s="817"/>
      <c r="B184" s="829"/>
      <c r="C184" s="830"/>
      <c r="D184" s="831"/>
      <c r="E184" s="832" t="s">
        <v>184</v>
      </c>
      <c r="F184" s="878" t="str">
        <f>IF($B184="","",IF(SUMIFS(CONFIG_PALETES!$C:$C,CONFIG_PALETES!$A:$A,TRIM($B184),CONFIG_PALETES!$B:$B,$C184&amp;" ml")&gt;0,SUMIFS(CONFIG_PALETES!$C:$C,CONFIG_PALETES!$A:$A,TRIM($B184),CONFIG_PALETES!$B:$B,$C184&amp;" ml"),IF(SUMIFS(CONFIG_PALETES!$C:$C,CONFIG_PALETES!$A:$A,"GERAL",CONFIG_PALETES!$B:$B,$C184&amp;" ml")&gt;0,SUMIFS(CONFIG_PALETES!$C:$C,CONFIG_PALETES!$A:$A,"GERAL",CONFIG_PALETES!$B:$B,$C184&amp;" ml"),"")))</f>
        <v/>
      </c>
      <c r="G184" s="833" t="str">
        <f>IFERROR(ROUNDUP(D184/F184,0),"")</f>
        <v/>
      </c>
      <c r="H184" s="823"/>
      <c r="I184" s="831" t="str">
        <f>IF(H184="","",H184*IF(SUMIFS(CONFIG_PALETES!$D:$D,CONFIG_PALETES!$A:$A,IF(ISNUMBER(SEARCH("ESPUMA",$B184)),"ESPUMA",IF(OR(ISNUMBER(SEARCH("OLEO DE COCO",$B184)),ISNUMBER(SEARCH("ÓLEO DE COCO",$B184)),ISNUMBER(SEARCH("COPRA",$B184))),"ÓLEO DE COCO",IF(ISNUMBER(SEARCH("CORANTE",$B184)),"CORANTE",TRIM($B184)))),CONFIG_PALETES!$B:$B,$C184&amp;" ml")&gt;0,SUMIFS(CONFIG_PALETES!$D:$D,CONFIG_PALETES!$A:$A,IF(ISNUMBER(SEARCH("ESPUMA",$B184)),"ESPUMA",IF(OR(ISNUMBER(SEARCH("OLEO DE COCO",$B184)),ISNUMBER(SEARCH("ÓLEO DE COCO",$B184)),ISNUMBER(SEARCH("COPRA",$B184))),"ÓLEO DE COCO",IF(ISNUMBER(SEARCH("CORANTE",$B184)),"CORANTE",TRIM($B184)))),CONFIG_PALETES!$B:$B,$C184&amp;" ml"),IF(SUMIFS(CONFIG_PALETES!$D:$D,CONFIG_PALETES!$A:$A,"GERAL",CONFIG_PALETES!$B:$B,$C184&amp;" ml")&gt;0,SUMIFS(CONFIG_PALETES!$D:$D,CONFIG_PALETES!$A:$A,"GERAL",CONFIG_PALETES!$B:$B,$C184&amp;" ml"),12)))</f>
        <v/>
      </c>
      <c r="J184" s="128"/>
      <c r="K184" s="128"/>
      <c r="L184" s="128"/>
      <c r="M184" s="128"/>
    </row>
    <row r="185" spans="1:15" ht="15" customHeight="1" x14ac:dyDescent="0.3">
      <c r="A185" s="899"/>
      <c r="B185" s="846" t="s">
        <v>186</v>
      </c>
      <c r="C185" s="851"/>
      <c r="D185" s="848">
        <f>SUM(D178:D184)</f>
        <v>0</v>
      </c>
      <c r="E185" s="852"/>
      <c r="F185" s="857" t="s">
        <v>1400</v>
      </c>
      <c r="G185" s="850">
        <f>SUM(G178:G184)</f>
        <v>0</v>
      </c>
      <c r="H185" s="848">
        <f>SUM(H178:H184)</f>
        <v>0</v>
      </c>
      <c r="I185" s="848">
        <f>SUM(I178:I184)</f>
        <v>0</v>
      </c>
      <c r="J185" s="133">
        <f>D185</f>
        <v>0</v>
      </c>
      <c r="K185" s="134">
        <f>G185</f>
        <v>0</v>
      </c>
      <c r="L185" s="133">
        <f>H185</f>
        <v>0</v>
      </c>
      <c r="M185" s="133">
        <f>I185</f>
        <v>0</v>
      </c>
      <c r="N185" s="587" t="str" cm="1">
        <f t="array" ref="N185">IF(H185=0,"",SUMPRODUCT(IFERROR(INT(H180:H184/F180:F184),0)))</f>
        <v/>
      </c>
      <c r="O185" s="770" t="str">
        <f>IF(N185="","",MAX(0,G185-N185))</f>
        <v/>
      </c>
    </row>
    <row r="186" spans="1:15" ht="6" customHeight="1" x14ac:dyDescent="0.3">
      <c r="A186" s="128"/>
      <c r="B186" s="128"/>
      <c r="C186" s="132"/>
      <c r="D186" s="128"/>
      <c r="E186" s="128"/>
      <c r="F186" s="128"/>
      <c r="G186" s="128"/>
      <c r="H186" s="128"/>
      <c r="I186" s="128"/>
      <c r="J186" s="128"/>
      <c r="K186" s="128"/>
      <c r="L186" s="128"/>
      <c r="M186" s="128"/>
    </row>
    <row r="187" spans="1:15" ht="14.25" customHeight="1" x14ac:dyDescent="0.3">
      <c r="A187" s="75">
        <v>46384</v>
      </c>
      <c r="B187" s="113" t="s">
        <v>49</v>
      </c>
      <c r="C187" s="112" t="s">
        <v>176</v>
      </c>
      <c r="D187" s="111" t="s">
        <v>177</v>
      </c>
      <c r="E187" s="111" t="s">
        <v>178</v>
      </c>
      <c r="F187" s="860" t="s">
        <v>179</v>
      </c>
      <c r="G187" s="111" t="s">
        <v>180</v>
      </c>
      <c r="H187" s="111" t="s">
        <v>181</v>
      </c>
      <c r="I187" s="111" t="s">
        <v>182</v>
      </c>
    </row>
    <row r="188" spans="1:15" ht="21" customHeight="1" x14ac:dyDescent="0.3">
      <c r="A188" s="110"/>
      <c r="B188" s="109"/>
      <c r="C188" s="108"/>
      <c r="D188" s="104"/>
      <c r="E188" s="107" t="s">
        <v>184</v>
      </c>
      <c r="F188" s="871" t="str">
        <f>IF($B188="","",IF(SUMIFS(CONFIG_PALETES!$C:$C,CONFIG_PALETES!$A:$A,TRIM($B188),CONFIG_PALETES!$B:$B,$C188&amp;" ml")&gt;0,SUMIFS(CONFIG_PALETES!$C:$C,CONFIG_PALETES!$A:$A,TRIM($B188),CONFIG_PALETES!$B:$B,$C188&amp;" ml"),IF(SUMIFS(CONFIG_PALETES!$C:$C,CONFIG_PALETES!$A:$A,"GERAL",CONFIG_PALETES!$B:$B,$C188&amp;" ml")&gt;0,SUMIFS(CONFIG_PALETES!$C:$C,CONFIG_PALETES!$A:$A,"GERAL",CONFIG_PALETES!$B:$B,$C188&amp;" ml"),"")))</f>
        <v/>
      </c>
      <c r="G188" s="106" t="str">
        <f>IFERROR(ROUNDUP(D188/F188,0),"")</f>
        <v/>
      </c>
      <c r="H188" s="105"/>
      <c r="I188" s="104" t="str">
        <f>IF(H188="","",H188*IF(SUMIFS(CONFIG_PALETES!$D:$D,CONFIG_PALETES!$A:$A,IF(ISNUMBER(SEARCH("ESPUMA",$B188)),"ESPUMA",IF(OR(ISNUMBER(SEARCH("OLEO DE COCO",$B188)),ISNUMBER(SEARCH("ÓLEO DE COCO",$B188)),ISNUMBER(SEARCH("COPRA",$B188))),"ÓLEO DE COCO",IF(ISNUMBER(SEARCH("CORANTE",$B188)),"CORANTE",TRIM($B188)))),CONFIG_PALETES!$B:$B,$C188&amp;" ml")&gt;0,SUMIFS(CONFIG_PALETES!$D:$D,CONFIG_PALETES!$A:$A,IF(ISNUMBER(SEARCH("ESPUMA",$B188)),"ESPUMA",IF(OR(ISNUMBER(SEARCH("OLEO DE COCO",$B188)),ISNUMBER(SEARCH("ÓLEO DE COCO",$B188)),ISNUMBER(SEARCH("COPRA",$B188))),"ÓLEO DE COCO",IF(ISNUMBER(SEARCH("CORANTE",$B188)),"CORANTE",TRIM($B188)))),CONFIG_PALETES!$B:$B,$C188&amp;" ml"),IF(SUMIFS(CONFIG_PALETES!$D:$D,CONFIG_PALETES!$A:$A,"GERAL",CONFIG_PALETES!$B:$B,$C188&amp;" ml")&gt;0,SUMIFS(CONFIG_PALETES!$D:$D,CONFIG_PALETES!$A:$A,"GERAL",CONFIG_PALETES!$B:$B,$C188&amp;" ml"),12)))</f>
        <v/>
      </c>
    </row>
    <row r="189" spans="1:15" ht="21" customHeight="1" x14ac:dyDescent="0.3">
      <c r="A189" s="110"/>
      <c r="B189" s="109"/>
      <c r="C189" s="108"/>
      <c r="D189" s="104"/>
      <c r="E189" s="107" t="s">
        <v>184</v>
      </c>
      <c r="F189" s="871" t="str">
        <f>IF($B189="","",IF(SUMIFS(CONFIG_PALETES!$C:$C,CONFIG_PALETES!$A:$A,TRIM($B189),CONFIG_PALETES!$B:$B,$C189&amp;" ml")&gt;0,SUMIFS(CONFIG_PALETES!$C:$C,CONFIG_PALETES!$A:$A,TRIM($B189),CONFIG_PALETES!$B:$B,$C189&amp;" ml"),IF(SUMIFS(CONFIG_PALETES!$C:$C,CONFIG_PALETES!$A:$A,"GERAL",CONFIG_PALETES!$B:$B,$C189&amp;" ml")&gt;0,SUMIFS(CONFIG_PALETES!$C:$C,CONFIG_PALETES!$A:$A,"GERAL",CONFIG_PALETES!$B:$B,$C189&amp;" ml"),"")))</f>
        <v/>
      </c>
      <c r="G189" s="106" t="str">
        <f>IFERROR(ROUNDUP(D189/F189,0),"")</f>
        <v/>
      </c>
      <c r="H189" s="105"/>
      <c r="I189" s="104" t="str">
        <f>IF(H189="","",H189*IF(SUMIFS(CONFIG_PALETES!$D:$D,CONFIG_PALETES!$A:$A,IF(ISNUMBER(SEARCH("ESPUMA",$B189)),"ESPUMA",IF(OR(ISNUMBER(SEARCH("OLEO DE COCO",$B189)),ISNUMBER(SEARCH("ÓLEO DE COCO",$B189)),ISNUMBER(SEARCH("COPRA",$B189))),"ÓLEO DE COCO",IF(ISNUMBER(SEARCH("CORANTE",$B189)),"CORANTE",TRIM($B189)))),CONFIG_PALETES!$B:$B,$C189&amp;" ml")&gt;0,SUMIFS(CONFIG_PALETES!$D:$D,CONFIG_PALETES!$A:$A,IF(ISNUMBER(SEARCH("ESPUMA",$B189)),"ESPUMA",IF(OR(ISNUMBER(SEARCH("OLEO DE COCO",$B189)),ISNUMBER(SEARCH("ÓLEO DE COCO",$B189)),ISNUMBER(SEARCH("COPRA",$B189))),"ÓLEO DE COCO",IF(ISNUMBER(SEARCH("CORANTE",$B189)),"CORANTE",TRIM($B189)))),CONFIG_PALETES!$B:$B,$C189&amp;" ml"),IF(SUMIFS(CONFIG_PALETES!$D:$D,CONFIG_PALETES!$A:$A,"GERAL",CONFIG_PALETES!$B:$B,$C189&amp;" ml")&gt;0,SUMIFS(CONFIG_PALETES!$D:$D,CONFIG_PALETES!$A:$A,"GERAL",CONFIG_PALETES!$B:$B,$C189&amp;" ml"),12)))</f>
        <v/>
      </c>
    </row>
    <row r="190" spans="1:15" ht="21" customHeight="1" x14ac:dyDescent="0.3">
      <c r="A190" s="110"/>
      <c r="B190" s="109"/>
      <c r="C190" s="108"/>
      <c r="D190" s="104"/>
      <c r="E190" s="107" t="s">
        <v>184</v>
      </c>
      <c r="F190" s="871" t="str">
        <f>IF($B190="","",IF(SUMIFS(CONFIG_PALETES!$C:$C,CONFIG_PALETES!$A:$A,TRIM($B190),CONFIG_PALETES!$B:$B,$C190&amp;" ml")&gt;0,SUMIFS(CONFIG_PALETES!$C:$C,CONFIG_PALETES!$A:$A,TRIM($B190),CONFIG_PALETES!$B:$B,$C190&amp;" ml"),IF(SUMIFS(CONFIG_PALETES!$C:$C,CONFIG_PALETES!$A:$A,"GERAL",CONFIG_PALETES!$B:$B,$C190&amp;" ml")&gt;0,SUMIFS(CONFIG_PALETES!$C:$C,CONFIG_PALETES!$A:$A,"GERAL",CONFIG_PALETES!$B:$B,$C190&amp;" ml"),"")))</f>
        <v/>
      </c>
      <c r="G190" s="106" t="str">
        <f>IFERROR(ROUNDUP(D190/F190,0),"")</f>
        <v/>
      </c>
      <c r="H190" s="105"/>
      <c r="I190" s="104" t="str">
        <f>IF(H190="","",H190*IF(SUMIFS(CONFIG_PALETES!$D:$D,CONFIG_PALETES!$A:$A,IF(ISNUMBER(SEARCH("ESPUMA",$B190)),"ESPUMA",IF(OR(ISNUMBER(SEARCH("OLEO DE COCO",$B190)),ISNUMBER(SEARCH("ÓLEO DE COCO",$B190)),ISNUMBER(SEARCH("COPRA",$B190))),"ÓLEO DE COCO",IF(ISNUMBER(SEARCH("CORANTE",$B190)),"CORANTE",TRIM($B190)))),CONFIG_PALETES!$B:$B,$C190&amp;" ml")&gt;0,SUMIFS(CONFIG_PALETES!$D:$D,CONFIG_PALETES!$A:$A,IF(ISNUMBER(SEARCH("ESPUMA",$B190)),"ESPUMA",IF(OR(ISNUMBER(SEARCH("OLEO DE COCO",$B190)),ISNUMBER(SEARCH("ÓLEO DE COCO",$B190)),ISNUMBER(SEARCH("COPRA",$B190))),"ÓLEO DE COCO",IF(ISNUMBER(SEARCH("CORANTE",$B190)),"CORANTE",TRIM($B190)))),CONFIG_PALETES!$B:$B,$C190&amp;" ml"),IF(SUMIFS(CONFIG_PALETES!$D:$D,CONFIG_PALETES!$A:$A,"GERAL",CONFIG_PALETES!$B:$B,$C190&amp;" ml")&gt;0,SUMIFS(CONFIG_PALETES!$D:$D,CONFIG_PALETES!$A:$A,"GERAL",CONFIG_PALETES!$B:$B,$C190&amp;" ml"),12)))</f>
        <v/>
      </c>
    </row>
    <row r="191" spans="1:15" ht="21" customHeight="1" x14ac:dyDescent="0.3">
      <c r="A191" s="110"/>
      <c r="B191" s="109"/>
      <c r="C191" s="108"/>
      <c r="D191" s="104"/>
      <c r="E191" s="107" t="s">
        <v>184</v>
      </c>
      <c r="F191" s="871" t="str">
        <f>IF($B191="","",IF(SUMIFS(CONFIG_PALETES!$C:$C,CONFIG_PALETES!$A:$A,TRIM($B191),CONFIG_PALETES!$B:$B,$C191&amp;" ml")&gt;0,SUMIFS(CONFIG_PALETES!$C:$C,CONFIG_PALETES!$A:$A,TRIM($B191),CONFIG_PALETES!$B:$B,$C191&amp;" ml"),IF(SUMIFS(CONFIG_PALETES!$C:$C,CONFIG_PALETES!$A:$A,"GERAL",CONFIG_PALETES!$B:$B,$C191&amp;" ml")&gt;0,SUMIFS(CONFIG_PALETES!$C:$C,CONFIG_PALETES!$A:$A,"GERAL",CONFIG_PALETES!$B:$B,$C191&amp;" ml"),"")))</f>
        <v/>
      </c>
      <c r="G191" s="106" t="str">
        <f>IFERROR(ROUNDUP(D191/F191,0),"")</f>
        <v/>
      </c>
      <c r="H191" s="105"/>
      <c r="I191" s="104" t="str">
        <f>IF(H191="","",H191*IF(SUMIFS(CONFIG_PALETES!$D:$D,CONFIG_PALETES!$A:$A,IF(ISNUMBER(SEARCH("ESPUMA",$B191)),"ESPUMA",IF(OR(ISNUMBER(SEARCH("OLEO DE COCO",$B191)),ISNUMBER(SEARCH("ÓLEO DE COCO",$B191)),ISNUMBER(SEARCH("COPRA",$B191))),"ÓLEO DE COCO",IF(ISNUMBER(SEARCH("CORANTE",$B191)),"CORANTE",TRIM($B191)))),CONFIG_PALETES!$B:$B,$C191&amp;" ml")&gt;0,SUMIFS(CONFIG_PALETES!$D:$D,CONFIG_PALETES!$A:$A,IF(ISNUMBER(SEARCH("ESPUMA",$B191)),"ESPUMA",IF(OR(ISNUMBER(SEARCH("OLEO DE COCO",$B191)),ISNUMBER(SEARCH("ÓLEO DE COCO",$B191)),ISNUMBER(SEARCH("COPRA",$B191))),"ÓLEO DE COCO",IF(ISNUMBER(SEARCH("CORANTE",$B191)),"CORANTE",TRIM($B191)))),CONFIG_PALETES!$B:$B,$C191&amp;" ml"),IF(SUMIFS(CONFIG_PALETES!$D:$D,CONFIG_PALETES!$A:$A,"GERAL",CONFIG_PALETES!$B:$B,$C191&amp;" ml")&gt;0,SUMIFS(CONFIG_PALETES!$D:$D,CONFIG_PALETES!$A:$A,"GERAL",CONFIG_PALETES!$B:$B,$C191&amp;" ml"),12)))</f>
        <v/>
      </c>
    </row>
    <row r="192" spans="1:15" ht="21" customHeight="1" x14ac:dyDescent="0.3">
      <c r="A192" s="817"/>
      <c r="B192" s="818"/>
      <c r="C192" s="819"/>
      <c r="D192" s="820"/>
      <c r="E192" s="821" t="s">
        <v>184</v>
      </c>
      <c r="F192" s="872" t="str">
        <f>IF($B192="","",IF(SUMIFS(CONFIG_PALETES!$C:$C,CONFIG_PALETES!$A:$A,TRIM($B192),CONFIG_PALETES!$B:$B,$C192&amp;" ml")&gt;0,SUMIFS(CONFIG_PALETES!$C:$C,CONFIG_PALETES!$A:$A,TRIM($B192),CONFIG_PALETES!$B:$B,$C192&amp;" ml"),IF(SUMIFS(CONFIG_PALETES!$C:$C,CONFIG_PALETES!$A:$A,"GERAL",CONFIG_PALETES!$B:$B,$C192&amp;" ml")&gt;0,SUMIFS(CONFIG_PALETES!$C:$C,CONFIG_PALETES!$A:$A,"GERAL",CONFIG_PALETES!$B:$B,$C192&amp;" ml"),"")))</f>
        <v/>
      </c>
      <c r="G192" s="822" t="str">
        <f>IFERROR(ROUNDUP(D192/F192,0),"")</f>
        <v/>
      </c>
      <c r="H192" s="823"/>
      <c r="I192" s="820" t="str">
        <f>IF(H192="","",H192*IF(SUMIFS(CONFIG_PALETES!$D:$D,CONFIG_PALETES!$A:$A,IF(ISNUMBER(SEARCH("ESPUMA",$B192)),"ESPUMA",IF(OR(ISNUMBER(SEARCH("OLEO DE COCO",$B192)),ISNUMBER(SEARCH("ÓLEO DE COCO",$B192)),ISNUMBER(SEARCH("COPRA",$B192))),"ÓLEO DE COCO",IF(ISNUMBER(SEARCH("CORANTE",$B192)),"CORANTE",TRIM($B192)))),CONFIG_PALETES!$B:$B,$C192&amp;" ml")&gt;0,SUMIFS(CONFIG_PALETES!$D:$D,CONFIG_PALETES!$A:$A,IF(ISNUMBER(SEARCH("ESPUMA",$B192)),"ESPUMA",IF(OR(ISNUMBER(SEARCH("OLEO DE COCO",$B192)),ISNUMBER(SEARCH("ÓLEO DE COCO",$B192)),ISNUMBER(SEARCH("COPRA",$B192))),"ÓLEO DE COCO",IF(ISNUMBER(SEARCH("CORANTE",$B192)),"CORANTE",TRIM($B192)))),CONFIG_PALETES!$B:$B,$C192&amp;" ml"),IF(SUMIFS(CONFIG_PALETES!$D:$D,CONFIG_PALETES!$A:$A,"GERAL",CONFIG_PALETES!$B:$B,$C192&amp;" ml")&gt;0,SUMIFS(CONFIG_PALETES!$D:$D,CONFIG_PALETES!$A:$A,"GERAL",CONFIG_PALETES!$B:$B,$C192&amp;" ml"),12)))</f>
        <v/>
      </c>
    </row>
    <row r="193" spans="1:15" ht="14.25" customHeight="1" x14ac:dyDescent="0.3">
      <c r="A193" s="899"/>
      <c r="B193" s="846" t="s">
        <v>186</v>
      </c>
      <c r="C193" s="847"/>
      <c r="D193" s="848">
        <f>SUM(D186:D192)</f>
        <v>0</v>
      </c>
      <c r="E193" s="849"/>
      <c r="F193" s="856" t="s">
        <v>1400</v>
      </c>
      <c r="G193" s="850">
        <f>SUM(G186:G192)</f>
        <v>0</v>
      </c>
      <c r="H193" s="848">
        <f>SUM(H186:H192)</f>
        <v>0</v>
      </c>
      <c r="I193" s="848">
        <f>SUM(I186:I192)</f>
        <v>0</v>
      </c>
      <c r="J193" s="63">
        <f>D193</f>
        <v>0</v>
      </c>
      <c r="K193" s="93">
        <f>G193</f>
        <v>0</v>
      </c>
      <c r="L193" s="63">
        <f>H193</f>
        <v>0</v>
      </c>
      <c r="M193" s="63">
        <f>I193</f>
        <v>0</v>
      </c>
      <c r="N193" s="587" t="str" cm="1">
        <f t="array" ref="N193">IF(H193=0,"",SUMPRODUCT(IFERROR(INT(H188:H192/F188:F192),0)))</f>
        <v/>
      </c>
      <c r="O193" s="770" t="str">
        <f>IF(N193="","",MAX(0,G193-N193))</f>
        <v/>
      </c>
    </row>
    <row r="194" spans="1:15" ht="14.25" customHeight="1" x14ac:dyDescent="0.3">
      <c r="C194" s="65"/>
    </row>
    <row r="195" spans="1:15" ht="14.25" customHeight="1" x14ac:dyDescent="0.3">
      <c r="A195" s="75">
        <v>46385</v>
      </c>
      <c r="B195" s="113" t="s">
        <v>49</v>
      </c>
      <c r="C195" s="112" t="s">
        <v>176</v>
      </c>
      <c r="D195" s="111" t="s">
        <v>177</v>
      </c>
      <c r="E195" s="111" t="s">
        <v>178</v>
      </c>
      <c r="F195" s="860" t="s">
        <v>179</v>
      </c>
      <c r="G195" s="111" t="s">
        <v>180</v>
      </c>
      <c r="H195" s="111" t="s">
        <v>181</v>
      </c>
      <c r="I195" s="111" t="s">
        <v>182</v>
      </c>
    </row>
    <row r="196" spans="1:15" ht="21" customHeight="1" x14ac:dyDescent="0.3">
      <c r="A196" s="110"/>
      <c r="B196" s="109"/>
      <c r="C196" s="108"/>
      <c r="D196" s="104"/>
      <c r="E196" s="107" t="s">
        <v>184</v>
      </c>
      <c r="F196" s="871" t="str">
        <f>IF($B196="","",IF(SUMIFS(CONFIG_PALETES!$C:$C,CONFIG_PALETES!$A:$A,TRIM($B196),CONFIG_PALETES!$B:$B,$C196&amp;" ml")&gt;0,SUMIFS(CONFIG_PALETES!$C:$C,CONFIG_PALETES!$A:$A,TRIM($B196),CONFIG_PALETES!$B:$B,$C196&amp;" ml"),IF(SUMIFS(CONFIG_PALETES!$C:$C,CONFIG_PALETES!$A:$A,"GERAL",CONFIG_PALETES!$B:$B,$C196&amp;" ml")&gt;0,SUMIFS(CONFIG_PALETES!$C:$C,CONFIG_PALETES!$A:$A,"GERAL",CONFIG_PALETES!$B:$B,$C196&amp;" ml"),"")))</f>
        <v/>
      </c>
      <c r="G196" s="106" t="str">
        <f>IFERROR(ROUNDUP(D196/F196,0),"")</f>
        <v/>
      </c>
      <c r="H196" s="105"/>
      <c r="I196" s="104" t="str">
        <f>IF(H196="","",H196*IF(SUMIFS(CONFIG_PALETES!$D:$D,CONFIG_PALETES!$A:$A,IF(ISNUMBER(SEARCH("ESPUMA",$B196)),"ESPUMA",IF(OR(ISNUMBER(SEARCH("OLEO DE COCO",$B196)),ISNUMBER(SEARCH("ÓLEO DE COCO",$B196)),ISNUMBER(SEARCH("COPRA",$B196))),"ÓLEO DE COCO",IF(ISNUMBER(SEARCH("CORANTE",$B196)),"CORANTE",TRIM($B196)))),CONFIG_PALETES!$B:$B,$C196&amp;" ml")&gt;0,SUMIFS(CONFIG_PALETES!$D:$D,CONFIG_PALETES!$A:$A,IF(ISNUMBER(SEARCH("ESPUMA",$B196)),"ESPUMA",IF(OR(ISNUMBER(SEARCH("OLEO DE COCO",$B196)),ISNUMBER(SEARCH("ÓLEO DE COCO",$B196)),ISNUMBER(SEARCH("COPRA",$B196))),"ÓLEO DE COCO",IF(ISNUMBER(SEARCH("CORANTE",$B196)),"CORANTE",TRIM($B196)))),CONFIG_PALETES!$B:$B,$C196&amp;" ml"),IF(SUMIFS(CONFIG_PALETES!$D:$D,CONFIG_PALETES!$A:$A,"GERAL",CONFIG_PALETES!$B:$B,$C196&amp;" ml")&gt;0,SUMIFS(CONFIG_PALETES!$D:$D,CONFIG_PALETES!$A:$A,"GERAL",CONFIG_PALETES!$B:$B,$C196&amp;" ml"),12)))</f>
        <v/>
      </c>
    </row>
    <row r="197" spans="1:15" ht="21" customHeight="1" x14ac:dyDescent="0.3">
      <c r="A197" s="110"/>
      <c r="B197" s="109"/>
      <c r="C197" s="108"/>
      <c r="D197" s="104"/>
      <c r="E197" s="107" t="s">
        <v>184</v>
      </c>
      <c r="F197" s="871" t="str">
        <f>IF($B197="","",IF(SUMIFS(CONFIG_PALETES!$C:$C,CONFIG_PALETES!$A:$A,TRIM($B197),CONFIG_PALETES!$B:$B,$C197&amp;" ml")&gt;0,SUMIFS(CONFIG_PALETES!$C:$C,CONFIG_PALETES!$A:$A,TRIM($B197),CONFIG_PALETES!$B:$B,$C197&amp;" ml"),IF(SUMIFS(CONFIG_PALETES!$C:$C,CONFIG_PALETES!$A:$A,"GERAL",CONFIG_PALETES!$B:$B,$C197&amp;" ml")&gt;0,SUMIFS(CONFIG_PALETES!$C:$C,CONFIG_PALETES!$A:$A,"GERAL",CONFIG_PALETES!$B:$B,$C197&amp;" ml"),"")))</f>
        <v/>
      </c>
      <c r="G197" s="106" t="str">
        <f>IFERROR(ROUNDUP(D197/F197,0),"")</f>
        <v/>
      </c>
      <c r="H197" s="105"/>
      <c r="I197" s="104" t="str">
        <f>IF(H197="","",H197*IF(SUMIFS(CONFIG_PALETES!$D:$D,CONFIG_PALETES!$A:$A,IF(ISNUMBER(SEARCH("ESPUMA",$B197)),"ESPUMA",IF(OR(ISNUMBER(SEARCH("OLEO DE COCO",$B197)),ISNUMBER(SEARCH("ÓLEO DE COCO",$B197)),ISNUMBER(SEARCH("COPRA",$B197))),"ÓLEO DE COCO",IF(ISNUMBER(SEARCH("CORANTE",$B197)),"CORANTE",TRIM($B197)))),CONFIG_PALETES!$B:$B,$C197&amp;" ml")&gt;0,SUMIFS(CONFIG_PALETES!$D:$D,CONFIG_PALETES!$A:$A,IF(ISNUMBER(SEARCH("ESPUMA",$B197)),"ESPUMA",IF(OR(ISNUMBER(SEARCH("OLEO DE COCO",$B197)),ISNUMBER(SEARCH("ÓLEO DE COCO",$B197)),ISNUMBER(SEARCH("COPRA",$B197))),"ÓLEO DE COCO",IF(ISNUMBER(SEARCH("CORANTE",$B197)),"CORANTE",TRIM($B197)))),CONFIG_PALETES!$B:$B,$C197&amp;" ml"),IF(SUMIFS(CONFIG_PALETES!$D:$D,CONFIG_PALETES!$A:$A,"GERAL",CONFIG_PALETES!$B:$B,$C197&amp;" ml")&gt;0,SUMIFS(CONFIG_PALETES!$D:$D,CONFIG_PALETES!$A:$A,"GERAL",CONFIG_PALETES!$B:$B,$C197&amp;" ml"),12)))</f>
        <v/>
      </c>
    </row>
    <row r="198" spans="1:15" ht="21" customHeight="1" x14ac:dyDescent="0.3">
      <c r="A198" s="110"/>
      <c r="B198" s="109"/>
      <c r="C198" s="108"/>
      <c r="D198" s="104"/>
      <c r="E198" s="107" t="s">
        <v>184</v>
      </c>
      <c r="F198" s="871" t="str">
        <f>IF($B198="","",IF(SUMIFS(CONFIG_PALETES!$C:$C,CONFIG_PALETES!$A:$A,TRIM($B198),CONFIG_PALETES!$B:$B,$C198&amp;" ml")&gt;0,SUMIFS(CONFIG_PALETES!$C:$C,CONFIG_PALETES!$A:$A,TRIM($B198),CONFIG_PALETES!$B:$B,$C198&amp;" ml"),IF(SUMIFS(CONFIG_PALETES!$C:$C,CONFIG_PALETES!$A:$A,"GERAL",CONFIG_PALETES!$B:$B,$C198&amp;" ml")&gt;0,SUMIFS(CONFIG_PALETES!$C:$C,CONFIG_PALETES!$A:$A,"GERAL",CONFIG_PALETES!$B:$B,$C198&amp;" ml"),"")))</f>
        <v/>
      </c>
      <c r="G198" s="106" t="str">
        <f>IFERROR(ROUNDUP(D198/F198,0),"")</f>
        <v/>
      </c>
      <c r="H198" s="105"/>
      <c r="I198" s="104" t="str">
        <f>IF(H198="","",H198*IF(SUMIFS(CONFIG_PALETES!$D:$D,CONFIG_PALETES!$A:$A,IF(ISNUMBER(SEARCH("ESPUMA",$B198)),"ESPUMA",IF(OR(ISNUMBER(SEARCH("OLEO DE COCO",$B198)),ISNUMBER(SEARCH("ÓLEO DE COCO",$B198)),ISNUMBER(SEARCH("COPRA",$B198))),"ÓLEO DE COCO",IF(ISNUMBER(SEARCH("CORANTE",$B198)),"CORANTE",TRIM($B198)))),CONFIG_PALETES!$B:$B,$C198&amp;" ml")&gt;0,SUMIFS(CONFIG_PALETES!$D:$D,CONFIG_PALETES!$A:$A,IF(ISNUMBER(SEARCH("ESPUMA",$B198)),"ESPUMA",IF(OR(ISNUMBER(SEARCH("OLEO DE COCO",$B198)),ISNUMBER(SEARCH("ÓLEO DE COCO",$B198)),ISNUMBER(SEARCH("COPRA",$B198))),"ÓLEO DE COCO",IF(ISNUMBER(SEARCH("CORANTE",$B198)),"CORANTE",TRIM($B198)))),CONFIG_PALETES!$B:$B,$C198&amp;" ml"),IF(SUMIFS(CONFIG_PALETES!$D:$D,CONFIG_PALETES!$A:$A,"GERAL",CONFIG_PALETES!$B:$B,$C198&amp;" ml")&gt;0,SUMIFS(CONFIG_PALETES!$D:$D,CONFIG_PALETES!$A:$A,"GERAL",CONFIG_PALETES!$B:$B,$C198&amp;" ml"),12)))</f>
        <v/>
      </c>
    </row>
    <row r="199" spans="1:15" ht="21" customHeight="1" x14ac:dyDescent="0.3">
      <c r="A199" s="110"/>
      <c r="B199" s="109"/>
      <c r="C199" s="108"/>
      <c r="D199" s="104"/>
      <c r="E199" s="107" t="s">
        <v>184</v>
      </c>
      <c r="F199" s="871" t="str">
        <f>IF($B199="","",IF(SUMIFS(CONFIG_PALETES!$C:$C,CONFIG_PALETES!$A:$A,TRIM($B199),CONFIG_PALETES!$B:$B,$C199&amp;" ml")&gt;0,SUMIFS(CONFIG_PALETES!$C:$C,CONFIG_PALETES!$A:$A,TRIM($B199),CONFIG_PALETES!$B:$B,$C199&amp;" ml"),IF(SUMIFS(CONFIG_PALETES!$C:$C,CONFIG_PALETES!$A:$A,"GERAL",CONFIG_PALETES!$B:$B,$C199&amp;" ml")&gt;0,SUMIFS(CONFIG_PALETES!$C:$C,CONFIG_PALETES!$A:$A,"GERAL",CONFIG_PALETES!$B:$B,$C199&amp;" ml"),"")))</f>
        <v/>
      </c>
      <c r="G199" s="106" t="str">
        <f>IFERROR(ROUNDUP(D199/F199,0),"")</f>
        <v/>
      </c>
      <c r="H199" s="105"/>
      <c r="I199" s="104" t="str">
        <f>IF(H199="","",H199*IF(SUMIFS(CONFIG_PALETES!$D:$D,CONFIG_PALETES!$A:$A,IF(ISNUMBER(SEARCH("ESPUMA",$B199)),"ESPUMA",IF(OR(ISNUMBER(SEARCH("OLEO DE COCO",$B199)),ISNUMBER(SEARCH("ÓLEO DE COCO",$B199)),ISNUMBER(SEARCH("COPRA",$B199))),"ÓLEO DE COCO",IF(ISNUMBER(SEARCH("CORANTE",$B199)),"CORANTE",TRIM($B199)))),CONFIG_PALETES!$B:$B,$C199&amp;" ml")&gt;0,SUMIFS(CONFIG_PALETES!$D:$D,CONFIG_PALETES!$A:$A,IF(ISNUMBER(SEARCH("ESPUMA",$B199)),"ESPUMA",IF(OR(ISNUMBER(SEARCH("OLEO DE COCO",$B199)),ISNUMBER(SEARCH("ÓLEO DE COCO",$B199)),ISNUMBER(SEARCH("COPRA",$B199))),"ÓLEO DE COCO",IF(ISNUMBER(SEARCH("CORANTE",$B199)),"CORANTE",TRIM($B199)))),CONFIG_PALETES!$B:$B,$C199&amp;" ml"),IF(SUMIFS(CONFIG_PALETES!$D:$D,CONFIG_PALETES!$A:$A,"GERAL",CONFIG_PALETES!$B:$B,$C199&amp;" ml")&gt;0,SUMIFS(CONFIG_PALETES!$D:$D,CONFIG_PALETES!$A:$A,"GERAL",CONFIG_PALETES!$B:$B,$C199&amp;" ml"),12)))</f>
        <v/>
      </c>
    </row>
    <row r="200" spans="1:15" ht="21" customHeight="1" x14ac:dyDescent="0.3">
      <c r="A200" s="817"/>
      <c r="B200" s="818"/>
      <c r="C200" s="819"/>
      <c r="D200" s="820"/>
      <c r="E200" s="821" t="s">
        <v>184</v>
      </c>
      <c r="F200" s="872" t="str">
        <f>IF($B200="","",IF(SUMIFS(CONFIG_PALETES!$C:$C,CONFIG_PALETES!$A:$A,TRIM($B200),CONFIG_PALETES!$B:$B,$C200&amp;" ml")&gt;0,SUMIFS(CONFIG_PALETES!$C:$C,CONFIG_PALETES!$A:$A,TRIM($B200),CONFIG_PALETES!$B:$B,$C200&amp;" ml"),IF(SUMIFS(CONFIG_PALETES!$C:$C,CONFIG_PALETES!$A:$A,"GERAL",CONFIG_PALETES!$B:$B,$C200&amp;" ml")&gt;0,SUMIFS(CONFIG_PALETES!$C:$C,CONFIG_PALETES!$A:$A,"GERAL",CONFIG_PALETES!$B:$B,$C200&amp;" ml"),"")))</f>
        <v/>
      </c>
      <c r="G200" s="822" t="str">
        <f>IFERROR(ROUNDUP(D200/F200,0),"")</f>
        <v/>
      </c>
      <c r="H200" s="823"/>
      <c r="I200" s="820" t="str">
        <f>IF(H200="","",H200*IF(SUMIFS(CONFIG_PALETES!$D:$D,CONFIG_PALETES!$A:$A,IF(ISNUMBER(SEARCH("ESPUMA",$B200)),"ESPUMA",IF(OR(ISNUMBER(SEARCH("OLEO DE COCO",$B200)),ISNUMBER(SEARCH("ÓLEO DE COCO",$B200)),ISNUMBER(SEARCH("COPRA",$B200))),"ÓLEO DE COCO",IF(ISNUMBER(SEARCH("CORANTE",$B200)),"CORANTE",TRIM($B200)))),CONFIG_PALETES!$B:$B,$C200&amp;" ml")&gt;0,SUMIFS(CONFIG_PALETES!$D:$D,CONFIG_PALETES!$A:$A,IF(ISNUMBER(SEARCH("ESPUMA",$B200)),"ESPUMA",IF(OR(ISNUMBER(SEARCH("OLEO DE COCO",$B200)),ISNUMBER(SEARCH("ÓLEO DE COCO",$B200)),ISNUMBER(SEARCH("COPRA",$B200))),"ÓLEO DE COCO",IF(ISNUMBER(SEARCH("CORANTE",$B200)),"CORANTE",TRIM($B200)))),CONFIG_PALETES!$B:$B,$C200&amp;" ml"),IF(SUMIFS(CONFIG_PALETES!$D:$D,CONFIG_PALETES!$A:$A,"GERAL",CONFIG_PALETES!$B:$B,$C200&amp;" ml")&gt;0,SUMIFS(CONFIG_PALETES!$D:$D,CONFIG_PALETES!$A:$A,"GERAL",CONFIG_PALETES!$B:$B,$C200&amp;" ml"),12)))</f>
        <v/>
      </c>
    </row>
    <row r="201" spans="1:15" ht="14.25" customHeight="1" x14ac:dyDescent="0.3">
      <c r="A201" s="899"/>
      <c r="B201" s="846" t="s">
        <v>186</v>
      </c>
      <c r="C201" s="847"/>
      <c r="D201" s="848">
        <f>SUM(D194:D200)</f>
        <v>0</v>
      </c>
      <c r="E201" s="849"/>
      <c r="F201" s="856" t="s">
        <v>1400</v>
      </c>
      <c r="G201" s="850">
        <f>SUM(G194:G200)</f>
        <v>0</v>
      </c>
      <c r="H201" s="848">
        <f>SUM(H194:H200)</f>
        <v>0</v>
      </c>
      <c r="I201" s="848">
        <f>SUM(I194:I200)</f>
        <v>0</v>
      </c>
      <c r="J201" s="63">
        <f>D201</f>
        <v>0</v>
      </c>
      <c r="K201" s="93">
        <f>G201</f>
        <v>0</v>
      </c>
      <c r="L201" s="63">
        <f>H201</f>
        <v>0</v>
      </c>
      <c r="M201" s="63">
        <f>I201</f>
        <v>0</v>
      </c>
      <c r="N201" s="587" t="str" cm="1">
        <f t="array" ref="N201">IF(H201=0,"",SUMPRODUCT(IFERROR(INT(H196:H200/F196:F200),0)))</f>
        <v/>
      </c>
      <c r="O201" s="770" t="str">
        <f>IF(N201="","",MAX(0,G201-N201))</f>
        <v/>
      </c>
    </row>
    <row r="202" spans="1:15" ht="14.25" customHeight="1" x14ac:dyDescent="0.3">
      <c r="C202" s="65"/>
    </row>
    <row r="203" spans="1:15" ht="14.25" customHeight="1" x14ac:dyDescent="0.3">
      <c r="A203" s="75">
        <v>46386</v>
      </c>
      <c r="B203" s="113" t="s">
        <v>49</v>
      </c>
      <c r="C203" s="112" t="s">
        <v>176</v>
      </c>
      <c r="D203" s="111" t="s">
        <v>177</v>
      </c>
      <c r="E203" s="111" t="s">
        <v>178</v>
      </c>
      <c r="F203" s="860" t="s">
        <v>179</v>
      </c>
      <c r="G203" s="111" t="s">
        <v>180</v>
      </c>
      <c r="H203" s="111" t="s">
        <v>181</v>
      </c>
      <c r="I203" s="111" t="s">
        <v>182</v>
      </c>
    </row>
    <row r="204" spans="1:15" ht="21" customHeight="1" x14ac:dyDescent="0.3">
      <c r="A204" s="110"/>
      <c r="B204" s="109"/>
      <c r="C204" s="108"/>
      <c r="D204" s="104"/>
      <c r="E204" s="107" t="s">
        <v>184</v>
      </c>
      <c r="F204" s="871" t="str">
        <f>IF($B204="","",IF(SUMIFS(CONFIG_PALETES!$C:$C,CONFIG_PALETES!$A:$A,TRIM($B204),CONFIG_PALETES!$B:$B,$C204&amp;" ml")&gt;0,SUMIFS(CONFIG_PALETES!$C:$C,CONFIG_PALETES!$A:$A,TRIM($B204),CONFIG_PALETES!$B:$B,$C204&amp;" ml"),IF(SUMIFS(CONFIG_PALETES!$C:$C,CONFIG_PALETES!$A:$A,"GERAL",CONFIG_PALETES!$B:$B,$C204&amp;" ml")&gt;0,SUMIFS(CONFIG_PALETES!$C:$C,CONFIG_PALETES!$A:$A,"GERAL",CONFIG_PALETES!$B:$B,$C204&amp;" ml"),"")))</f>
        <v/>
      </c>
      <c r="G204" s="106" t="str">
        <f>IFERROR(ROUNDUP(D204/F204,0),"")</f>
        <v/>
      </c>
      <c r="H204" s="105"/>
      <c r="I204" s="104" t="str">
        <f>IF(H204="","",H204*IF(SUMIFS(CONFIG_PALETES!$D:$D,CONFIG_PALETES!$A:$A,IF(ISNUMBER(SEARCH("ESPUMA",$B204)),"ESPUMA",IF(OR(ISNUMBER(SEARCH("OLEO DE COCO",$B204)),ISNUMBER(SEARCH("ÓLEO DE COCO",$B204)),ISNUMBER(SEARCH("COPRA",$B204))),"ÓLEO DE COCO",IF(ISNUMBER(SEARCH("CORANTE",$B204)),"CORANTE",TRIM($B204)))),CONFIG_PALETES!$B:$B,$C204&amp;" ml")&gt;0,SUMIFS(CONFIG_PALETES!$D:$D,CONFIG_PALETES!$A:$A,IF(ISNUMBER(SEARCH("ESPUMA",$B204)),"ESPUMA",IF(OR(ISNUMBER(SEARCH("OLEO DE COCO",$B204)),ISNUMBER(SEARCH("ÓLEO DE COCO",$B204)),ISNUMBER(SEARCH("COPRA",$B204))),"ÓLEO DE COCO",IF(ISNUMBER(SEARCH("CORANTE",$B204)),"CORANTE",TRIM($B204)))),CONFIG_PALETES!$B:$B,$C204&amp;" ml"),IF(SUMIFS(CONFIG_PALETES!$D:$D,CONFIG_PALETES!$A:$A,"GERAL",CONFIG_PALETES!$B:$B,$C204&amp;" ml")&gt;0,SUMIFS(CONFIG_PALETES!$D:$D,CONFIG_PALETES!$A:$A,"GERAL",CONFIG_PALETES!$B:$B,$C204&amp;" ml"),12)))</f>
        <v/>
      </c>
    </row>
    <row r="205" spans="1:15" ht="21" customHeight="1" x14ac:dyDescent="0.3">
      <c r="A205" s="110"/>
      <c r="B205" s="109"/>
      <c r="C205" s="108"/>
      <c r="D205" s="104"/>
      <c r="E205" s="107" t="s">
        <v>184</v>
      </c>
      <c r="F205" s="871" t="str">
        <f>IF($B205="","",IF(SUMIFS(CONFIG_PALETES!$C:$C,CONFIG_PALETES!$A:$A,TRIM($B205),CONFIG_PALETES!$B:$B,$C205&amp;" ml")&gt;0,SUMIFS(CONFIG_PALETES!$C:$C,CONFIG_PALETES!$A:$A,TRIM($B205),CONFIG_PALETES!$B:$B,$C205&amp;" ml"),IF(SUMIFS(CONFIG_PALETES!$C:$C,CONFIG_PALETES!$A:$A,"GERAL",CONFIG_PALETES!$B:$B,$C205&amp;" ml")&gt;0,SUMIFS(CONFIG_PALETES!$C:$C,CONFIG_PALETES!$A:$A,"GERAL",CONFIG_PALETES!$B:$B,$C205&amp;" ml"),"")))</f>
        <v/>
      </c>
      <c r="G205" s="106" t="str">
        <f>IFERROR(ROUNDUP(D205/F205,0),"")</f>
        <v/>
      </c>
      <c r="H205" s="105"/>
      <c r="I205" s="104" t="str">
        <f>IF(H205="","",H205*IF(SUMIFS(CONFIG_PALETES!$D:$D,CONFIG_PALETES!$A:$A,IF(ISNUMBER(SEARCH("ESPUMA",$B205)),"ESPUMA",IF(OR(ISNUMBER(SEARCH("OLEO DE COCO",$B205)),ISNUMBER(SEARCH("ÓLEO DE COCO",$B205)),ISNUMBER(SEARCH("COPRA",$B205))),"ÓLEO DE COCO",IF(ISNUMBER(SEARCH("CORANTE",$B205)),"CORANTE",TRIM($B205)))),CONFIG_PALETES!$B:$B,$C205&amp;" ml")&gt;0,SUMIFS(CONFIG_PALETES!$D:$D,CONFIG_PALETES!$A:$A,IF(ISNUMBER(SEARCH("ESPUMA",$B205)),"ESPUMA",IF(OR(ISNUMBER(SEARCH("OLEO DE COCO",$B205)),ISNUMBER(SEARCH("ÓLEO DE COCO",$B205)),ISNUMBER(SEARCH("COPRA",$B205))),"ÓLEO DE COCO",IF(ISNUMBER(SEARCH("CORANTE",$B205)),"CORANTE",TRIM($B205)))),CONFIG_PALETES!$B:$B,$C205&amp;" ml"),IF(SUMIFS(CONFIG_PALETES!$D:$D,CONFIG_PALETES!$A:$A,"GERAL",CONFIG_PALETES!$B:$B,$C205&amp;" ml")&gt;0,SUMIFS(CONFIG_PALETES!$D:$D,CONFIG_PALETES!$A:$A,"GERAL",CONFIG_PALETES!$B:$B,$C205&amp;" ml"),12)))</f>
        <v/>
      </c>
    </row>
    <row r="206" spans="1:15" ht="21" customHeight="1" x14ac:dyDescent="0.3">
      <c r="A206" s="110"/>
      <c r="B206" s="109"/>
      <c r="C206" s="108"/>
      <c r="D206" s="104"/>
      <c r="E206" s="107" t="s">
        <v>184</v>
      </c>
      <c r="F206" s="871" t="str">
        <f>IF($B206="","",IF(SUMIFS(CONFIG_PALETES!$C:$C,CONFIG_PALETES!$A:$A,TRIM($B206),CONFIG_PALETES!$B:$B,$C206&amp;" ml")&gt;0,SUMIFS(CONFIG_PALETES!$C:$C,CONFIG_PALETES!$A:$A,TRIM($B206),CONFIG_PALETES!$B:$B,$C206&amp;" ml"),IF(SUMIFS(CONFIG_PALETES!$C:$C,CONFIG_PALETES!$A:$A,"GERAL",CONFIG_PALETES!$B:$B,$C206&amp;" ml")&gt;0,SUMIFS(CONFIG_PALETES!$C:$C,CONFIG_PALETES!$A:$A,"GERAL",CONFIG_PALETES!$B:$B,$C206&amp;" ml"),"")))</f>
        <v/>
      </c>
      <c r="G206" s="106" t="str">
        <f>IFERROR(ROUNDUP(D206/F206,0),"")</f>
        <v/>
      </c>
      <c r="H206" s="105"/>
      <c r="I206" s="104" t="str">
        <f>IF(H206="","",H206*IF(SUMIFS(CONFIG_PALETES!$D:$D,CONFIG_PALETES!$A:$A,IF(ISNUMBER(SEARCH("ESPUMA",$B206)),"ESPUMA",IF(OR(ISNUMBER(SEARCH("OLEO DE COCO",$B206)),ISNUMBER(SEARCH("ÓLEO DE COCO",$B206)),ISNUMBER(SEARCH("COPRA",$B206))),"ÓLEO DE COCO",IF(ISNUMBER(SEARCH("CORANTE",$B206)),"CORANTE",TRIM($B206)))),CONFIG_PALETES!$B:$B,$C206&amp;" ml")&gt;0,SUMIFS(CONFIG_PALETES!$D:$D,CONFIG_PALETES!$A:$A,IF(ISNUMBER(SEARCH("ESPUMA",$B206)),"ESPUMA",IF(OR(ISNUMBER(SEARCH("OLEO DE COCO",$B206)),ISNUMBER(SEARCH("ÓLEO DE COCO",$B206)),ISNUMBER(SEARCH("COPRA",$B206))),"ÓLEO DE COCO",IF(ISNUMBER(SEARCH("CORANTE",$B206)),"CORANTE",TRIM($B206)))),CONFIG_PALETES!$B:$B,$C206&amp;" ml"),IF(SUMIFS(CONFIG_PALETES!$D:$D,CONFIG_PALETES!$A:$A,"GERAL",CONFIG_PALETES!$B:$B,$C206&amp;" ml")&gt;0,SUMIFS(CONFIG_PALETES!$D:$D,CONFIG_PALETES!$A:$A,"GERAL",CONFIG_PALETES!$B:$B,$C206&amp;" ml"),12)))</f>
        <v/>
      </c>
    </row>
    <row r="207" spans="1:15" ht="21" customHeight="1" x14ac:dyDescent="0.3">
      <c r="A207" s="110"/>
      <c r="B207" s="109"/>
      <c r="C207" s="108"/>
      <c r="D207" s="104"/>
      <c r="E207" s="107" t="s">
        <v>184</v>
      </c>
      <c r="F207" s="871" t="str">
        <f>IF($B207="","",IF(SUMIFS(CONFIG_PALETES!$C:$C,CONFIG_PALETES!$A:$A,TRIM($B207),CONFIG_PALETES!$B:$B,$C207&amp;" ml")&gt;0,SUMIFS(CONFIG_PALETES!$C:$C,CONFIG_PALETES!$A:$A,TRIM($B207),CONFIG_PALETES!$B:$B,$C207&amp;" ml"),IF(SUMIFS(CONFIG_PALETES!$C:$C,CONFIG_PALETES!$A:$A,"GERAL",CONFIG_PALETES!$B:$B,$C207&amp;" ml")&gt;0,SUMIFS(CONFIG_PALETES!$C:$C,CONFIG_PALETES!$A:$A,"GERAL",CONFIG_PALETES!$B:$B,$C207&amp;" ml"),"")))</f>
        <v/>
      </c>
      <c r="G207" s="106" t="str">
        <f>IFERROR(ROUNDUP(D207/F207,0),"")</f>
        <v/>
      </c>
      <c r="H207" s="105"/>
      <c r="I207" s="104" t="str">
        <f>IF(H207="","",H207*IF(SUMIFS(CONFIG_PALETES!$D:$D,CONFIG_PALETES!$A:$A,IF(ISNUMBER(SEARCH("ESPUMA",$B207)),"ESPUMA",IF(OR(ISNUMBER(SEARCH("OLEO DE COCO",$B207)),ISNUMBER(SEARCH("ÓLEO DE COCO",$B207)),ISNUMBER(SEARCH("COPRA",$B207))),"ÓLEO DE COCO",IF(ISNUMBER(SEARCH("CORANTE",$B207)),"CORANTE",TRIM($B207)))),CONFIG_PALETES!$B:$B,$C207&amp;" ml")&gt;0,SUMIFS(CONFIG_PALETES!$D:$D,CONFIG_PALETES!$A:$A,IF(ISNUMBER(SEARCH("ESPUMA",$B207)),"ESPUMA",IF(OR(ISNUMBER(SEARCH("OLEO DE COCO",$B207)),ISNUMBER(SEARCH("ÓLEO DE COCO",$B207)),ISNUMBER(SEARCH("COPRA",$B207))),"ÓLEO DE COCO",IF(ISNUMBER(SEARCH("CORANTE",$B207)),"CORANTE",TRIM($B207)))),CONFIG_PALETES!$B:$B,$C207&amp;" ml"),IF(SUMIFS(CONFIG_PALETES!$D:$D,CONFIG_PALETES!$A:$A,"GERAL",CONFIG_PALETES!$B:$B,$C207&amp;" ml")&gt;0,SUMIFS(CONFIG_PALETES!$D:$D,CONFIG_PALETES!$A:$A,"GERAL",CONFIG_PALETES!$B:$B,$C207&amp;" ml"),12)))</f>
        <v/>
      </c>
    </row>
    <row r="208" spans="1:15" ht="21" customHeight="1" x14ac:dyDescent="0.3">
      <c r="A208" s="817"/>
      <c r="B208" s="818"/>
      <c r="C208" s="819"/>
      <c r="D208" s="820"/>
      <c r="E208" s="821" t="s">
        <v>184</v>
      </c>
      <c r="F208" s="872" t="str">
        <f>IF($B208="","",IF(SUMIFS(CONFIG_PALETES!$C:$C,CONFIG_PALETES!$A:$A,TRIM($B208),CONFIG_PALETES!$B:$B,$C208&amp;" ml")&gt;0,SUMIFS(CONFIG_PALETES!$C:$C,CONFIG_PALETES!$A:$A,TRIM($B208),CONFIG_PALETES!$B:$B,$C208&amp;" ml"),IF(SUMIFS(CONFIG_PALETES!$C:$C,CONFIG_PALETES!$A:$A,"GERAL",CONFIG_PALETES!$B:$B,$C208&amp;" ml")&gt;0,SUMIFS(CONFIG_PALETES!$C:$C,CONFIG_PALETES!$A:$A,"GERAL",CONFIG_PALETES!$B:$B,$C208&amp;" ml"),"")))</f>
        <v/>
      </c>
      <c r="G208" s="822" t="str">
        <f>IFERROR(ROUNDUP(D208/F208,0),"")</f>
        <v/>
      </c>
      <c r="H208" s="823"/>
      <c r="I208" s="820" t="str">
        <f>IF(H208="","",H208*IF(SUMIFS(CONFIG_PALETES!$D:$D,CONFIG_PALETES!$A:$A,IF(ISNUMBER(SEARCH("ESPUMA",$B208)),"ESPUMA",IF(OR(ISNUMBER(SEARCH("OLEO DE COCO",$B208)),ISNUMBER(SEARCH("ÓLEO DE COCO",$B208)),ISNUMBER(SEARCH("COPRA",$B208))),"ÓLEO DE COCO",IF(ISNUMBER(SEARCH("CORANTE",$B208)),"CORANTE",TRIM($B208)))),CONFIG_PALETES!$B:$B,$C208&amp;" ml")&gt;0,SUMIFS(CONFIG_PALETES!$D:$D,CONFIG_PALETES!$A:$A,IF(ISNUMBER(SEARCH("ESPUMA",$B208)),"ESPUMA",IF(OR(ISNUMBER(SEARCH("OLEO DE COCO",$B208)),ISNUMBER(SEARCH("ÓLEO DE COCO",$B208)),ISNUMBER(SEARCH("COPRA",$B208))),"ÓLEO DE COCO",IF(ISNUMBER(SEARCH("CORANTE",$B208)),"CORANTE",TRIM($B208)))),CONFIG_PALETES!$B:$B,$C208&amp;" ml"),IF(SUMIFS(CONFIG_PALETES!$D:$D,CONFIG_PALETES!$A:$A,"GERAL",CONFIG_PALETES!$B:$B,$C208&amp;" ml")&gt;0,SUMIFS(CONFIG_PALETES!$D:$D,CONFIG_PALETES!$A:$A,"GERAL",CONFIG_PALETES!$B:$B,$C208&amp;" ml"),12)))</f>
        <v/>
      </c>
    </row>
    <row r="209" spans="1:15" ht="14.25" customHeight="1" x14ac:dyDescent="0.3">
      <c r="A209" s="899"/>
      <c r="B209" s="846" t="s">
        <v>186</v>
      </c>
      <c r="C209" s="847"/>
      <c r="D209" s="848">
        <f>SUM(D202:D208)</f>
        <v>0</v>
      </c>
      <c r="E209" s="849"/>
      <c r="F209" s="856" t="s">
        <v>1400</v>
      </c>
      <c r="G209" s="850">
        <f>SUM(G202:G208)</f>
        <v>0</v>
      </c>
      <c r="H209" s="848">
        <f>SUM(H202:H208)</f>
        <v>0</v>
      </c>
      <c r="I209" s="848">
        <f>SUM(I202:I208)</f>
        <v>0</v>
      </c>
      <c r="J209" s="63">
        <f>D209</f>
        <v>0</v>
      </c>
      <c r="K209" s="93">
        <f>G209</f>
        <v>0</v>
      </c>
      <c r="L209" s="63">
        <f>H209</f>
        <v>0</v>
      </c>
      <c r="M209" s="63">
        <f>I209</f>
        <v>0</v>
      </c>
      <c r="N209" s="587" t="str" cm="1">
        <f t="array" ref="N209">IF(H209=0,"",SUMPRODUCT(IFERROR(INT(H204:H208/F204:F208),0)))</f>
        <v/>
      </c>
      <c r="O209" s="770" t="str">
        <f>IF(N209="","",MAX(0,G209-N209))</f>
        <v/>
      </c>
    </row>
    <row r="210" spans="1:15" ht="14.25" customHeight="1" x14ac:dyDescent="0.3">
      <c r="C210" s="65"/>
    </row>
    <row r="211" spans="1:15" ht="14.25" customHeight="1" x14ac:dyDescent="0.3">
      <c r="A211" s="75">
        <v>46387</v>
      </c>
      <c r="B211" s="113" t="s">
        <v>49</v>
      </c>
      <c r="C211" s="112" t="s">
        <v>176</v>
      </c>
      <c r="D211" s="111" t="s">
        <v>177</v>
      </c>
      <c r="E211" s="111" t="s">
        <v>178</v>
      </c>
      <c r="F211" s="860" t="s">
        <v>179</v>
      </c>
      <c r="G211" s="111" t="s">
        <v>180</v>
      </c>
      <c r="H211" s="111" t="s">
        <v>181</v>
      </c>
      <c r="I211" s="111" t="s">
        <v>182</v>
      </c>
    </row>
    <row r="212" spans="1:15" ht="21" customHeight="1" x14ac:dyDescent="0.3">
      <c r="A212" s="110"/>
      <c r="B212" s="109"/>
      <c r="C212" s="108"/>
      <c r="D212" s="104"/>
      <c r="E212" s="107" t="s">
        <v>184</v>
      </c>
      <c r="F212" s="871" t="str">
        <f>IF($B212="","",IF(SUMIFS(CONFIG_PALETES!$C:$C,CONFIG_PALETES!$A:$A,TRIM($B212),CONFIG_PALETES!$B:$B,$C212&amp;" ml")&gt;0,SUMIFS(CONFIG_PALETES!$C:$C,CONFIG_PALETES!$A:$A,TRIM($B212),CONFIG_PALETES!$B:$B,$C212&amp;" ml"),IF(SUMIFS(CONFIG_PALETES!$C:$C,CONFIG_PALETES!$A:$A,"GERAL",CONFIG_PALETES!$B:$B,$C212&amp;" ml")&gt;0,SUMIFS(CONFIG_PALETES!$C:$C,CONFIG_PALETES!$A:$A,"GERAL",CONFIG_PALETES!$B:$B,$C212&amp;" ml"),"")))</f>
        <v/>
      </c>
      <c r="G212" s="106" t="str">
        <f>IFERROR(ROUNDUP(D212/F212,0),"")</f>
        <v/>
      </c>
      <c r="H212" s="105"/>
      <c r="I212" s="104" t="str">
        <f>IF(H212="","",H212*IF(SUMIFS(CONFIG_PALETES!$D:$D,CONFIG_PALETES!$A:$A,IF(ISNUMBER(SEARCH("ESPUMA",$B212)),"ESPUMA",IF(OR(ISNUMBER(SEARCH("OLEO DE COCO",$B212)),ISNUMBER(SEARCH("ÓLEO DE COCO",$B212)),ISNUMBER(SEARCH("COPRA",$B212))),"ÓLEO DE COCO",IF(ISNUMBER(SEARCH("CORANTE",$B212)),"CORANTE",TRIM($B212)))),CONFIG_PALETES!$B:$B,$C212&amp;" ml")&gt;0,SUMIFS(CONFIG_PALETES!$D:$D,CONFIG_PALETES!$A:$A,IF(ISNUMBER(SEARCH("ESPUMA",$B212)),"ESPUMA",IF(OR(ISNUMBER(SEARCH("OLEO DE COCO",$B212)),ISNUMBER(SEARCH("ÓLEO DE COCO",$B212)),ISNUMBER(SEARCH("COPRA",$B212))),"ÓLEO DE COCO",IF(ISNUMBER(SEARCH("CORANTE",$B212)),"CORANTE",TRIM($B212)))),CONFIG_PALETES!$B:$B,$C212&amp;" ml"),IF(SUMIFS(CONFIG_PALETES!$D:$D,CONFIG_PALETES!$A:$A,"GERAL",CONFIG_PALETES!$B:$B,$C212&amp;" ml")&gt;0,SUMIFS(CONFIG_PALETES!$D:$D,CONFIG_PALETES!$A:$A,"GERAL",CONFIG_PALETES!$B:$B,$C212&amp;" ml"),12)))</f>
        <v/>
      </c>
    </row>
    <row r="213" spans="1:15" ht="21" customHeight="1" x14ac:dyDescent="0.3">
      <c r="A213" s="110"/>
      <c r="B213" s="109"/>
      <c r="C213" s="108"/>
      <c r="D213" s="104"/>
      <c r="E213" s="107" t="s">
        <v>184</v>
      </c>
      <c r="F213" s="871" t="str">
        <f>IF($B213="","",IF(SUMIFS(CONFIG_PALETES!$C:$C,CONFIG_PALETES!$A:$A,TRIM($B213),CONFIG_PALETES!$B:$B,$C213&amp;" ml")&gt;0,SUMIFS(CONFIG_PALETES!$C:$C,CONFIG_PALETES!$A:$A,TRIM($B213),CONFIG_PALETES!$B:$B,$C213&amp;" ml"),IF(SUMIFS(CONFIG_PALETES!$C:$C,CONFIG_PALETES!$A:$A,"GERAL",CONFIG_PALETES!$B:$B,$C213&amp;" ml")&gt;0,SUMIFS(CONFIG_PALETES!$C:$C,CONFIG_PALETES!$A:$A,"GERAL",CONFIG_PALETES!$B:$B,$C213&amp;" ml"),"")))</f>
        <v/>
      </c>
      <c r="G213" s="106" t="str">
        <f>IFERROR(ROUNDUP(D213/F213,0),"")</f>
        <v/>
      </c>
      <c r="H213" s="105"/>
      <c r="I213" s="104" t="str">
        <f>IF(H213="","",H213*IF(SUMIFS(CONFIG_PALETES!$D:$D,CONFIG_PALETES!$A:$A,IF(ISNUMBER(SEARCH("ESPUMA",$B213)),"ESPUMA",IF(OR(ISNUMBER(SEARCH("OLEO DE COCO",$B213)),ISNUMBER(SEARCH("ÓLEO DE COCO",$B213)),ISNUMBER(SEARCH("COPRA",$B213))),"ÓLEO DE COCO",IF(ISNUMBER(SEARCH("CORANTE",$B213)),"CORANTE",TRIM($B213)))),CONFIG_PALETES!$B:$B,$C213&amp;" ml")&gt;0,SUMIFS(CONFIG_PALETES!$D:$D,CONFIG_PALETES!$A:$A,IF(ISNUMBER(SEARCH("ESPUMA",$B213)),"ESPUMA",IF(OR(ISNUMBER(SEARCH("OLEO DE COCO",$B213)),ISNUMBER(SEARCH("ÓLEO DE COCO",$B213)),ISNUMBER(SEARCH("COPRA",$B213))),"ÓLEO DE COCO",IF(ISNUMBER(SEARCH("CORANTE",$B213)),"CORANTE",TRIM($B213)))),CONFIG_PALETES!$B:$B,$C213&amp;" ml"),IF(SUMIFS(CONFIG_PALETES!$D:$D,CONFIG_PALETES!$A:$A,"GERAL",CONFIG_PALETES!$B:$B,$C213&amp;" ml")&gt;0,SUMIFS(CONFIG_PALETES!$D:$D,CONFIG_PALETES!$A:$A,"GERAL",CONFIG_PALETES!$B:$B,$C213&amp;" ml"),12)))</f>
        <v/>
      </c>
    </row>
    <row r="214" spans="1:15" ht="21" customHeight="1" x14ac:dyDescent="0.3">
      <c r="A214" s="110"/>
      <c r="B214" s="109"/>
      <c r="C214" s="108"/>
      <c r="D214" s="104"/>
      <c r="E214" s="107" t="s">
        <v>184</v>
      </c>
      <c r="F214" s="871" t="str">
        <f>IF($B214="","",IF(SUMIFS(CONFIG_PALETES!$C:$C,CONFIG_PALETES!$A:$A,TRIM($B214),CONFIG_PALETES!$B:$B,$C214&amp;" ml")&gt;0,SUMIFS(CONFIG_PALETES!$C:$C,CONFIG_PALETES!$A:$A,TRIM($B214),CONFIG_PALETES!$B:$B,$C214&amp;" ml"),IF(SUMIFS(CONFIG_PALETES!$C:$C,CONFIG_PALETES!$A:$A,"GERAL",CONFIG_PALETES!$B:$B,$C214&amp;" ml")&gt;0,SUMIFS(CONFIG_PALETES!$C:$C,CONFIG_PALETES!$A:$A,"GERAL",CONFIG_PALETES!$B:$B,$C214&amp;" ml"),"")))</f>
        <v/>
      </c>
      <c r="G214" s="106" t="str">
        <f>IFERROR(ROUNDUP(D214/F214,0),"")</f>
        <v/>
      </c>
      <c r="H214" s="105"/>
      <c r="I214" s="104" t="str">
        <f>IF(H214="","",H214*IF(SUMIFS(CONFIG_PALETES!$D:$D,CONFIG_PALETES!$A:$A,IF(ISNUMBER(SEARCH("ESPUMA",$B214)),"ESPUMA",IF(OR(ISNUMBER(SEARCH("OLEO DE COCO",$B214)),ISNUMBER(SEARCH("ÓLEO DE COCO",$B214)),ISNUMBER(SEARCH("COPRA",$B214))),"ÓLEO DE COCO",IF(ISNUMBER(SEARCH("CORANTE",$B214)),"CORANTE",TRIM($B214)))),CONFIG_PALETES!$B:$B,$C214&amp;" ml")&gt;0,SUMIFS(CONFIG_PALETES!$D:$D,CONFIG_PALETES!$A:$A,IF(ISNUMBER(SEARCH("ESPUMA",$B214)),"ESPUMA",IF(OR(ISNUMBER(SEARCH("OLEO DE COCO",$B214)),ISNUMBER(SEARCH("ÓLEO DE COCO",$B214)),ISNUMBER(SEARCH("COPRA",$B214))),"ÓLEO DE COCO",IF(ISNUMBER(SEARCH("CORANTE",$B214)),"CORANTE",TRIM($B214)))),CONFIG_PALETES!$B:$B,$C214&amp;" ml"),IF(SUMIFS(CONFIG_PALETES!$D:$D,CONFIG_PALETES!$A:$A,"GERAL",CONFIG_PALETES!$B:$B,$C214&amp;" ml")&gt;0,SUMIFS(CONFIG_PALETES!$D:$D,CONFIG_PALETES!$A:$A,"GERAL",CONFIG_PALETES!$B:$B,$C214&amp;" ml"),12)))</f>
        <v/>
      </c>
    </row>
    <row r="215" spans="1:15" ht="21" customHeight="1" x14ac:dyDescent="0.3">
      <c r="A215" s="110"/>
      <c r="B215" s="109"/>
      <c r="C215" s="108"/>
      <c r="D215" s="104"/>
      <c r="E215" s="107" t="s">
        <v>184</v>
      </c>
      <c r="F215" s="871" t="str">
        <f>IF($B215="","",IF(SUMIFS(CONFIG_PALETES!$C:$C,CONFIG_PALETES!$A:$A,TRIM($B215),CONFIG_PALETES!$B:$B,$C215&amp;" ml")&gt;0,SUMIFS(CONFIG_PALETES!$C:$C,CONFIG_PALETES!$A:$A,TRIM($B215),CONFIG_PALETES!$B:$B,$C215&amp;" ml"),IF(SUMIFS(CONFIG_PALETES!$C:$C,CONFIG_PALETES!$A:$A,"GERAL",CONFIG_PALETES!$B:$B,$C215&amp;" ml")&gt;0,SUMIFS(CONFIG_PALETES!$C:$C,CONFIG_PALETES!$A:$A,"GERAL",CONFIG_PALETES!$B:$B,$C215&amp;" ml"),"")))</f>
        <v/>
      </c>
      <c r="G215" s="106" t="str">
        <f>IFERROR(ROUNDUP(D215/F215,0),"")</f>
        <v/>
      </c>
      <c r="H215" s="105"/>
      <c r="I215" s="104" t="str">
        <f>IF(H215="","",H215*IF(SUMIFS(CONFIG_PALETES!$D:$D,CONFIG_PALETES!$A:$A,IF(ISNUMBER(SEARCH("ESPUMA",$B215)),"ESPUMA",IF(OR(ISNUMBER(SEARCH("OLEO DE COCO",$B215)),ISNUMBER(SEARCH("ÓLEO DE COCO",$B215)),ISNUMBER(SEARCH("COPRA",$B215))),"ÓLEO DE COCO",IF(ISNUMBER(SEARCH("CORANTE",$B215)),"CORANTE",TRIM($B215)))),CONFIG_PALETES!$B:$B,$C215&amp;" ml")&gt;0,SUMIFS(CONFIG_PALETES!$D:$D,CONFIG_PALETES!$A:$A,IF(ISNUMBER(SEARCH("ESPUMA",$B215)),"ESPUMA",IF(OR(ISNUMBER(SEARCH("OLEO DE COCO",$B215)),ISNUMBER(SEARCH("ÓLEO DE COCO",$B215)),ISNUMBER(SEARCH("COPRA",$B215))),"ÓLEO DE COCO",IF(ISNUMBER(SEARCH("CORANTE",$B215)),"CORANTE",TRIM($B215)))),CONFIG_PALETES!$B:$B,$C215&amp;" ml"),IF(SUMIFS(CONFIG_PALETES!$D:$D,CONFIG_PALETES!$A:$A,"GERAL",CONFIG_PALETES!$B:$B,$C215&amp;" ml")&gt;0,SUMIFS(CONFIG_PALETES!$D:$D,CONFIG_PALETES!$A:$A,"GERAL",CONFIG_PALETES!$B:$B,$C215&amp;" ml"),12)))</f>
        <v/>
      </c>
    </row>
    <row r="216" spans="1:15" ht="21" customHeight="1" x14ac:dyDescent="0.3">
      <c r="A216" s="817"/>
      <c r="B216" s="818"/>
      <c r="C216" s="819"/>
      <c r="D216" s="820"/>
      <c r="E216" s="821" t="s">
        <v>184</v>
      </c>
      <c r="F216" s="872" t="str">
        <f>IF($B216="","",IF(SUMIFS(CONFIG_PALETES!$C:$C,CONFIG_PALETES!$A:$A,TRIM($B216),CONFIG_PALETES!$B:$B,$C216&amp;" ml")&gt;0,SUMIFS(CONFIG_PALETES!$C:$C,CONFIG_PALETES!$A:$A,TRIM($B216),CONFIG_PALETES!$B:$B,$C216&amp;" ml"),IF(SUMIFS(CONFIG_PALETES!$C:$C,CONFIG_PALETES!$A:$A,"GERAL",CONFIG_PALETES!$B:$B,$C216&amp;" ml")&gt;0,SUMIFS(CONFIG_PALETES!$C:$C,CONFIG_PALETES!$A:$A,"GERAL",CONFIG_PALETES!$B:$B,$C216&amp;" ml"),"")))</f>
        <v/>
      </c>
      <c r="G216" s="822" t="str">
        <f>IFERROR(ROUNDUP(D216/F216,0),"")</f>
        <v/>
      </c>
      <c r="H216" s="823"/>
      <c r="I216" s="820" t="str">
        <f>IF(H216="","",H216*IF(SUMIFS(CONFIG_PALETES!$D:$D,CONFIG_PALETES!$A:$A,IF(ISNUMBER(SEARCH("ESPUMA",$B216)),"ESPUMA",IF(OR(ISNUMBER(SEARCH("OLEO DE COCO",$B216)),ISNUMBER(SEARCH("ÓLEO DE COCO",$B216)),ISNUMBER(SEARCH("COPRA",$B216))),"ÓLEO DE COCO",IF(ISNUMBER(SEARCH("CORANTE",$B216)),"CORANTE",TRIM($B216)))),CONFIG_PALETES!$B:$B,$C216&amp;" ml")&gt;0,SUMIFS(CONFIG_PALETES!$D:$D,CONFIG_PALETES!$A:$A,IF(ISNUMBER(SEARCH("ESPUMA",$B216)),"ESPUMA",IF(OR(ISNUMBER(SEARCH("OLEO DE COCO",$B216)),ISNUMBER(SEARCH("ÓLEO DE COCO",$B216)),ISNUMBER(SEARCH("COPRA",$B216))),"ÓLEO DE COCO",IF(ISNUMBER(SEARCH("CORANTE",$B216)),"CORANTE",TRIM($B216)))),CONFIG_PALETES!$B:$B,$C216&amp;" ml"),IF(SUMIFS(CONFIG_PALETES!$D:$D,CONFIG_PALETES!$A:$A,"GERAL",CONFIG_PALETES!$B:$B,$C216&amp;" ml")&gt;0,SUMIFS(CONFIG_PALETES!$D:$D,CONFIG_PALETES!$A:$A,"GERAL",CONFIG_PALETES!$B:$B,$C216&amp;" ml"),12)))</f>
        <v/>
      </c>
    </row>
    <row r="217" spans="1:15" ht="14.25" customHeight="1" x14ac:dyDescent="0.3">
      <c r="A217" s="899"/>
      <c r="B217" s="846" t="s">
        <v>186</v>
      </c>
      <c r="C217" s="847"/>
      <c r="D217" s="848">
        <f>SUM(D210:D216)</f>
        <v>0</v>
      </c>
      <c r="E217" s="849"/>
      <c r="F217" s="856" t="s">
        <v>1400</v>
      </c>
      <c r="G217" s="850">
        <f>SUM(G210:G216)</f>
        <v>0</v>
      </c>
      <c r="H217" s="848">
        <f>SUM(H210:H216)</f>
        <v>0</v>
      </c>
      <c r="I217" s="848">
        <f>SUM(I210:I216)</f>
        <v>0</v>
      </c>
      <c r="J217" s="63">
        <f>D217</f>
        <v>0</v>
      </c>
      <c r="K217" s="93">
        <f>G217</f>
        <v>0</v>
      </c>
      <c r="L217" s="63">
        <f>H217</f>
        <v>0</v>
      </c>
      <c r="M217" s="63">
        <f>I217</f>
        <v>0</v>
      </c>
      <c r="N217" s="587" t="str" cm="1">
        <f t="array" ref="N217">IF(H217=0,"",SUMPRODUCT(IFERROR(INT(H212:H216/F212:F216),0)))</f>
        <v/>
      </c>
      <c r="O217" s="770" t="str">
        <f>IF(N217="","",MAX(0,G217-N217))</f>
        <v/>
      </c>
    </row>
  </sheetData>
  <mergeCells count="3">
    <mergeCell ref="A1:I1"/>
    <mergeCell ref="A2:F2"/>
    <mergeCell ref="G2:I2"/>
  </mergeCells>
  <dataValidations count="136">
    <dataValidation type="list" allowBlank="1" errorTitle="Embalagem inválida" error="Escolha uma embalagem compatível com o produto." promptTitle="Selecione a embalagem" prompt="As opções mudam conforme o produto escolhido." sqref="C1:C3 C9:C11 C17:C19 C25:C27 C33:C35 C41:C43 C49:C51 C57:C59 C65:C67 C73:C75 C81:C83 C89:C91 C97:C99 C105:C107 C113:C115 C121:C123 C129:C131 C137:C139 C145:C147 C153:C155 C161:C163 C169:C171 C177:C179 C185:C187 C193:C195 C201:C203 C209:C211 C217:C1185" xr:uid="{00000000-0002-0000-2500-000000000000}">
      <formula1>IF(ISNUMBER(SEARCH("CORANTE",$B1)),EMB_CORANTE,IF(OR(ISNUMBER(SEARCH("COCO",$B1)),ISNUMBER(SEARCH("COPRA",$B1))),EMB_COCO,IF(OR(ISNUMBER(SEARCH("DESTAK",$B1)),ISNUMBER(SEARCH("NORCAU",$B1))),EMB_600,EMB_TODAS)))</formula1>
      <formula2>0</formula2>
    </dataValidation>
    <dataValidation type="list" allowBlank="1" errorTitle="Embalagem inválida" error="Escolha uma embalagem compatível com o produto." promptTitle="Selecione a embalagem" prompt="As opções mudam conforme o produto digitado." sqref="C4" xr:uid="{B5DA0527-6638-469F-933A-585FDE0C7802}">
      <formula1>INDIRECT(IF(OR(ISNUMBER(SEARCH("ICEBERG ICE",UPPER(TRIM($B4)))),ISNUMBER(SEARCH("ICE ICEBERG",UPPER(TRIM($B4)))),ISNUMBER(SEARCH("GELINHO ICEBERG",UPPER(TRIM($B4))))),"$AJ$2:$AJ$2",IF(ISNUMBER(SEARCH("ESPUMA",$B4)),"$AI$2:$AI$2",IF(ISNUMBER(SEARCH("CORANTE",$B4)),"$AN$2:$AN$2",IFERROR(INDEX($AB$2:$AB$138,MATCH(UPPER(TRIM($B4)),$AA$2:$AA$138,0)),"$AO$2:$AO$9")))))</formula1>
    </dataValidation>
    <dataValidation type="list" allowBlank="1" errorTitle="Embalagem inválida" error="Escolha uma embalagem compatível com o produto." promptTitle="Selecione a embalagem" prompt="As opções mudam conforme o produto digitado." sqref="C5" xr:uid="{6A4F5479-E248-4DA3-AFB7-D16BD3737D54}">
      <formula1>INDIRECT(IF(OR(ISNUMBER(SEARCH("ICEBERG ICE",UPPER(TRIM($B5)))),ISNUMBER(SEARCH("ICE ICEBERG",UPPER(TRIM($B5)))),ISNUMBER(SEARCH("GELINHO ICEBERG",UPPER(TRIM($B5))))),"$AJ$2:$AJ$2",IF(ISNUMBER(SEARCH("ESPUMA",$B5)),"$AI$2:$AI$2",IF(ISNUMBER(SEARCH("CORANTE",$B5)),"$AN$2:$AN$2",IFERROR(INDEX($AB$2:$AB$138,MATCH(UPPER(TRIM($B5)),$AA$2:$AA$138,0)),"$AO$2:$AO$9")))))</formula1>
    </dataValidation>
    <dataValidation type="list" allowBlank="1" errorTitle="Embalagem inválida" error="Escolha uma embalagem compatível com o produto." promptTitle="Selecione a embalagem" prompt="As opções mudam conforme o produto digitado." sqref="C6" xr:uid="{56E8EB7F-5A88-4B72-8F49-A5421238FBDB}">
      <formula1>INDIRECT(IF(OR(ISNUMBER(SEARCH("ICEBERG ICE",UPPER(TRIM($B6)))),ISNUMBER(SEARCH("ICE ICEBERG",UPPER(TRIM($B6)))),ISNUMBER(SEARCH("GELINHO ICEBERG",UPPER(TRIM($B6))))),"$AJ$2:$AJ$2",IF(ISNUMBER(SEARCH("ESPUMA",$B6)),"$AI$2:$AI$2",IF(ISNUMBER(SEARCH("CORANTE",$B6)),"$AN$2:$AN$2",IFERROR(INDEX($AB$2:$AB$138,MATCH(UPPER(TRIM($B6)),$AA$2:$AA$138,0)),"$AO$2:$AO$9")))))</formula1>
    </dataValidation>
    <dataValidation type="list" allowBlank="1" errorTitle="Embalagem inválida" error="Escolha uma embalagem compatível com o produto." promptTitle="Selecione a embalagem" prompt="As opções mudam conforme o produto digitado." sqref="C7" xr:uid="{83207F3A-66F0-41F2-8A69-F29355FAEEE0}">
      <formula1>INDIRECT(IF(OR(ISNUMBER(SEARCH("ICEBERG ICE",UPPER(TRIM($B7)))),ISNUMBER(SEARCH("ICE ICEBERG",UPPER(TRIM($B7)))),ISNUMBER(SEARCH("GELINHO ICEBERG",UPPER(TRIM($B7))))),"$AJ$2:$AJ$2",IF(ISNUMBER(SEARCH("ESPUMA",$B7)),"$AI$2:$AI$2",IF(ISNUMBER(SEARCH("CORANTE",$B7)),"$AN$2:$AN$2",IFERROR(INDEX($AB$2:$AB$138,MATCH(UPPER(TRIM($B7)),$AA$2:$AA$138,0)),"$AO$2:$AO$9")))))</formula1>
    </dataValidation>
    <dataValidation type="list" allowBlank="1" errorTitle="Embalagem inválida" error="Escolha uma embalagem compatível com o produto." promptTitle="Selecione a embalagem" prompt="As opções mudam conforme o produto digitado." sqref="C8" xr:uid="{3CD19472-54E7-4490-BA70-F0BDB610C7F0}">
      <formula1>INDIRECT(IF(OR(ISNUMBER(SEARCH("ICEBERG ICE",UPPER(TRIM($B8)))),ISNUMBER(SEARCH("ICE ICEBERG",UPPER(TRIM($B8)))),ISNUMBER(SEARCH("GELINHO ICEBERG",UPPER(TRIM($B8))))),"$AJ$2:$AJ$2",IF(ISNUMBER(SEARCH("ESPUMA",$B8)),"$AI$2:$AI$2",IF(ISNUMBER(SEARCH("CORANTE",$B8)),"$AN$2:$AN$2",IFERROR(INDEX($AB$2:$AB$138,MATCH(UPPER(TRIM($B8)),$AA$2:$AA$138,0)),"$AO$2:$AO$9")))))</formula1>
    </dataValidation>
    <dataValidation type="list" allowBlank="1" errorTitle="Embalagem inválida" error="Escolha uma embalagem compatível com o produto." promptTitle="Selecione a embalagem" prompt="As opções mudam conforme o produto digitado." sqref="C12" xr:uid="{576B2421-4861-4923-A77B-529524CBD210}">
      <formula1>INDIRECT(IF(OR(ISNUMBER(SEARCH("ICEBERG ICE",UPPER(TRIM($B12)))),ISNUMBER(SEARCH("ICE ICEBERG",UPPER(TRIM($B12)))),ISNUMBER(SEARCH("GELINHO ICEBERG",UPPER(TRIM($B12))))),"$AJ$2:$AJ$2",IF(ISNUMBER(SEARCH("ESPUMA",$B12)),"$AI$2:$AI$2",IF(ISNUMBER(SEARCH("CORANTE",$B12)),"$AN$2:$AN$2",IFERROR(INDEX($AB$2:$AB$138,MATCH(UPPER(TRIM($B12)),$AA$2:$AA$138,0)),"$AO$2:$AO$9")))))</formula1>
    </dataValidation>
    <dataValidation type="list" allowBlank="1" errorTitle="Embalagem inválida" error="Escolha uma embalagem compatível com o produto." promptTitle="Selecione a embalagem" prompt="As opções mudam conforme o produto digitado." sqref="C13" xr:uid="{B8306DD9-0DDE-4FF3-B86B-DDA7CF6EAA11}">
      <formula1>INDIRECT(IF(OR(ISNUMBER(SEARCH("ICEBERG ICE",UPPER(TRIM($B13)))),ISNUMBER(SEARCH("ICE ICEBERG",UPPER(TRIM($B13)))),ISNUMBER(SEARCH("GELINHO ICEBERG",UPPER(TRIM($B13))))),"$AJ$2:$AJ$2",IF(ISNUMBER(SEARCH("ESPUMA",$B13)),"$AI$2:$AI$2",IF(ISNUMBER(SEARCH("CORANTE",$B13)),"$AN$2:$AN$2",IFERROR(INDEX($AB$2:$AB$138,MATCH(UPPER(TRIM($B13)),$AA$2:$AA$138,0)),"$AO$2:$AO$9")))))</formula1>
    </dataValidation>
    <dataValidation type="list" allowBlank="1" errorTitle="Embalagem inválida" error="Escolha uma embalagem compatível com o produto." promptTitle="Selecione a embalagem" prompt="As opções mudam conforme o produto digitado." sqref="C14" xr:uid="{B62BBC23-5732-4E9B-9BFC-E34C5FA7F62D}">
      <formula1>INDIRECT(IF(OR(ISNUMBER(SEARCH("ICEBERG ICE",UPPER(TRIM($B14)))),ISNUMBER(SEARCH("ICE ICEBERG",UPPER(TRIM($B14)))),ISNUMBER(SEARCH("GELINHO ICEBERG",UPPER(TRIM($B14))))),"$AJ$2:$AJ$2",IF(ISNUMBER(SEARCH("ESPUMA",$B14)),"$AI$2:$AI$2",IF(ISNUMBER(SEARCH("CORANTE",$B14)),"$AN$2:$AN$2",IFERROR(INDEX($AB$2:$AB$138,MATCH(UPPER(TRIM($B14)),$AA$2:$AA$138,0)),"$AO$2:$AO$9")))))</formula1>
    </dataValidation>
    <dataValidation type="list" allowBlank="1" errorTitle="Embalagem inválida" error="Escolha uma embalagem compatível com o produto." promptTitle="Selecione a embalagem" prompt="As opções mudam conforme o produto digitado." sqref="C15" xr:uid="{E6774A16-BAB9-42EE-BCE8-219B475D5D65}">
      <formula1>INDIRECT(IF(OR(ISNUMBER(SEARCH("ICEBERG ICE",UPPER(TRIM($B15)))),ISNUMBER(SEARCH("ICE ICEBERG",UPPER(TRIM($B15)))),ISNUMBER(SEARCH("GELINHO ICEBERG",UPPER(TRIM($B15))))),"$AJ$2:$AJ$2",IF(ISNUMBER(SEARCH("ESPUMA",$B15)),"$AI$2:$AI$2",IF(ISNUMBER(SEARCH("CORANTE",$B15)),"$AN$2:$AN$2",IFERROR(INDEX($AB$2:$AB$138,MATCH(UPPER(TRIM($B15)),$AA$2:$AA$138,0)),"$AO$2:$AO$9")))))</formula1>
    </dataValidation>
    <dataValidation type="list" allowBlank="1" errorTitle="Embalagem inválida" error="Escolha uma embalagem compatível com o produto." promptTitle="Selecione a embalagem" prompt="As opções mudam conforme o produto digitado." sqref="C16" xr:uid="{2435FE6D-6918-41B9-AB69-A6CC7AB8122C}">
      <formula1>INDIRECT(IF(OR(ISNUMBER(SEARCH("ICEBERG ICE",UPPER(TRIM($B16)))),ISNUMBER(SEARCH("ICE ICEBERG",UPPER(TRIM($B16)))),ISNUMBER(SEARCH("GELINHO ICEBERG",UPPER(TRIM($B16))))),"$AJ$2:$AJ$2",IF(ISNUMBER(SEARCH("ESPUMA",$B16)),"$AI$2:$AI$2",IF(ISNUMBER(SEARCH("CORANTE",$B16)),"$AN$2:$AN$2",IFERROR(INDEX($AB$2:$AB$138,MATCH(UPPER(TRIM($B16)),$AA$2:$AA$138,0)),"$AO$2:$AO$9")))))</formula1>
    </dataValidation>
    <dataValidation type="list" allowBlank="1" errorTitle="Embalagem inválida" error="Escolha uma embalagem compatível com o produto." promptTitle="Selecione a embalagem" prompt="As opções mudam conforme o produto digitado." sqref="C20" xr:uid="{7C588118-F5BA-4BE7-BFAD-12738885443E}">
      <formula1>INDIRECT(IF(OR(ISNUMBER(SEARCH("ICEBERG ICE",UPPER(TRIM($B20)))),ISNUMBER(SEARCH("ICE ICEBERG",UPPER(TRIM($B20)))),ISNUMBER(SEARCH("GELINHO ICEBERG",UPPER(TRIM($B20))))),"$AJ$2:$AJ$2",IF(ISNUMBER(SEARCH("ESPUMA",$B20)),"$AI$2:$AI$2",IF(ISNUMBER(SEARCH("CORANTE",$B20)),"$AN$2:$AN$2",IFERROR(INDEX($AB$2:$AB$138,MATCH(UPPER(TRIM($B20)),$AA$2:$AA$138,0)),"$AO$2:$AO$9")))))</formula1>
    </dataValidation>
    <dataValidation type="list" allowBlank="1" errorTitle="Embalagem inválida" error="Escolha uma embalagem compatível com o produto." promptTitle="Selecione a embalagem" prompt="As opções mudam conforme o produto digitado." sqref="C21" xr:uid="{AF5CB224-6B61-47E1-B7E4-F23510B8AA01}">
      <formula1>INDIRECT(IF(OR(ISNUMBER(SEARCH("ICEBERG ICE",UPPER(TRIM($B21)))),ISNUMBER(SEARCH("ICE ICEBERG",UPPER(TRIM($B21)))),ISNUMBER(SEARCH("GELINHO ICEBERG",UPPER(TRIM($B21))))),"$AJ$2:$AJ$2",IF(ISNUMBER(SEARCH("ESPUMA",$B21)),"$AI$2:$AI$2",IF(ISNUMBER(SEARCH("CORANTE",$B21)),"$AN$2:$AN$2",IFERROR(INDEX($AB$2:$AB$138,MATCH(UPPER(TRIM($B21)),$AA$2:$AA$138,0)),"$AO$2:$AO$9")))))</formula1>
    </dataValidation>
    <dataValidation type="list" allowBlank="1" errorTitle="Embalagem inválida" error="Escolha uma embalagem compatível com o produto." promptTitle="Selecione a embalagem" prompt="As opções mudam conforme o produto digitado." sqref="C22" xr:uid="{BFF654ED-C1B1-455F-A275-AEE1E8F746B4}">
      <formula1>INDIRECT(IF(OR(ISNUMBER(SEARCH("ICEBERG ICE",UPPER(TRIM($B22)))),ISNUMBER(SEARCH("ICE ICEBERG",UPPER(TRIM($B22)))),ISNUMBER(SEARCH("GELINHO ICEBERG",UPPER(TRIM($B22))))),"$AJ$2:$AJ$2",IF(ISNUMBER(SEARCH("ESPUMA",$B22)),"$AI$2:$AI$2",IF(ISNUMBER(SEARCH("CORANTE",$B22)),"$AN$2:$AN$2",IFERROR(INDEX($AB$2:$AB$138,MATCH(UPPER(TRIM($B22)),$AA$2:$AA$138,0)),"$AO$2:$AO$9")))))</formula1>
    </dataValidation>
    <dataValidation type="list" allowBlank="1" errorTitle="Embalagem inválida" error="Escolha uma embalagem compatível com o produto." promptTitle="Selecione a embalagem" prompt="As opções mudam conforme o produto digitado." sqref="C23" xr:uid="{435EC0D6-595E-46B4-92D7-40A2C28CE46D}">
      <formula1>INDIRECT(IF(OR(ISNUMBER(SEARCH("ICEBERG ICE",UPPER(TRIM($B23)))),ISNUMBER(SEARCH("ICE ICEBERG",UPPER(TRIM($B23)))),ISNUMBER(SEARCH("GELINHO ICEBERG",UPPER(TRIM($B23))))),"$AJ$2:$AJ$2",IF(ISNUMBER(SEARCH("ESPUMA",$B23)),"$AI$2:$AI$2",IF(ISNUMBER(SEARCH("CORANTE",$B23)),"$AN$2:$AN$2",IFERROR(INDEX($AB$2:$AB$138,MATCH(UPPER(TRIM($B23)),$AA$2:$AA$138,0)),"$AO$2:$AO$9")))))</formula1>
    </dataValidation>
    <dataValidation type="list" allowBlank="1" errorTitle="Embalagem inválida" error="Escolha uma embalagem compatível com o produto." promptTitle="Selecione a embalagem" prompt="As opções mudam conforme o produto digitado." sqref="C24" xr:uid="{8F3F22E2-C226-4136-9B61-D0104061C110}">
      <formula1>INDIRECT(IF(OR(ISNUMBER(SEARCH("ICEBERG ICE",UPPER(TRIM($B24)))),ISNUMBER(SEARCH("ICE ICEBERG",UPPER(TRIM($B24)))),ISNUMBER(SEARCH("GELINHO ICEBERG",UPPER(TRIM($B24))))),"$AJ$2:$AJ$2",IF(ISNUMBER(SEARCH("ESPUMA",$B24)),"$AI$2:$AI$2",IF(ISNUMBER(SEARCH("CORANTE",$B24)),"$AN$2:$AN$2",IFERROR(INDEX($AB$2:$AB$138,MATCH(UPPER(TRIM($B24)),$AA$2:$AA$138,0)),"$AO$2:$AO$9")))))</formula1>
    </dataValidation>
    <dataValidation type="list" allowBlank="1" errorTitle="Embalagem inválida" error="Escolha uma embalagem compatível com o produto." promptTitle="Selecione a embalagem" prompt="As opções mudam conforme o produto digitado." sqref="C28" xr:uid="{CC403A12-F56B-4691-ADBA-3C535881B423}">
      <formula1>INDIRECT(IF(OR(ISNUMBER(SEARCH("ICEBERG ICE",UPPER(TRIM($B28)))),ISNUMBER(SEARCH("ICE ICEBERG",UPPER(TRIM($B28)))),ISNUMBER(SEARCH("GELINHO ICEBERG",UPPER(TRIM($B28))))),"$AJ$2:$AJ$2",IF(ISNUMBER(SEARCH("ESPUMA",$B28)),"$AI$2:$AI$2",IF(ISNUMBER(SEARCH("CORANTE",$B28)),"$AN$2:$AN$2",IFERROR(INDEX($AB$2:$AB$138,MATCH(UPPER(TRIM($B28)),$AA$2:$AA$138,0)),"$AO$2:$AO$9")))))</formula1>
    </dataValidation>
    <dataValidation type="list" allowBlank="1" errorTitle="Embalagem inválida" error="Escolha uma embalagem compatível com o produto." promptTitle="Selecione a embalagem" prompt="As opções mudam conforme o produto digitado." sqref="C29" xr:uid="{41936B66-B4B4-4F61-BE92-841B7E9C578B}">
      <formula1>INDIRECT(IF(OR(ISNUMBER(SEARCH("ICEBERG ICE",UPPER(TRIM($B29)))),ISNUMBER(SEARCH("ICE ICEBERG",UPPER(TRIM($B29)))),ISNUMBER(SEARCH("GELINHO ICEBERG",UPPER(TRIM($B29))))),"$AJ$2:$AJ$2",IF(ISNUMBER(SEARCH("ESPUMA",$B29)),"$AI$2:$AI$2",IF(ISNUMBER(SEARCH("CORANTE",$B29)),"$AN$2:$AN$2",IFERROR(INDEX($AB$2:$AB$138,MATCH(UPPER(TRIM($B29)),$AA$2:$AA$138,0)),"$AO$2:$AO$9")))))</formula1>
    </dataValidation>
    <dataValidation type="list" allowBlank="1" errorTitle="Embalagem inválida" error="Escolha uma embalagem compatível com o produto." promptTitle="Selecione a embalagem" prompt="As opções mudam conforme o produto digitado." sqref="C30" xr:uid="{A0253492-7871-4561-8299-98AADBA212F1}">
      <formula1>INDIRECT(IF(OR(ISNUMBER(SEARCH("ICEBERG ICE",UPPER(TRIM($B30)))),ISNUMBER(SEARCH("ICE ICEBERG",UPPER(TRIM($B30)))),ISNUMBER(SEARCH("GELINHO ICEBERG",UPPER(TRIM($B30))))),"$AJ$2:$AJ$2",IF(ISNUMBER(SEARCH("ESPUMA",$B30)),"$AI$2:$AI$2",IF(ISNUMBER(SEARCH("CORANTE",$B30)),"$AN$2:$AN$2",IFERROR(INDEX($AB$2:$AB$138,MATCH(UPPER(TRIM($B30)),$AA$2:$AA$138,0)),"$AO$2:$AO$9")))))</formula1>
    </dataValidation>
    <dataValidation type="list" allowBlank="1" errorTitle="Embalagem inválida" error="Escolha uma embalagem compatível com o produto." promptTitle="Selecione a embalagem" prompt="As opções mudam conforme o produto digitado." sqref="C31" xr:uid="{B2C444DB-B060-41E3-B81F-42767092C5BF}">
      <formula1>INDIRECT(IF(OR(ISNUMBER(SEARCH("ICEBERG ICE",UPPER(TRIM($B31)))),ISNUMBER(SEARCH("ICE ICEBERG",UPPER(TRIM($B31)))),ISNUMBER(SEARCH("GELINHO ICEBERG",UPPER(TRIM($B31))))),"$AJ$2:$AJ$2",IF(ISNUMBER(SEARCH("ESPUMA",$B31)),"$AI$2:$AI$2",IF(ISNUMBER(SEARCH("CORANTE",$B31)),"$AN$2:$AN$2",IFERROR(INDEX($AB$2:$AB$138,MATCH(UPPER(TRIM($B31)),$AA$2:$AA$138,0)),"$AO$2:$AO$9")))))</formula1>
    </dataValidation>
    <dataValidation type="list" allowBlank="1" errorTitle="Embalagem inválida" error="Escolha uma embalagem compatível com o produto." promptTitle="Selecione a embalagem" prompt="As opções mudam conforme o produto digitado." sqref="C32" xr:uid="{1927D87A-E4E3-4CEC-A006-8FF76B2DA06A}">
      <formula1>INDIRECT(IF(OR(ISNUMBER(SEARCH("ICEBERG ICE",UPPER(TRIM($B32)))),ISNUMBER(SEARCH("ICE ICEBERG",UPPER(TRIM($B32)))),ISNUMBER(SEARCH("GELINHO ICEBERG",UPPER(TRIM($B32))))),"$AJ$2:$AJ$2",IF(ISNUMBER(SEARCH("ESPUMA",$B32)),"$AI$2:$AI$2",IF(ISNUMBER(SEARCH("CORANTE",$B32)),"$AN$2:$AN$2",IFERROR(INDEX($AB$2:$AB$138,MATCH(UPPER(TRIM($B32)),$AA$2:$AA$138,0)),"$AO$2:$AO$9")))))</formula1>
    </dataValidation>
    <dataValidation type="list" allowBlank="1" errorTitle="Embalagem inválida" error="Escolha uma embalagem compatível com o produto." promptTitle="Selecione a embalagem" prompt="As opções mudam conforme o produto digitado." sqref="C36" xr:uid="{084134B6-3193-4825-B5BB-88B86423F161}">
      <formula1>INDIRECT(IF(OR(ISNUMBER(SEARCH("ICEBERG ICE",UPPER(TRIM($B36)))),ISNUMBER(SEARCH("ICE ICEBERG",UPPER(TRIM($B36)))),ISNUMBER(SEARCH("GELINHO ICEBERG",UPPER(TRIM($B36))))),"$AJ$2:$AJ$2",IF(ISNUMBER(SEARCH("ESPUMA",$B36)),"$AI$2:$AI$2",IF(ISNUMBER(SEARCH("CORANTE",$B36)),"$AN$2:$AN$2",IFERROR(INDEX($AB$2:$AB$138,MATCH(UPPER(TRIM($B36)),$AA$2:$AA$138,0)),"$AO$2:$AO$9")))))</formula1>
    </dataValidation>
    <dataValidation type="list" allowBlank="1" errorTitle="Embalagem inválida" error="Escolha uma embalagem compatível com o produto." promptTitle="Selecione a embalagem" prompt="As opções mudam conforme o produto digitado." sqref="C37" xr:uid="{84144DDB-E4C4-4CE5-A28D-59B9D290CEF3}">
      <formula1>INDIRECT(IF(OR(ISNUMBER(SEARCH("ICEBERG ICE",UPPER(TRIM($B37)))),ISNUMBER(SEARCH("ICE ICEBERG",UPPER(TRIM($B37)))),ISNUMBER(SEARCH("GELINHO ICEBERG",UPPER(TRIM($B37))))),"$AJ$2:$AJ$2",IF(ISNUMBER(SEARCH("ESPUMA",$B37)),"$AI$2:$AI$2",IF(ISNUMBER(SEARCH("CORANTE",$B37)),"$AN$2:$AN$2",IFERROR(INDEX($AB$2:$AB$138,MATCH(UPPER(TRIM($B37)),$AA$2:$AA$138,0)),"$AO$2:$AO$9")))))</formula1>
    </dataValidation>
    <dataValidation type="list" allowBlank="1" errorTitle="Embalagem inválida" error="Escolha uma embalagem compatível com o produto." promptTitle="Selecione a embalagem" prompt="As opções mudam conforme o produto digitado." sqref="C38" xr:uid="{C0B5FF3E-A262-4BAA-A776-B6FA7CE48039}">
      <formula1>INDIRECT(IF(OR(ISNUMBER(SEARCH("ICEBERG ICE",UPPER(TRIM($B38)))),ISNUMBER(SEARCH("ICE ICEBERG",UPPER(TRIM($B38)))),ISNUMBER(SEARCH("GELINHO ICEBERG",UPPER(TRIM($B38))))),"$AJ$2:$AJ$2",IF(ISNUMBER(SEARCH("ESPUMA",$B38)),"$AI$2:$AI$2",IF(ISNUMBER(SEARCH("CORANTE",$B38)),"$AN$2:$AN$2",IFERROR(INDEX($AB$2:$AB$138,MATCH(UPPER(TRIM($B38)),$AA$2:$AA$138,0)),"$AO$2:$AO$9")))))</formula1>
    </dataValidation>
    <dataValidation type="list" allowBlank="1" errorTitle="Embalagem inválida" error="Escolha uma embalagem compatível com o produto." promptTitle="Selecione a embalagem" prompt="As opções mudam conforme o produto digitado." sqref="C39" xr:uid="{BE3C2A18-B8A7-4D22-93D7-487E238E7169}">
      <formula1>INDIRECT(IF(OR(ISNUMBER(SEARCH("ICEBERG ICE",UPPER(TRIM($B39)))),ISNUMBER(SEARCH("ICE ICEBERG",UPPER(TRIM($B39)))),ISNUMBER(SEARCH("GELINHO ICEBERG",UPPER(TRIM($B39))))),"$AJ$2:$AJ$2",IF(ISNUMBER(SEARCH("ESPUMA",$B39)),"$AI$2:$AI$2",IF(ISNUMBER(SEARCH("CORANTE",$B39)),"$AN$2:$AN$2",IFERROR(INDEX($AB$2:$AB$138,MATCH(UPPER(TRIM($B39)),$AA$2:$AA$138,0)),"$AO$2:$AO$9")))))</formula1>
    </dataValidation>
    <dataValidation type="list" allowBlank="1" errorTitle="Embalagem inválida" error="Escolha uma embalagem compatível com o produto." promptTitle="Selecione a embalagem" prompt="As opções mudam conforme o produto digitado." sqref="C40" xr:uid="{67A97AED-0090-4DB6-B2AD-9A7802DEDBCE}">
      <formula1>INDIRECT(IF(OR(ISNUMBER(SEARCH("ICEBERG ICE",UPPER(TRIM($B40)))),ISNUMBER(SEARCH("ICE ICEBERG",UPPER(TRIM($B40)))),ISNUMBER(SEARCH("GELINHO ICEBERG",UPPER(TRIM($B40))))),"$AJ$2:$AJ$2",IF(ISNUMBER(SEARCH("ESPUMA",$B40)),"$AI$2:$AI$2",IF(ISNUMBER(SEARCH("CORANTE",$B40)),"$AN$2:$AN$2",IFERROR(INDEX($AB$2:$AB$138,MATCH(UPPER(TRIM($B40)),$AA$2:$AA$138,0)),"$AO$2:$AO$9")))))</formula1>
    </dataValidation>
    <dataValidation type="list" allowBlank="1" errorTitle="Embalagem inválida" error="Escolha uma embalagem compatível com o produto." promptTitle="Selecione a embalagem" prompt="As opções mudam conforme o produto digitado." sqref="C44" xr:uid="{BB482E9E-3F69-431D-B557-4EFD70FD212A}">
      <formula1>INDIRECT(IF(OR(ISNUMBER(SEARCH("ICEBERG ICE",UPPER(TRIM($B44)))),ISNUMBER(SEARCH("ICE ICEBERG",UPPER(TRIM($B44)))),ISNUMBER(SEARCH("GELINHO ICEBERG",UPPER(TRIM($B44))))),"$AJ$2:$AJ$2",IF(ISNUMBER(SEARCH("ESPUMA",$B44)),"$AI$2:$AI$2",IF(ISNUMBER(SEARCH("CORANTE",$B44)),"$AN$2:$AN$2",IFERROR(INDEX($AB$2:$AB$138,MATCH(UPPER(TRIM($B44)),$AA$2:$AA$138,0)),"$AO$2:$AO$9")))))</formula1>
    </dataValidation>
    <dataValidation type="list" allowBlank="1" errorTitle="Embalagem inválida" error="Escolha uma embalagem compatível com o produto." promptTitle="Selecione a embalagem" prompt="As opções mudam conforme o produto digitado." sqref="C45" xr:uid="{27E030C6-3E88-4782-91A5-73F4207DE212}">
      <formula1>INDIRECT(IF(OR(ISNUMBER(SEARCH("ICEBERG ICE",UPPER(TRIM($B45)))),ISNUMBER(SEARCH("ICE ICEBERG",UPPER(TRIM($B45)))),ISNUMBER(SEARCH("GELINHO ICEBERG",UPPER(TRIM($B45))))),"$AJ$2:$AJ$2",IF(ISNUMBER(SEARCH("ESPUMA",$B45)),"$AI$2:$AI$2",IF(ISNUMBER(SEARCH("CORANTE",$B45)),"$AN$2:$AN$2",IFERROR(INDEX($AB$2:$AB$138,MATCH(UPPER(TRIM($B45)),$AA$2:$AA$138,0)),"$AO$2:$AO$9")))))</formula1>
    </dataValidation>
    <dataValidation type="list" allowBlank="1" errorTitle="Embalagem inválida" error="Escolha uma embalagem compatível com o produto." promptTitle="Selecione a embalagem" prompt="As opções mudam conforme o produto digitado." sqref="C46" xr:uid="{953C092C-8AE7-47FE-9949-3C1A2D133D82}">
      <formula1>INDIRECT(IF(OR(ISNUMBER(SEARCH("ICEBERG ICE",UPPER(TRIM($B46)))),ISNUMBER(SEARCH("ICE ICEBERG",UPPER(TRIM($B46)))),ISNUMBER(SEARCH("GELINHO ICEBERG",UPPER(TRIM($B46))))),"$AJ$2:$AJ$2",IF(ISNUMBER(SEARCH("ESPUMA",$B46)),"$AI$2:$AI$2",IF(ISNUMBER(SEARCH("CORANTE",$B46)),"$AN$2:$AN$2",IFERROR(INDEX($AB$2:$AB$138,MATCH(UPPER(TRIM($B46)),$AA$2:$AA$138,0)),"$AO$2:$AO$9")))))</formula1>
    </dataValidation>
    <dataValidation type="list" allowBlank="1" errorTitle="Embalagem inválida" error="Escolha uma embalagem compatível com o produto." promptTitle="Selecione a embalagem" prompt="As opções mudam conforme o produto digitado." sqref="C47" xr:uid="{8C686015-DD0A-4C0C-9569-A392DA6C221D}">
      <formula1>INDIRECT(IF(OR(ISNUMBER(SEARCH("ICEBERG ICE",UPPER(TRIM($B47)))),ISNUMBER(SEARCH("ICE ICEBERG",UPPER(TRIM($B47)))),ISNUMBER(SEARCH("GELINHO ICEBERG",UPPER(TRIM($B47))))),"$AJ$2:$AJ$2",IF(ISNUMBER(SEARCH("ESPUMA",$B47)),"$AI$2:$AI$2",IF(ISNUMBER(SEARCH("CORANTE",$B47)),"$AN$2:$AN$2",IFERROR(INDEX($AB$2:$AB$138,MATCH(UPPER(TRIM($B47)),$AA$2:$AA$138,0)),"$AO$2:$AO$9")))))</formula1>
    </dataValidation>
    <dataValidation type="list" allowBlank="1" errorTitle="Embalagem inválida" error="Escolha uma embalagem compatível com o produto." promptTitle="Selecione a embalagem" prompt="As opções mudam conforme o produto digitado." sqref="C48" xr:uid="{3AF46463-657C-40D9-8EC1-F2C17A1A6D52}">
      <formula1>INDIRECT(IF(OR(ISNUMBER(SEARCH("ICEBERG ICE",UPPER(TRIM($B48)))),ISNUMBER(SEARCH("ICE ICEBERG",UPPER(TRIM($B48)))),ISNUMBER(SEARCH("GELINHO ICEBERG",UPPER(TRIM($B48))))),"$AJ$2:$AJ$2",IF(ISNUMBER(SEARCH("ESPUMA",$B48)),"$AI$2:$AI$2",IF(ISNUMBER(SEARCH("CORANTE",$B48)),"$AN$2:$AN$2",IFERROR(INDEX($AB$2:$AB$138,MATCH(UPPER(TRIM($B48)),$AA$2:$AA$138,0)),"$AO$2:$AO$9")))))</formula1>
    </dataValidation>
    <dataValidation type="list" allowBlank="1" errorTitle="Embalagem inválida" error="Escolha uma embalagem compatível com o produto." promptTitle="Selecione a embalagem" prompt="As opções mudam conforme o produto digitado." sqref="C52" xr:uid="{6DA8B2F2-0973-4E2E-919D-7D766CB64AF2}">
      <formula1>INDIRECT(IF(OR(ISNUMBER(SEARCH("ICEBERG ICE",UPPER(TRIM($B52)))),ISNUMBER(SEARCH("ICE ICEBERG",UPPER(TRIM($B52)))),ISNUMBER(SEARCH("GELINHO ICEBERG",UPPER(TRIM($B52))))),"$AJ$2:$AJ$2",IF(ISNUMBER(SEARCH("ESPUMA",$B52)),"$AI$2:$AI$2",IF(ISNUMBER(SEARCH("CORANTE",$B52)),"$AN$2:$AN$2",IFERROR(INDEX($AB$2:$AB$138,MATCH(UPPER(TRIM($B52)),$AA$2:$AA$138,0)),"$AO$2:$AO$9")))))</formula1>
    </dataValidation>
    <dataValidation type="list" allowBlank="1" errorTitle="Embalagem inválida" error="Escolha uma embalagem compatível com o produto." promptTitle="Selecione a embalagem" prompt="As opções mudam conforme o produto digitado." sqref="C53" xr:uid="{7F39B7E2-B623-459F-AD86-18A241E726BA}">
      <formula1>INDIRECT(IF(OR(ISNUMBER(SEARCH("ICEBERG ICE",UPPER(TRIM($B53)))),ISNUMBER(SEARCH("ICE ICEBERG",UPPER(TRIM($B53)))),ISNUMBER(SEARCH("GELINHO ICEBERG",UPPER(TRIM($B53))))),"$AJ$2:$AJ$2",IF(ISNUMBER(SEARCH("ESPUMA",$B53)),"$AI$2:$AI$2",IF(ISNUMBER(SEARCH("CORANTE",$B53)),"$AN$2:$AN$2",IFERROR(INDEX($AB$2:$AB$138,MATCH(UPPER(TRIM($B53)),$AA$2:$AA$138,0)),"$AO$2:$AO$9")))))</formula1>
    </dataValidation>
    <dataValidation type="list" allowBlank="1" errorTitle="Embalagem inválida" error="Escolha uma embalagem compatível com o produto." promptTitle="Selecione a embalagem" prompt="As opções mudam conforme o produto digitado." sqref="C54" xr:uid="{22478D7C-9FC0-43B6-A2D1-E220ED110CCC}">
      <formula1>INDIRECT(IF(OR(ISNUMBER(SEARCH("ICEBERG ICE",UPPER(TRIM($B54)))),ISNUMBER(SEARCH("ICE ICEBERG",UPPER(TRIM($B54)))),ISNUMBER(SEARCH("GELINHO ICEBERG",UPPER(TRIM($B54))))),"$AJ$2:$AJ$2",IF(ISNUMBER(SEARCH("ESPUMA",$B54)),"$AI$2:$AI$2",IF(ISNUMBER(SEARCH("CORANTE",$B54)),"$AN$2:$AN$2",IFERROR(INDEX($AB$2:$AB$138,MATCH(UPPER(TRIM($B54)),$AA$2:$AA$138,0)),"$AO$2:$AO$9")))))</formula1>
    </dataValidation>
    <dataValidation type="list" allowBlank="1" errorTitle="Embalagem inválida" error="Escolha uma embalagem compatível com o produto." promptTitle="Selecione a embalagem" prompt="As opções mudam conforme o produto digitado." sqref="C55" xr:uid="{73764A19-B97B-40D1-A7B8-6214BB93E61C}">
      <formula1>INDIRECT(IF(OR(ISNUMBER(SEARCH("ICEBERG ICE",UPPER(TRIM($B55)))),ISNUMBER(SEARCH("ICE ICEBERG",UPPER(TRIM($B55)))),ISNUMBER(SEARCH("GELINHO ICEBERG",UPPER(TRIM($B55))))),"$AJ$2:$AJ$2",IF(ISNUMBER(SEARCH("ESPUMA",$B55)),"$AI$2:$AI$2",IF(ISNUMBER(SEARCH("CORANTE",$B55)),"$AN$2:$AN$2",IFERROR(INDEX($AB$2:$AB$138,MATCH(UPPER(TRIM($B55)),$AA$2:$AA$138,0)),"$AO$2:$AO$9")))))</formula1>
    </dataValidation>
    <dataValidation type="list" allowBlank="1" errorTitle="Embalagem inválida" error="Escolha uma embalagem compatível com o produto." promptTitle="Selecione a embalagem" prompt="As opções mudam conforme o produto digitado." sqref="C56" xr:uid="{A931D1C7-0AA2-43F5-95CA-076D0F96825E}">
      <formula1>INDIRECT(IF(OR(ISNUMBER(SEARCH("ICEBERG ICE",UPPER(TRIM($B56)))),ISNUMBER(SEARCH("ICE ICEBERG",UPPER(TRIM($B56)))),ISNUMBER(SEARCH("GELINHO ICEBERG",UPPER(TRIM($B56))))),"$AJ$2:$AJ$2",IF(ISNUMBER(SEARCH("ESPUMA",$B56)),"$AI$2:$AI$2",IF(ISNUMBER(SEARCH("CORANTE",$B56)),"$AN$2:$AN$2",IFERROR(INDEX($AB$2:$AB$138,MATCH(UPPER(TRIM($B56)),$AA$2:$AA$138,0)),"$AO$2:$AO$9")))))</formula1>
    </dataValidation>
    <dataValidation type="list" allowBlank="1" errorTitle="Embalagem inválida" error="Escolha uma embalagem compatível com o produto." promptTitle="Selecione a embalagem" prompt="As opções mudam conforme o produto digitado." sqref="C60" xr:uid="{746D04B0-C957-47B1-924C-D9B5474959C2}">
      <formula1>INDIRECT(IF(OR(ISNUMBER(SEARCH("ICEBERG ICE",UPPER(TRIM($B60)))),ISNUMBER(SEARCH("ICE ICEBERG",UPPER(TRIM($B60)))),ISNUMBER(SEARCH("GELINHO ICEBERG",UPPER(TRIM($B60))))),"$AJ$2:$AJ$2",IF(ISNUMBER(SEARCH("ESPUMA",$B60)),"$AI$2:$AI$2",IF(ISNUMBER(SEARCH("CORANTE",$B60)),"$AN$2:$AN$2",IFERROR(INDEX($AB$2:$AB$138,MATCH(UPPER(TRIM($B60)),$AA$2:$AA$138,0)),"$AO$2:$AO$9")))))</formula1>
    </dataValidation>
    <dataValidation type="list" allowBlank="1" errorTitle="Embalagem inválida" error="Escolha uma embalagem compatível com o produto." promptTitle="Selecione a embalagem" prompt="As opções mudam conforme o produto digitado." sqref="C61" xr:uid="{AE523465-F6C3-420E-BEDE-B701434CDA56}">
      <formula1>INDIRECT(IF(OR(ISNUMBER(SEARCH("ICEBERG ICE",UPPER(TRIM($B61)))),ISNUMBER(SEARCH("ICE ICEBERG",UPPER(TRIM($B61)))),ISNUMBER(SEARCH("GELINHO ICEBERG",UPPER(TRIM($B61))))),"$AJ$2:$AJ$2",IF(ISNUMBER(SEARCH("ESPUMA",$B61)),"$AI$2:$AI$2",IF(ISNUMBER(SEARCH("CORANTE",$B61)),"$AN$2:$AN$2",IFERROR(INDEX($AB$2:$AB$138,MATCH(UPPER(TRIM($B61)),$AA$2:$AA$138,0)),"$AO$2:$AO$9")))))</formula1>
    </dataValidation>
    <dataValidation type="list" allowBlank="1" errorTitle="Embalagem inválida" error="Escolha uma embalagem compatível com o produto." promptTitle="Selecione a embalagem" prompt="As opções mudam conforme o produto digitado." sqref="C62" xr:uid="{9D8CC4BA-3FA5-4A2F-A390-51B308E7AC50}">
      <formula1>INDIRECT(IF(OR(ISNUMBER(SEARCH("ICEBERG ICE",UPPER(TRIM($B62)))),ISNUMBER(SEARCH("ICE ICEBERG",UPPER(TRIM($B62)))),ISNUMBER(SEARCH("GELINHO ICEBERG",UPPER(TRIM($B62))))),"$AJ$2:$AJ$2",IF(ISNUMBER(SEARCH("ESPUMA",$B62)),"$AI$2:$AI$2",IF(ISNUMBER(SEARCH("CORANTE",$B62)),"$AN$2:$AN$2",IFERROR(INDEX($AB$2:$AB$138,MATCH(UPPER(TRIM($B62)),$AA$2:$AA$138,0)),"$AO$2:$AO$9")))))</formula1>
    </dataValidation>
    <dataValidation type="list" allowBlank="1" errorTitle="Embalagem inválida" error="Escolha uma embalagem compatível com o produto." promptTitle="Selecione a embalagem" prompt="As opções mudam conforme o produto digitado." sqref="C63" xr:uid="{95A21AE4-A69F-401A-9104-AC5C8B39283A}">
      <formula1>INDIRECT(IF(OR(ISNUMBER(SEARCH("ICEBERG ICE",UPPER(TRIM($B63)))),ISNUMBER(SEARCH("ICE ICEBERG",UPPER(TRIM($B63)))),ISNUMBER(SEARCH("GELINHO ICEBERG",UPPER(TRIM($B63))))),"$AJ$2:$AJ$2",IF(ISNUMBER(SEARCH("ESPUMA",$B63)),"$AI$2:$AI$2",IF(ISNUMBER(SEARCH("CORANTE",$B63)),"$AN$2:$AN$2",IFERROR(INDEX($AB$2:$AB$138,MATCH(UPPER(TRIM($B63)),$AA$2:$AA$138,0)),"$AO$2:$AO$9")))))</formula1>
    </dataValidation>
    <dataValidation type="list" allowBlank="1" errorTitle="Embalagem inválida" error="Escolha uma embalagem compatível com o produto." promptTitle="Selecione a embalagem" prompt="As opções mudam conforme o produto digitado." sqref="C64" xr:uid="{A3A3BC0E-F8A1-4A2F-A60D-8854FAA020B6}">
      <formula1>INDIRECT(IF(OR(ISNUMBER(SEARCH("ICEBERG ICE",UPPER(TRIM($B64)))),ISNUMBER(SEARCH("ICE ICEBERG",UPPER(TRIM($B64)))),ISNUMBER(SEARCH("GELINHO ICEBERG",UPPER(TRIM($B64))))),"$AJ$2:$AJ$2",IF(ISNUMBER(SEARCH("ESPUMA",$B64)),"$AI$2:$AI$2",IF(ISNUMBER(SEARCH("CORANTE",$B64)),"$AN$2:$AN$2",IFERROR(INDEX($AB$2:$AB$138,MATCH(UPPER(TRIM($B64)),$AA$2:$AA$138,0)),"$AO$2:$AO$9")))))</formula1>
    </dataValidation>
    <dataValidation type="list" allowBlank="1" errorTitle="Embalagem inválida" error="Escolha uma embalagem compatível com o produto." promptTitle="Selecione a embalagem" prompt="As opções mudam conforme o produto digitado." sqref="C68" xr:uid="{166E9031-62BD-4A3D-897B-1D14B98A7D8F}">
      <formula1>INDIRECT(IF(OR(ISNUMBER(SEARCH("ICEBERG ICE",UPPER(TRIM($B68)))),ISNUMBER(SEARCH("ICE ICEBERG",UPPER(TRIM($B68)))),ISNUMBER(SEARCH("GELINHO ICEBERG",UPPER(TRIM($B68))))),"$AJ$2:$AJ$2",IF(ISNUMBER(SEARCH("ESPUMA",$B68)),"$AI$2:$AI$2",IF(ISNUMBER(SEARCH("CORANTE",$B68)),"$AN$2:$AN$2",IFERROR(INDEX($AB$2:$AB$138,MATCH(UPPER(TRIM($B68)),$AA$2:$AA$138,0)),"$AO$2:$AO$9")))))</formula1>
    </dataValidation>
    <dataValidation type="list" allowBlank="1" errorTitle="Embalagem inválida" error="Escolha uma embalagem compatível com o produto." promptTitle="Selecione a embalagem" prompt="As opções mudam conforme o produto digitado." sqref="C69" xr:uid="{509A4814-15A2-4809-AA9E-26C2E07DACF7}">
      <formula1>INDIRECT(IF(OR(ISNUMBER(SEARCH("ICEBERG ICE",UPPER(TRIM($B69)))),ISNUMBER(SEARCH("ICE ICEBERG",UPPER(TRIM($B69)))),ISNUMBER(SEARCH("GELINHO ICEBERG",UPPER(TRIM($B69))))),"$AJ$2:$AJ$2",IF(ISNUMBER(SEARCH("ESPUMA",$B69)),"$AI$2:$AI$2",IF(ISNUMBER(SEARCH("CORANTE",$B69)),"$AN$2:$AN$2",IFERROR(INDEX($AB$2:$AB$138,MATCH(UPPER(TRIM($B69)),$AA$2:$AA$138,0)),"$AO$2:$AO$9")))))</formula1>
    </dataValidation>
    <dataValidation type="list" allowBlank="1" errorTitle="Embalagem inválida" error="Escolha uma embalagem compatível com o produto." promptTitle="Selecione a embalagem" prompt="As opções mudam conforme o produto digitado." sqref="C70" xr:uid="{F0A4FF34-BCB8-449D-AE91-8ED4A22D3BE5}">
      <formula1>INDIRECT(IF(OR(ISNUMBER(SEARCH("ICEBERG ICE",UPPER(TRIM($B70)))),ISNUMBER(SEARCH("ICE ICEBERG",UPPER(TRIM($B70)))),ISNUMBER(SEARCH("GELINHO ICEBERG",UPPER(TRIM($B70))))),"$AJ$2:$AJ$2",IF(ISNUMBER(SEARCH("ESPUMA",$B70)),"$AI$2:$AI$2",IF(ISNUMBER(SEARCH("CORANTE",$B70)),"$AN$2:$AN$2",IFERROR(INDEX($AB$2:$AB$138,MATCH(UPPER(TRIM($B70)),$AA$2:$AA$138,0)),"$AO$2:$AO$9")))))</formula1>
    </dataValidation>
    <dataValidation type="list" allowBlank="1" errorTitle="Embalagem inválida" error="Escolha uma embalagem compatível com o produto." promptTitle="Selecione a embalagem" prompt="As opções mudam conforme o produto digitado." sqref="C71" xr:uid="{C5978D3D-4500-4D61-8E7A-243E1903630D}">
      <formula1>INDIRECT(IF(OR(ISNUMBER(SEARCH("ICEBERG ICE",UPPER(TRIM($B71)))),ISNUMBER(SEARCH("ICE ICEBERG",UPPER(TRIM($B71)))),ISNUMBER(SEARCH("GELINHO ICEBERG",UPPER(TRIM($B71))))),"$AJ$2:$AJ$2",IF(ISNUMBER(SEARCH("ESPUMA",$B71)),"$AI$2:$AI$2",IF(ISNUMBER(SEARCH("CORANTE",$B71)),"$AN$2:$AN$2",IFERROR(INDEX($AB$2:$AB$138,MATCH(UPPER(TRIM($B71)),$AA$2:$AA$138,0)),"$AO$2:$AO$9")))))</formula1>
    </dataValidation>
    <dataValidation type="list" allowBlank="1" errorTitle="Embalagem inválida" error="Escolha uma embalagem compatível com o produto." promptTitle="Selecione a embalagem" prompt="As opções mudam conforme o produto digitado." sqref="C72" xr:uid="{8B608CC2-373D-4F6E-B0B7-F7018077E8B2}">
      <formula1>INDIRECT(IF(OR(ISNUMBER(SEARCH("ICEBERG ICE",UPPER(TRIM($B72)))),ISNUMBER(SEARCH("ICE ICEBERG",UPPER(TRIM($B72)))),ISNUMBER(SEARCH("GELINHO ICEBERG",UPPER(TRIM($B72))))),"$AJ$2:$AJ$2",IF(ISNUMBER(SEARCH("ESPUMA",$B72)),"$AI$2:$AI$2",IF(ISNUMBER(SEARCH("CORANTE",$B72)),"$AN$2:$AN$2",IFERROR(INDEX($AB$2:$AB$138,MATCH(UPPER(TRIM($B72)),$AA$2:$AA$138,0)),"$AO$2:$AO$9")))))</formula1>
    </dataValidation>
    <dataValidation type="list" allowBlank="1" errorTitle="Embalagem inválida" error="Escolha uma embalagem compatível com o produto." promptTitle="Selecione a embalagem" prompt="As opções mudam conforme o produto digitado." sqref="C76" xr:uid="{35159305-9D30-4C04-8E33-7CF379DBDF1B}">
      <formula1>INDIRECT(IF(OR(ISNUMBER(SEARCH("ICEBERG ICE",UPPER(TRIM($B76)))),ISNUMBER(SEARCH("ICE ICEBERG",UPPER(TRIM($B76)))),ISNUMBER(SEARCH("GELINHO ICEBERG",UPPER(TRIM($B76))))),"$AJ$2:$AJ$2",IF(ISNUMBER(SEARCH("ESPUMA",$B76)),"$AI$2:$AI$2",IF(ISNUMBER(SEARCH("CORANTE",$B76)),"$AN$2:$AN$2",IFERROR(INDEX($AB$2:$AB$138,MATCH(UPPER(TRIM($B76)),$AA$2:$AA$138,0)),"$AO$2:$AO$9")))))</formula1>
    </dataValidation>
    <dataValidation type="list" allowBlank="1" errorTitle="Embalagem inválida" error="Escolha uma embalagem compatível com o produto." promptTitle="Selecione a embalagem" prompt="As opções mudam conforme o produto digitado." sqref="C77" xr:uid="{50CB738F-39D9-4D65-8FFF-093A79E7E20F}">
      <formula1>INDIRECT(IF(OR(ISNUMBER(SEARCH("ICEBERG ICE",UPPER(TRIM($B77)))),ISNUMBER(SEARCH("ICE ICEBERG",UPPER(TRIM($B77)))),ISNUMBER(SEARCH("GELINHO ICEBERG",UPPER(TRIM($B77))))),"$AJ$2:$AJ$2",IF(ISNUMBER(SEARCH("ESPUMA",$B77)),"$AI$2:$AI$2",IF(ISNUMBER(SEARCH("CORANTE",$B77)),"$AN$2:$AN$2",IFERROR(INDEX($AB$2:$AB$138,MATCH(UPPER(TRIM($B77)),$AA$2:$AA$138,0)),"$AO$2:$AO$9")))))</formula1>
    </dataValidation>
    <dataValidation type="list" allowBlank="1" errorTitle="Embalagem inválida" error="Escolha uma embalagem compatível com o produto." promptTitle="Selecione a embalagem" prompt="As opções mudam conforme o produto digitado." sqref="C78" xr:uid="{7A19B023-4FF9-4DD2-B8BD-A898D68FE8E1}">
      <formula1>INDIRECT(IF(OR(ISNUMBER(SEARCH("ICEBERG ICE",UPPER(TRIM($B78)))),ISNUMBER(SEARCH("ICE ICEBERG",UPPER(TRIM($B78)))),ISNUMBER(SEARCH("GELINHO ICEBERG",UPPER(TRIM($B78))))),"$AJ$2:$AJ$2",IF(ISNUMBER(SEARCH("ESPUMA",$B78)),"$AI$2:$AI$2",IF(ISNUMBER(SEARCH("CORANTE",$B78)),"$AN$2:$AN$2",IFERROR(INDEX($AB$2:$AB$138,MATCH(UPPER(TRIM($B78)),$AA$2:$AA$138,0)),"$AO$2:$AO$9")))))</formula1>
    </dataValidation>
    <dataValidation type="list" allowBlank="1" errorTitle="Embalagem inválida" error="Escolha uma embalagem compatível com o produto." promptTitle="Selecione a embalagem" prompt="As opções mudam conforme o produto digitado." sqref="C79" xr:uid="{3B6974C6-3879-4620-86FC-7A7D91FE4E2F}">
      <formula1>INDIRECT(IF(OR(ISNUMBER(SEARCH("ICEBERG ICE",UPPER(TRIM($B79)))),ISNUMBER(SEARCH("ICE ICEBERG",UPPER(TRIM($B79)))),ISNUMBER(SEARCH("GELINHO ICEBERG",UPPER(TRIM($B79))))),"$AJ$2:$AJ$2",IF(ISNUMBER(SEARCH("ESPUMA",$B79)),"$AI$2:$AI$2",IF(ISNUMBER(SEARCH("CORANTE",$B79)),"$AN$2:$AN$2",IFERROR(INDEX($AB$2:$AB$138,MATCH(UPPER(TRIM($B79)),$AA$2:$AA$138,0)),"$AO$2:$AO$9")))))</formula1>
    </dataValidation>
    <dataValidation type="list" allowBlank="1" errorTitle="Embalagem inválida" error="Escolha uma embalagem compatível com o produto." promptTitle="Selecione a embalagem" prompt="As opções mudam conforme o produto digitado." sqref="C80" xr:uid="{EE5DB916-E8B7-4A25-A393-74F889F1C3E1}">
      <formula1>INDIRECT(IF(OR(ISNUMBER(SEARCH("ICEBERG ICE",UPPER(TRIM($B80)))),ISNUMBER(SEARCH("ICE ICEBERG",UPPER(TRIM($B80)))),ISNUMBER(SEARCH("GELINHO ICEBERG",UPPER(TRIM($B80))))),"$AJ$2:$AJ$2",IF(ISNUMBER(SEARCH("ESPUMA",$B80)),"$AI$2:$AI$2",IF(ISNUMBER(SEARCH("CORANTE",$B80)),"$AN$2:$AN$2",IFERROR(INDEX($AB$2:$AB$138,MATCH(UPPER(TRIM($B80)),$AA$2:$AA$138,0)),"$AO$2:$AO$9")))))</formula1>
    </dataValidation>
    <dataValidation type="list" allowBlank="1" errorTitle="Embalagem inválida" error="Escolha uma embalagem compatível com o produto." promptTitle="Selecione a embalagem" prompt="As opções mudam conforme o produto digitado." sqref="C84" xr:uid="{A3AF8830-803E-4C87-BD2A-347F79ACE3B4}">
      <formula1>INDIRECT(IF(OR(ISNUMBER(SEARCH("ICEBERG ICE",UPPER(TRIM($B84)))),ISNUMBER(SEARCH("ICE ICEBERG",UPPER(TRIM($B84)))),ISNUMBER(SEARCH("GELINHO ICEBERG",UPPER(TRIM($B84))))),"$AJ$2:$AJ$2",IF(ISNUMBER(SEARCH("ESPUMA",$B84)),"$AI$2:$AI$2",IF(ISNUMBER(SEARCH("CORANTE",$B84)),"$AN$2:$AN$2",IFERROR(INDEX($AB$2:$AB$138,MATCH(UPPER(TRIM($B84)),$AA$2:$AA$138,0)),"$AO$2:$AO$9")))))</formula1>
    </dataValidation>
    <dataValidation type="list" allowBlank="1" errorTitle="Embalagem inválida" error="Escolha uma embalagem compatível com o produto." promptTitle="Selecione a embalagem" prompt="As opções mudam conforme o produto digitado." sqref="C85" xr:uid="{078F4853-0951-434B-928B-66EB28CFE8AF}">
      <formula1>INDIRECT(IF(OR(ISNUMBER(SEARCH("ICEBERG ICE",UPPER(TRIM($B85)))),ISNUMBER(SEARCH("ICE ICEBERG",UPPER(TRIM($B85)))),ISNUMBER(SEARCH("GELINHO ICEBERG",UPPER(TRIM($B85))))),"$AJ$2:$AJ$2",IF(ISNUMBER(SEARCH("ESPUMA",$B85)),"$AI$2:$AI$2",IF(ISNUMBER(SEARCH("CORANTE",$B85)),"$AN$2:$AN$2",IFERROR(INDEX($AB$2:$AB$138,MATCH(UPPER(TRIM($B85)),$AA$2:$AA$138,0)),"$AO$2:$AO$9")))))</formula1>
    </dataValidation>
    <dataValidation type="list" allowBlank="1" errorTitle="Embalagem inválida" error="Escolha uma embalagem compatível com o produto." promptTitle="Selecione a embalagem" prompt="As opções mudam conforme o produto digitado." sqref="C86" xr:uid="{DB77132B-E2C8-4DFE-9F16-F89108B6EF16}">
      <formula1>INDIRECT(IF(OR(ISNUMBER(SEARCH("ICEBERG ICE",UPPER(TRIM($B86)))),ISNUMBER(SEARCH("ICE ICEBERG",UPPER(TRIM($B86)))),ISNUMBER(SEARCH("GELINHO ICEBERG",UPPER(TRIM($B86))))),"$AJ$2:$AJ$2",IF(ISNUMBER(SEARCH("ESPUMA",$B86)),"$AI$2:$AI$2",IF(ISNUMBER(SEARCH("CORANTE",$B86)),"$AN$2:$AN$2",IFERROR(INDEX($AB$2:$AB$138,MATCH(UPPER(TRIM($B86)),$AA$2:$AA$138,0)),"$AO$2:$AO$9")))))</formula1>
    </dataValidation>
    <dataValidation type="list" allowBlank="1" errorTitle="Embalagem inválida" error="Escolha uma embalagem compatível com o produto." promptTitle="Selecione a embalagem" prompt="As opções mudam conforme o produto digitado." sqref="C87" xr:uid="{10985B92-DED7-40E9-92EF-C2CAC79C2C5B}">
      <formula1>INDIRECT(IF(OR(ISNUMBER(SEARCH("ICEBERG ICE",UPPER(TRIM($B87)))),ISNUMBER(SEARCH("ICE ICEBERG",UPPER(TRIM($B87)))),ISNUMBER(SEARCH("GELINHO ICEBERG",UPPER(TRIM($B87))))),"$AJ$2:$AJ$2",IF(ISNUMBER(SEARCH("ESPUMA",$B87)),"$AI$2:$AI$2",IF(ISNUMBER(SEARCH("CORANTE",$B87)),"$AN$2:$AN$2",IFERROR(INDEX($AB$2:$AB$138,MATCH(UPPER(TRIM($B87)),$AA$2:$AA$138,0)),"$AO$2:$AO$9")))))</formula1>
    </dataValidation>
    <dataValidation type="list" allowBlank="1" errorTitle="Embalagem inválida" error="Escolha uma embalagem compatível com o produto." promptTitle="Selecione a embalagem" prompt="As opções mudam conforme o produto digitado." sqref="C88" xr:uid="{1D43262C-ACDA-406A-B0A0-15D658CD0B3D}">
      <formula1>INDIRECT(IF(OR(ISNUMBER(SEARCH("ICEBERG ICE",UPPER(TRIM($B88)))),ISNUMBER(SEARCH("ICE ICEBERG",UPPER(TRIM($B88)))),ISNUMBER(SEARCH("GELINHO ICEBERG",UPPER(TRIM($B88))))),"$AJ$2:$AJ$2",IF(ISNUMBER(SEARCH("ESPUMA",$B88)),"$AI$2:$AI$2",IF(ISNUMBER(SEARCH("CORANTE",$B88)),"$AN$2:$AN$2",IFERROR(INDEX($AB$2:$AB$138,MATCH(UPPER(TRIM($B88)),$AA$2:$AA$138,0)),"$AO$2:$AO$9")))))</formula1>
    </dataValidation>
    <dataValidation type="list" allowBlank="1" errorTitle="Embalagem inválida" error="Escolha uma embalagem compatível com o produto." promptTitle="Selecione a embalagem" prompt="As opções mudam conforme o produto digitado." sqref="C92" xr:uid="{97AA3F7F-22FF-480F-A53D-00DFEBF23345}">
      <formula1>INDIRECT(IF(OR(ISNUMBER(SEARCH("ICEBERG ICE",UPPER(TRIM($B92)))),ISNUMBER(SEARCH("ICE ICEBERG",UPPER(TRIM($B92)))),ISNUMBER(SEARCH("GELINHO ICEBERG",UPPER(TRIM($B92))))),"$AJ$2:$AJ$2",IF(ISNUMBER(SEARCH("ESPUMA",$B92)),"$AI$2:$AI$2",IF(ISNUMBER(SEARCH("CORANTE",$B92)),"$AN$2:$AN$2",IFERROR(INDEX($AB$2:$AB$138,MATCH(UPPER(TRIM($B92)),$AA$2:$AA$138,0)),"$AO$2:$AO$9")))))</formula1>
    </dataValidation>
    <dataValidation type="list" allowBlank="1" errorTitle="Embalagem inválida" error="Escolha uma embalagem compatível com o produto." promptTitle="Selecione a embalagem" prompt="As opções mudam conforme o produto digitado." sqref="C93" xr:uid="{AB2E8525-E26A-49BB-A9BD-8152951A5713}">
      <formula1>INDIRECT(IF(OR(ISNUMBER(SEARCH("ICEBERG ICE",UPPER(TRIM($B93)))),ISNUMBER(SEARCH("ICE ICEBERG",UPPER(TRIM($B93)))),ISNUMBER(SEARCH("GELINHO ICEBERG",UPPER(TRIM($B93))))),"$AJ$2:$AJ$2",IF(ISNUMBER(SEARCH("ESPUMA",$B93)),"$AI$2:$AI$2",IF(ISNUMBER(SEARCH("CORANTE",$B93)),"$AN$2:$AN$2",IFERROR(INDEX($AB$2:$AB$138,MATCH(UPPER(TRIM($B93)),$AA$2:$AA$138,0)),"$AO$2:$AO$9")))))</formula1>
    </dataValidation>
    <dataValidation type="list" allowBlank="1" errorTitle="Embalagem inválida" error="Escolha uma embalagem compatível com o produto." promptTitle="Selecione a embalagem" prompt="As opções mudam conforme o produto digitado." sqref="C94" xr:uid="{977C283F-A1E2-430D-8B35-3982B7C24AEE}">
      <formula1>INDIRECT(IF(OR(ISNUMBER(SEARCH("ICEBERG ICE",UPPER(TRIM($B94)))),ISNUMBER(SEARCH("ICE ICEBERG",UPPER(TRIM($B94)))),ISNUMBER(SEARCH("GELINHO ICEBERG",UPPER(TRIM($B94))))),"$AJ$2:$AJ$2",IF(ISNUMBER(SEARCH("ESPUMA",$B94)),"$AI$2:$AI$2",IF(ISNUMBER(SEARCH("CORANTE",$B94)),"$AN$2:$AN$2",IFERROR(INDEX($AB$2:$AB$138,MATCH(UPPER(TRIM($B94)),$AA$2:$AA$138,0)),"$AO$2:$AO$9")))))</formula1>
    </dataValidation>
    <dataValidation type="list" allowBlank="1" errorTitle="Embalagem inválida" error="Escolha uma embalagem compatível com o produto." promptTitle="Selecione a embalagem" prompt="As opções mudam conforme o produto digitado." sqref="C95" xr:uid="{4AB0ECA8-8F34-4560-921E-2773154EEDDA}">
      <formula1>INDIRECT(IF(OR(ISNUMBER(SEARCH("ICEBERG ICE",UPPER(TRIM($B95)))),ISNUMBER(SEARCH("ICE ICEBERG",UPPER(TRIM($B95)))),ISNUMBER(SEARCH("GELINHO ICEBERG",UPPER(TRIM($B95))))),"$AJ$2:$AJ$2",IF(ISNUMBER(SEARCH("ESPUMA",$B95)),"$AI$2:$AI$2",IF(ISNUMBER(SEARCH("CORANTE",$B95)),"$AN$2:$AN$2",IFERROR(INDEX($AB$2:$AB$138,MATCH(UPPER(TRIM($B95)),$AA$2:$AA$138,0)),"$AO$2:$AO$9")))))</formula1>
    </dataValidation>
    <dataValidation type="list" allowBlank="1" errorTitle="Embalagem inválida" error="Escolha uma embalagem compatível com o produto." promptTitle="Selecione a embalagem" prompt="As opções mudam conforme o produto digitado." sqref="C96" xr:uid="{E2FC7FDB-EFDA-4F83-8036-BCC50C70468D}">
      <formula1>INDIRECT(IF(OR(ISNUMBER(SEARCH("ICEBERG ICE",UPPER(TRIM($B96)))),ISNUMBER(SEARCH("ICE ICEBERG",UPPER(TRIM($B96)))),ISNUMBER(SEARCH("GELINHO ICEBERG",UPPER(TRIM($B96))))),"$AJ$2:$AJ$2",IF(ISNUMBER(SEARCH("ESPUMA",$B96)),"$AI$2:$AI$2",IF(ISNUMBER(SEARCH("CORANTE",$B96)),"$AN$2:$AN$2",IFERROR(INDEX($AB$2:$AB$138,MATCH(UPPER(TRIM($B96)),$AA$2:$AA$138,0)),"$AO$2:$AO$9")))))</formula1>
    </dataValidation>
    <dataValidation type="list" allowBlank="1" errorTitle="Embalagem inválida" error="Escolha uma embalagem compatível com o produto." promptTitle="Selecione a embalagem" prompt="As opções mudam conforme o produto digitado." sqref="C100" xr:uid="{640624E2-E061-4A1D-84EF-FDA6596A7986}">
      <formula1>INDIRECT(IF(OR(ISNUMBER(SEARCH("ICEBERG ICE",UPPER(TRIM($B100)))),ISNUMBER(SEARCH("ICE ICEBERG",UPPER(TRIM($B100)))),ISNUMBER(SEARCH("GELINHO ICEBERG",UPPER(TRIM($B100))))),"$AJ$2:$AJ$2",IF(ISNUMBER(SEARCH("ESPUMA",$B100)),"$AI$2:$AI$2",IF(ISNUMBER(SEARCH("CORANTE",$B100)),"$AN$2:$AN$2",IFERROR(INDEX($AB$2:$AB$138,MATCH(UPPER(TRIM($B100)),$AA$2:$AA$138,0)),"$AO$2:$AO$9")))))</formula1>
    </dataValidation>
    <dataValidation type="list" allowBlank="1" errorTitle="Embalagem inválida" error="Escolha uma embalagem compatível com o produto." promptTitle="Selecione a embalagem" prompt="As opções mudam conforme o produto digitado." sqref="C101" xr:uid="{51E0A11C-61F5-4506-8DC9-FC4863C1E1F7}">
      <formula1>INDIRECT(IF(OR(ISNUMBER(SEARCH("ICEBERG ICE",UPPER(TRIM($B101)))),ISNUMBER(SEARCH("ICE ICEBERG",UPPER(TRIM($B101)))),ISNUMBER(SEARCH("GELINHO ICEBERG",UPPER(TRIM($B101))))),"$AJ$2:$AJ$2",IF(ISNUMBER(SEARCH("ESPUMA",$B101)),"$AI$2:$AI$2",IF(ISNUMBER(SEARCH("CORANTE",$B101)),"$AN$2:$AN$2",IFERROR(INDEX($AB$2:$AB$138,MATCH(UPPER(TRIM($B101)),$AA$2:$AA$138,0)),"$AO$2:$AO$9")))))</formula1>
    </dataValidation>
    <dataValidation type="list" allowBlank="1" errorTitle="Embalagem inválida" error="Escolha uma embalagem compatível com o produto." promptTitle="Selecione a embalagem" prompt="As opções mudam conforme o produto digitado." sqref="C102" xr:uid="{CD91C94F-C93D-42D4-8F7B-7B0979C78E66}">
      <formula1>INDIRECT(IF(OR(ISNUMBER(SEARCH("ICEBERG ICE",UPPER(TRIM($B102)))),ISNUMBER(SEARCH("ICE ICEBERG",UPPER(TRIM($B102)))),ISNUMBER(SEARCH("GELINHO ICEBERG",UPPER(TRIM($B102))))),"$AJ$2:$AJ$2",IF(ISNUMBER(SEARCH("ESPUMA",$B102)),"$AI$2:$AI$2",IF(ISNUMBER(SEARCH("CORANTE",$B102)),"$AN$2:$AN$2",IFERROR(INDEX($AB$2:$AB$138,MATCH(UPPER(TRIM($B102)),$AA$2:$AA$138,0)),"$AO$2:$AO$9")))))</formula1>
    </dataValidation>
    <dataValidation type="list" allowBlank="1" errorTitle="Embalagem inválida" error="Escolha uma embalagem compatível com o produto." promptTitle="Selecione a embalagem" prompt="As opções mudam conforme o produto digitado." sqref="C103" xr:uid="{296D9A8A-BADC-426D-A36B-3E7002A99E0B}">
      <formula1>INDIRECT(IF(OR(ISNUMBER(SEARCH("ICEBERG ICE",UPPER(TRIM($B103)))),ISNUMBER(SEARCH("ICE ICEBERG",UPPER(TRIM($B103)))),ISNUMBER(SEARCH("GELINHO ICEBERG",UPPER(TRIM($B103))))),"$AJ$2:$AJ$2",IF(ISNUMBER(SEARCH("ESPUMA",$B103)),"$AI$2:$AI$2",IF(ISNUMBER(SEARCH("CORANTE",$B103)),"$AN$2:$AN$2",IFERROR(INDEX($AB$2:$AB$138,MATCH(UPPER(TRIM($B103)),$AA$2:$AA$138,0)),"$AO$2:$AO$9")))))</formula1>
    </dataValidation>
    <dataValidation type="list" allowBlank="1" errorTitle="Embalagem inválida" error="Escolha uma embalagem compatível com o produto." promptTitle="Selecione a embalagem" prompt="As opções mudam conforme o produto digitado." sqref="C104" xr:uid="{6C638A3E-07F8-4B03-AC9E-CDC4496ED61B}">
      <formula1>INDIRECT(IF(OR(ISNUMBER(SEARCH("ICEBERG ICE",UPPER(TRIM($B104)))),ISNUMBER(SEARCH("ICE ICEBERG",UPPER(TRIM($B104)))),ISNUMBER(SEARCH("GELINHO ICEBERG",UPPER(TRIM($B104))))),"$AJ$2:$AJ$2",IF(ISNUMBER(SEARCH("ESPUMA",$B104)),"$AI$2:$AI$2",IF(ISNUMBER(SEARCH("CORANTE",$B104)),"$AN$2:$AN$2",IFERROR(INDEX($AB$2:$AB$138,MATCH(UPPER(TRIM($B104)),$AA$2:$AA$138,0)),"$AO$2:$AO$9")))))</formula1>
    </dataValidation>
    <dataValidation type="list" allowBlank="1" errorTitle="Embalagem inválida" error="Escolha uma embalagem compatível com o produto." promptTitle="Selecione a embalagem" prompt="As opções mudam conforme o produto digitado." sqref="C108" xr:uid="{41E891C6-8205-4D64-8910-84345254C627}">
      <formula1>INDIRECT(IF(OR(ISNUMBER(SEARCH("ICEBERG ICE",UPPER(TRIM($B108)))),ISNUMBER(SEARCH("ICE ICEBERG",UPPER(TRIM($B108)))),ISNUMBER(SEARCH("GELINHO ICEBERG",UPPER(TRIM($B108))))),"$AJ$2:$AJ$2",IF(ISNUMBER(SEARCH("ESPUMA",$B108)),"$AI$2:$AI$2",IF(ISNUMBER(SEARCH("CORANTE",$B108)),"$AN$2:$AN$2",IFERROR(INDEX($AB$2:$AB$138,MATCH(UPPER(TRIM($B108)),$AA$2:$AA$138,0)),"$AO$2:$AO$9")))))</formula1>
    </dataValidation>
    <dataValidation type="list" allowBlank="1" errorTitle="Embalagem inválida" error="Escolha uma embalagem compatível com o produto." promptTitle="Selecione a embalagem" prompt="As opções mudam conforme o produto digitado." sqref="C109" xr:uid="{1BE90257-D756-4E97-B74C-718CEA508294}">
      <formula1>INDIRECT(IF(OR(ISNUMBER(SEARCH("ICEBERG ICE",UPPER(TRIM($B109)))),ISNUMBER(SEARCH("ICE ICEBERG",UPPER(TRIM($B109)))),ISNUMBER(SEARCH("GELINHO ICEBERG",UPPER(TRIM($B109))))),"$AJ$2:$AJ$2",IF(ISNUMBER(SEARCH("ESPUMA",$B109)),"$AI$2:$AI$2",IF(ISNUMBER(SEARCH("CORANTE",$B109)),"$AN$2:$AN$2",IFERROR(INDEX($AB$2:$AB$138,MATCH(UPPER(TRIM($B109)),$AA$2:$AA$138,0)),"$AO$2:$AO$9")))))</formula1>
    </dataValidation>
    <dataValidation type="list" allowBlank="1" errorTitle="Embalagem inválida" error="Escolha uma embalagem compatível com o produto." promptTitle="Selecione a embalagem" prompt="As opções mudam conforme o produto digitado." sqref="C110" xr:uid="{F41EDAA2-0D06-452A-BAF7-23B8AB9AC023}">
      <formula1>INDIRECT(IF(OR(ISNUMBER(SEARCH("ICEBERG ICE",UPPER(TRIM($B110)))),ISNUMBER(SEARCH("ICE ICEBERG",UPPER(TRIM($B110)))),ISNUMBER(SEARCH("GELINHO ICEBERG",UPPER(TRIM($B110))))),"$AJ$2:$AJ$2",IF(ISNUMBER(SEARCH("ESPUMA",$B110)),"$AI$2:$AI$2",IF(ISNUMBER(SEARCH("CORANTE",$B110)),"$AN$2:$AN$2",IFERROR(INDEX($AB$2:$AB$138,MATCH(UPPER(TRIM($B110)),$AA$2:$AA$138,0)),"$AO$2:$AO$9")))))</formula1>
    </dataValidation>
    <dataValidation type="list" allowBlank="1" errorTitle="Embalagem inválida" error="Escolha uma embalagem compatível com o produto." promptTitle="Selecione a embalagem" prompt="As opções mudam conforme o produto digitado." sqref="C111" xr:uid="{4CFCD8EF-9DE2-436C-BE96-3C18EE24E4AB}">
      <formula1>INDIRECT(IF(OR(ISNUMBER(SEARCH("ICEBERG ICE",UPPER(TRIM($B111)))),ISNUMBER(SEARCH("ICE ICEBERG",UPPER(TRIM($B111)))),ISNUMBER(SEARCH("GELINHO ICEBERG",UPPER(TRIM($B111))))),"$AJ$2:$AJ$2",IF(ISNUMBER(SEARCH("ESPUMA",$B111)),"$AI$2:$AI$2",IF(ISNUMBER(SEARCH("CORANTE",$B111)),"$AN$2:$AN$2",IFERROR(INDEX($AB$2:$AB$138,MATCH(UPPER(TRIM($B111)),$AA$2:$AA$138,0)),"$AO$2:$AO$9")))))</formula1>
    </dataValidation>
    <dataValidation type="list" allowBlank="1" errorTitle="Embalagem inválida" error="Escolha uma embalagem compatível com o produto." promptTitle="Selecione a embalagem" prompt="As opções mudam conforme o produto digitado." sqref="C112" xr:uid="{81390223-34FF-4921-8893-D9285D8D0AD3}">
      <formula1>INDIRECT(IF(OR(ISNUMBER(SEARCH("ICEBERG ICE",UPPER(TRIM($B112)))),ISNUMBER(SEARCH("ICE ICEBERG",UPPER(TRIM($B112)))),ISNUMBER(SEARCH("GELINHO ICEBERG",UPPER(TRIM($B112))))),"$AJ$2:$AJ$2",IF(ISNUMBER(SEARCH("ESPUMA",$B112)),"$AI$2:$AI$2",IF(ISNUMBER(SEARCH("CORANTE",$B112)),"$AN$2:$AN$2",IFERROR(INDEX($AB$2:$AB$138,MATCH(UPPER(TRIM($B112)),$AA$2:$AA$138,0)),"$AO$2:$AO$9")))))</formula1>
    </dataValidation>
    <dataValidation type="list" allowBlank="1" errorTitle="Embalagem inválida" error="Escolha uma embalagem compatível com o produto." promptTitle="Selecione a embalagem" prompt="As opções mudam conforme o produto digitado." sqref="C116" xr:uid="{90388ECA-56CC-4A53-B0D0-F683524E1D96}">
      <formula1>INDIRECT(IF(OR(ISNUMBER(SEARCH("ICEBERG ICE",UPPER(TRIM($B116)))),ISNUMBER(SEARCH("ICE ICEBERG",UPPER(TRIM($B116)))),ISNUMBER(SEARCH("GELINHO ICEBERG",UPPER(TRIM($B116))))),"$AJ$2:$AJ$2",IF(ISNUMBER(SEARCH("ESPUMA",$B116)),"$AI$2:$AI$2",IF(ISNUMBER(SEARCH("CORANTE",$B116)),"$AN$2:$AN$2",IFERROR(INDEX($AB$2:$AB$138,MATCH(UPPER(TRIM($B116)),$AA$2:$AA$138,0)),"$AO$2:$AO$9")))))</formula1>
    </dataValidation>
    <dataValidation type="list" allowBlank="1" errorTitle="Embalagem inválida" error="Escolha uma embalagem compatível com o produto." promptTitle="Selecione a embalagem" prompt="As opções mudam conforme o produto digitado." sqref="C117" xr:uid="{79ED757F-3CB4-4574-A352-1EC485C8057C}">
      <formula1>INDIRECT(IF(OR(ISNUMBER(SEARCH("ICEBERG ICE",UPPER(TRIM($B117)))),ISNUMBER(SEARCH("ICE ICEBERG",UPPER(TRIM($B117)))),ISNUMBER(SEARCH("GELINHO ICEBERG",UPPER(TRIM($B117))))),"$AJ$2:$AJ$2",IF(ISNUMBER(SEARCH("ESPUMA",$B117)),"$AI$2:$AI$2",IF(ISNUMBER(SEARCH("CORANTE",$B117)),"$AN$2:$AN$2",IFERROR(INDEX($AB$2:$AB$138,MATCH(UPPER(TRIM($B117)),$AA$2:$AA$138,0)),"$AO$2:$AO$9")))))</formula1>
    </dataValidation>
    <dataValidation type="list" allowBlank="1" errorTitle="Embalagem inválida" error="Escolha uma embalagem compatível com o produto." promptTitle="Selecione a embalagem" prompt="As opções mudam conforme o produto digitado." sqref="C118" xr:uid="{26BEEEA7-88F6-4344-8F46-A89EDD4B7AF9}">
      <formula1>INDIRECT(IF(OR(ISNUMBER(SEARCH("ICEBERG ICE",UPPER(TRIM($B118)))),ISNUMBER(SEARCH("ICE ICEBERG",UPPER(TRIM($B118)))),ISNUMBER(SEARCH("GELINHO ICEBERG",UPPER(TRIM($B118))))),"$AJ$2:$AJ$2",IF(ISNUMBER(SEARCH("ESPUMA",$B118)),"$AI$2:$AI$2",IF(ISNUMBER(SEARCH("CORANTE",$B118)),"$AN$2:$AN$2",IFERROR(INDEX($AB$2:$AB$138,MATCH(UPPER(TRIM($B118)),$AA$2:$AA$138,0)),"$AO$2:$AO$9")))))</formula1>
    </dataValidation>
    <dataValidation type="list" allowBlank="1" errorTitle="Embalagem inválida" error="Escolha uma embalagem compatível com o produto." promptTitle="Selecione a embalagem" prompt="As opções mudam conforme o produto digitado." sqref="C119" xr:uid="{000BAD7F-DF04-4B80-B805-D2A42CDB6BA8}">
      <formula1>INDIRECT(IF(OR(ISNUMBER(SEARCH("ICEBERG ICE",UPPER(TRIM($B119)))),ISNUMBER(SEARCH("ICE ICEBERG",UPPER(TRIM($B119)))),ISNUMBER(SEARCH("GELINHO ICEBERG",UPPER(TRIM($B119))))),"$AJ$2:$AJ$2",IF(ISNUMBER(SEARCH("ESPUMA",$B119)),"$AI$2:$AI$2",IF(ISNUMBER(SEARCH("CORANTE",$B119)),"$AN$2:$AN$2",IFERROR(INDEX($AB$2:$AB$138,MATCH(UPPER(TRIM($B119)),$AA$2:$AA$138,0)),"$AO$2:$AO$9")))))</formula1>
    </dataValidation>
    <dataValidation type="list" allowBlank="1" errorTitle="Embalagem inválida" error="Escolha uma embalagem compatível com o produto." promptTitle="Selecione a embalagem" prompt="As opções mudam conforme o produto digitado." sqref="C120" xr:uid="{A1B47337-1B07-4AC3-A5B9-A555A1CFF066}">
      <formula1>INDIRECT(IF(OR(ISNUMBER(SEARCH("ICEBERG ICE",UPPER(TRIM($B120)))),ISNUMBER(SEARCH("ICE ICEBERG",UPPER(TRIM($B120)))),ISNUMBER(SEARCH("GELINHO ICEBERG",UPPER(TRIM($B120))))),"$AJ$2:$AJ$2",IF(ISNUMBER(SEARCH("ESPUMA",$B120)),"$AI$2:$AI$2",IF(ISNUMBER(SEARCH("CORANTE",$B120)),"$AN$2:$AN$2",IFERROR(INDEX($AB$2:$AB$138,MATCH(UPPER(TRIM($B120)),$AA$2:$AA$138,0)),"$AO$2:$AO$9")))))</formula1>
    </dataValidation>
    <dataValidation type="list" allowBlank="1" errorTitle="Embalagem inválida" error="Escolha uma embalagem compatível com o produto." promptTitle="Selecione a embalagem" prompt="As opções mudam conforme o produto digitado." sqref="C124" xr:uid="{D8720C15-B3D0-4023-A249-1C14E5FDC4E5}">
      <formula1>INDIRECT(IF(OR(ISNUMBER(SEARCH("ICEBERG ICE",UPPER(TRIM($B124)))),ISNUMBER(SEARCH("ICE ICEBERG",UPPER(TRIM($B124)))),ISNUMBER(SEARCH("GELINHO ICEBERG",UPPER(TRIM($B124))))),"$AJ$2:$AJ$2",IF(ISNUMBER(SEARCH("ESPUMA",$B124)),"$AI$2:$AI$2",IF(ISNUMBER(SEARCH("CORANTE",$B124)),"$AN$2:$AN$2",IFERROR(INDEX($AB$2:$AB$138,MATCH(UPPER(TRIM($B124)),$AA$2:$AA$138,0)),"$AO$2:$AO$9")))))</formula1>
    </dataValidation>
    <dataValidation type="list" allowBlank="1" errorTitle="Embalagem inválida" error="Escolha uma embalagem compatível com o produto." promptTitle="Selecione a embalagem" prompt="As opções mudam conforme o produto digitado." sqref="C125" xr:uid="{D6E4C03B-2CE5-4A76-B950-C6225D64E8DF}">
      <formula1>INDIRECT(IF(OR(ISNUMBER(SEARCH("ICEBERG ICE",UPPER(TRIM($B125)))),ISNUMBER(SEARCH("ICE ICEBERG",UPPER(TRIM($B125)))),ISNUMBER(SEARCH("GELINHO ICEBERG",UPPER(TRIM($B125))))),"$AJ$2:$AJ$2",IF(ISNUMBER(SEARCH("ESPUMA",$B125)),"$AI$2:$AI$2",IF(ISNUMBER(SEARCH("CORANTE",$B125)),"$AN$2:$AN$2",IFERROR(INDEX($AB$2:$AB$138,MATCH(UPPER(TRIM($B125)),$AA$2:$AA$138,0)),"$AO$2:$AO$9")))))</formula1>
    </dataValidation>
    <dataValidation type="list" allowBlank="1" errorTitle="Embalagem inválida" error="Escolha uma embalagem compatível com o produto." promptTitle="Selecione a embalagem" prompt="As opções mudam conforme o produto digitado." sqref="C126" xr:uid="{80FB4826-A258-4549-9465-A78096FF0F94}">
      <formula1>INDIRECT(IF(OR(ISNUMBER(SEARCH("ICEBERG ICE",UPPER(TRIM($B126)))),ISNUMBER(SEARCH("ICE ICEBERG",UPPER(TRIM($B126)))),ISNUMBER(SEARCH("GELINHO ICEBERG",UPPER(TRIM($B126))))),"$AJ$2:$AJ$2",IF(ISNUMBER(SEARCH("ESPUMA",$B126)),"$AI$2:$AI$2",IF(ISNUMBER(SEARCH("CORANTE",$B126)),"$AN$2:$AN$2",IFERROR(INDEX($AB$2:$AB$138,MATCH(UPPER(TRIM($B126)),$AA$2:$AA$138,0)),"$AO$2:$AO$9")))))</formula1>
    </dataValidation>
    <dataValidation type="list" allowBlank="1" errorTitle="Embalagem inválida" error="Escolha uma embalagem compatível com o produto." promptTitle="Selecione a embalagem" prompt="As opções mudam conforme o produto digitado." sqref="C127" xr:uid="{4811312C-765C-4AB6-8DAA-A37AC672E281}">
      <formula1>INDIRECT(IF(OR(ISNUMBER(SEARCH("ICEBERG ICE",UPPER(TRIM($B127)))),ISNUMBER(SEARCH("ICE ICEBERG",UPPER(TRIM($B127)))),ISNUMBER(SEARCH("GELINHO ICEBERG",UPPER(TRIM($B127))))),"$AJ$2:$AJ$2",IF(ISNUMBER(SEARCH("ESPUMA",$B127)),"$AI$2:$AI$2",IF(ISNUMBER(SEARCH("CORANTE",$B127)),"$AN$2:$AN$2",IFERROR(INDEX($AB$2:$AB$138,MATCH(UPPER(TRIM($B127)),$AA$2:$AA$138,0)),"$AO$2:$AO$9")))))</formula1>
    </dataValidation>
    <dataValidation type="list" allowBlank="1" errorTitle="Embalagem inválida" error="Escolha uma embalagem compatível com o produto." promptTitle="Selecione a embalagem" prompt="As opções mudam conforme o produto digitado." sqref="C128" xr:uid="{B414F54D-0CB9-47B4-AAA7-ACF6BE6AD8C6}">
      <formula1>INDIRECT(IF(OR(ISNUMBER(SEARCH("ICEBERG ICE",UPPER(TRIM($B128)))),ISNUMBER(SEARCH("ICE ICEBERG",UPPER(TRIM($B128)))),ISNUMBER(SEARCH("GELINHO ICEBERG",UPPER(TRIM($B128))))),"$AJ$2:$AJ$2",IF(ISNUMBER(SEARCH("ESPUMA",$B128)),"$AI$2:$AI$2",IF(ISNUMBER(SEARCH("CORANTE",$B128)),"$AN$2:$AN$2",IFERROR(INDEX($AB$2:$AB$138,MATCH(UPPER(TRIM($B128)),$AA$2:$AA$138,0)),"$AO$2:$AO$9")))))</formula1>
    </dataValidation>
    <dataValidation type="list" allowBlank="1" errorTitle="Embalagem inválida" error="Escolha uma embalagem compatível com o produto." promptTitle="Selecione a embalagem" prompt="As opções mudam conforme o produto digitado." sqref="C132" xr:uid="{95C57A92-C110-4514-8656-43785291EA3C}">
      <formula1>INDIRECT(IF(OR(ISNUMBER(SEARCH("ICEBERG ICE",UPPER(TRIM($B132)))),ISNUMBER(SEARCH("ICE ICEBERG",UPPER(TRIM($B132)))),ISNUMBER(SEARCH("GELINHO ICEBERG",UPPER(TRIM($B132))))),"$AJ$2:$AJ$2",IF(ISNUMBER(SEARCH("ESPUMA",$B132)),"$AI$2:$AI$2",IF(ISNUMBER(SEARCH("CORANTE",$B132)),"$AN$2:$AN$2",IFERROR(INDEX($AB$2:$AB$138,MATCH(UPPER(TRIM($B132)),$AA$2:$AA$138,0)),"$AO$2:$AO$9")))))</formula1>
    </dataValidation>
    <dataValidation type="list" allowBlank="1" errorTitle="Embalagem inválida" error="Escolha uma embalagem compatível com o produto." promptTitle="Selecione a embalagem" prompt="As opções mudam conforme o produto digitado." sqref="C133" xr:uid="{9E1E3F17-C81F-4B25-9A1B-0F9ACCAAB4CF}">
      <formula1>INDIRECT(IF(OR(ISNUMBER(SEARCH("ICEBERG ICE",UPPER(TRIM($B133)))),ISNUMBER(SEARCH("ICE ICEBERG",UPPER(TRIM($B133)))),ISNUMBER(SEARCH("GELINHO ICEBERG",UPPER(TRIM($B133))))),"$AJ$2:$AJ$2",IF(ISNUMBER(SEARCH("ESPUMA",$B133)),"$AI$2:$AI$2",IF(ISNUMBER(SEARCH("CORANTE",$B133)),"$AN$2:$AN$2",IFERROR(INDEX($AB$2:$AB$138,MATCH(UPPER(TRIM($B133)),$AA$2:$AA$138,0)),"$AO$2:$AO$9")))))</formula1>
    </dataValidation>
    <dataValidation type="list" allowBlank="1" errorTitle="Embalagem inválida" error="Escolha uma embalagem compatível com o produto." promptTitle="Selecione a embalagem" prompt="As opções mudam conforme o produto digitado." sqref="C134" xr:uid="{EF075489-3581-4E00-BDBF-126C47CF729F}">
      <formula1>INDIRECT(IF(OR(ISNUMBER(SEARCH("ICEBERG ICE",UPPER(TRIM($B134)))),ISNUMBER(SEARCH("ICE ICEBERG",UPPER(TRIM($B134)))),ISNUMBER(SEARCH("GELINHO ICEBERG",UPPER(TRIM($B134))))),"$AJ$2:$AJ$2",IF(ISNUMBER(SEARCH("ESPUMA",$B134)),"$AI$2:$AI$2",IF(ISNUMBER(SEARCH("CORANTE",$B134)),"$AN$2:$AN$2",IFERROR(INDEX($AB$2:$AB$138,MATCH(UPPER(TRIM($B134)),$AA$2:$AA$138,0)),"$AO$2:$AO$9")))))</formula1>
    </dataValidation>
    <dataValidation type="list" allowBlank="1" errorTitle="Embalagem inválida" error="Escolha uma embalagem compatível com o produto." promptTitle="Selecione a embalagem" prompt="As opções mudam conforme o produto digitado." sqref="C135" xr:uid="{42097063-8DE1-45F7-B5C5-387C0017934C}">
      <formula1>INDIRECT(IF(OR(ISNUMBER(SEARCH("ICEBERG ICE",UPPER(TRIM($B135)))),ISNUMBER(SEARCH("ICE ICEBERG",UPPER(TRIM($B135)))),ISNUMBER(SEARCH("GELINHO ICEBERG",UPPER(TRIM($B135))))),"$AJ$2:$AJ$2",IF(ISNUMBER(SEARCH("ESPUMA",$B135)),"$AI$2:$AI$2",IF(ISNUMBER(SEARCH("CORANTE",$B135)),"$AN$2:$AN$2",IFERROR(INDEX($AB$2:$AB$138,MATCH(UPPER(TRIM($B135)),$AA$2:$AA$138,0)),"$AO$2:$AO$9")))))</formula1>
    </dataValidation>
    <dataValidation type="list" allowBlank="1" errorTitle="Embalagem inválida" error="Escolha uma embalagem compatível com o produto." promptTitle="Selecione a embalagem" prompt="As opções mudam conforme o produto digitado." sqref="C136" xr:uid="{1E8D9C61-728E-4EB8-83CC-0F68DEC20D65}">
      <formula1>INDIRECT(IF(OR(ISNUMBER(SEARCH("ICEBERG ICE",UPPER(TRIM($B136)))),ISNUMBER(SEARCH("ICE ICEBERG",UPPER(TRIM($B136)))),ISNUMBER(SEARCH("GELINHO ICEBERG",UPPER(TRIM($B136))))),"$AJ$2:$AJ$2",IF(ISNUMBER(SEARCH("ESPUMA",$B136)),"$AI$2:$AI$2",IF(ISNUMBER(SEARCH("CORANTE",$B136)),"$AN$2:$AN$2",IFERROR(INDEX($AB$2:$AB$138,MATCH(UPPER(TRIM($B136)),$AA$2:$AA$138,0)),"$AO$2:$AO$9")))))</formula1>
    </dataValidation>
    <dataValidation type="list" allowBlank="1" errorTitle="Embalagem inválida" error="Escolha uma embalagem compatível com o produto." promptTitle="Selecione a embalagem" prompt="As opções mudam conforme o produto digitado." sqref="C140" xr:uid="{76DDAED4-561F-4056-85A3-43D6A19D48FF}">
      <formula1>INDIRECT(IF(OR(ISNUMBER(SEARCH("ICEBERG ICE",UPPER(TRIM($B140)))),ISNUMBER(SEARCH("ICE ICEBERG",UPPER(TRIM($B140)))),ISNUMBER(SEARCH("GELINHO ICEBERG",UPPER(TRIM($B140))))),"$AJ$2:$AJ$2",IF(ISNUMBER(SEARCH("ESPUMA",$B140)),"$AI$2:$AI$2",IF(ISNUMBER(SEARCH("CORANTE",$B140)),"$AN$2:$AN$2",IFERROR(INDEX($AB$2:$AB$138,MATCH(UPPER(TRIM($B140)),$AA$2:$AA$138,0)),"$AO$2:$AO$9")))))</formula1>
    </dataValidation>
    <dataValidation type="list" allowBlank="1" errorTitle="Embalagem inválida" error="Escolha uma embalagem compatível com o produto." promptTitle="Selecione a embalagem" prompt="As opções mudam conforme o produto digitado." sqref="C141" xr:uid="{9341AFD4-2A0E-4642-A2E0-4F4F702B29A7}">
      <formula1>INDIRECT(IF(OR(ISNUMBER(SEARCH("ICEBERG ICE",UPPER(TRIM($B141)))),ISNUMBER(SEARCH("ICE ICEBERG",UPPER(TRIM($B141)))),ISNUMBER(SEARCH("GELINHO ICEBERG",UPPER(TRIM($B141))))),"$AJ$2:$AJ$2",IF(ISNUMBER(SEARCH("ESPUMA",$B141)),"$AI$2:$AI$2",IF(ISNUMBER(SEARCH("CORANTE",$B141)),"$AN$2:$AN$2",IFERROR(INDEX($AB$2:$AB$138,MATCH(UPPER(TRIM($B141)),$AA$2:$AA$138,0)),"$AO$2:$AO$9")))))</formula1>
    </dataValidation>
    <dataValidation type="list" allowBlank="1" errorTitle="Embalagem inválida" error="Escolha uma embalagem compatível com o produto." promptTitle="Selecione a embalagem" prompt="As opções mudam conforme o produto digitado." sqref="C142" xr:uid="{1FCD7E1C-273D-4BC2-ADD5-AD291009E870}">
      <formula1>INDIRECT(IF(OR(ISNUMBER(SEARCH("ICEBERG ICE",UPPER(TRIM($B142)))),ISNUMBER(SEARCH("ICE ICEBERG",UPPER(TRIM($B142)))),ISNUMBER(SEARCH("GELINHO ICEBERG",UPPER(TRIM($B142))))),"$AJ$2:$AJ$2",IF(ISNUMBER(SEARCH("ESPUMA",$B142)),"$AI$2:$AI$2",IF(ISNUMBER(SEARCH("CORANTE",$B142)),"$AN$2:$AN$2",IFERROR(INDEX($AB$2:$AB$138,MATCH(UPPER(TRIM($B142)),$AA$2:$AA$138,0)),"$AO$2:$AO$9")))))</formula1>
    </dataValidation>
    <dataValidation type="list" allowBlank="1" errorTitle="Embalagem inválida" error="Escolha uma embalagem compatível com o produto." promptTitle="Selecione a embalagem" prompt="As opções mudam conforme o produto digitado." sqref="C143" xr:uid="{FE7920C4-4AB5-47A9-8659-FCB8DE9259B3}">
      <formula1>INDIRECT(IF(OR(ISNUMBER(SEARCH("ICEBERG ICE",UPPER(TRIM($B143)))),ISNUMBER(SEARCH("ICE ICEBERG",UPPER(TRIM($B143)))),ISNUMBER(SEARCH("GELINHO ICEBERG",UPPER(TRIM($B143))))),"$AJ$2:$AJ$2",IF(ISNUMBER(SEARCH("ESPUMA",$B143)),"$AI$2:$AI$2",IF(ISNUMBER(SEARCH("CORANTE",$B143)),"$AN$2:$AN$2",IFERROR(INDEX($AB$2:$AB$138,MATCH(UPPER(TRIM($B143)),$AA$2:$AA$138,0)),"$AO$2:$AO$9")))))</formula1>
    </dataValidation>
    <dataValidation type="list" allowBlank="1" errorTitle="Embalagem inválida" error="Escolha uma embalagem compatível com o produto." promptTitle="Selecione a embalagem" prompt="As opções mudam conforme o produto digitado." sqref="C144" xr:uid="{15DDA550-3432-42B4-95F5-081D651D08D5}">
      <formula1>INDIRECT(IF(OR(ISNUMBER(SEARCH("ICEBERG ICE",UPPER(TRIM($B144)))),ISNUMBER(SEARCH("ICE ICEBERG",UPPER(TRIM($B144)))),ISNUMBER(SEARCH("GELINHO ICEBERG",UPPER(TRIM($B144))))),"$AJ$2:$AJ$2",IF(ISNUMBER(SEARCH("ESPUMA",$B144)),"$AI$2:$AI$2",IF(ISNUMBER(SEARCH("CORANTE",$B144)),"$AN$2:$AN$2",IFERROR(INDEX($AB$2:$AB$138,MATCH(UPPER(TRIM($B144)),$AA$2:$AA$138,0)),"$AO$2:$AO$9")))))</formula1>
    </dataValidation>
    <dataValidation type="list" allowBlank="1" errorTitle="Embalagem inválida" error="Escolha uma embalagem compatível com o produto." promptTitle="Selecione a embalagem" prompt="As opções mudam conforme o produto digitado." sqref="C148" xr:uid="{1A7D099C-F462-4B02-B57B-62BA624DCC93}">
      <formula1>INDIRECT(IF(OR(ISNUMBER(SEARCH("ICEBERG ICE",UPPER(TRIM($B148)))),ISNUMBER(SEARCH("ICE ICEBERG",UPPER(TRIM($B148)))),ISNUMBER(SEARCH("GELINHO ICEBERG",UPPER(TRIM($B148))))),"$AJ$2:$AJ$2",IF(ISNUMBER(SEARCH("ESPUMA",$B148)),"$AI$2:$AI$2",IF(ISNUMBER(SEARCH("CORANTE",$B148)),"$AN$2:$AN$2",IFERROR(INDEX($AB$2:$AB$138,MATCH(UPPER(TRIM($B148)),$AA$2:$AA$138,0)),"$AO$2:$AO$9")))))</formula1>
    </dataValidation>
    <dataValidation type="list" allowBlank="1" errorTitle="Embalagem inválida" error="Escolha uma embalagem compatível com o produto." promptTitle="Selecione a embalagem" prompt="As opções mudam conforme o produto digitado." sqref="C149" xr:uid="{6B1E1659-811B-4575-A19E-CC5A2EEEA497}">
      <formula1>INDIRECT(IF(OR(ISNUMBER(SEARCH("ICEBERG ICE",UPPER(TRIM($B149)))),ISNUMBER(SEARCH("ICE ICEBERG",UPPER(TRIM($B149)))),ISNUMBER(SEARCH("GELINHO ICEBERG",UPPER(TRIM($B149))))),"$AJ$2:$AJ$2",IF(ISNUMBER(SEARCH("ESPUMA",$B149)),"$AI$2:$AI$2",IF(ISNUMBER(SEARCH("CORANTE",$B149)),"$AN$2:$AN$2",IFERROR(INDEX($AB$2:$AB$138,MATCH(UPPER(TRIM($B149)),$AA$2:$AA$138,0)),"$AO$2:$AO$9")))))</formula1>
    </dataValidation>
    <dataValidation type="list" allowBlank="1" errorTitle="Embalagem inválida" error="Escolha uma embalagem compatível com o produto." promptTitle="Selecione a embalagem" prompt="As opções mudam conforme o produto digitado." sqref="C150" xr:uid="{FF08791D-576C-4D95-9374-3FC85257967C}">
      <formula1>INDIRECT(IF(OR(ISNUMBER(SEARCH("ICEBERG ICE",UPPER(TRIM($B150)))),ISNUMBER(SEARCH("ICE ICEBERG",UPPER(TRIM($B150)))),ISNUMBER(SEARCH("GELINHO ICEBERG",UPPER(TRIM($B150))))),"$AJ$2:$AJ$2",IF(ISNUMBER(SEARCH("ESPUMA",$B150)),"$AI$2:$AI$2",IF(ISNUMBER(SEARCH("CORANTE",$B150)),"$AN$2:$AN$2",IFERROR(INDEX($AB$2:$AB$138,MATCH(UPPER(TRIM($B150)),$AA$2:$AA$138,0)),"$AO$2:$AO$9")))))</formula1>
    </dataValidation>
    <dataValidation type="list" allowBlank="1" errorTitle="Embalagem inválida" error="Escolha uma embalagem compatível com o produto." promptTitle="Selecione a embalagem" prompt="As opções mudam conforme o produto digitado." sqref="C151" xr:uid="{BD415EBD-600D-488A-A78F-CFFF39A7D865}">
      <formula1>INDIRECT(IF(OR(ISNUMBER(SEARCH("ICEBERG ICE",UPPER(TRIM($B151)))),ISNUMBER(SEARCH("ICE ICEBERG",UPPER(TRIM($B151)))),ISNUMBER(SEARCH("GELINHO ICEBERG",UPPER(TRIM($B151))))),"$AJ$2:$AJ$2",IF(ISNUMBER(SEARCH("ESPUMA",$B151)),"$AI$2:$AI$2",IF(ISNUMBER(SEARCH("CORANTE",$B151)),"$AN$2:$AN$2",IFERROR(INDEX($AB$2:$AB$138,MATCH(UPPER(TRIM($B151)),$AA$2:$AA$138,0)),"$AO$2:$AO$9")))))</formula1>
    </dataValidation>
    <dataValidation type="list" allowBlank="1" errorTitle="Embalagem inválida" error="Escolha uma embalagem compatível com o produto." promptTitle="Selecione a embalagem" prompt="As opções mudam conforme o produto digitado." sqref="C152" xr:uid="{FD272C74-7A49-4047-A635-5769361ECCB0}">
      <formula1>INDIRECT(IF(OR(ISNUMBER(SEARCH("ICEBERG ICE",UPPER(TRIM($B152)))),ISNUMBER(SEARCH("ICE ICEBERG",UPPER(TRIM($B152)))),ISNUMBER(SEARCH("GELINHO ICEBERG",UPPER(TRIM($B152))))),"$AJ$2:$AJ$2",IF(ISNUMBER(SEARCH("ESPUMA",$B152)),"$AI$2:$AI$2",IF(ISNUMBER(SEARCH("CORANTE",$B152)),"$AN$2:$AN$2",IFERROR(INDEX($AB$2:$AB$138,MATCH(UPPER(TRIM($B152)),$AA$2:$AA$138,0)),"$AO$2:$AO$9")))))</formula1>
    </dataValidation>
    <dataValidation type="list" allowBlank="1" errorTitle="Embalagem inválida" error="Escolha uma embalagem compatível com o produto." promptTitle="Selecione a embalagem" prompt="As opções mudam conforme o produto digitado." sqref="C156" xr:uid="{DA19C0D8-7BCC-4CDB-902D-8704A20FEAAF}">
      <formula1>INDIRECT(IF(OR(ISNUMBER(SEARCH("ICEBERG ICE",UPPER(TRIM($B156)))),ISNUMBER(SEARCH("ICE ICEBERG",UPPER(TRIM($B156)))),ISNUMBER(SEARCH("GELINHO ICEBERG",UPPER(TRIM($B156))))),"$AJ$2:$AJ$2",IF(ISNUMBER(SEARCH("ESPUMA",$B156)),"$AI$2:$AI$2",IF(ISNUMBER(SEARCH("CORANTE",$B156)),"$AN$2:$AN$2",IFERROR(INDEX($AB$2:$AB$138,MATCH(UPPER(TRIM($B156)),$AA$2:$AA$138,0)),"$AO$2:$AO$9")))))</formula1>
    </dataValidation>
    <dataValidation type="list" allowBlank="1" errorTitle="Embalagem inválida" error="Escolha uma embalagem compatível com o produto." promptTitle="Selecione a embalagem" prompt="As opções mudam conforme o produto digitado." sqref="C157" xr:uid="{94995807-4B45-4807-A3E2-36C9FA1CDE6A}">
      <formula1>INDIRECT(IF(OR(ISNUMBER(SEARCH("ICEBERG ICE",UPPER(TRIM($B157)))),ISNUMBER(SEARCH("ICE ICEBERG",UPPER(TRIM($B157)))),ISNUMBER(SEARCH("GELINHO ICEBERG",UPPER(TRIM($B157))))),"$AJ$2:$AJ$2",IF(ISNUMBER(SEARCH("ESPUMA",$B157)),"$AI$2:$AI$2",IF(ISNUMBER(SEARCH("CORANTE",$B157)),"$AN$2:$AN$2",IFERROR(INDEX($AB$2:$AB$138,MATCH(UPPER(TRIM($B157)),$AA$2:$AA$138,0)),"$AO$2:$AO$9")))))</formula1>
    </dataValidation>
    <dataValidation type="list" allowBlank="1" errorTitle="Embalagem inválida" error="Escolha uma embalagem compatível com o produto." promptTitle="Selecione a embalagem" prompt="As opções mudam conforme o produto digitado." sqref="C158" xr:uid="{95F710DB-34DD-4173-AB40-AA8683BDFCA9}">
      <formula1>INDIRECT(IF(OR(ISNUMBER(SEARCH("ICEBERG ICE",UPPER(TRIM($B158)))),ISNUMBER(SEARCH("ICE ICEBERG",UPPER(TRIM($B158)))),ISNUMBER(SEARCH("GELINHO ICEBERG",UPPER(TRIM($B158))))),"$AJ$2:$AJ$2",IF(ISNUMBER(SEARCH("ESPUMA",$B158)),"$AI$2:$AI$2",IF(ISNUMBER(SEARCH("CORANTE",$B158)),"$AN$2:$AN$2",IFERROR(INDEX($AB$2:$AB$138,MATCH(UPPER(TRIM($B158)),$AA$2:$AA$138,0)),"$AO$2:$AO$9")))))</formula1>
    </dataValidation>
    <dataValidation type="list" allowBlank="1" errorTitle="Embalagem inválida" error="Escolha uma embalagem compatível com o produto." promptTitle="Selecione a embalagem" prompt="As opções mudam conforme o produto digitado." sqref="C159" xr:uid="{C3F99021-807B-4483-8333-FAE382256B92}">
      <formula1>INDIRECT(IF(OR(ISNUMBER(SEARCH("ICEBERG ICE",UPPER(TRIM($B159)))),ISNUMBER(SEARCH("ICE ICEBERG",UPPER(TRIM($B159)))),ISNUMBER(SEARCH("GELINHO ICEBERG",UPPER(TRIM($B159))))),"$AJ$2:$AJ$2",IF(ISNUMBER(SEARCH("ESPUMA",$B159)),"$AI$2:$AI$2",IF(ISNUMBER(SEARCH("CORANTE",$B159)),"$AN$2:$AN$2",IFERROR(INDEX($AB$2:$AB$138,MATCH(UPPER(TRIM($B159)),$AA$2:$AA$138,0)),"$AO$2:$AO$9")))))</formula1>
    </dataValidation>
    <dataValidation type="list" allowBlank="1" errorTitle="Embalagem inválida" error="Escolha uma embalagem compatível com o produto." promptTitle="Selecione a embalagem" prompt="As opções mudam conforme o produto digitado." sqref="C160" xr:uid="{EC009463-68E9-4B45-A320-D4E3F314122E}">
      <formula1>INDIRECT(IF(OR(ISNUMBER(SEARCH("ICEBERG ICE",UPPER(TRIM($B160)))),ISNUMBER(SEARCH("ICE ICEBERG",UPPER(TRIM($B160)))),ISNUMBER(SEARCH("GELINHO ICEBERG",UPPER(TRIM($B160))))),"$AJ$2:$AJ$2",IF(ISNUMBER(SEARCH("ESPUMA",$B160)),"$AI$2:$AI$2",IF(ISNUMBER(SEARCH("CORANTE",$B160)),"$AN$2:$AN$2",IFERROR(INDEX($AB$2:$AB$138,MATCH(UPPER(TRIM($B160)),$AA$2:$AA$138,0)),"$AO$2:$AO$9")))))</formula1>
    </dataValidation>
    <dataValidation type="list" allowBlank="1" errorTitle="Embalagem inválida" error="Escolha uma embalagem compatível com o produto." promptTitle="Selecione a embalagem" prompt="As opções mudam conforme o produto digitado." sqref="C164" xr:uid="{F8B7E93A-1F27-4517-B2C2-7093DE59BB4E}">
      <formula1>INDIRECT(IF(OR(ISNUMBER(SEARCH("ICEBERG ICE",UPPER(TRIM($B164)))),ISNUMBER(SEARCH("ICE ICEBERG",UPPER(TRIM($B164)))),ISNUMBER(SEARCH("GELINHO ICEBERG",UPPER(TRIM($B164))))),"$AJ$2:$AJ$2",IF(ISNUMBER(SEARCH("ESPUMA",$B164)),"$AI$2:$AI$2",IF(ISNUMBER(SEARCH("CORANTE",$B164)),"$AN$2:$AN$2",IFERROR(INDEX($AB$2:$AB$138,MATCH(UPPER(TRIM($B164)),$AA$2:$AA$138,0)),"$AO$2:$AO$9")))))</formula1>
    </dataValidation>
    <dataValidation type="list" allowBlank="1" errorTitle="Embalagem inválida" error="Escolha uma embalagem compatível com o produto." promptTitle="Selecione a embalagem" prompt="As opções mudam conforme o produto digitado." sqref="C165" xr:uid="{5AE8A2DE-3BCE-4823-BC38-AA4B4A173687}">
      <formula1>INDIRECT(IF(OR(ISNUMBER(SEARCH("ICEBERG ICE",UPPER(TRIM($B165)))),ISNUMBER(SEARCH("ICE ICEBERG",UPPER(TRIM($B165)))),ISNUMBER(SEARCH("GELINHO ICEBERG",UPPER(TRIM($B165))))),"$AJ$2:$AJ$2",IF(ISNUMBER(SEARCH("ESPUMA",$B165)),"$AI$2:$AI$2",IF(ISNUMBER(SEARCH("CORANTE",$B165)),"$AN$2:$AN$2",IFERROR(INDEX($AB$2:$AB$138,MATCH(UPPER(TRIM($B165)),$AA$2:$AA$138,0)),"$AO$2:$AO$9")))))</formula1>
    </dataValidation>
    <dataValidation type="list" allowBlank="1" errorTitle="Embalagem inválida" error="Escolha uma embalagem compatível com o produto." promptTitle="Selecione a embalagem" prompt="As opções mudam conforme o produto digitado." sqref="C166" xr:uid="{D22B9850-3CDA-4DE3-9460-43EF0C405CEC}">
      <formula1>INDIRECT(IF(OR(ISNUMBER(SEARCH("ICEBERG ICE",UPPER(TRIM($B166)))),ISNUMBER(SEARCH("ICE ICEBERG",UPPER(TRIM($B166)))),ISNUMBER(SEARCH("GELINHO ICEBERG",UPPER(TRIM($B166))))),"$AJ$2:$AJ$2",IF(ISNUMBER(SEARCH("ESPUMA",$B166)),"$AI$2:$AI$2",IF(ISNUMBER(SEARCH("CORANTE",$B166)),"$AN$2:$AN$2",IFERROR(INDEX($AB$2:$AB$138,MATCH(UPPER(TRIM($B166)),$AA$2:$AA$138,0)),"$AO$2:$AO$9")))))</formula1>
    </dataValidation>
    <dataValidation type="list" allowBlank="1" errorTitle="Embalagem inválida" error="Escolha uma embalagem compatível com o produto." promptTitle="Selecione a embalagem" prompt="As opções mudam conforme o produto digitado." sqref="C167" xr:uid="{B5183613-A0C3-404B-A84E-86D2B79ED0E4}">
      <formula1>INDIRECT(IF(OR(ISNUMBER(SEARCH("ICEBERG ICE",UPPER(TRIM($B167)))),ISNUMBER(SEARCH("ICE ICEBERG",UPPER(TRIM($B167)))),ISNUMBER(SEARCH("GELINHO ICEBERG",UPPER(TRIM($B167))))),"$AJ$2:$AJ$2",IF(ISNUMBER(SEARCH("ESPUMA",$B167)),"$AI$2:$AI$2",IF(ISNUMBER(SEARCH("CORANTE",$B167)),"$AN$2:$AN$2",IFERROR(INDEX($AB$2:$AB$138,MATCH(UPPER(TRIM($B167)),$AA$2:$AA$138,0)),"$AO$2:$AO$9")))))</formula1>
    </dataValidation>
    <dataValidation type="list" allowBlank="1" errorTitle="Embalagem inválida" error="Escolha uma embalagem compatível com o produto." promptTitle="Selecione a embalagem" prompt="As opções mudam conforme o produto digitado." sqref="C168" xr:uid="{624F316D-7FF0-4ABD-85F0-5489C00D8A1E}">
      <formula1>INDIRECT(IF(OR(ISNUMBER(SEARCH("ICEBERG ICE",UPPER(TRIM($B168)))),ISNUMBER(SEARCH("ICE ICEBERG",UPPER(TRIM($B168)))),ISNUMBER(SEARCH("GELINHO ICEBERG",UPPER(TRIM($B168))))),"$AJ$2:$AJ$2",IF(ISNUMBER(SEARCH("ESPUMA",$B168)),"$AI$2:$AI$2",IF(ISNUMBER(SEARCH("CORANTE",$B168)),"$AN$2:$AN$2",IFERROR(INDEX($AB$2:$AB$138,MATCH(UPPER(TRIM($B168)),$AA$2:$AA$138,0)),"$AO$2:$AO$9")))))</formula1>
    </dataValidation>
    <dataValidation type="list" allowBlank="1" errorTitle="Embalagem inválida" error="Escolha uma embalagem compatível com o produto." promptTitle="Selecione a embalagem" prompt="As opções mudam conforme o produto digitado." sqref="C172" xr:uid="{C22E9208-E8AA-4BAA-B550-F41264DE1EA8}">
      <formula1>INDIRECT(IF(OR(ISNUMBER(SEARCH("ICEBERG ICE",UPPER(TRIM($B172)))),ISNUMBER(SEARCH("ICE ICEBERG",UPPER(TRIM($B172)))),ISNUMBER(SEARCH("GELINHO ICEBERG",UPPER(TRIM($B172))))),"$AJ$2:$AJ$2",IF(ISNUMBER(SEARCH("ESPUMA",$B172)),"$AI$2:$AI$2",IF(ISNUMBER(SEARCH("CORANTE",$B172)),"$AN$2:$AN$2",IFERROR(INDEX($AB$2:$AB$138,MATCH(UPPER(TRIM($B172)),$AA$2:$AA$138,0)),"$AO$2:$AO$9")))))</formula1>
    </dataValidation>
    <dataValidation type="list" allowBlank="1" errorTitle="Embalagem inválida" error="Escolha uma embalagem compatível com o produto." promptTitle="Selecione a embalagem" prompt="As opções mudam conforme o produto digitado." sqref="C173" xr:uid="{0EB36C95-1042-4EF6-A18B-11DA76FC2566}">
      <formula1>INDIRECT(IF(OR(ISNUMBER(SEARCH("ICEBERG ICE",UPPER(TRIM($B173)))),ISNUMBER(SEARCH("ICE ICEBERG",UPPER(TRIM($B173)))),ISNUMBER(SEARCH("GELINHO ICEBERG",UPPER(TRIM($B173))))),"$AJ$2:$AJ$2",IF(ISNUMBER(SEARCH("ESPUMA",$B173)),"$AI$2:$AI$2",IF(ISNUMBER(SEARCH("CORANTE",$B173)),"$AN$2:$AN$2",IFERROR(INDEX($AB$2:$AB$138,MATCH(UPPER(TRIM($B173)),$AA$2:$AA$138,0)),"$AO$2:$AO$9")))))</formula1>
    </dataValidation>
    <dataValidation type="list" allowBlank="1" errorTitle="Embalagem inválida" error="Escolha uma embalagem compatível com o produto." promptTitle="Selecione a embalagem" prompt="As opções mudam conforme o produto digitado." sqref="C174" xr:uid="{F1321C89-5725-42A4-9A14-38FEE5DAEEF2}">
      <formula1>INDIRECT(IF(OR(ISNUMBER(SEARCH("ICEBERG ICE",UPPER(TRIM($B174)))),ISNUMBER(SEARCH("ICE ICEBERG",UPPER(TRIM($B174)))),ISNUMBER(SEARCH("GELINHO ICEBERG",UPPER(TRIM($B174))))),"$AJ$2:$AJ$2",IF(ISNUMBER(SEARCH("ESPUMA",$B174)),"$AI$2:$AI$2",IF(ISNUMBER(SEARCH("CORANTE",$B174)),"$AN$2:$AN$2",IFERROR(INDEX($AB$2:$AB$138,MATCH(UPPER(TRIM($B174)),$AA$2:$AA$138,0)),"$AO$2:$AO$9")))))</formula1>
    </dataValidation>
    <dataValidation type="list" allowBlank="1" errorTitle="Embalagem inválida" error="Escolha uma embalagem compatível com o produto." promptTitle="Selecione a embalagem" prompt="As opções mudam conforme o produto digitado." sqref="C175" xr:uid="{DC78E8E9-00C8-4026-A997-3C71F6329FEA}">
      <formula1>INDIRECT(IF(OR(ISNUMBER(SEARCH("ICEBERG ICE",UPPER(TRIM($B175)))),ISNUMBER(SEARCH("ICE ICEBERG",UPPER(TRIM($B175)))),ISNUMBER(SEARCH("GELINHO ICEBERG",UPPER(TRIM($B175))))),"$AJ$2:$AJ$2",IF(ISNUMBER(SEARCH("ESPUMA",$B175)),"$AI$2:$AI$2",IF(ISNUMBER(SEARCH("CORANTE",$B175)),"$AN$2:$AN$2",IFERROR(INDEX($AB$2:$AB$138,MATCH(UPPER(TRIM($B175)),$AA$2:$AA$138,0)),"$AO$2:$AO$9")))))</formula1>
    </dataValidation>
    <dataValidation type="list" allowBlank="1" errorTitle="Embalagem inválida" error="Escolha uma embalagem compatível com o produto." promptTitle="Selecione a embalagem" prompt="As opções mudam conforme o produto digitado." sqref="C176" xr:uid="{7719CC86-4458-4AED-9AF6-1ACF18D2D00B}">
      <formula1>INDIRECT(IF(OR(ISNUMBER(SEARCH("ICEBERG ICE",UPPER(TRIM($B176)))),ISNUMBER(SEARCH("ICE ICEBERG",UPPER(TRIM($B176)))),ISNUMBER(SEARCH("GELINHO ICEBERG",UPPER(TRIM($B176))))),"$AJ$2:$AJ$2",IF(ISNUMBER(SEARCH("ESPUMA",$B176)),"$AI$2:$AI$2",IF(ISNUMBER(SEARCH("CORANTE",$B176)),"$AN$2:$AN$2",IFERROR(INDEX($AB$2:$AB$138,MATCH(UPPER(TRIM($B176)),$AA$2:$AA$138,0)),"$AO$2:$AO$9")))))</formula1>
    </dataValidation>
    <dataValidation type="list" allowBlank="1" errorTitle="Embalagem inválida" error="Escolha uma embalagem compatível com o produto." promptTitle="Selecione a embalagem" prompt="As opções mudam conforme o produto digitado." sqref="C180" xr:uid="{458666D7-83CC-44CD-A8DB-98F180CAE87A}">
      <formula1>INDIRECT(IF(OR(ISNUMBER(SEARCH("ICEBERG ICE",UPPER(TRIM($B180)))),ISNUMBER(SEARCH("ICE ICEBERG",UPPER(TRIM($B180)))),ISNUMBER(SEARCH("GELINHO ICEBERG",UPPER(TRIM($B180))))),"$AJ$2:$AJ$2",IF(ISNUMBER(SEARCH("ESPUMA",$B180)),"$AI$2:$AI$2",IF(ISNUMBER(SEARCH("CORANTE",$B180)),"$AN$2:$AN$2",IFERROR(INDEX($AB$2:$AB$138,MATCH(UPPER(TRIM($B180)),$AA$2:$AA$138,0)),"$AO$2:$AO$9")))))</formula1>
    </dataValidation>
    <dataValidation type="list" allowBlank="1" errorTitle="Embalagem inválida" error="Escolha uma embalagem compatível com o produto." promptTitle="Selecione a embalagem" prompt="As opções mudam conforme o produto digitado." sqref="C181" xr:uid="{97E836D1-A90A-4E78-9901-118463F764A3}">
      <formula1>INDIRECT(IF(OR(ISNUMBER(SEARCH("ICEBERG ICE",UPPER(TRIM($B181)))),ISNUMBER(SEARCH("ICE ICEBERG",UPPER(TRIM($B181)))),ISNUMBER(SEARCH("GELINHO ICEBERG",UPPER(TRIM($B181))))),"$AJ$2:$AJ$2",IF(ISNUMBER(SEARCH("ESPUMA",$B181)),"$AI$2:$AI$2",IF(ISNUMBER(SEARCH("CORANTE",$B181)),"$AN$2:$AN$2",IFERROR(INDEX($AB$2:$AB$138,MATCH(UPPER(TRIM($B181)),$AA$2:$AA$138,0)),"$AO$2:$AO$9")))))</formula1>
    </dataValidation>
    <dataValidation type="list" allowBlank="1" errorTitle="Embalagem inválida" error="Escolha uma embalagem compatível com o produto." promptTitle="Selecione a embalagem" prompt="As opções mudam conforme o produto digitado." sqref="C182" xr:uid="{8040596B-5B37-49C1-B476-320A56352917}">
      <formula1>INDIRECT(IF(OR(ISNUMBER(SEARCH("ICEBERG ICE",UPPER(TRIM($B182)))),ISNUMBER(SEARCH("ICE ICEBERG",UPPER(TRIM($B182)))),ISNUMBER(SEARCH("GELINHO ICEBERG",UPPER(TRIM($B182))))),"$AJ$2:$AJ$2",IF(ISNUMBER(SEARCH("ESPUMA",$B182)),"$AI$2:$AI$2",IF(ISNUMBER(SEARCH("CORANTE",$B182)),"$AN$2:$AN$2",IFERROR(INDEX($AB$2:$AB$138,MATCH(UPPER(TRIM($B182)),$AA$2:$AA$138,0)),"$AO$2:$AO$9")))))</formula1>
    </dataValidation>
    <dataValidation type="list" allowBlank="1" errorTitle="Embalagem inválida" error="Escolha uma embalagem compatível com o produto." promptTitle="Selecione a embalagem" prompt="As opções mudam conforme o produto digitado." sqref="C183" xr:uid="{6792DDDF-B5E5-4129-82D4-7B9586657FC9}">
      <formula1>INDIRECT(IF(OR(ISNUMBER(SEARCH("ICEBERG ICE",UPPER(TRIM($B183)))),ISNUMBER(SEARCH("ICE ICEBERG",UPPER(TRIM($B183)))),ISNUMBER(SEARCH("GELINHO ICEBERG",UPPER(TRIM($B183))))),"$AJ$2:$AJ$2",IF(ISNUMBER(SEARCH("ESPUMA",$B183)),"$AI$2:$AI$2",IF(ISNUMBER(SEARCH("CORANTE",$B183)),"$AN$2:$AN$2",IFERROR(INDEX($AB$2:$AB$138,MATCH(UPPER(TRIM($B183)),$AA$2:$AA$138,0)),"$AO$2:$AO$9")))))</formula1>
    </dataValidation>
    <dataValidation type="list" allowBlank="1" errorTitle="Embalagem inválida" error="Escolha uma embalagem compatível com o produto." promptTitle="Selecione a embalagem" prompt="As opções mudam conforme o produto digitado." sqref="C184" xr:uid="{ECFC1EC9-D398-4819-A0A9-4558DAB45356}">
      <formula1>INDIRECT(IF(OR(ISNUMBER(SEARCH("ICEBERG ICE",UPPER(TRIM($B184)))),ISNUMBER(SEARCH("ICE ICEBERG",UPPER(TRIM($B184)))),ISNUMBER(SEARCH("GELINHO ICEBERG",UPPER(TRIM($B184))))),"$AJ$2:$AJ$2",IF(ISNUMBER(SEARCH("ESPUMA",$B184)),"$AI$2:$AI$2",IF(ISNUMBER(SEARCH("CORANTE",$B184)),"$AN$2:$AN$2",IFERROR(INDEX($AB$2:$AB$138,MATCH(UPPER(TRIM($B184)),$AA$2:$AA$138,0)),"$AO$2:$AO$9")))))</formula1>
    </dataValidation>
    <dataValidation type="list" allowBlank="1" errorTitle="Embalagem inválida" error="Escolha uma embalagem compatível com o produto." promptTitle="Selecione a embalagem" prompt="As opções mudam conforme o produto digitado." sqref="C188" xr:uid="{3CB6B649-8460-42A2-AB6E-D691F6F42969}">
      <formula1>INDIRECT(IF(OR(ISNUMBER(SEARCH("ICEBERG ICE",UPPER(TRIM($B188)))),ISNUMBER(SEARCH("ICE ICEBERG",UPPER(TRIM($B188)))),ISNUMBER(SEARCH("GELINHO ICEBERG",UPPER(TRIM($B188))))),"$AJ$2:$AJ$2",IF(ISNUMBER(SEARCH("ESPUMA",$B188)),"$AI$2:$AI$2",IF(ISNUMBER(SEARCH("CORANTE",$B188)),"$AN$2:$AN$2",IFERROR(INDEX($AB$2:$AB$138,MATCH(UPPER(TRIM($B188)),$AA$2:$AA$138,0)),"$AO$2:$AO$9")))))</formula1>
    </dataValidation>
    <dataValidation type="list" allowBlank="1" errorTitle="Embalagem inválida" error="Escolha uma embalagem compatível com o produto." promptTitle="Selecione a embalagem" prompt="As opções mudam conforme o produto digitado." sqref="C189" xr:uid="{384D1A34-EDE7-4A65-8B07-49826ACD5B71}">
      <formula1>INDIRECT(IF(OR(ISNUMBER(SEARCH("ICEBERG ICE",UPPER(TRIM($B189)))),ISNUMBER(SEARCH("ICE ICEBERG",UPPER(TRIM($B189)))),ISNUMBER(SEARCH("GELINHO ICEBERG",UPPER(TRIM($B189))))),"$AJ$2:$AJ$2",IF(ISNUMBER(SEARCH("ESPUMA",$B189)),"$AI$2:$AI$2",IF(ISNUMBER(SEARCH("CORANTE",$B189)),"$AN$2:$AN$2",IFERROR(INDEX($AB$2:$AB$138,MATCH(UPPER(TRIM($B189)),$AA$2:$AA$138,0)),"$AO$2:$AO$9")))))</formula1>
    </dataValidation>
    <dataValidation type="list" allowBlank="1" errorTitle="Embalagem inválida" error="Escolha uma embalagem compatível com o produto." promptTitle="Selecione a embalagem" prompt="As opções mudam conforme o produto digitado." sqref="C190" xr:uid="{5BEB2BC1-6ADB-41D6-8128-D4C094A42040}">
      <formula1>INDIRECT(IF(OR(ISNUMBER(SEARCH("ICEBERG ICE",UPPER(TRIM($B190)))),ISNUMBER(SEARCH("ICE ICEBERG",UPPER(TRIM($B190)))),ISNUMBER(SEARCH("GELINHO ICEBERG",UPPER(TRIM($B190))))),"$AJ$2:$AJ$2",IF(ISNUMBER(SEARCH("ESPUMA",$B190)),"$AI$2:$AI$2",IF(ISNUMBER(SEARCH("CORANTE",$B190)),"$AN$2:$AN$2",IFERROR(INDEX($AB$2:$AB$138,MATCH(UPPER(TRIM($B190)),$AA$2:$AA$138,0)),"$AO$2:$AO$9")))))</formula1>
    </dataValidation>
    <dataValidation type="list" allowBlank="1" errorTitle="Embalagem inválida" error="Escolha uma embalagem compatível com o produto." promptTitle="Selecione a embalagem" prompt="As opções mudam conforme o produto digitado." sqref="C191" xr:uid="{4505B556-F4FC-4565-BE5A-C260A819EB54}">
      <formula1>INDIRECT(IF(OR(ISNUMBER(SEARCH("ICEBERG ICE",UPPER(TRIM($B191)))),ISNUMBER(SEARCH("ICE ICEBERG",UPPER(TRIM($B191)))),ISNUMBER(SEARCH("GELINHO ICEBERG",UPPER(TRIM($B191))))),"$AJ$2:$AJ$2",IF(ISNUMBER(SEARCH("ESPUMA",$B191)),"$AI$2:$AI$2",IF(ISNUMBER(SEARCH("CORANTE",$B191)),"$AN$2:$AN$2",IFERROR(INDEX($AB$2:$AB$138,MATCH(UPPER(TRIM($B191)),$AA$2:$AA$138,0)),"$AO$2:$AO$9")))))</formula1>
    </dataValidation>
    <dataValidation type="list" allowBlank="1" errorTitle="Embalagem inválida" error="Escolha uma embalagem compatível com o produto." promptTitle="Selecione a embalagem" prompt="As opções mudam conforme o produto digitado." sqref="C192" xr:uid="{3435659C-6A1F-4C1B-AC00-3D1F71CB6109}">
      <formula1>INDIRECT(IF(OR(ISNUMBER(SEARCH("ICEBERG ICE",UPPER(TRIM($B192)))),ISNUMBER(SEARCH("ICE ICEBERG",UPPER(TRIM($B192)))),ISNUMBER(SEARCH("GELINHO ICEBERG",UPPER(TRIM($B192))))),"$AJ$2:$AJ$2",IF(ISNUMBER(SEARCH("ESPUMA",$B192)),"$AI$2:$AI$2",IF(ISNUMBER(SEARCH("CORANTE",$B192)),"$AN$2:$AN$2",IFERROR(INDEX($AB$2:$AB$138,MATCH(UPPER(TRIM($B192)),$AA$2:$AA$138,0)),"$AO$2:$AO$9")))))</formula1>
    </dataValidation>
    <dataValidation type="list" allowBlank="1" errorTitle="Embalagem inválida" error="Escolha uma embalagem compatível com o produto." promptTitle="Selecione a embalagem" prompt="As opções mudam conforme o produto digitado." sqref="C196" xr:uid="{06777351-8099-4CEB-85B5-6C67EFB0DE79}">
      <formula1>INDIRECT(IF(OR(ISNUMBER(SEARCH("ICEBERG ICE",UPPER(TRIM($B196)))),ISNUMBER(SEARCH("ICE ICEBERG",UPPER(TRIM($B196)))),ISNUMBER(SEARCH("GELINHO ICEBERG",UPPER(TRIM($B196))))),"$AJ$2:$AJ$2",IF(ISNUMBER(SEARCH("ESPUMA",$B196)),"$AI$2:$AI$2",IF(ISNUMBER(SEARCH("CORANTE",$B196)),"$AN$2:$AN$2",IFERROR(INDEX($AB$2:$AB$138,MATCH(UPPER(TRIM($B196)),$AA$2:$AA$138,0)),"$AO$2:$AO$9")))))</formula1>
    </dataValidation>
    <dataValidation type="list" allowBlank="1" errorTitle="Embalagem inválida" error="Escolha uma embalagem compatível com o produto." promptTitle="Selecione a embalagem" prompt="As opções mudam conforme o produto digitado." sqref="C197" xr:uid="{EDD8CCC3-2F0C-4325-B8F4-B6E953C08CE8}">
      <formula1>INDIRECT(IF(OR(ISNUMBER(SEARCH("ICEBERG ICE",UPPER(TRIM($B197)))),ISNUMBER(SEARCH("ICE ICEBERG",UPPER(TRIM($B197)))),ISNUMBER(SEARCH("GELINHO ICEBERG",UPPER(TRIM($B197))))),"$AJ$2:$AJ$2",IF(ISNUMBER(SEARCH("ESPUMA",$B197)),"$AI$2:$AI$2",IF(ISNUMBER(SEARCH("CORANTE",$B197)),"$AN$2:$AN$2",IFERROR(INDEX($AB$2:$AB$138,MATCH(UPPER(TRIM($B197)),$AA$2:$AA$138,0)),"$AO$2:$AO$9")))))</formula1>
    </dataValidation>
    <dataValidation type="list" allowBlank="1" errorTitle="Embalagem inválida" error="Escolha uma embalagem compatível com o produto." promptTitle="Selecione a embalagem" prompt="As opções mudam conforme o produto digitado." sqref="C198" xr:uid="{CD1AFDC6-D7BC-43A3-A4E4-077E5C210625}">
      <formula1>INDIRECT(IF(OR(ISNUMBER(SEARCH("ICEBERG ICE",UPPER(TRIM($B198)))),ISNUMBER(SEARCH("ICE ICEBERG",UPPER(TRIM($B198)))),ISNUMBER(SEARCH("GELINHO ICEBERG",UPPER(TRIM($B198))))),"$AJ$2:$AJ$2",IF(ISNUMBER(SEARCH("ESPUMA",$B198)),"$AI$2:$AI$2",IF(ISNUMBER(SEARCH("CORANTE",$B198)),"$AN$2:$AN$2",IFERROR(INDEX($AB$2:$AB$138,MATCH(UPPER(TRIM($B198)),$AA$2:$AA$138,0)),"$AO$2:$AO$9")))))</formula1>
    </dataValidation>
    <dataValidation type="list" allowBlank="1" errorTitle="Embalagem inválida" error="Escolha uma embalagem compatível com o produto." promptTitle="Selecione a embalagem" prompt="As opções mudam conforme o produto digitado." sqref="C199" xr:uid="{3029151D-BB5F-48E5-8625-AF84C95B2E85}">
      <formula1>INDIRECT(IF(OR(ISNUMBER(SEARCH("ICEBERG ICE",UPPER(TRIM($B199)))),ISNUMBER(SEARCH("ICE ICEBERG",UPPER(TRIM($B199)))),ISNUMBER(SEARCH("GELINHO ICEBERG",UPPER(TRIM($B199))))),"$AJ$2:$AJ$2",IF(ISNUMBER(SEARCH("ESPUMA",$B199)),"$AI$2:$AI$2",IF(ISNUMBER(SEARCH("CORANTE",$B199)),"$AN$2:$AN$2",IFERROR(INDEX($AB$2:$AB$138,MATCH(UPPER(TRIM($B199)),$AA$2:$AA$138,0)),"$AO$2:$AO$9")))))</formula1>
    </dataValidation>
    <dataValidation type="list" allowBlank="1" errorTitle="Embalagem inválida" error="Escolha uma embalagem compatível com o produto." promptTitle="Selecione a embalagem" prompt="As opções mudam conforme o produto digitado." sqref="C200" xr:uid="{0A1BFA36-47DB-48B3-B4E0-FA8EEA2594DC}">
      <formula1>INDIRECT(IF(OR(ISNUMBER(SEARCH("ICEBERG ICE",UPPER(TRIM($B200)))),ISNUMBER(SEARCH("ICE ICEBERG",UPPER(TRIM($B200)))),ISNUMBER(SEARCH("GELINHO ICEBERG",UPPER(TRIM($B200))))),"$AJ$2:$AJ$2",IF(ISNUMBER(SEARCH("ESPUMA",$B200)),"$AI$2:$AI$2",IF(ISNUMBER(SEARCH("CORANTE",$B200)),"$AN$2:$AN$2",IFERROR(INDEX($AB$2:$AB$138,MATCH(UPPER(TRIM($B200)),$AA$2:$AA$138,0)),"$AO$2:$AO$9")))))</formula1>
    </dataValidation>
    <dataValidation type="list" allowBlank="1" errorTitle="Embalagem inválida" error="Escolha uma embalagem compatível com o produto." promptTitle="Selecione a embalagem" prompt="As opções mudam conforme o produto digitado." sqref="C204" xr:uid="{297597C5-BE92-4752-A704-B45D6F0B9250}">
      <formula1>INDIRECT(IF(OR(ISNUMBER(SEARCH("ICEBERG ICE",UPPER(TRIM($B204)))),ISNUMBER(SEARCH("ICE ICEBERG",UPPER(TRIM($B204)))),ISNUMBER(SEARCH("GELINHO ICEBERG",UPPER(TRIM($B204))))),"$AJ$2:$AJ$2",IF(ISNUMBER(SEARCH("ESPUMA",$B204)),"$AI$2:$AI$2",IF(ISNUMBER(SEARCH("CORANTE",$B204)),"$AN$2:$AN$2",IFERROR(INDEX($AB$2:$AB$138,MATCH(UPPER(TRIM($B204)),$AA$2:$AA$138,0)),"$AO$2:$AO$9")))))</formula1>
    </dataValidation>
    <dataValidation type="list" allowBlank="1" errorTitle="Embalagem inválida" error="Escolha uma embalagem compatível com o produto." promptTitle="Selecione a embalagem" prompt="As opções mudam conforme o produto digitado." sqref="C205" xr:uid="{764E3164-0C43-48CA-B81F-97891E27EF96}">
      <formula1>INDIRECT(IF(OR(ISNUMBER(SEARCH("ICEBERG ICE",UPPER(TRIM($B205)))),ISNUMBER(SEARCH("ICE ICEBERG",UPPER(TRIM($B205)))),ISNUMBER(SEARCH("GELINHO ICEBERG",UPPER(TRIM($B205))))),"$AJ$2:$AJ$2",IF(ISNUMBER(SEARCH("ESPUMA",$B205)),"$AI$2:$AI$2",IF(ISNUMBER(SEARCH("CORANTE",$B205)),"$AN$2:$AN$2",IFERROR(INDEX($AB$2:$AB$138,MATCH(UPPER(TRIM($B205)),$AA$2:$AA$138,0)),"$AO$2:$AO$9")))))</formula1>
    </dataValidation>
    <dataValidation type="list" allowBlank="1" errorTitle="Embalagem inválida" error="Escolha uma embalagem compatível com o produto." promptTitle="Selecione a embalagem" prompt="As opções mudam conforme o produto digitado." sqref="C206" xr:uid="{365591AF-BA22-4E2D-BFCB-786BCCC4E89B}">
      <formula1>INDIRECT(IF(OR(ISNUMBER(SEARCH("ICEBERG ICE",UPPER(TRIM($B206)))),ISNUMBER(SEARCH("ICE ICEBERG",UPPER(TRIM($B206)))),ISNUMBER(SEARCH("GELINHO ICEBERG",UPPER(TRIM($B206))))),"$AJ$2:$AJ$2",IF(ISNUMBER(SEARCH("ESPUMA",$B206)),"$AI$2:$AI$2",IF(ISNUMBER(SEARCH("CORANTE",$B206)),"$AN$2:$AN$2",IFERROR(INDEX($AB$2:$AB$138,MATCH(UPPER(TRIM($B206)),$AA$2:$AA$138,0)),"$AO$2:$AO$9")))))</formula1>
    </dataValidation>
    <dataValidation type="list" allowBlank="1" errorTitle="Embalagem inválida" error="Escolha uma embalagem compatível com o produto." promptTitle="Selecione a embalagem" prompt="As opções mudam conforme o produto digitado." sqref="C207" xr:uid="{10E07F8C-F06E-48ED-BBED-E683A7619B76}">
      <formula1>INDIRECT(IF(OR(ISNUMBER(SEARCH("ICEBERG ICE",UPPER(TRIM($B207)))),ISNUMBER(SEARCH("ICE ICEBERG",UPPER(TRIM($B207)))),ISNUMBER(SEARCH("GELINHO ICEBERG",UPPER(TRIM($B207))))),"$AJ$2:$AJ$2",IF(ISNUMBER(SEARCH("ESPUMA",$B207)),"$AI$2:$AI$2",IF(ISNUMBER(SEARCH("CORANTE",$B207)),"$AN$2:$AN$2",IFERROR(INDEX($AB$2:$AB$138,MATCH(UPPER(TRIM($B207)),$AA$2:$AA$138,0)),"$AO$2:$AO$9")))))</formula1>
    </dataValidation>
    <dataValidation type="list" allowBlank="1" errorTitle="Embalagem inválida" error="Escolha uma embalagem compatível com o produto." promptTitle="Selecione a embalagem" prompt="As opções mudam conforme o produto digitado." sqref="C208" xr:uid="{5C48D3DA-0FEC-4514-BF9E-6EC44E3D6796}">
      <formula1>INDIRECT(IF(OR(ISNUMBER(SEARCH("ICEBERG ICE",UPPER(TRIM($B208)))),ISNUMBER(SEARCH("ICE ICEBERG",UPPER(TRIM($B208)))),ISNUMBER(SEARCH("GELINHO ICEBERG",UPPER(TRIM($B208))))),"$AJ$2:$AJ$2",IF(ISNUMBER(SEARCH("ESPUMA",$B208)),"$AI$2:$AI$2",IF(ISNUMBER(SEARCH("CORANTE",$B208)),"$AN$2:$AN$2",IFERROR(INDEX($AB$2:$AB$138,MATCH(UPPER(TRIM($B208)),$AA$2:$AA$138,0)),"$AO$2:$AO$9")))))</formula1>
    </dataValidation>
    <dataValidation type="list" allowBlank="1" errorTitle="Embalagem inválida" error="Escolha uma embalagem compatível com o produto." promptTitle="Selecione a embalagem" prompt="As opções mudam conforme o produto digitado." sqref="C212" xr:uid="{4A16C03E-6AC2-4450-A59D-D0DFDE7A2F68}">
      <formula1>INDIRECT(IF(OR(ISNUMBER(SEARCH("ICEBERG ICE",UPPER(TRIM($B212)))),ISNUMBER(SEARCH("ICE ICEBERG",UPPER(TRIM($B212)))),ISNUMBER(SEARCH("GELINHO ICEBERG",UPPER(TRIM($B212))))),"$AJ$2:$AJ$2",IF(ISNUMBER(SEARCH("ESPUMA",$B212)),"$AI$2:$AI$2",IF(ISNUMBER(SEARCH("CORANTE",$B212)),"$AN$2:$AN$2",IFERROR(INDEX($AB$2:$AB$138,MATCH(UPPER(TRIM($B212)),$AA$2:$AA$138,0)),"$AO$2:$AO$9")))))</formula1>
    </dataValidation>
    <dataValidation type="list" allowBlank="1" errorTitle="Embalagem inválida" error="Escolha uma embalagem compatível com o produto." promptTitle="Selecione a embalagem" prompt="As opções mudam conforme o produto digitado." sqref="C213" xr:uid="{620781EC-0047-4E09-94DC-A72C6E7CC168}">
      <formula1>INDIRECT(IF(OR(ISNUMBER(SEARCH("ICEBERG ICE",UPPER(TRIM($B213)))),ISNUMBER(SEARCH("ICE ICEBERG",UPPER(TRIM($B213)))),ISNUMBER(SEARCH("GELINHO ICEBERG",UPPER(TRIM($B213))))),"$AJ$2:$AJ$2",IF(ISNUMBER(SEARCH("ESPUMA",$B213)),"$AI$2:$AI$2",IF(ISNUMBER(SEARCH("CORANTE",$B213)),"$AN$2:$AN$2",IFERROR(INDEX($AB$2:$AB$138,MATCH(UPPER(TRIM($B213)),$AA$2:$AA$138,0)),"$AO$2:$AO$9")))))</formula1>
    </dataValidation>
    <dataValidation type="list" allowBlank="1" errorTitle="Embalagem inválida" error="Escolha uma embalagem compatível com o produto." promptTitle="Selecione a embalagem" prompt="As opções mudam conforme o produto digitado." sqref="C214" xr:uid="{F25DB71C-3E14-4107-BBB7-9B8DD74DAC58}">
      <formula1>INDIRECT(IF(OR(ISNUMBER(SEARCH("ICEBERG ICE",UPPER(TRIM($B214)))),ISNUMBER(SEARCH("ICE ICEBERG",UPPER(TRIM($B214)))),ISNUMBER(SEARCH("GELINHO ICEBERG",UPPER(TRIM($B214))))),"$AJ$2:$AJ$2",IF(ISNUMBER(SEARCH("ESPUMA",$B214)),"$AI$2:$AI$2",IF(ISNUMBER(SEARCH("CORANTE",$B214)),"$AN$2:$AN$2",IFERROR(INDEX($AB$2:$AB$138,MATCH(UPPER(TRIM($B214)),$AA$2:$AA$138,0)),"$AO$2:$AO$9")))))</formula1>
    </dataValidation>
    <dataValidation type="list" allowBlank="1" errorTitle="Embalagem inválida" error="Escolha uma embalagem compatível com o produto." promptTitle="Selecione a embalagem" prompt="As opções mudam conforme o produto digitado." sqref="C215" xr:uid="{BA41B6BF-F82A-49F0-AA62-0AC9279BC1FE}">
      <formula1>INDIRECT(IF(OR(ISNUMBER(SEARCH("ICEBERG ICE",UPPER(TRIM($B215)))),ISNUMBER(SEARCH("ICE ICEBERG",UPPER(TRIM($B215)))),ISNUMBER(SEARCH("GELINHO ICEBERG",UPPER(TRIM($B215))))),"$AJ$2:$AJ$2",IF(ISNUMBER(SEARCH("ESPUMA",$B215)),"$AI$2:$AI$2",IF(ISNUMBER(SEARCH("CORANTE",$B215)),"$AN$2:$AN$2",IFERROR(INDEX($AB$2:$AB$138,MATCH(UPPER(TRIM($B215)),$AA$2:$AA$138,0)),"$AO$2:$AO$9")))))</formula1>
    </dataValidation>
    <dataValidation type="list" allowBlank="1" errorTitle="Embalagem inválida" error="Escolha uma embalagem compatível com o produto." promptTitle="Selecione a embalagem" prompt="As opções mudam conforme o produto digitado." sqref="C216" xr:uid="{E7990DE1-6689-4785-B975-7A55170B7D4A}">
      <formula1>INDIRECT(IF(OR(ISNUMBER(SEARCH("ICEBERG ICE",UPPER(TRIM($B216)))),ISNUMBER(SEARCH("ICE ICEBERG",UPPER(TRIM($B216)))),ISNUMBER(SEARCH("GELINHO ICEBERG",UPPER(TRIM($B216))))),"$AJ$2:$AJ$2",IF(ISNUMBER(SEARCH("ESPUMA",$B216)),"$AI$2:$AI$2",IF(ISNUMBER(SEARCH("CORANTE",$B216)),"$AN$2:$AN$2",IFERROR(INDEX($AB$2:$AB$138,MATCH(UPPER(TRIM($B216)),$AA$2:$AA$138,0)),"$AO$2:$AO$9")))))</formula1>
    </dataValidation>
  </dataValidations>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ADC8-2A3F-4F90-9DC4-D7C1C5A6362A}">
  <sheetPr>
    <tabColor rgb="FF0F766E"/>
  </sheetPr>
  <dimension ref="A1:Y59"/>
  <sheetViews>
    <sheetView showGridLines="0" topLeftCell="A3" zoomScale="90" zoomScaleNormal="90" workbookViewId="0">
      <selection activeCell="A127" sqref="A127:D127"/>
    </sheetView>
  </sheetViews>
  <sheetFormatPr defaultColWidth="8.5546875" defaultRowHeight="14.4" x14ac:dyDescent="0.3"/>
  <cols>
    <col min="1" max="1" width="12" style="62" customWidth="1"/>
    <col min="2" max="2" width="15" style="1" customWidth="1"/>
    <col min="3" max="3" width="14" style="1" customWidth="1"/>
    <col min="4" max="4" width="13.5546875" style="1" customWidth="1"/>
    <col min="5" max="5" width="12" style="1" customWidth="1"/>
    <col min="6" max="6" width="50" style="1" customWidth="1"/>
    <col min="7" max="7" width="4" style="1" customWidth="1"/>
    <col min="8" max="8" width="14" style="1" customWidth="1"/>
    <col min="9" max="9" width="4" style="1" customWidth="1"/>
    <col min="10" max="10" width="13.5546875" style="1" customWidth="1"/>
    <col min="11" max="11" width="12" style="1" customWidth="1"/>
    <col min="12" max="12" width="18" style="1" customWidth="1"/>
    <col min="13" max="13" width="13" style="1" customWidth="1"/>
    <col min="14" max="15" width="8.5546875" style="1"/>
    <col min="16" max="19" width="0" style="1" hidden="1" customWidth="1"/>
    <col min="20" max="23" width="8.5546875" style="1"/>
    <col min="24" max="25" width="13" style="1" hidden="1" customWidth="1"/>
    <col min="26" max="16384" width="8.5546875" style="1"/>
  </cols>
  <sheetData>
    <row r="1" spans="1:25" ht="19.5" customHeight="1" x14ac:dyDescent="0.3">
      <c r="A1" s="655" t="s">
        <v>624</v>
      </c>
      <c r="B1" s="655"/>
      <c r="C1" s="655"/>
      <c r="D1" s="655"/>
      <c r="E1" s="655"/>
      <c r="F1" s="655"/>
      <c r="G1" s="430"/>
      <c r="H1" s="430"/>
      <c r="I1" s="430"/>
      <c r="J1" s="430"/>
      <c r="K1" s="424"/>
      <c r="L1" s="424"/>
      <c r="M1" s="424"/>
      <c r="N1" s="424"/>
      <c r="O1" s="424"/>
    </row>
    <row r="2" spans="1:25" ht="14.55" customHeight="1" x14ac:dyDescent="0.3">
      <c r="A2" s="425"/>
      <c r="B2" s="424"/>
      <c r="C2" s="424"/>
      <c r="D2" s="424"/>
      <c r="E2" s="424"/>
      <c r="F2" s="424"/>
      <c r="G2" s="424"/>
      <c r="H2" s="424"/>
      <c r="I2" s="424"/>
      <c r="J2" s="424"/>
      <c r="K2" s="424"/>
      <c r="L2" s="424"/>
      <c r="M2" s="424"/>
      <c r="N2" s="424"/>
      <c r="O2" s="424"/>
    </row>
    <row r="3" spans="1:25" ht="14.25" customHeight="1" x14ac:dyDescent="0.3">
      <c r="A3" s="425"/>
      <c r="B3" s="431" t="s">
        <v>200</v>
      </c>
      <c r="C3" s="424"/>
      <c r="D3" s="431" t="s">
        <v>201</v>
      </c>
      <c r="E3" s="424"/>
      <c r="F3" s="432" t="s">
        <v>202</v>
      </c>
      <c r="G3" s="424"/>
      <c r="H3" s="431" t="s">
        <v>203</v>
      </c>
      <c r="I3" s="424"/>
      <c r="J3" s="433" t="s">
        <v>204</v>
      </c>
      <c r="K3" s="434" t="s">
        <v>205</v>
      </c>
      <c r="L3" s="434" t="s">
        <v>206</v>
      </c>
      <c r="M3" s="424"/>
      <c r="N3" s="424"/>
      <c r="O3" s="424"/>
    </row>
    <row r="4" spans="1:25" ht="15.75" customHeight="1" x14ac:dyDescent="0.3">
      <c r="A4" s="425"/>
      <c r="B4" s="435">
        <f>SUM(C9:C35)</f>
        <v>0</v>
      </c>
      <c r="C4" s="424"/>
      <c r="D4" s="435">
        <f>SUM(D9:D35)</f>
        <v>0</v>
      </c>
      <c r="E4" s="424"/>
      <c r="F4" s="435">
        <f>IFERROR(SUM(C9:C35)/COUNTIF(C9:C35,"&gt;0"),0)</f>
        <v>0</v>
      </c>
      <c r="G4" s="424"/>
      <c r="H4" s="435">
        <f>IFERROR(MAX(C9:C35),0)</f>
        <v>0</v>
      </c>
      <c r="I4" s="424"/>
      <c r="J4" s="436">
        <f>IFERROR(B4/D4,0)</f>
        <v>0</v>
      </c>
      <c r="K4" s="418" t="s">
        <v>207</v>
      </c>
      <c r="L4" s="419" t="s">
        <v>208</v>
      </c>
      <c r="M4" s="424"/>
      <c r="N4" s="424"/>
      <c r="O4" s="424"/>
    </row>
    <row r="5" spans="1:25" ht="15" customHeight="1" x14ac:dyDescent="0.3">
      <c r="A5" s="425"/>
      <c r="B5" s="424"/>
      <c r="C5" s="424"/>
      <c r="D5" s="424"/>
      <c r="E5" s="424"/>
      <c r="F5" s="424"/>
      <c r="G5" s="424"/>
      <c r="H5" s="424"/>
      <c r="I5" s="424"/>
      <c r="J5" s="424"/>
      <c r="K5" s="420" t="s">
        <v>209</v>
      </c>
      <c r="L5" s="421" t="s">
        <v>210</v>
      </c>
      <c r="M5" s="424"/>
      <c r="N5" s="424"/>
      <c r="O5" s="424"/>
    </row>
    <row r="6" spans="1:25" ht="15" customHeight="1" x14ac:dyDescent="0.3">
      <c r="A6" s="425"/>
      <c r="B6" s="424"/>
      <c r="C6" s="424"/>
      <c r="D6" s="424"/>
      <c r="E6" s="424"/>
      <c r="F6" s="424"/>
      <c r="G6" s="424"/>
      <c r="H6" s="424"/>
      <c r="I6" s="424"/>
      <c r="J6" s="424"/>
      <c r="K6" s="422" t="s">
        <v>211</v>
      </c>
      <c r="L6" s="423" t="s">
        <v>212</v>
      </c>
      <c r="M6" s="424"/>
      <c r="N6" s="424"/>
      <c r="O6" s="424"/>
    </row>
    <row r="7" spans="1:25" ht="14.55" customHeight="1" x14ac:dyDescent="0.3">
      <c r="A7" s="425"/>
      <c r="B7" s="424"/>
      <c r="C7" s="424"/>
      <c r="D7" s="424"/>
      <c r="E7" s="424"/>
      <c r="F7" s="424"/>
      <c r="G7" s="424"/>
      <c r="H7" s="424"/>
      <c r="I7" s="424"/>
      <c r="J7" s="424"/>
      <c r="K7" s="424"/>
      <c r="L7" s="424"/>
      <c r="M7" s="424"/>
      <c r="N7" s="424"/>
      <c r="O7" s="424"/>
    </row>
    <row r="8" spans="1:25" ht="14.25" customHeight="1" x14ac:dyDescent="0.3">
      <c r="A8" s="437" t="s">
        <v>213</v>
      </c>
      <c r="B8" s="454" t="s">
        <v>214</v>
      </c>
      <c r="C8" s="438" t="s">
        <v>215</v>
      </c>
      <c r="D8" s="438" t="s">
        <v>216</v>
      </c>
      <c r="E8" s="438" t="s">
        <v>217</v>
      </c>
      <c r="F8" s="438" t="s">
        <v>218</v>
      </c>
      <c r="G8" s="424"/>
      <c r="H8" s="424"/>
      <c r="I8" s="424"/>
      <c r="J8" s="424"/>
      <c r="K8" s="424"/>
      <c r="L8" s="424"/>
      <c r="M8" s="424"/>
      <c r="N8" s="424"/>
      <c r="O8" s="424"/>
      <c r="P8" s="1" t="s">
        <v>1273</v>
      </c>
      <c r="Q8" s="1" t="s">
        <v>210</v>
      </c>
      <c r="R8" s="1" t="s">
        <v>212</v>
      </c>
      <c r="S8" s="1" t="s">
        <v>208</v>
      </c>
      <c r="X8" s="1" t="s">
        <v>219</v>
      </c>
      <c r="Y8" s="1" t="s">
        <v>220</v>
      </c>
    </row>
    <row r="9" spans="1:25" x14ac:dyDescent="0.3">
      <c r="A9" s="412">
        <v>46357</v>
      </c>
      <c r="B9" s="414" t="str">
        <f>IF(D9&gt;0,COUNTIF($D$9:D9,"&gt;0"),"")</f>
        <v/>
      </c>
      <c r="C9" s="888">
        <f>'SEMANA DEZEMBRO'!$M$9</f>
        <v>0</v>
      </c>
      <c r="D9" s="888">
        <f>IF(C9&gt;0,CONFIG!$B$3,0)</f>
        <v>0</v>
      </c>
      <c r="E9" s="889">
        <f t="shared" ref="E9:E35" si="0">IF(C9&gt;0,C9-D9,0)</f>
        <v>0</v>
      </c>
      <c r="F9" s="444"/>
      <c r="G9" s="424"/>
      <c r="H9" s="424"/>
      <c r="I9" s="424"/>
      <c r="J9" s="424"/>
      <c r="K9" s="424"/>
      <c r="L9" s="424"/>
      <c r="M9" s="424"/>
      <c r="N9" s="424"/>
      <c r="O9" s="424"/>
      <c r="P9" s="93" t="str">
        <f t="shared" ref="P9:P35" si="1">B9</f>
        <v/>
      </c>
      <c r="Q9" s="1" t="e">
        <f t="shared" ref="Q9:Q35" si="2">IF(AND($C9&gt;0,$C9&lt;$D9),$C9,NA())</f>
        <v>#N/A</v>
      </c>
      <c r="R9" s="1" t="e">
        <f t="shared" ref="R9:R35" si="3">IF(AND($C9&gt;0,$C9=$D9),$C9,NA())</f>
        <v>#N/A</v>
      </c>
      <c r="S9" s="1" t="e">
        <f t="shared" ref="S9:S35" si="4">IF(AND($C9&gt;0,$C9&gt;$D9),$C9,NA())</f>
        <v>#N/A</v>
      </c>
      <c r="X9" s="63">
        <f t="shared" ref="X9:X31" si="5">IF(COUNTIF($F9,"*Feriado*")&gt;0,NA(),$C9)</f>
        <v>0</v>
      </c>
      <c r="Y9" s="63">
        <f t="shared" ref="Y9:Y31" si="6">IF(COUNTIF($F9,"*Feriado*")&gt;0,NA(),$D9)</f>
        <v>0</v>
      </c>
    </row>
    <row r="10" spans="1:25" x14ac:dyDescent="0.3">
      <c r="A10" s="412">
        <v>46358</v>
      </c>
      <c r="B10" s="414" t="str">
        <f>IF(D10&gt;0,COUNTIF($D$9:D10,"&gt;0"),"")</f>
        <v/>
      </c>
      <c r="C10" s="888">
        <f>'SEMANA DEZEMBRO'!$M$17</f>
        <v>0</v>
      </c>
      <c r="D10" s="888">
        <f>IF(C10&gt;0,CONFIG!$B$3,0)</f>
        <v>0</v>
      </c>
      <c r="E10" s="889">
        <f t="shared" si="0"/>
        <v>0</v>
      </c>
      <c r="F10" s="444"/>
      <c r="G10" s="424"/>
      <c r="H10" s="424"/>
      <c r="I10" s="424"/>
      <c r="J10" s="424"/>
      <c r="K10" s="424"/>
      <c r="L10" s="424"/>
      <c r="M10" s="424"/>
      <c r="N10" s="424"/>
      <c r="O10" s="424"/>
      <c r="P10" s="93" t="str">
        <f t="shared" si="1"/>
        <v/>
      </c>
      <c r="Q10" s="1" t="e">
        <f t="shared" si="2"/>
        <v>#N/A</v>
      </c>
      <c r="R10" s="1" t="e">
        <f t="shared" si="3"/>
        <v>#N/A</v>
      </c>
      <c r="S10" s="1" t="e">
        <f t="shared" si="4"/>
        <v>#N/A</v>
      </c>
      <c r="X10" s="63">
        <f t="shared" si="5"/>
        <v>0</v>
      </c>
      <c r="Y10" s="63">
        <f t="shared" si="6"/>
        <v>0</v>
      </c>
    </row>
    <row r="11" spans="1:25" x14ac:dyDescent="0.3">
      <c r="A11" s="412">
        <v>46359</v>
      </c>
      <c r="B11" s="414" t="str">
        <f>IF(D11&gt;0,COUNTIF($D$9:D11,"&gt;0"),"")</f>
        <v/>
      </c>
      <c r="C11" s="888">
        <f>'SEMANA DEZEMBRO'!$M$25</f>
        <v>0</v>
      </c>
      <c r="D11" s="888">
        <f>IF(C11&gt;0,CONFIG!$B$3,0)</f>
        <v>0</v>
      </c>
      <c r="E11" s="889">
        <f t="shared" si="0"/>
        <v>0</v>
      </c>
      <c r="F11" s="444"/>
      <c r="G11" s="424"/>
      <c r="H11" s="424"/>
      <c r="I11" s="424"/>
      <c r="J11" s="424"/>
      <c r="K11" s="424"/>
      <c r="L11" s="424"/>
      <c r="M11" s="424"/>
      <c r="N11" s="424"/>
      <c r="O11" s="424"/>
      <c r="P11" s="93" t="str">
        <f t="shared" si="1"/>
        <v/>
      </c>
      <c r="Q11" s="1" t="e">
        <f t="shared" si="2"/>
        <v>#N/A</v>
      </c>
      <c r="R11" s="1" t="e">
        <f t="shared" si="3"/>
        <v>#N/A</v>
      </c>
      <c r="S11" s="1" t="e">
        <f t="shared" si="4"/>
        <v>#N/A</v>
      </c>
      <c r="X11" s="63">
        <f t="shared" si="5"/>
        <v>0</v>
      </c>
      <c r="Y11" s="63">
        <f t="shared" si="6"/>
        <v>0</v>
      </c>
    </row>
    <row r="12" spans="1:25" x14ac:dyDescent="0.3">
      <c r="A12" s="412">
        <v>46360</v>
      </c>
      <c r="B12" s="414" t="str">
        <f>IF(D12&gt;0,COUNTIF($D$9:D12,"&gt;0"),"")</f>
        <v/>
      </c>
      <c r="C12" s="888">
        <f>'SEMANA DEZEMBRO'!$M$33</f>
        <v>0</v>
      </c>
      <c r="D12" s="888">
        <f>IF(C12&gt;0,CONFIG!$B$3,0)</f>
        <v>0</v>
      </c>
      <c r="E12" s="889">
        <f t="shared" si="0"/>
        <v>0</v>
      </c>
      <c r="F12" s="444"/>
      <c r="G12" s="424"/>
      <c r="H12" s="424"/>
      <c r="I12" s="424"/>
      <c r="J12" s="424"/>
      <c r="K12" s="424"/>
      <c r="L12" s="424"/>
      <c r="M12" s="424"/>
      <c r="N12" s="424"/>
      <c r="O12" s="424"/>
      <c r="P12" s="93" t="str">
        <f t="shared" si="1"/>
        <v/>
      </c>
      <c r="Q12" s="1" t="e">
        <f t="shared" si="2"/>
        <v>#N/A</v>
      </c>
      <c r="R12" s="1" t="e">
        <f t="shared" si="3"/>
        <v>#N/A</v>
      </c>
      <c r="S12" s="1" t="e">
        <f t="shared" si="4"/>
        <v>#N/A</v>
      </c>
      <c r="X12" s="63">
        <f t="shared" si="5"/>
        <v>0</v>
      </c>
      <c r="Y12" s="63">
        <f t="shared" si="6"/>
        <v>0</v>
      </c>
    </row>
    <row r="13" spans="1:25" x14ac:dyDescent="0.3">
      <c r="A13" s="412">
        <v>46361</v>
      </c>
      <c r="B13" s="414" t="str">
        <f>IF(D13&gt;0,COUNTIF($D$9:D13,"&gt;0"),"")</f>
        <v/>
      </c>
      <c r="C13" s="888">
        <f>'SEMANA DEZEMBRO'!$M$41</f>
        <v>0</v>
      </c>
      <c r="D13" s="888">
        <f>IF(C13&gt;0,CONFIG!$B$3,0)</f>
        <v>0</v>
      </c>
      <c r="E13" s="889">
        <f t="shared" si="0"/>
        <v>0</v>
      </c>
      <c r="F13" s="459" t="s">
        <v>512</v>
      </c>
      <c r="G13" s="424"/>
      <c r="H13" s="424"/>
      <c r="I13" s="424"/>
      <c r="J13" s="424"/>
      <c r="K13" s="424"/>
      <c r="L13" s="424"/>
      <c r="M13" s="424"/>
      <c r="N13" s="424"/>
      <c r="O13" s="424"/>
      <c r="P13" s="93" t="str">
        <f t="shared" si="1"/>
        <v/>
      </c>
      <c r="Q13" s="1" t="e">
        <f t="shared" si="2"/>
        <v>#N/A</v>
      </c>
      <c r="R13" s="1" t="e">
        <f t="shared" si="3"/>
        <v>#N/A</v>
      </c>
      <c r="S13" s="1" t="e">
        <f t="shared" si="4"/>
        <v>#N/A</v>
      </c>
      <c r="X13" s="63">
        <f t="shared" si="5"/>
        <v>0</v>
      </c>
      <c r="Y13" s="63">
        <f t="shared" si="6"/>
        <v>0</v>
      </c>
    </row>
    <row r="14" spans="1:25" x14ac:dyDescent="0.3">
      <c r="A14" s="412">
        <v>46363</v>
      </c>
      <c r="B14" s="414" t="str">
        <f>IF(D14&gt;0,COUNTIF($D$9:D14,"&gt;0"),"")</f>
        <v/>
      </c>
      <c r="C14" s="888">
        <f>'SEMANA DEZEMBRO'!$M$49</f>
        <v>0</v>
      </c>
      <c r="D14" s="888">
        <f>IF(C14&gt;0,CONFIG!$B$3,0)</f>
        <v>0</v>
      </c>
      <c r="E14" s="889">
        <f t="shared" si="0"/>
        <v>0</v>
      </c>
      <c r="F14" s="444"/>
      <c r="G14" s="424"/>
      <c r="H14" s="424"/>
      <c r="I14" s="424"/>
      <c r="J14" s="424"/>
      <c r="K14" s="424"/>
      <c r="L14" s="424"/>
      <c r="M14" s="424"/>
      <c r="N14" s="424"/>
      <c r="O14" s="424"/>
      <c r="P14" s="93" t="str">
        <f t="shared" si="1"/>
        <v/>
      </c>
      <c r="Q14" s="1" t="e">
        <f t="shared" si="2"/>
        <v>#N/A</v>
      </c>
      <c r="R14" s="1" t="e">
        <f t="shared" si="3"/>
        <v>#N/A</v>
      </c>
      <c r="S14" s="1" t="e">
        <f t="shared" si="4"/>
        <v>#N/A</v>
      </c>
      <c r="X14" s="63">
        <f t="shared" si="5"/>
        <v>0</v>
      </c>
      <c r="Y14" s="63">
        <f t="shared" si="6"/>
        <v>0</v>
      </c>
    </row>
    <row r="15" spans="1:25" x14ac:dyDescent="0.3">
      <c r="A15" s="412">
        <v>46364</v>
      </c>
      <c r="B15" s="414" t="str">
        <f>IF(D15&gt;0,COUNTIF($D$9:D15,"&gt;0"),"")</f>
        <v/>
      </c>
      <c r="C15" s="888">
        <f>'SEMANA DEZEMBRO'!$M$57</f>
        <v>0</v>
      </c>
      <c r="D15" s="888">
        <f>IF(C15&gt;0,CONFIG!$B$3,0)</f>
        <v>0</v>
      </c>
      <c r="E15" s="889">
        <f t="shared" si="0"/>
        <v>0</v>
      </c>
      <c r="F15" s="444"/>
      <c r="G15" s="424"/>
      <c r="H15" s="424"/>
      <c r="I15" s="424"/>
      <c r="J15" s="424"/>
      <c r="K15" s="424"/>
      <c r="L15" s="424"/>
      <c r="M15" s="424"/>
      <c r="N15" s="424"/>
      <c r="O15" s="424"/>
      <c r="P15" s="93" t="str">
        <f t="shared" si="1"/>
        <v/>
      </c>
      <c r="Q15" s="1" t="e">
        <f t="shared" si="2"/>
        <v>#N/A</v>
      </c>
      <c r="R15" s="1" t="e">
        <f t="shared" si="3"/>
        <v>#N/A</v>
      </c>
      <c r="S15" s="1" t="e">
        <f t="shared" si="4"/>
        <v>#N/A</v>
      </c>
      <c r="X15" s="63">
        <f t="shared" si="5"/>
        <v>0</v>
      </c>
      <c r="Y15" s="63">
        <f t="shared" si="6"/>
        <v>0</v>
      </c>
    </row>
    <row r="16" spans="1:25" x14ac:dyDescent="0.3">
      <c r="A16" s="412">
        <v>46365</v>
      </c>
      <c r="B16" s="414" t="str">
        <f>IF(D16&gt;0,COUNTIF($D$9:D16,"&gt;0"),"")</f>
        <v/>
      </c>
      <c r="C16" s="888">
        <f>'SEMANA DEZEMBRO'!$M$65</f>
        <v>0</v>
      </c>
      <c r="D16" s="888">
        <f>IF(C16&gt;0,CONFIG!$B$3,0)</f>
        <v>0</v>
      </c>
      <c r="E16" s="889">
        <f t="shared" si="0"/>
        <v>0</v>
      </c>
      <c r="F16" s="444"/>
      <c r="G16" s="424"/>
      <c r="H16" s="424"/>
      <c r="I16" s="424"/>
      <c r="J16" s="424"/>
      <c r="K16" s="424"/>
      <c r="L16" s="424"/>
      <c r="M16" s="424"/>
      <c r="N16" s="424"/>
      <c r="O16" s="424"/>
      <c r="P16" s="93" t="str">
        <f t="shared" si="1"/>
        <v/>
      </c>
      <c r="Q16" s="1" t="e">
        <f t="shared" si="2"/>
        <v>#N/A</v>
      </c>
      <c r="R16" s="1" t="e">
        <f t="shared" si="3"/>
        <v>#N/A</v>
      </c>
      <c r="S16" s="1" t="e">
        <f t="shared" si="4"/>
        <v>#N/A</v>
      </c>
      <c r="X16" s="63">
        <f t="shared" si="5"/>
        <v>0</v>
      </c>
      <c r="Y16" s="63">
        <f t="shared" si="6"/>
        <v>0</v>
      </c>
    </row>
    <row r="17" spans="1:25" x14ac:dyDescent="0.3">
      <c r="A17" s="412">
        <v>46366</v>
      </c>
      <c r="B17" s="414" t="str">
        <f>IF(D17&gt;0,COUNTIF($D$9:D17,"&gt;0"),"")</f>
        <v/>
      </c>
      <c r="C17" s="888">
        <f>'SEMANA DEZEMBRO'!$M$73</f>
        <v>0</v>
      </c>
      <c r="D17" s="888">
        <f>IF(C17&gt;0,CONFIG!$B$3,0)</f>
        <v>0</v>
      </c>
      <c r="E17" s="889">
        <f t="shared" si="0"/>
        <v>0</v>
      </c>
      <c r="F17" s="444"/>
      <c r="G17" s="424"/>
      <c r="H17" s="424"/>
      <c r="I17" s="424"/>
      <c r="J17" s="424"/>
      <c r="K17" s="424"/>
      <c r="L17" s="424"/>
      <c r="M17" s="424"/>
      <c r="N17" s="424"/>
      <c r="O17" s="424"/>
      <c r="P17" s="93" t="str">
        <f t="shared" si="1"/>
        <v/>
      </c>
      <c r="Q17" s="1" t="e">
        <f t="shared" si="2"/>
        <v>#N/A</v>
      </c>
      <c r="R17" s="1" t="e">
        <f t="shared" si="3"/>
        <v>#N/A</v>
      </c>
      <c r="S17" s="1" t="e">
        <f t="shared" si="4"/>
        <v>#N/A</v>
      </c>
      <c r="X17" s="63">
        <f t="shared" si="5"/>
        <v>0</v>
      </c>
      <c r="Y17" s="63">
        <f t="shared" si="6"/>
        <v>0</v>
      </c>
    </row>
    <row r="18" spans="1:25" x14ac:dyDescent="0.3">
      <c r="A18" s="412">
        <v>46367</v>
      </c>
      <c r="B18" s="414" t="str">
        <f>IF(D18&gt;0,COUNTIF($D$9:D18,"&gt;0"),"")</f>
        <v/>
      </c>
      <c r="C18" s="888">
        <f>'SEMANA DEZEMBRO'!$M$81</f>
        <v>0</v>
      </c>
      <c r="D18" s="888">
        <f>IF(C18&gt;0,CONFIG!$B$3,0)</f>
        <v>0</v>
      </c>
      <c r="E18" s="889">
        <f t="shared" si="0"/>
        <v>0</v>
      </c>
      <c r="F18" s="444"/>
      <c r="G18" s="424"/>
      <c r="H18" s="424"/>
      <c r="I18" s="424"/>
      <c r="J18" s="424"/>
      <c r="K18" s="424"/>
      <c r="L18" s="424"/>
      <c r="M18" s="424"/>
      <c r="N18" s="424"/>
      <c r="O18" s="424"/>
      <c r="P18" s="93" t="str">
        <f t="shared" si="1"/>
        <v/>
      </c>
      <c r="Q18" s="1" t="e">
        <f t="shared" si="2"/>
        <v>#N/A</v>
      </c>
      <c r="R18" s="1" t="e">
        <f t="shared" si="3"/>
        <v>#N/A</v>
      </c>
      <c r="S18" s="1" t="e">
        <f t="shared" si="4"/>
        <v>#N/A</v>
      </c>
      <c r="X18" s="63">
        <f t="shared" si="5"/>
        <v>0</v>
      </c>
      <c r="Y18" s="63">
        <f t="shared" si="6"/>
        <v>0</v>
      </c>
    </row>
    <row r="19" spans="1:25" x14ac:dyDescent="0.3">
      <c r="A19" s="412">
        <v>46368</v>
      </c>
      <c r="B19" s="414" t="str">
        <f>IF(D19&gt;0,COUNTIF($D$9:D19,"&gt;0"),"")</f>
        <v/>
      </c>
      <c r="C19" s="888">
        <f>'SEMANA DEZEMBRO'!$M$89</f>
        <v>0</v>
      </c>
      <c r="D19" s="888">
        <f>IF(C19&gt;0,CONFIG!$B$3,0)</f>
        <v>0</v>
      </c>
      <c r="E19" s="889">
        <f t="shared" si="0"/>
        <v>0</v>
      </c>
      <c r="F19" s="459" t="s">
        <v>512</v>
      </c>
      <c r="G19" s="424"/>
      <c r="H19" s="424"/>
      <c r="I19" s="424"/>
      <c r="J19" s="424"/>
      <c r="K19" s="424"/>
      <c r="L19" s="424"/>
      <c r="M19" s="424"/>
      <c r="N19" s="424"/>
      <c r="O19" s="424"/>
      <c r="P19" s="93" t="str">
        <f t="shared" si="1"/>
        <v/>
      </c>
      <c r="Q19" s="1" t="e">
        <f t="shared" si="2"/>
        <v>#N/A</v>
      </c>
      <c r="R19" s="1" t="e">
        <f t="shared" si="3"/>
        <v>#N/A</v>
      </c>
      <c r="S19" s="1" t="e">
        <f t="shared" si="4"/>
        <v>#N/A</v>
      </c>
      <c r="X19" s="63">
        <f t="shared" si="5"/>
        <v>0</v>
      </c>
      <c r="Y19" s="63">
        <f t="shared" si="6"/>
        <v>0</v>
      </c>
    </row>
    <row r="20" spans="1:25" x14ac:dyDescent="0.3">
      <c r="A20" s="412">
        <v>46370</v>
      </c>
      <c r="B20" s="414" t="str">
        <f>IF(D20&gt;0,COUNTIF($D$9:D20,"&gt;0"),"")</f>
        <v/>
      </c>
      <c r="C20" s="888">
        <f>'SEMANA DEZEMBRO'!$M$97</f>
        <v>0</v>
      </c>
      <c r="D20" s="888">
        <f>IF(C20&gt;0,CONFIG!$B$3,0)</f>
        <v>0</v>
      </c>
      <c r="E20" s="889">
        <f t="shared" si="0"/>
        <v>0</v>
      </c>
      <c r="F20" s="444"/>
      <c r="G20" s="424"/>
      <c r="H20" s="424"/>
      <c r="I20" s="424"/>
      <c r="J20" s="424"/>
      <c r="K20" s="424"/>
      <c r="L20" s="424"/>
      <c r="M20" s="424"/>
      <c r="N20" s="424"/>
      <c r="O20" s="424"/>
      <c r="P20" s="93" t="str">
        <f t="shared" si="1"/>
        <v/>
      </c>
      <c r="Q20" s="1" t="e">
        <f t="shared" si="2"/>
        <v>#N/A</v>
      </c>
      <c r="R20" s="1" t="e">
        <f t="shared" si="3"/>
        <v>#N/A</v>
      </c>
      <c r="S20" s="1" t="e">
        <f t="shared" si="4"/>
        <v>#N/A</v>
      </c>
      <c r="X20" s="63">
        <f t="shared" si="5"/>
        <v>0</v>
      </c>
      <c r="Y20" s="63">
        <f t="shared" si="6"/>
        <v>0</v>
      </c>
    </row>
    <row r="21" spans="1:25" x14ac:dyDescent="0.3">
      <c r="A21" s="412">
        <v>46371</v>
      </c>
      <c r="B21" s="414" t="str">
        <f>IF(D21&gt;0,COUNTIF($D$9:D21,"&gt;0"),"")</f>
        <v/>
      </c>
      <c r="C21" s="888">
        <f>'SEMANA DEZEMBRO'!$M$105</f>
        <v>0</v>
      </c>
      <c r="D21" s="888">
        <f>IF(C21&gt;0,CONFIG!$B$3,0)</f>
        <v>0</v>
      </c>
      <c r="E21" s="889">
        <f t="shared" si="0"/>
        <v>0</v>
      </c>
      <c r="F21" s="444"/>
      <c r="G21" s="424"/>
      <c r="H21" s="424"/>
      <c r="I21" s="424"/>
      <c r="J21" s="424"/>
      <c r="K21" s="424"/>
      <c r="L21" s="424"/>
      <c r="M21" s="424"/>
      <c r="N21" s="424"/>
      <c r="O21" s="424"/>
      <c r="P21" s="93" t="str">
        <f t="shared" si="1"/>
        <v/>
      </c>
      <c r="Q21" s="1" t="e">
        <f t="shared" si="2"/>
        <v>#N/A</v>
      </c>
      <c r="R21" s="1" t="e">
        <f t="shared" si="3"/>
        <v>#N/A</v>
      </c>
      <c r="S21" s="1" t="e">
        <f t="shared" si="4"/>
        <v>#N/A</v>
      </c>
      <c r="X21" s="63">
        <f t="shared" si="5"/>
        <v>0</v>
      </c>
      <c r="Y21" s="63">
        <f t="shared" si="6"/>
        <v>0</v>
      </c>
    </row>
    <row r="22" spans="1:25" x14ac:dyDescent="0.3">
      <c r="A22" s="412">
        <v>46372</v>
      </c>
      <c r="B22" s="414" t="str">
        <f>IF(D22&gt;0,COUNTIF($D$9:D22,"&gt;0"),"")</f>
        <v/>
      </c>
      <c r="C22" s="888">
        <f>'SEMANA DEZEMBRO'!$M$113</f>
        <v>0</v>
      </c>
      <c r="D22" s="888">
        <f>IF(C22&gt;0,CONFIG!$B$3,0)</f>
        <v>0</v>
      </c>
      <c r="E22" s="889">
        <f t="shared" si="0"/>
        <v>0</v>
      </c>
      <c r="F22" s="444"/>
      <c r="G22" s="424"/>
      <c r="H22" s="424"/>
      <c r="I22" s="424"/>
      <c r="J22" s="424"/>
      <c r="K22" s="424"/>
      <c r="L22" s="424"/>
      <c r="M22" s="424"/>
      <c r="N22" s="424"/>
      <c r="O22" s="424"/>
      <c r="P22" s="93" t="str">
        <f t="shared" si="1"/>
        <v/>
      </c>
      <c r="Q22" s="1" t="e">
        <f t="shared" si="2"/>
        <v>#N/A</v>
      </c>
      <c r="R22" s="1" t="e">
        <f t="shared" si="3"/>
        <v>#N/A</v>
      </c>
      <c r="S22" s="1" t="e">
        <f t="shared" si="4"/>
        <v>#N/A</v>
      </c>
      <c r="X22" s="63">
        <f t="shared" si="5"/>
        <v>0</v>
      </c>
      <c r="Y22" s="63">
        <f t="shared" si="6"/>
        <v>0</v>
      </c>
    </row>
    <row r="23" spans="1:25" x14ac:dyDescent="0.3">
      <c r="A23" s="412">
        <v>46373</v>
      </c>
      <c r="B23" s="414" t="str">
        <f>IF(D23&gt;0,COUNTIF($D$9:D23,"&gt;0"),"")</f>
        <v/>
      </c>
      <c r="C23" s="888">
        <f>'SEMANA DEZEMBRO'!$M$121</f>
        <v>0</v>
      </c>
      <c r="D23" s="888">
        <f>IF(C23&gt;0,CONFIG!$B$3,0)</f>
        <v>0</v>
      </c>
      <c r="E23" s="889">
        <f t="shared" si="0"/>
        <v>0</v>
      </c>
      <c r="F23" s="444"/>
      <c r="G23" s="424"/>
      <c r="H23" s="424"/>
      <c r="I23" s="424"/>
      <c r="J23" s="424"/>
      <c r="K23" s="424"/>
      <c r="L23" s="424"/>
      <c r="M23" s="424"/>
      <c r="N23" s="424"/>
      <c r="O23" s="424"/>
      <c r="P23" s="93" t="str">
        <f t="shared" si="1"/>
        <v/>
      </c>
      <c r="Q23" s="1" t="e">
        <f t="shared" si="2"/>
        <v>#N/A</v>
      </c>
      <c r="R23" s="1" t="e">
        <f t="shared" si="3"/>
        <v>#N/A</v>
      </c>
      <c r="S23" s="1" t="e">
        <f t="shared" si="4"/>
        <v>#N/A</v>
      </c>
      <c r="X23" s="63">
        <f t="shared" si="5"/>
        <v>0</v>
      </c>
      <c r="Y23" s="63">
        <f t="shared" si="6"/>
        <v>0</v>
      </c>
    </row>
    <row r="24" spans="1:25" x14ac:dyDescent="0.3">
      <c r="A24" s="412">
        <v>46374</v>
      </c>
      <c r="B24" s="414" t="str">
        <f>IF(D24&gt;0,COUNTIF($D$9:D24,"&gt;0"),"")</f>
        <v/>
      </c>
      <c r="C24" s="888">
        <f>'SEMANA DEZEMBRO'!$M$129</f>
        <v>0</v>
      </c>
      <c r="D24" s="888">
        <f>IF(C24&gt;0,CONFIG!$B$3,0)</f>
        <v>0</v>
      </c>
      <c r="E24" s="889">
        <f t="shared" si="0"/>
        <v>0</v>
      </c>
      <c r="F24" s="444"/>
      <c r="G24" s="424"/>
      <c r="H24" s="424"/>
      <c r="I24" s="424"/>
      <c r="J24" s="424"/>
      <c r="K24" s="424"/>
      <c r="L24" s="424"/>
      <c r="M24" s="424"/>
      <c r="N24" s="424"/>
      <c r="O24" s="424"/>
      <c r="P24" s="93" t="str">
        <f t="shared" si="1"/>
        <v/>
      </c>
      <c r="Q24" s="1" t="e">
        <f t="shared" si="2"/>
        <v>#N/A</v>
      </c>
      <c r="R24" s="1" t="e">
        <f t="shared" si="3"/>
        <v>#N/A</v>
      </c>
      <c r="S24" s="1" t="e">
        <f t="shared" si="4"/>
        <v>#N/A</v>
      </c>
      <c r="X24" s="63">
        <f t="shared" si="5"/>
        <v>0</v>
      </c>
      <c r="Y24" s="63">
        <f t="shared" si="6"/>
        <v>0</v>
      </c>
    </row>
    <row r="25" spans="1:25" x14ac:dyDescent="0.3">
      <c r="A25" s="412">
        <v>46375</v>
      </c>
      <c r="B25" s="414" t="str">
        <f>IF(D25&gt;0,COUNTIF($D$9:D25,"&gt;0"),"")</f>
        <v/>
      </c>
      <c r="C25" s="888">
        <f>'SEMANA DEZEMBRO'!$M$137</f>
        <v>0</v>
      </c>
      <c r="D25" s="888">
        <f>IF(C25&gt;0,CONFIG!$B$3,0)</f>
        <v>0</v>
      </c>
      <c r="E25" s="889">
        <f t="shared" si="0"/>
        <v>0</v>
      </c>
      <c r="F25" s="459" t="s">
        <v>512</v>
      </c>
      <c r="G25" s="424"/>
      <c r="H25" s="424"/>
      <c r="I25" s="424"/>
      <c r="J25" s="424"/>
      <c r="K25" s="424"/>
      <c r="L25" s="424"/>
      <c r="M25" s="424"/>
      <c r="N25" s="424"/>
      <c r="O25" s="424"/>
      <c r="P25" s="93" t="str">
        <f t="shared" si="1"/>
        <v/>
      </c>
      <c r="Q25" s="1" t="e">
        <f t="shared" si="2"/>
        <v>#N/A</v>
      </c>
      <c r="R25" s="1" t="e">
        <f t="shared" si="3"/>
        <v>#N/A</v>
      </c>
      <c r="S25" s="1" t="e">
        <f t="shared" si="4"/>
        <v>#N/A</v>
      </c>
      <c r="X25" s="63">
        <f t="shared" si="5"/>
        <v>0</v>
      </c>
      <c r="Y25" s="63">
        <f t="shared" si="6"/>
        <v>0</v>
      </c>
    </row>
    <row r="26" spans="1:25" x14ac:dyDescent="0.3">
      <c r="A26" s="412">
        <v>46377</v>
      </c>
      <c r="B26" s="414" t="str">
        <f>IF(D26&gt;0,COUNTIF($D$9:D26,"&gt;0"),"")</f>
        <v/>
      </c>
      <c r="C26" s="888">
        <f>'SEMANA DEZEMBRO'!$M$145</f>
        <v>0</v>
      </c>
      <c r="D26" s="888">
        <f>IF(C26&gt;0,CONFIG!$B$3,0)</f>
        <v>0</v>
      </c>
      <c r="E26" s="889">
        <f t="shared" si="0"/>
        <v>0</v>
      </c>
      <c r="F26" s="444"/>
      <c r="G26" s="424"/>
      <c r="H26" s="424"/>
      <c r="I26" s="424"/>
      <c r="J26" s="424"/>
      <c r="K26" s="424"/>
      <c r="L26" s="424"/>
      <c r="M26" s="424"/>
      <c r="N26" s="424"/>
      <c r="O26" s="424"/>
      <c r="P26" s="93" t="str">
        <f t="shared" si="1"/>
        <v/>
      </c>
      <c r="Q26" s="1" t="e">
        <f t="shared" si="2"/>
        <v>#N/A</v>
      </c>
      <c r="R26" s="1" t="e">
        <f t="shared" si="3"/>
        <v>#N/A</v>
      </c>
      <c r="S26" s="1" t="e">
        <f t="shared" si="4"/>
        <v>#N/A</v>
      </c>
      <c r="X26" s="63">
        <f t="shared" si="5"/>
        <v>0</v>
      </c>
      <c r="Y26" s="63">
        <f t="shared" si="6"/>
        <v>0</v>
      </c>
    </row>
    <row r="27" spans="1:25" x14ac:dyDescent="0.3">
      <c r="A27" s="412">
        <v>46378</v>
      </c>
      <c r="B27" s="414" t="str">
        <f>IF(D27&gt;0,COUNTIF($D$9:D27,"&gt;0"),"")</f>
        <v/>
      </c>
      <c r="C27" s="888">
        <f>'SEMANA DEZEMBRO'!$M$153</f>
        <v>0</v>
      </c>
      <c r="D27" s="888">
        <f>IF(C27&gt;0,CONFIG!$B$3,0)</f>
        <v>0</v>
      </c>
      <c r="E27" s="889">
        <f t="shared" si="0"/>
        <v>0</v>
      </c>
      <c r="F27" s="444"/>
      <c r="G27" s="424"/>
      <c r="H27" s="424"/>
      <c r="I27" s="424"/>
      <c r="J27" s="424"/>
      <c r="K27" s="424"/>
      <c r="L27" s="424"/>
      <c r="M27" s="424"/>
      <c r="N27" s="424"/>
      <c r="O27" s="424"/>
      <c r="P27" s="93" t="str">
        <f t="shared" si="1"/>
        <v/>
      </c>
      <c r="Q27" s="1" t="e">
        <f t="shared" si="2"/>
        <v>#N/A</v>
      </c>
      <c r="R27" s="1" t="e">
        <f t="shared" si="3"/>
        <v>#N/A</v>
      </c>
      <c r="S27" s="1" t="e">
        <f t="shared" si="4"/>
        <v>#N/A</v>
      </c>
      <c r="X27" s="63">
        <f t="shared" si="5"/>
        <v>0</v>
      </c>
      <c r="Y27" s="63">
        <f t="shared" si="6"/>
        <v>0</v>
      </c>
    </row>
    <row r="28" spans="1:25" x14ac:dyDescent="0.3">
      <c r="A28" s="412">
        <v>46379</v>
      </c>
      <c r="B28" s="414" t="str">
        <f>IF(D28&gt;0,COUNTIF($D$9:D28,"&gt;0"),"")</f>
        <v/>
      </c>
      <c r="C28" s="888">
        <f>'SEMANA DEZEMBRO'!$M$161</f>
        <v>0</v>
      </c>
      <c r="D28" s="888">
        <f>IF(C28&gt;0,CONFIG!$B$3,0)</f>
        <v>0</v>
      </c>
      <c r="E28" s="889">
        <f t="shared" si="0"/>
        <v>0</v>
      </c>
      <c r="F28" s="444"/>
      <c r="G28" s="424"/>
      <c r="H28" s="424"/>
      <c r="I28" s="424"/>
      <c r="J28" s="424"/>
      <c r="K28" s="424"/>
      <c r="L28" s="424"/>
      <c r="M28" s="424"/>
      <c r="N28" s="424"/>
      <c r="O28" s="424"/>
      <c r="P28" s="93" t="str">
        <f t="shared" si="1"/>
        <v/>
      </c>
      <c r="Q28" s="1" t="e">
        <f t="shared" si="2"/>
        <v>#N/A</v>
      </c>
      <c r="R28" s="1" t="e">
        <f t="shared" si="3"/>
        <v>#N/A</v>
      </c>
      <c r="S28" s="1" t="e">
        <f t="shared" si="4"/>
        <v>#N/A</v>
      </c>
      <c r="X28" s="63">
        <f t="shared" si="5"/>
        <v>0</v>
      </c>
      <c r="Y28" s="63">
        <f t="shared" si="6"/>
        <v>0</v>
      </c>
    </row>
    <row r="29" spans="1:25" x14ac:dyDescent="0.3">
      <c r="A29" s="412">
        <v>46380</v>
      </c>
      <c r="B29" s="414" t="str">
        <f>IF(D29&gt;0,COUNTIF($D$9:D29,"&gt;0"),"")</f>
        <v/>
      </c>
      <c r="C29" s="888">
        <f>'SEMANA DEZEMBRO'!$M$169</f>
        <v>0</v>
      </c>
      <c r="D29" s="888">
        <f>IF(C29&gt;0,CONFIG!$B$3,0)</f>
        <v>0</v>
      </c>
      <c r="E29" s="889">
        <f t="shared" si="0"/>
        <v>0</v>
      </c>
      <c r="F29" s="444"/>
      <c r="G29" s="424"/>
      <c r="H29" s="424"/>
      <c r="I29" s="424"/>
      <c r="J29" s="424"/>
      <c r="K29" s="424"/>
      <c r="L29" s="424"/>
      <c r="M29" s="424"/>
      <c r="N29" s="424"/>
      <c r="O29" s="424"/>
      <c r="P29" s="93" t="str">
        <f t="shared" si="1"/>
        <v/>
      </c>
      <c r="Q29" s="1" t="e">
        <f t="shared" si="2"/>
        <v>#N/A</v>
      </c>
      <c r="R29" s="1" t="e">
        <f t="shared" si="3"/>
        <v>#N/A</v>
      </c>
      <c r="S29" s="1" t="e">
        <f t="shared" si="4"/>
        <v>#N/A</v>
      </c>
      <c r="X29" s="63">
        <f t="shared" si="5"/>
        <v>0</v>
      </c>
      <c r="Y29" s="63">
        <f t="shared" si="6"/>
        <v>0</v>
      </c>
    </row>
    <row r="30" spans="1:25" x14ac:dyDescent="0.3">
      <c r="A30" s="412">
        <v>46381</v>
      </c>
      <c r="B30" s="414" t="str">
        <f>IF(D30&gt;0,COUNTIF($D$9:D30,"&gt;0"),"")</f>
        <v/>
      </c>
      <c r="C30" s="888">
        <f>'SEMANA DEZEMBRO'!$M$177</f>
        <v>0</v>
      </c>
      <c r="D30" s="888">
        <f>IF(C30&gt;0,CONFIG!$B$3,0)</f>
        <v>0</v>
      </c>
      <c r="E30" s="889">
        <f t="shared" si="0"/>
        <v>0</v>
      </c>
      <c r="F30" s="459" t="s">
        <v>625</v>
      </c>
      <c r="G30" s="424"/>
      <c r="H30" s="424"/>
      <c r="I30" s="424"/>
      <c r="J30" s="424"/>
      <c r="K30" s="424"/>
      <c r="L30" s="424"/>
      <c r="M30" s="424"/>
      <c r="N30" s="424"/>
      <c r="O30" s="424"/>
      <c r="P30" s="93" t="str">
        <f t="shared" si="1"/>
        <v/>
      </c>
      <c r="Q30" s="1" t="e">
        <f t="shared" si="2"/>
        <v>#N/A</v>
      </c>
      <c r="R30" s="1" t="e">
        <f t="shared" si="3"/>
        <v>#N/A</v>
      </c>
      <c r="S30" s="1" t="e">
        <f t="shared" si="4"/>
        <v>#N/A</v>
      </c>
      <c r="X30" s="63" t="e">
        <f t="shared" si="5"/>
        <v>#N/A</v>
      </c>
      <c r="Y30" s="63" t="e">
        <f t="shared" si="6"/>
        <v>#N/A</v>
      </c>
    </row>
    <row r="31" spans="1:25" x14ac:dyDescent="0.3">
      <c r="A31" s="412">
        <v>46382</v>
      </c>
      <c r="B31" s="414" t="str">
        <f>IF(D31&gt;0,COUNTIF($D$9:D31,"&gt;0"),"")</f>
        <v/>
      </c>
      <c r="C31" s="888">
        <f>'SEMANA DEZEMBRO'!$M$185</f>
        <v>0</v>
      </c>
      <c r="D31" s="888">
        <f>IF(C31&gt;0,CONFIG!$B$3,0)</f>
        <v>0</v>
      </c>
      <c r="E31" s="889">
        <f t="shared" si="0"/>
        <v>0</v>
      </c>
      <c r="F31" s="459" t="s">
        <v>512</v>
      </c>
      <c r="G31" s="424"/>
      <c r="H31" s="424"/>
      <c r="I31" s="424"/>
      <c r="J31" s="424"/>
      <c r="K31" s="424"/>
      <c r="L31" s="424"/>
      <c r="M31" s="424"/>
      <c r="N31" s="424"/>
      <c r="O31" s="424"/>
      <c r="P31" s="93" t="str">
        <f t="shared" si="1"/>
        <v/>
      </c>
      <c r="Q31" s="1" t="e">
        <f t="shared" si="2"/>
        <v>#N/A</v>
      </c>
      <c r="R31" s="1" t="e">
        <f t="shared" si="3"/>
        <v>#N/A</v>
      </c>
      <c r="S31" s="1" t="e">
        <f t="shared" si="4"/>
        <v>#N/A</v>
      </c>
      <c r="X31" s="63">
        <f t="shared" si="5"/>
        <v>0</v>
      </c>
      <c r="Y31" s="63">
        <f t="shared" si="6"/>
        <v>0</v>
      </c>
    </row>
    <row r="32" spans="1:25" x14ac:dyDescent="0.3">
      <c r="A32" s="412">
        <v>46384</v>
      </c>
      <c r="B32" s="414" t="str">
        <f>IF(D32&gt;0,COUNTIF($D$9:D32,"&gt;0"),"")</f>
        <v/>
      </c>
      <c r="C32" s="888">
        <f>'SEMANA DEZEMBRO'!$M$193</f>
        <v>0</v>
      </c>
      <c r="D32" s="888">
        <f>IF(C32&gt;0,CONFIG!$B$3,0)</f>
        <v>0</v>
      </c>
      <c r="E32" s="889">
        <f t="shared" si="0"/>
        <v>0</v>
      </c>
      <c r="F32" s="444"/>
      <c r="G32" s="424"/>
      <c r="H32" s="424"/>
      <c r="I32" s="424"/>
      <c r="J32" s="424"/>
      <c r="K32" s="424"/>
      <c r="L32" s="424"/>
      <c r="M32" s="424"/>
      <c r="N32" s="424"/>
      <c r="O32" s="424"/>
      <c r="P32" s="93" t="str">
        <f t="shared" si="1"/>
        <v/>
      </c>
      <c r="Q32" s="1" t="e">
        <f t="shared" si="2"/>
        <v>#N/A</v>
      </c>
      <c r="R32" s="1" t="e">
        <f t="shared" si="3"/>
        <v>#N/A</v>
      </c>
      <c r="S32" s="1" t="e">
        <f t="shared" si="4"/>
        <v>#N/A</v>
      </c>
    </row>
    <row r="33" spans="1:19" x14ac:dyDescent="0.3">
      <c r="A33" s="412">
        <v>46385</v>
      </c>
      <c r="B33" s="414" t="str">
        <f>IF(D33&gt;0,COUNTIF($D$9:D33,"&gt;0"),"")</f>
        <v/>
      </c>
      <c r="C33" s="888">
        <f>'SEMANA DEZEMBRO'!$M$201</f>
        <v>0</v>
      </c>
      <c r="D33" s="888">
        <f>IF(C33&gt;0,CONFIG!$B$3,0)</f>
        <v>0</v>
      </c>
      <c r="E33" s="889">
        <f t="shared" si="0"/>
        <v>0</v>
      </c>
      <c r="F33" s="444"/>
      <c r="G33" s="424"/>
      <c r="H33" s="424"/>
      <c r="I33" s="424"/>
      <c r="J33" s="424"/>
      <c r="K33" s="424"/>
      <c r="L33" s="424"/>
      <c r="M33" s="424"/>
      <c r="N33" s="424"/>
      <c r="O33" s="424"/>
      <c r="P33" s="93" t="str">
        <f t="shared" si="1"/>
        <v/>
      </c>
      <c r="Q33" s="1" t="e">
        <f t="shared" si="2"/>
        <v>#N/A</v>
      </c>
      <c r="R33" s="1" t="e">
        <f t="shared" si="3"/>
        <v>#N/A</v>
      </c>
      <c r="S33" s="1" t="e">
        <f t="shared" si="4"/>
        <v>#N/A</v>
      </c>
    </row>
    <row r="34" spans="1:19" x14ac:dyDescent="0.3">
      <c r="A34" s="412">
        <v>46386</v>
      </c>
      <c r="B34" s="414" t="str">
        <f>IF(D34&gt;0,COUNTIF($D$9:D34,"&gt;0"),"")</f>
        <v/>
      </c>
      <c r="C34" s="888">
        <f>'SEMANA DEZEMBRO'!$M$209</f>
        <v>0</v>
      </c>
      <c r="D34" s="888">
        <f>IF(C34&gt;0,CONFIG!$B$3,0)</f>
        <v>0</v>
      </c>
      <c r="E34" s="889">
        <f t="shared" si="0"/>
        <v>0</v>
      </c>
      <c r="F34" s="444"/>
      <c r="G34" s="424"/>
      <c r="H34" s="424"/>
      <c r="I34" s="424"/>
      <c r="J34" s="424"/>
      <c r="K34" s="424"/>
      <c r="L34" s="424"/>
      <c r="M34" s="424"/>
      <c r="N34" s="424"/>
      <c r="O34" s="424"/>
      <c r="P34" s="93" t="str">
        <f t="shared" si="1"/>
        <v/>
      </c>
      <c r="Q34" s="1" t="e">
        <f t="shared" si="2"/>
        <v>#N/A</v>
      </c>
      <c r="R34" s="1" t="e">
        <f t="shared" si="3"/>
        <v>#N/A</v>
      </c>
      <c r="S34" s="1" t="e">
        <f t="shared" si="4"/>
        <v>#N/A</v>
      </c>
    </row>
    <row r="35" spans="1:19" x14ac:dyDescent="0.3">
      <c r="A35" s="412">
        <v>46387</v>
      </c>
      <c r="B35" s="414" t="str">
        <f>IF(D35&gt;0,COUNTIF($D$9:D35,"&gt;0"),"")</f>
        <v/>
      </c>
      <c r="C35" s="888">
        <f>'SEMANA DEZEMBRO'!$M$217</f>
        <v>0</v>
      </c>
      <c r="D35" s="888">
        <f>IF(C35&gt;0,CONFIG!$B$3,0)</f>
        <v>0</v>
      </c>
      <c r="E35" s="889">
        <f t="shared" si="0"/>
        <v>0</v>
      </c>
      <c r="F35" s="444"/>
      <c r="G35" s="424"/>
      <c r="H35" s="424"/>
      <c r="I35" s="424"/>
      <c r="J35" s="424"/>
      <c r="K35" s="424"/>
      <c r="L35" s="424"/>
      <c r="M35" s="424"/>
      <c r="N35" s="424"/>
      <c r="O35" s="424"/>
      <c r="P35" s="93" t="str">
        <f t="shared" si="1"/>
        <v/>
      </c>
      <c r="Q35" s="1" t="e">
        <f t="shared" si="2"/>
        <v>#N/A</v>
      </c>
      <c r="R35" s="1" t="e">
        <f t="shared" si="3"/>
        <v>#N/A</v>
      </c>
      <c r="S35" s="1" t="e">
        <f t="shared" si="4"/>
        <v>#N/A</v>
      </c>
    </row>
    <row r="36" spans="1:19" ht="14.25" customHeight="1" x14ac:dyDescent="0.3"/>
    <row r="37" spans="1:19" ht="14.25" customHeight="1" x14ac:dyDescent="0.3"/>
    <row r="38" spans="1:19" ht="14.25" customHeight="1" x14ac:dyDescent="0.3"/>
    <row r="39" spans="1:19" ht="14.25" customHeight="1" x14ac:dyDescent="0.3"/>
    <row r="40" spans="1:19" ht="14.25" customHeight="1" x14ac:dyDescent="0.3"/>
    <row r="41" spans="1:19" ht="14.25" customHeight="1" x14ac:dyDescent="0.3"/>
    <row r="42" spans="1:19" ht="14.25" customHeight="1" x14ac:dyDescent="0.3"/>
    <row r="43" spans="1:19" ht="14.25" customHeight="1" x14ac:dyDescent="0.3"/>
    <row r="44" spans="1:19" ht="14.25" customHeight="1" x14ac:dyDescent="0.3"/>
    <row r="45" spans="1:19" ht="14.25" customHeight="1" x14ac:dyDescent="0.3"/>
    <row r="46" spans="1:19" ht="14.25" customHeight="1" x14ac:dyDescent="0.3"/>
    <row r="47" spans="1:19" ht="14.25" customHeight="1" x14ac:dyDescent="0.3"/>
    <row r="48" spans="1: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sheetData>
  <mergeCells count="1">
    <mergeCell ref="A1:F1"/>
  </mergeCells>
  <conditionalFormatting sqref="E9:E30">
    <cfRule type="cellIs" dxfId="28" priority="1" operator="greaterThan">
      <formula>0</formula>
    </cfRule>
    <cfRule type="cellIs" dxfId="27" priority="2" operator="lessThan">
      <formula>0</formula>
    </cfRule>
    <cfRule type="cellIs" dxfId="26" priority="3" operator="equal">
      <formula>0</formula>
    </cfRule>
  </conditionalFormatting>
  <pageMargins left="0.7" right="0.7" top="0.75" bottom="0.75" header="0.511811023622047" footer="0.511811023622047"/>
  <pageSetup paperSize="9" orientation="portrait" horizontalDpi="300" verticalDpi="30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48886-807C-4D8C-AD08-0D2E98B9D3CC}">
  <dimension ref="A1:T148"/>
  <sheetViews>
    <sheetView zoomScaleNormal="100" workbookViewId="0"/>
  </sheetViews>
  <sheetFormatPr defaultColWidth="8.5546875" defaultRowHeight="14.4" x14ac:dyDescent="0.3"/>
  <cols>
    <col min="1" max="1" width="22.6640625" style="1" customWidth="1"/>
    <col min="2" max="2" width="12.5546875" style="1" customWidth="1"/>
    <col min="3" max="3" width="11" style="1" customWidth="1"/>
    <col min="4" max="4" width="13.44140625" style="1" customWidth="1"/>
    <col min="5" max="5" width="17" style="1" customWidth="1"/>
    <col min="6" max="6" width="14.5546875" style="1" customWidth="1"/>
    <col min="7" max="7" width="15.5546875" style="1" customWidth="1"/>
    <col min="8" max="8" width="15.6640625" style="1" customWidth="1"/>
    <col min="9" max="9" width="26.5546875" style="1" customWidth="1"/>
    <col min="10" max="10" width="8.5546875" style="1"/>
    <col min="11" max="11" width="12.33203125" style="1" customWidth="1"/>
    <col min="12" max="12" width="12.44140625" style="1" customWidth="1"/>
    <col min="13" max="13" width="19" style="1" customWidth="1"/>
    <col min="14" max="14" width="14.44140625" style="1" customWidth="1"/>
    <col min="15" max="15" width="17.33203125" style="1" customWidth="1"/>
    <col min="16" max="16" width="16.44140625" style="1" customWidth="1"/>
    <col min="17" max="17" width="16.5546875" style="1" customWidth="1"/>
    <col min="18" max="18" width="13.44140625" style="1" customWidth="1"/>
    <col min="19" max="19" width="22" style="1" customWidth="1"/>
    <col min="20" max="20" width="26" style="1" customWidth="1"/>
    <col min="21" max="16384" width="8.5546875" style="1"/>
  </cols>
  <sheetData>
    <row r="1" spans="1:10" ht="14.25" customHeight="1" x14ac:dyDescent="0.3">
      <c r="A1" s="162" t="s">
        <v>49</v>
      </c>
      <c r="B1" s="152" t="s">
        <v>626</v>
      </c>
      <c r="C1" s="152" t="s">
        <v>627</v>
      </c>
      <c r="D1" s="152" t="s">
        <v>628</v>
      </c>
      <c r="E1" s="152" t="s">
        <v>179</v>
      </c>
      <c r="F1" s="152" t="s">
        <v>629</v>
      </c>
      <c r="G1" s="152" t="s">
        <v>186</v>
      </c>
    </row>
    <row r="2" spans="1:10" ht="14.25" customHeight="1" x14ac:dyDescent="0.3">
      <c r="A2" s="148"/>
      <c r="B2" s="151"/>
      <c r="C2" s="151"/>
      <c r="D2" s="151"/>
      <c r="E2" s="151"/>
      <c r="F2" s="151"/>
      <c r="G2" s="179"/>
    </row>
    <row r="3" spans="1:10" ht="14.25" customHeight="1" x14ac:dyDescent="0.3">
      <c r="A3" s="148" t="s">
        <v>630</v>
      </c>
      <c r="B3" s="147"/>
      <c r="C3" s="147" t="s">
        <v>9</v>
      </c>
      <c r="D3" s="147">
        <v>12</v>
      </c>
      <c r="E3" s="147">
        <v>125</v>
      </c>
      <c r="F3" s="159"/>
      <c r="G3" s="178">
        <v>21</v>
      </c>
      <c r="I3" s="103" t="s">
        <v>631</v>
      </c>
      <c r="J3" s="185" t="s">
        <v>632</v>
      </c>
    </row>
    <row r="4" spans="1:10" ht="18" customHeight="1" x14ac:dyDescent="0.3">
      <c r="A4" s="143"/>
      <c r="B4" s="142"/>
      <c r="C4" s="142"/>
      <c r="D4" s="142"/>
      <c r="E4" s="142"/>
      <c r="F4" s="157"/>
      <c r="G4" s="177"/>
      <c r="I4" s="115" t="s">
        <v>633</v>
      </c>
      <c r="J4" s="184">
        <v>1</v>
      </c>
    </row>
    <row r="5" spans="1:10" ht="14.25" customHeight="1" x14ac:dyDescent="0.3">
      <c r="A5" s="148"/>
      <c r="B5" s="180"/>
      <c r="C5" s="180"/>
      <c r="D5" s="180"/>
      <c r="E5" s="180"/>
      <c r="F5" s="180"/>
      <c r="G5" s="179"/>
      <c r="I5" s="115" t="s">
        <v>297</v>
      </c>
      <c r="J5" s="184">
        <v>2</v>
      </c>
    </row>
    <row r="6" spans="1:10" ht="14.25" customHeight="1" x14ac:dyDescent="0.3">
      <c r="A6" s="148" t="s">
        <v>634</v>
      </c>
      <c r="B6" s="147">
        <v>15179090</v>
      </c>
      <c r="C6" s="147" t="s">
        <v>635</v>
      </c>
      <c r="D6" s="147">
        <v>12</v>
      </c>
      <c r="E6" s="147">
        <v>250</v>
      </c>
      <c r="F6" s="178">
        <v>16.100000000000001</v>
      </c>
      <c r="G6" s="178">
        <f>F6*E6*12</f>
        <v>48300.000000000007</v>
      </c>
      <c r="I6" s="115" t="s">
        <v>291</v>
      </c>
      <c r="J6" s="184">
        <v>3</v>
      </c>
    </row>
    <row r="7" spans="1:10" ht="18" customHeight="1" x14ac:dyDescent="0.3">
      <c r="A7" s="143"/>
      <c r="B7" s="142"/>
      <c r="C7" s="142"/>
      <c r="D7" s="142"/>
      <c r="E7" s="142"/>
      <c r="F7" s="157"/>
      <c r="G7" s="177"/>
      <c r="I7" s="115" t="s">
        <v>284</v>
      </c>
      <c r="J7" s="184">
        <v>4</v>
      </c>
    </row>
    <row r="8" spans="1:10" ht="18" customHeight="1" x14ac:dyDescent="0.3">
      <c r="A8" s="148"/>
      <c r="B8" s="182"/>
      <c r="C8" s="182"/>
      <c r="D8" s="182"/>
      <c r="E8" s="182"/>
      <c r="F8" s="147"/>
      <c r="G8" s="179"/>
      <c r="I8" s="115" t="s">
        <v>636</v>
      </c>
      <c r="J8" s="184">
        <v>5</v>
      </c>
    </row>
    <row r="9" spans="1:10" ht="14.25" customHeight="1" x14ac:dyDescent="0.3">
      <c r="A9" s="160" t="s">
        <v>637</v>
      </c>
      <c r="B9" s="147"/>
      <c r="C9" s="147"/>
      <c r="D9" s="147"/>
      <c r="E9" s="147">
        <v>25000</v>
      </c>
      <c r="F9" s="181">
        <v>0.37</v>
      </c>
      <c r="G9" s="178">
        <f>F9*E9</f>
        <v>9250</v>
      </c>
      <c r="I9" s="115" t="s">
        <v>638</v>
      </c>
      <c r="J9" s="184">
        <v>6</v>
      </c>
    </row>
    <row r="10" spans="1:10" ht="18" customHeight="1" x14ac:dyDescent="0.3">
      <c r="A10" s="143"/>
      <c r="B10" s="142"/>
      <c r="C10" s="142"/>
      <c r="D10" s="142"/>
      <c r="E10" s="142"/>
      <c r="F10" s="157"/>
      <c r="G10" s="177" t="s">
        <v>639</v>
      </c>
      <c r="I10" s="115" t="s">
        <v>640</v>
      </c>
      <c r="J10" s="184">
        <v>7</v>
      </c>
    </row>
    <row r="11" spans="1:10" ht="14.25" customHeight="1" x14ac:dyDescent="0.3">
      <c r="A11" s="143"/>
      <c r="B11" s="156"/>
      <c r="C11" s="156"/>
      <c r="D11" s="156"/>
      <c r="E11" s="156"/>
      <c r="F11" s="177"/>
      <c r="G11" s="177"/>
      <c r="I11" s="115" t="s">
        <v>641</v>
      </c>
      <c r="J11" s="184">
        <v>8</v>
      </c>
    </row>
    <row r="12" spans="1:10" ht="14.25" customHeight="1" x14ac:dyDescent="0.3">
      <c r="I12" s="115" t="s">
        <v>642</v>
      </c>
      <c r="J12" s="184">
        <v>9</v>
      </c>
    </row>
    <row r="13" spans="1:10" ht="14.25" customHeight="1" x14ac:dyDescent="0.3">
      <c r="I13" s="115" t="s">
        <v>643</v>
      </c>
      <c r="J13" s="184">
        <v>10</v>
      </c>
    </row>
    <row r="14" spans="1:10" ht="14.25" customHeight="1" x14ac:dyDescent="0.3">
      <c r="I14" s="115" t="s">
        <v>644</v>
      </c>
      <c r="J14" s="184">
        <v>11</v>
      </c>
    </row>
    <row r="15" spans="1:10" ht="14.25" customHeight="1" x14ac:dyDescent="0.3">
      <c r="A15" s="176" t="s">
        <v>645</v>
      </c>
      <c r="B15" s="175" t="s">
        <v>126</v>
      </c>
      <c r="C15" s="175" t="s">
        <v>646</v>
      </c>
      <c r="D15" s="175" t="s">
        <v>647</v>
      </c>
      <c r="E15" s="175" t="s">
        <v>648</v>
      </c>
      <c r="F15" s="175" t="s">
        <v>649</v>
      </c>
      <c r="G15" s="175" t="s">
        <v>186</v>
      </c>
      <c r="H15" s="175" t="s">
        <v>650</v>
      </c>
    </row>
    <row r="16" spans="1:10" ht="14.25" customHeight="1" x14ac:dyDescent="0.3">
      <c r="A16" s="1" t="s">
        <v>298</v>
      </c>
      <c r="B16" s="1">
        <v>500</v>
      </c>
      <c r="C16" s="1">
        <v>100</v>
      </c>
      <c r="D16" s="1">
        <v>100</v>
      </c>
      <c r="E16" s="1">
        <v>990</v>
      </c>
      <c r="F16" s="1">
        <v>330</v>
      </c>
      <c r="G16" s="1">
        <f t="shared" ref="G16:G25" si="0">SUM(B16:F16)</f>
        <v>2020</v>
      </c>
      <c r="H16" s="1">
        <f t="shared" ref="H16:H26" si="1">G16*6*0.195</f>
        <v>2363.4</v>
      </c>
    </row>
    <row r="17" spans="1:19" ht="14.25" customHeight="1" x14ac:dyDescent="0.3">
      <c r="A17" s="1" t="s">
        <v>651</v>
      </c>
      <c r="B17" s="1">
        <v>300</v>
      </c>
      <c r="C17" s="1">
        <v>100</v>
      </c>
      <c r="D17" s="1">
        <v>100</v>
      </c>
      <c r="G17" s="1">
        <f t="shared" si="0"/>
        <v>500</v>
      </c>
      <c r="H17" s="1">
        <f t="shared" si="1"/>
        <v>585</v>
      </c>
    </row>
    <row r="18" spans="1:19" ht="14.25" customHeight="1" x14ac:dyDescent="0.3">
      <c r="A18" s="1" t="s">
        <v>652</v>
      </c>
      <c r="B18" s="1">
        <v>200</v>
      </c>
      <c r="C18" s="1">
        <v>100</v>
      </c>
      <c r="D18" s="1">
        <v>100</v>
      </c>
      <c r="G18" s="1">
        <f t="shared" si="0"/>
        <v>400</v>
      </c>
      <c r="H18" s="1">
        <f t="shared" si="1"/>
        <v>468</v>
      </c>
    </row>
    <row r="19" spans="1:19" ht="14.25" customHeight="1" x14ac:dyDescent="0.3">
      <c r="A19" s="1" t="s">
        <v>653</v>
      </c>
      <c r="B19" s="1">
        <v>300</v>
      </c>
      <c r="C19" s="1">
        <v>100</v>
      </c>
      <c r="D19" s="1">
        <v>100</v>
      </c>
      <c r="G19" s="1">
        <f t="shared" si="0"/>
        <v>500</v>
      </c>
      <c r="H19" s="1">
        <f t="shared" si="1"/>
        <v>585</v>
      </c>
    </row>
    <row r="20" spans="1:19" ht="14.25" customHeight="1" x14ac:dyDescent="0.3">
      <c r="A20" s="1" t="s">
        <v>654</v>
      </c>
      <c r="B20" s="1">
        <v>250</v>
      </c>
      <c r="G20" s="1">
        <f t="shared" si="0"/>
        <v>250</v>
      </c>
      <c r="H20" s="1">
        <f t="shared" si="1"/>
        <v>292.5</v>
      </c>
    </row>
    <row r="21" spans="1:19" ht="14.25" customHeight="1" x14ac:dyDescent="0.3">
      <c r="A21" s="1" t="s">
        <v>655</v>
      </c>
      <c r="B21" s="1">
        <v>300</v>
      </c>
      <c r="G21" s="1">
        <f t="shared" si="0"/>
        <v>300</v>
      </c>
      <c r="H21" s="1">
        <f t="shared" si="1"/>
        <v>351</v>
      </c>
    </row>
    <row r="22" spans="1:19" ht="14.25" customHeight="1" x14ac:dyDescent="0.3">
      <c r="A22" s="1" t="s">
        <v>656</v>
      </c>
      <c r="B22" s="1">
        <v>250</v>
      </c>
      <c r="G22" s="1">
        <f t="shared" si="0"/>
        <v>250</v>
      </c>
      <c r="H22" s="1">
        <f t="shared" si="1"/>
        <v>292.5</v>
      </c>
    </row>
    <row r="23" spans="1:19" ht="14.25" customHeight="1" x14ac:dyDescent="0.3">
      <c r="A23" s="1" t="s">
        <v>657</v>
      </c>
      <c r="B23" s="1">
        <v>250</v>
      </c>
      <c r="G23" s="1">
        <f t="shared" si="0"/>
        <v>250</v>
      </c>
      <c r="H23" s="1">
        <f t="shared" si="1"/>
        <v>292.5</v>
      </c>
    </row>
    <row r="24" spans="1:19" ht="14.25" customHeight="1" x14ac:dyDescent="0.3">
      <c r="A24" s="1" t="s">
        <v>658</v>
      </c>
      <c r="G24" s="1">
        <f t="shared" si="0"/>
        <v>0</v>
      </c>
      <c r="H24" s="1">
        <f t="shared" si="1"/>
        <v>0</v>
      </c>
    </row>
    <row r="25" spans="1:19" ht="14.25" customHeight="1" x14ac:dyDescent="0.3">
      <c r="A25" s="1" t="s">
        <v>659</v>
      </c>
      <c r="F25" s="1">
        <v>330</v>
      </c>
      <c r="G25" s="1">
        <f t="shared" si="0"/>
        <v>330</v>
      </c>
      <c r="H25" s="1">
        <f t="shared" si="1"/>
        <v>386.1</v>
      </c>
    </row>
    <row r="26" spans="1:19" ht="14.25" customHeight="1" x14ac:dyDescent="0.3">
      <c r="G26" s="1">
        <f>SUM(G16:G25)</f>
        <v>4800</v>
      </c>
      <c r="H26" s="1">
        <f t="shared" si="1"/>
        <v>5616</v>
      </c>
    </row>
    <row r="29" spans="1:19" ht="14.25" customHeight="1" x14ac:dyDescent="0.3">
      <c r="A29" s="700"/>
    </row>
    <row r="30" spans="1:19" ht="78.75" customHeight="1" x14ac:dyDescent="0.3">
      <c r="A30" s="700"/>
      <c r="M30" s="700"/>
    </row>
    <row r="31" spans="1:19" ht="30" customHeight="1" x14ac:dyDescent="0.3">
      <c r="A31" s="155" t="s">
        <v>49</v>
      </c>
      <c r="B31" s="153" t="s">
        <v>626</v>
      </c>
      <c r="C31" s="153" t="s">
        <v>627</v>
      </c>
      <c r="D31" s="153" t="s">
        <v>628</v>
      </c>
      <c r="E31" s="153" t="s">
        <v>660</v>
      </c>
      <c r="F31" s="183" t="s">
        <v>661</v>
      </c>
      <c r="G31" s="153" t="s">
        <v>186</v>
      </c>
      <c r="H31" s="153"/>
      <c r="M31" s="700"/>
    </row>
    <row r="32" spans="1:19" ht="30" customHeight="1" x14ac:dyDescent="0.3">
      <c r="A32" s="148"/>
      <c r="B32" s="151"/>
      <c r="C32" s="151"/>
      <c r="D32" s="151"/>
      <c r="E32" s="151"/>
      <c r="F32" s="151"/>
      <c r="G32" s="179"/>
      <c r="H32" s="160"/>
      <c r="I32" s="701" t="s">
        <v>662</v>
      </c>
      <c r="M32" s="155" t="s">
        <v>49</v>
      </c>
      <c r="N32" s="153" t="s">
        <v>626</v>
      </c>
      <c r="O32" s="153" t="s">
        <v>627</v>
      </c>
      <c r="P32" s="153" t="s">
        <v>628</v>
      </c>
      <c r="Q32" s="153" t="s">
        <v>660</v>
      </c>
      <c r="R32" s="183" t="s">
        <v>661</v>
      </c>
      <c r="S32" s="153" t="s">
        <v>186</v>
      </c>
    </row>
    <row r="33" spans="1:20" ht="15" customHeight="1" x14ac:dyDescent="0.3">
      <c r="A33" s="148" t="s">
        <v>663</v>
      </c>
      <c r="B33" s="147"/>
      <c r="C33" s="147" t="s">
        <v>664</v>
      </c>
      <c r="D33" s="147">
        <v>6</v>
      </c>
      <c r="E33" s="147">
        <v>660</v>
      </c>
      <c r="F33" s="159">
        <v>10.119999999999999</v>
      </c>
      <c r="G33" s="178">
        <f>F33*E33*D33</f>
        <v>40075.199999999997</v>
      </c>
      <c r="H33" s="158"/>
      <c r="I33" s="701"/>
      <c r="M33" s="148"/>
      <c r="N33" s="151"/>
      <c r="O33" s="151"/>
      <c r="P33" s="151"/>
      <c r="Q33" s="151"/>
      <c r="R33" s="151"/>
      <c r="S33" s="179"/>
      <c r="T33" s="702" t="s">
        <v>665</v>
      </c>
    </row>
    <row r="34" spans="1:20" ht="18" customHeight="1" x14ac:dyDescent="0.3">
      <c r="A34" s="143"/>
      <c r="B34" s="142"/>
      <c r="C34" s="142"/>
      <c r="D34" s="142"/>
      <c r="E34" s="142"/>
      <c r="F34" s="157"/>
      <c r="G34" s="177"/>
      <c r="H34" s="156"/>
      <c r="I34" s="701"/>
      <c r="M34" s="148" t="s">
        <v>663</v>
      </c>
      <c r="N34" s="147"/>
      <c r="O34" s="147" t="s">
        <v>664</v>
      </c>
      <c r="P34" s="147">
        <v>6</v>
      </c>
      <c r="Q34" s="147">
        <v>660</v>
      </c>
      <c r="R34" s="159">
        <v>10.119999999999999</v>
      </c>
      <c r="S34" s="178">
        <f>R34*Q34*P34</f>
        <v>40075.199999999997</v>
      </c>
      <c r="T34" s="702"/>
    </row>
    <row r="35" spans="1:20" ht="18" customHeight="1" x14ac:dyDescent="0.3">
      <c r="A35" s="148"/>
      <c r="B35" s="182"/>
      <c r="C35" s="182"/>
      <c r="D35" s="182"/>
      <c r="E35" s="182"/>
      <c r="F35" s="147"/>
      <c r="G35" s="179"/>
      <c r="H35" s="160"/>
      <c r="I35" s="701" t="s">
        <v>666</v>
      </c>
      <c r="M35" s="143"/>
      <c r="N35" s="142"/>
      <c r="O35" s="142"/>
      <c r="P35" s="142"/>
      <c r="Q35" s="142"/>
      <c r="R35" s="157"/>
      <c r="S35" s="177"/>
      <c r="T35" s="702"/>
    </row>
    <row r="36" spans="1:20" ht="18" customHeight="1" x14ac:dyDescent="0.3">
      <c r="A36" s="160" t="s">
        <v>667</v>
      </c>
      <c r="B36" s="147"/>
      <c r="C36" s="147"/>
      <c r="D36" s="147"/>
      <c r="E36" s="147">
        <v>25000</v>
      </c>
      <c r="F36" s="181">
        <v>0.27</v>
      </c>
      <c r="G36" s="178">
        <f>F36*E36</f>
        <v>6750</v>
      </c>
      <c r="H36" s="158"/>
      <c r="I36" s="701"/>
      <c r="K36" s="1" t="s">
        <v>668</v>
      </c>
      <c r="M36" s="148"/>
      <c r="N36" s="182"/>
      <c r="O36" s="182"/>
      <c r="P36" s="182"/>
      <c r="Q36" s="182"/>
      <c r="R36" s="147"/>
      <c r="S36" s="160"/>
      <c r="T36" s="701" t="s">
        <v>669</v>
      </c>
    </row>
    <row r="37" spans="1:20" ht="18" customHeight="1" x14ac:dyDescent="0.3">
      <c r="A37" s="143"/>
      <c r="B37" s="142"/>
      <c r="C37" s="142"/>
      <c r="D37" s="142"/>
      <c r="E37" s="142"/>
      <c r="F37" s="157"/>
      <c r="G37" s="177"/>
      <c r="H37" s="156"/>
      <c r="I37" s="701"/>
      <c r="M37" s="180" t="s">
        <v>667</v>
      </c>
      <c r="N37" s="147"/>
      <c r="O37" s="147"/>
      <c r="P37" s="147"/>
      <c r="Q37" s="147">
        <v>25000</v>
      </c>
      <c r="R37" s="181">
        <v>0.27</v>
      </c>
      <c r="S37" s="158">
        <f>R37*Q37</f>
        <v>6750</v>
      </c>
      <c r="T37" s="701"/>
    </row>
    <row r="38" spans="1:20" ht="18" customHeight="1" x14ac:dyDescent="0.3">
      <c r="A38" s="143"/>
      <c r="B38" s="156"/>
      <c r="C38" s="156"/>
      <c r="D38" s="156"/>
      <c r="E38" s="156"/>
      <c r="F38" s="177"/>
      <c r="G38" s="177"/>
      <c r="H38" s="156"/>
      <c r="I38" s="701"/>
      <c r="M38" s="143"/>
      <c r="N38" s="142"/>
      <c r="O38" s="142"/>
      <c r="P38" s="142"/>
      <c r="Q38" s="142"/>
      <c r="R38" s="157"/>
      <c r="S38" s="156"/>
      <c r="T38" s="701"/>
    </row>
    <row r="39" spans="1:20" ht="14.25" customHeight="1" x14ac:dyDescent="0.3">
      <c r="I39" s="701"/>
      <c r="M39" s="143"/>
      <c r="N39" s="156"/>
      <c r="O39" s="156"/>
      <c r="P39" s="156"/>
      <c r="Q39" s="156"/>
      <c r="R39" s="177"/>
      <c r="S39" s="156"/>
      <c r="T39" s="701"/>
    </row>
    <row r="41" spans="1:20" ht="14.25" customHeight="1" x14ac:dyDescent="0.3">
      <c r="A41" s="700"/>
    </row>
    <row r="42" spans="1:20" ht="78.75" customHeight="1" x14ac:dyDescent="0.3">
      <c r="A42" s="700"/>
    </row>
    <row r="43" spans="1:20" ht="15" customHeight="1" x14ac:dyDescent="0.3">
      <c r="A43" s="162" t="s">
        <v>49</v>
      </c>
      <c r="B43" s="152" t="s">
        <v>626</v>
      </c>
      <c r="C43" s="152" t="s">
        <v>627</v>
      </c>
      <c r="D43" s="152" t="s">
        <v>628</v>
      </c>
      <c r="E43" s="152" t="s">
        <v>670</v>
      </c>
      <c r="F43" s="152" t="s">
        <v>629</v>
      </c>
      <c r="G43" s="152" t="s">
        <v>186</v>
      </c>
      <c r="H43" s="703" t="s">
        <v>671</v>
      </c>
    </row>
    <row r="44" spans="1:20" ht="14.25" customHeight="1" x14ac:dyDescent="0.3">
      <c r="A44" s="148"/>
      <c r="B44" s="151"/>
      <c r="C44" s="151"/>
      <c r="D44" s="151"/>
      <c r="E44" s="151"/>
      <c r="F44" s="151"/>
      <c r="G44" s="179"/>
      <c r="H44" s="703"/>
    </row>
    <row r="45" spans="1:20" ht="14.25" customHeight="1" x14ac:dyDescent="0.3">
      <c r="A45" s="148" t="s">
        <v>634</v>
      </c>
      <c r="B45" s="147">
        <v>15179090</v>
      </c>
      <c r="C45" s="147" t="s">
        <v>9</v>
      </c>
      <c r="D45" s="147">
        <v>12</v>
      </c>
      <c r="E45" s="147">
        <v>750</v>
      </c>
      <c r="F45" s="159">
        <v>13.58</v>
      </c>
      <c r="G45" s="178">
        <f>F45*E45*12</f>
        <v>122220</v>
      </c>
      <c r="H45" s="703"/>
    </row>
    <row r="46" spans="1:20" ht="18" customHeight="1" x14ac:dyDescent="0.3">
      <c r="A46" s="143"/>
      <c r="B46" s="142"/>
      <c r="C46" s="142"/>
      <c r="D46" s="142"/>
      <c r="E46" s="142" t="s">
        <v>440</v>
      </c>
      <c r="F46" s="157"/>
      <c r="G46" s="177"/>
      <c r="H46" s="703"/>
    </row>
    <row r="47" spans="1:20" ht="14.25" customHeight="1" x14ac:dyDescent="0.3">
      <c r="H47" s="703"/>
    </row>
    <row r="48" spans="1:20" ht="30" customHeight="1" x14ac:dyDescent="0.3">
      <c r="A48" s="155" t="s">
        <v>49</v>
      </c>
      <c r="B48" s="153" t="s">
        <v>626</v>
      </c>
      <c r="C48" s="153" t="s">
        <v>627</v>
      </c>
      <c r="D48" s="154" t="s">
        <v>672</v>
      </c>
      <c r="E48" s="153" t="s">
        <v>629</v>
      </c>
      <c r="F48" s="152" t="s">
        <v>186</v>
      </c>
    </row>
    <row r="49" spans="1:9" ht="15" customHeight="1" x14ac:dyDescent="0.3">
      <c r="A49" s="148"/>
      <c r="B49" s="151"/>
      <c r="C49" s="151"/>
      <c r="D49" s="151"/>
      <c r="E49" s="150"/>
      <c r="F49" s="149"/>
      <c r="G49" s="701" t="s">
        <v>673</v>
      </c>
    </row>
    <row r="50" spans="1:9" ht="14.25" customHeight="1" x14ac:dyDescent="0.3">
      <c r="A50" s="148" t="s">
        <v>634</v>
      </c>
      <c r="B50" s="147">
        <v>15179090</v>
      </c>
      <c r="C50" s="147" t="s">
        <v>9</v>
      </c>
      <c r="D50" s="146">
        <v>25000</v>
      </c>
      <c r="E50" s="145">
        <v>0.45</v>
      </c>
      <c r="F50" s="144">
        <f>E50*D50</f>
        <v>11250</v>
      </c>
      <c r="G50" s="701"/>
    </row>
    <row r="51" spans="1:9" ht="18" customHeight="1" x14ac:dyDescent="0.3">
      <c r="A51" s="143"/>
      <c r="B51" s="142"/>
      <c r="C51" s="142"/>
      <c r="D51" s="142"/>
      <c r="E51" s="141"/>
      <c r="F51" s="95"/>
      <c r="G51" s="701"/>
    </row>
    <row r="52" spans="1:9" ht="14.25" customHeight="1" x14ac:dyDescent="0.3">
      <c r="G52" s="701"/>
    </row>
    <row r="53" spans="1:9" ht="14.25" customHeight="1" x14ac:dyDescent="0.3">
      <c r="G53" s="701"/>
    </row>
    <row r="54" spans="1:9" ht="14.25" customHeight="1" x14ac:dyDescent="0.3">
      <c r="G54" s="701"/>
    </row>
    <row r="55" spans="1:9" ht="14.25" customHeight="1" x14ac:dyDescent="0.3">
      <c r="G55" s="701"/>
    </row>
    <row r="56" spans="1:9" ht="15" customHeight="1" x14ac:dyDescent="0.3">
      <c r="A56" s="700"/>
      <c r="I56" s="1" t="s">
        <v>674</v>
      </c>
    </row>
    <row r="57" spans="1:9" ht="67.5" customHeight="1" x14ac:dyDescent="0.3">
      <c r="A57" s="700"/>
    </row>
    <row r="58" spans="1:9" ht="14.25" customHeight="1" x14ac:dyDescent="0.3">
      <c r="A58" s="162" t="s">
        <v>49</v>
      </c>
      <c r="B58" s="152" t="s">
        <v>626</v>
      </c>
      <c r="C58" s="152" t="s">
        <v>627</v>
      </c>
      <c r="D58" s="152" t="s">
        <v>628</v>
      </c>
      <c r="E58" s="152" t="s">
        <v>670</v>
      </c>
      <c r="F58" s="152" t="s">
        <v>629</v>
      </c>
      <c r="G58" s="152" t="s">
        <v>186</v>
      </c>
    </row>
    <row r="59" spans="1:9" ht="15" customHeight="1" x14ac:dyDescent="0.3">
      <c r="A59" s="148"/>
      <c r="B59" s="151"/>
      <c r="C59" s="151"/>
      <c r="D59" s="151"/>
      <c r="E59" s="151" t="s">
        <v>675</v>
      </c>
      <c r="F59" s="151"/>
      <c r="G59" s="179"/>
      <c r="H59" s="701" t="s">
        <v>676</v>
      </c>
    </row>
    <row r="60" spans="1:9" ht="14.25" customHeight="1" x14ac:dyDescent="0.3">
      <c r="A60" s="148" t="s">
        <v>634</v>
      </c>
      <c r="B60" s="147">
        <v>15179090</v>
      </c>
      <c r="C60" s="147" t="s">
        <v>9</v>
      </c>
      <c r="D60" s="147">
        <v>12</v>
      </c>
      <c r="E60" s="147">
        <v>750</v>
      </c>
      <c r="F60" s="159">
        <v>12.57</v>
      </c>
      <c r="G60" s="178">
        <f>F60*E60*12</f>
        <v>113130</v>
      </c>
      <c r="H60" s="701"/>
    </row>
    <row r="61" spans="1:9" ht="18" customHeight="1" x14ac:dyDescent="0.3">
      <c r="A61" s="143"/>
      <c r="B61" s="142"/>
      <c r="C61" s="142"/>
      <c r="D61" s="142"/>
      <c r="E61" s="142" t="s">
        <v>677</v>
      </c>
      <c r="F61" s="157"/>
      <c r="G61" s="177"/>
      <c r="H61" s="701"/>
    </row>
    <row r="62" spans="1:9" ht="14.25" customHeight="1" x14ac:dyDescent="0.3">
      <c r="A62" s="148"/>
      <c r="B62" s="180"/>
      <c r="C62" s="180"/>
      <c r="D62" s="180"/>
      <c r="E62" s="180" t="s">
        <v>678</v>
      </c>
      <c r="F62" s="180"/>
      <c r="G62" s="179"/>
      <c r="H62" s="701"/>
    </row>
    <row r="63" spans="1:9" ht="14.25" customHeight="1" x14ac:dyDescent="0.3">
      <c r="A63" s="148" t="s">
        <v>634</v>
      </c>
      <c r="B63" s="147">
        <v>15179090</v>
      </c>
      <c r="C63" s="147" t="s">
        <v>10</v>
      </c>
      <c r="D63" s="147">
        <v>12</v>
      </c>
      <c r="E63" s="147">
        <v>380</v>
      </c>
      <c r="F63" s="178">
        <v>18.32</v>
      </c>
      <c r="G63" s="178">
        <f>F63*E63*12</f>
        <v>83539.200000000012</v>
      </c>
      <c r="H63" s="701"/>
    </row>
    <row r="64" spans="1:9" ht="18" customHeight="1" x14ac:dyDescent="0.3">
      <c r="A64" s="143"/>
      <c r="B64" s="142"/>
      <c r="C64" s="142"/>
      <c r="D64" s="142"/>
      <c r="E64" s="142" t="s">
        <v>679</v>
      </c>
      <c r="F64" s="157"/>
      <c r="G64" s="177"/>
      <c r="H64" s="701"/>
    </row>
    <row r="66" spans="1:19" ht="30" customHeight="1" x14ac:dyDescent="0.3">
      <c r="A66" s="155" t="s">
        <v>49</v>
      </c>
      <c r="B66" s="153" t="s">
        <v>626</v>
      </c>
      <c r="C66" s="153" t="s">
        <v>627</v>
      </c>
      <c r="D66" s="154" t="s">
        <v>672</v>
      </c>
      <c r="E66" s="153" t="s">
        <v>629</v>
      </c>
      <c r="F66" s="152" t="s">
        <v>186</v>
      </c>
      <c r="M66" s="155" t="s">
        <v>49</v>
      </c>
      <c r="N66" s="153" t="s">
        <v>626</v>
      </c>
      <c r="O66" s="153" t="s">
        <v>627</v>
      </c>
      <c r="P66" s="154" t="s">
        <v>672</v>
      </c>
      <c r="Q66" s="153" t="s">
        <v>629</v>
      </c>
      <c r="R66" s="152" t="s">
        <v>186</v>
      </c>
    </row>
    <row r="67" spans="1:19" ht="15" customHeight="1" x14ac:dyDescent="0.3">
      <c r="A67" s="148"/>
      <c r="B67" s="180"/>
      <c r="C67" s="180"/>
      <c r="D67" s="180"/>
      <c r="E67" s="150"/>
      <c r="F67" s="149"/>
      <c r="G67" s="701" t="s">
        <v>680</v>
      </c>
      <c r="M67" s="148"/>
      <c r="N67" s="180"/>
      <c r="O67" s="180"/>
      <c r="P67" s="180"/>
      <c r="Q67" s="150"/>
      <c r="R67" s="149"/>
      <c r="S67" s="701" t="s">
        <v>681</v>
      </c>
    </row>
    <row r="68" spans="1:19" ht="14.25" customHeight="1" x14ac:dyDescent="0.3">
      <c r="A68" s="148" t="s">
        <v>634</v>
      </c>
      <c r="B68" s="147">
        <v>15179090</v>
      </c>
      <c r="C68" s="147" t="s">
        <v>9</v>
      </c>
      <c r="D68" s="146">
        <v>35000</v>
      </c>
      <c r="E68" s="145">
        <v>0</v>
      </c>
      <c r="F68" s="144">
        <f>E68*D68</f>
        <v>0</v>
      </c>
      <c r="G68" s="701"/>
      <c r="M68" s="148" t="s">
        <v>634</v>
      </c>
      <c r="N68" s="147">
        <v>15179090</v>
      </c>
      <c r="O68" s="147" t="s">
        <v>9</v>
      </c>
      <c r="P68" s="146">
        <v>25000</v>
      </c>
      <c r="Q68" s="145">
        <v>0.48</v>
      </c>
      <c r="R68" s="144">
        <f>Q68*P68</f>
        <v>12000</v>
      </c>
      <c r="S68" s="701"/>
    </row>
    <row r="69" spans="1:19" ht="24" customHeight="1" x14ac:dyDescent="0.3">
      <c r="A69" s="143"/>
      <c r="B69" s="142"/>
      <c r="C69" s="142"/>
      <c r="D69" s="142"/>
      <c r="E69" s="141"/>
      <c r="F69" s="95"/>
      <c r="G69" s="701"/>
      <c r="M69" s="143"/>
      <c r="N69" s="142"/>
      <c r="O69" s="142"/>
      <c r="P69" s="142"/>
      <c r="Q69" s="141"/>
      <c r="R69" s="95"/>
      <c r="S69" s="701"/>
    </row>
    <row r="70" spans="1:19" ht="14.25" customHeight="1" x14ac:dyDescent="0.3">
      <c r="A70" s="148"/>
      <c r="B70" s="180"/>
      <c r="C70" s="180"/>
      <c r="D70" s="180"/>
      <c r="E70" s="150"/>
      <c r="F70" s="149"/>
      <c r="G70" s="701"/>
      <c r="M70" s="148"/>
      <c r="N70" s="180"/>
      <c r="O70" s="180"/>
      <c r="P70" s="180"/>
      <c r="Q70" s="150"/>
      <c r="R70" s="149"/>
      <c r="S70" s="701"/>
    </row>
    <row r="71" spans="1:19" ht="14.25" customHeight="1" x14ac:dyDescent="0.3">
      <c r="A71" s="148" t="s">
        <v>634</v>
      </c>
      <c r="B71" s="147">
        <v>15179090</v>
      </c>
      <c r="C71" s="147" t="s">
        <v>10</v>
      </c>
      <c r="D71" s="146">
        <v>35000</v>
      </c>
      <c r="E71" s="145">
        <v>0</v>
      </c>
      <c r="F71" s="144">
        <f>E71*D71</f>
        <v>0</v>
      </c>
      <c r="G71" s="701"/>
      <c r="M71" s="148" t="s">
        <v>634</v>
      </c>
      <c r="N71" s="147">
        <v>15179090</v>
      </c>
      <c r="O71" s="147" t="s">
        <v>10</v>
      </c>
      <c r="P71" s="146">
        <v>18000</v>
      </c>
      <c r="Q71" s="145">
        <v>0.55000000000000004</v>
      </c>
      <c r="R71" s="144">
        <f>Q71*P71</f>
        <v>9900</v>
      </c>
      <c r="S71" s="701"/>
    </row>
    <row r="72" spans="1:19" ht="24.75" customHeight="1" x14ac:dyDescent="0.3">
      <c r="A72" s="143"/>
      <c r="B72" s="142"/>
      <c r="C72" s="142"/>
      <c r="D72" s="142"/>
      <c r="E72" s="141"/>
      <c r="F72" s="95"/>
      <c r="G72" s="701"/>
      <c r="M72" s="143"/>
      <c r="N72" s="142"/>
      <c r="O72" s="142"/>
      <c r="P72" s="142"/>
      <c r="Q72" s="141"/>
      <c r="R72" s="95"/>
      <c r="S72" s="701"/>
    </row>
    <row r="75" spans="1:19" ht="15" customHeight="1" x14ac:dyDescent="0.3">
      <c r="A75" s="700"/>
    </row>
    <row r="76" spans="1:19" ht="67.5" customHeight="1" x14ac:dyDescent="0.3">
      <c r="A76" s="700"/>
    </row>
    <row r="77" spans="1:19" ht="15" customHeight="1" x14ac:dyDescent="0.3">
      <c r="A77" s="162" t="s">
        <v>49</v>
      </c>
      <c r="B77" s="152" t="s">
        <v>626</v>
      </c>
      <c r="C77" s="152" t="s">
        <v>627</v>
      </c>
      <c r="D77" s="152" t="s">
        <v>628</v>
      </c>
      <c r="E77" s="152" t="s">
        <v>670</v>
      </c>
      <c r="F77" s="152" t="s">
        <v>682</v>
      </c>
      <c r="G77" s="152" t="s">
        <v>186</v>
      </c>
      <c r="H77" s="701" t="s">
        <v>683</v>
      </c>
      <c r="I77" s="704"/>
    </row>
    <row r="78" spans="1:19" ht="14.25" customHeight="1" x14ac:dyDescent="0.3">
      <c r="A78" s="148"/>
      <c r="B78" s="151"/>
      <c r="C78" s="151"/>
      <c r="D78" s="151"/>
      <c r="E78" s="151"/>
      <c r="F78" s="151"/>
      <c r="G78" s="179"/>
      <c r="H78" s="701"/>
      <c r="I78" s="701"/>
    </row>
    <row r="79" spans="1:19" ht="14.25" customHeight="1" x14ac:dyDescent="0.3">
      <c r="A79" s="148" t="s">
        <v>684</v>
      </c>
      <c r="B79" s="147"/>
      <c r="C79" s="147" t="s">
        <v>685</v>
      </c>
      <c r="D79" s="147">
        <v>12</v>
      </c>
      <c r="E79" s="147">
        <v>495</v>
      </c>
      <c r="F79" s="159">
        <v>10.5</v>
      </c>
      <c r="G79" s="178">
        <f>F79*E79*D79</f>
        <v>62370</v>
      </c>
      <c r="H79" s="701"/>
      <c r="I79" s="701"/>
    </row>
    <row r="80" spans="1:19" ht="18" customHeight="1" x14ac:dyDescent="0.3">
      <c r="A80" s="143"/>
      <c r="B80" s="142"/>
      <c r="C80" s="142"/>
      <c r="D80" s="142"/>
      <c r="E80" s="142" t="s">
        <v>686</v>
      </c>
      <c r="F80" s="157"/>
      <c r="G80" s="177"/>
      <c r="H80" s="701"/>
      <c r="I80" s="704"/>
    </row>
    <row r="81" spans="1:16" ht="15" customHeight="1" x14ac:dyDescent="0.3">
      <c r="A81" s="148"/>
      <c r="B81" s="151"/>
      <c r="C81" s="151"/>
      <c r="D81" s="151"/>
      <c r="E81" s="151"/>
      <c r="F81" s="151"/>
      <c r="G81" s="179"/>
      <c r="H81" s="701" t="s">
        <v>687</v>
      </c>
      <c r="I81" s="704"/>
    </row>
    <row r="82" spans="1:16" ht="14.25" customHeight="1" x14ac:dyDescent="0.3">
      <c r="A82" s="148" t="s">
        <v>258</v>
      </c>
      <c r="B82" s="147"/>
      <c r="C82" s="147" t="s">
        <v>685</v>
      </c>
      <c r="D82" s="147">
        <v>12</v>
      </c>
      <c r="E82" s="147">
        <v>495</v>
      </c>
      <c r="F82" s="159">
        <v>10.5</v>
      </c>
      <c r="G82" s="178">
        <f>F82*E82*D82</f>
        <v>62370</v>
      </c>
      <c r="H82" s="701"/>
      <c r="I82" s="701"/>
    </row>
    <row r="83" spans="1:16" ht="18" customHeight="1" x14ac:dyDescent="0.3">
      <c r="A83" s="143"/>
      <c r="B83" s="142"/>
      <c r="C83" s="142"/>
      <c r="D83" s="142"/>
      <c r="E83" s="142" t="s">
        <v>686</v>
      </c>
      <c r="F83" s="157"/>
      <c r="G83" s="177"/>
      <c r="H83" s="701"/>
      <c r="I83" s="701"/>
    </row>
    <row r="85" spans="1:16" ht="30" customHeight="1" x14ac:dyDescent="0.3">
      <c r="A85" s="155" t="s">
        <v>49</v>
      </c>
      <c r="B85" s="153" t="s">
        <v>626</v>
      </c>
      <c r="C85" s="153" t="s">
        <v>627</v>
      </c>
      <c r="D85" s="154" t="s">
        <v>672</v>
      </c>
      <c r="E85" s="153" t="s">
        <v>682</v>
      </c>
      <c r="F85" s="152" t="s">
        <v>186</v>
      </c>
    </row>
    <row r="86" spans="1:16" ht="15" customHeight="1" x14ac:dyDescent="0.3">
      <c r="A86" s="148"/>
      <c r="B86" s="151"/>
      <c r="C86" s="151"/>
      <c r="D86" s="151"/>
      <c r="E86" s="150"/>
      <c r="F86" s="149"/>
      <c r="G86" s="701" t="s">
        <v>669</v>
      </c>
    </row>
    <row r="87" spans="1:16" ht="14.25" customHeight="1" x14ac:dyDescent="0.3">
      <c r="A87" s="148" t="s">
        <v>688</v>
      </c>
      <c r="B87" s="147"/>
      <c r="C87" s="147" t="s">
        <v>685</v>
      </c>
      <c r="D87" s="146">
        <v>25000</v>
      </c>
      <c r="E87" s="145">
        <v>0.27</v>
      </c>
      <c r="F87" s="144">
        <f>E87*D87</f>
        <v>6750</v>
      </c>
      <c r="G87" s="701"/>
    </row>
    <row r="88" spans="1:16" ht="18" customHeight="1" x14ac:dyDescent="0.3">
      <c r="A88" s="143"/>
      <c r="B88" s="142"/>
      <c r="C88" s="142"/>
      <c r="D88" s="142"/>
      <c r="E88" s="141"/>
      <c r="F88" s="95"/>
      <c r="G88" s="701"/>
    </row>
    <row r="89" spans="1:16" ht="14.25" customHeight="1" x14ac:dyDescent="0.3">
      <c r="A89" s="148"/>
      <c r="B89" s="151"/>
      <c r="C89" s="151"/>
      <c r="D89" s="151"/>
      <c r="E89" s="150"/>
      <c r="F89" s="149"/>
      <c r="G89" s="701"/>
      <c r="I89" s="700"/>
    </row>
    <row r="90" spans="1:16" ht="25.5" customHeight="1" x14ac:dyDescent="0.3">
      <c r="A90" s="148" t="s">
        <v>689</v>
      </c>
      <c r="B90" s="147"/>
      <c r="C90" s="147" t="s">
        <v>685</v>
      </c>
      <c r="D90" s="146">
        <v>25000</v>
      </c>
      <c r="E90" s="145">
        <v>0.27</v>
      </c>
      <c r="F90" s="144">
        <f>E90*D90</f>
        <v>6750</v>
      </c>
      <c r="G90" s="701"/>
      <c r="I90" s="700"/>
    </row>
    <row r="91" spans="1:16" ht="18.75" customHeight="1" x14ac:dyDescent="0.3">
      <c r="A91" s="143"/>
      <c r="B91" s="142"/>
      <c r="C91" s="142"/>
      <c r="D91" s="142"/>
      <c r="E91" s="141"/>
      <c r="F91" s="95"/>
      <c r="G91" s="701"/>
      <c r="I91" s="162" t="s">
        <v>49</v>
      </c>
      <c r="J91" s="162" t="s">
        <v>626</v>
      </c>
      <c r="K91" s="162" t="s">
        <v>627</v>
      </c>
      <c r="L91" s="162" t="s">
        <v>628</v>
      </c>
      <c r="M91" s="162" t="s">
        <v>670</v>
      </c>
      <c r="N91" s="162" t="s">
        <v>682</v>
      </c>
      <c r="O91" s="173" t="s">
        <v>186</v>
      </c>
      <c r="P91" s="701" t="s">
        <v>690</v>
      </c>
    </row>
    <row r="92" spans="1:16" ht="14.25" customHeight="1" x14ac:dyDescent="0.3">
      <c r="I92" s="167"/>
      <c r="J92" s="167"/>
      <c r="K92" s="167"/>
      <c r="L92" s="167"/>
      <c r="M92" s="167"/>
      <c r="N92" s="167"/>
      <c r="O92" s="166"/>
      <c r="P92" s="701"/>
    </row>
    <row r="93" spans="1:16" ht="14.25" customHeight="1" x14ac:dyDescent="0.3">
      <c r="A93" s="176" t="s">
        <v>645</v>
      </c>
      <c r="B93" s="175" t="s">
        <v>126</v>
      </c>
      <c r="C93" s="175" t="s">
        <v>646</v>
      </c>
      <c r="D93" s="175" t="s">
        <v>647</v>
      </c>
      <c r="E93" s="175" t="s">
        <v>648</v>
      </c>
      <c r="F93" s="175" t="s">
        <v>649</v>
      </c>
      <c r="G93" s="175" t="s">
        <v>120</v>
      </c>
      <c r="H93" s="175" t="s">
        <v>691</v>
      </c>
      <c r="I93" s="167" t="s">
        <v>684</v>
      </c>
      <c r="J93" s="164"/>
      <c r="K93" s="164" t="s">
        <v>692</v>
      </c>
      <c r="L93" s="164">
        <v>12</v>
      </c>
      <c r="M93" s="164">
        <v>720</v>
      </c>
      <c r="N93" s="172">
        <v>7.15</v>
      </c>
      <c r="O93" s="171">
        <f>N93*M93*L93</f>
        <v>61776</v>
      </c>
      <c r="P93" s="701"/>
    </row>
    <row r="94" spans="1:16" ht="18" customHeight="1" x14ac:dyDescent="0.3">
      <c r="A94" s="1" t="s">
        <v>298</v>
      </c>
      <c r="B94" s="1">
        <v>500</v>
      </c>
      <c r="C94" s="1">
        <v>200</v>
      </c>
      <c r="D94" s="70">
        <v>200</v>
      </c>
      <c r="E94" s="1">
        <v>330</v>
      </c>
      <c r="I94" s="167"/>
      <c r="J94" s="170"/>
      <c r="K94" s="170"/>
      <c r="L94" s="170"/>
      <c r="M94" s="170" t="s">
        <v>686</v>
      </c>
      <c r="N94" s="164"/>
      <c r="O94" s="165"/>
      <c r="P94" s="701"/>
    </row>
    <row r="95" spans="1:16" ht="14.25" customHeight="1" x14ac:dyDescent="0.3">
      <c r="A95" s="174" t="s">
        <v>651</v>
      </c>
      <c r="C95" s="1">
        <v>100</v>
      </c>
      <c r="D95" s="70">
        <v>100</v>
      </c>
      <c r="I95" s="160"/>
      <c r="J95" s="160"/>
      <c r="K95" s="160"/>
      <c r="L95" s="160"/>
      <c r="M95" s="160"/>
      <c r="N95" s="160"/>
      <c r="O95" s="160"/>
      <c r="P95" s="701"/>
    </row>
    <row r="96" spans="1:16" ht="14.25" customHeight="1" x14ac:dyDescent="0.3">
      <c r="A96" s="174" t="s">
        <v>652</v>
      </c>
      <c r="B96" s="1">
        <v>200</v>
      </c>
      <c r="C96" s="1">
        <v>100</v>
      </c>
      <c r="D96" s="70">
        <v>100</v>
      </c>
      <c r="I96" s="160"/>
      <c r="J96" s="168"/>
      <c r="K96" s="168"/>
      <c r="L96" s="168"/>
      <c r="M96" s="168"/>
      <c r="N96" s="158"/>
      <c r="O96" s="158"/>
      <c r="P96" s="701"/>
    </row>
    <row r="97" spans="1:16" ht="18" customHeight="1" x14ac:dyDescent="0.3">
      <c r="A97" s="1" t="s">
        <v>653</v>
      </c>
      <c r="B97" s="70">
        <v>300</v>
      </c>
      <c r="C97" s="1">
        <v>100</v>
      </c>
      <c r="D97" s="70">
        <v>100</v>
      </c>
      <c r="I97" s="160"/>
      <c r="J97" s="169"/>
      <c r="K97" s="169"/>
      <c r="L97" s="169"/>
      <c r="M97" s="169"/>
      <c r="N97" s="168"/>
      <c r="O97" s="168"/>
      <c r="P97" s="701"/>
    </row>
    <row r="98" spans="1:16" ht="14.25" customHeight="1" x14ac:dyDescent="0.3">
      <c r="A98" s="1" t="s">
        <v>654</v>
      </c>
      <c r="B98" s="70">
        <v>330</v>
      </c>
    </row>
    <row r="99" spans="1:16" ht="30" customHeight="1" x14ac:dyDescent="0.3">
      <c r="A99" s="174" t="s">
        <v>655</v>
      </c>
      <c r="I99" s="155" t="s">
        <v>49</v>
      </c>
      <c r="J99" s="153" t="s">
        <v>626</v>
      </c>
      <c r="K99" s="153" t="s">
        <v>627</v>
      </c>
      <c r="L99" s="154" t="s">
        <v>672</v>
      </c>
      <c r="M99" s="153" t="s">
        <v>682</v>
      </c>
      <c r="N99" s="152" t="s">
        <v>186</v>
      </c>
    </row>
    <row r="100" spans="1:16" ht="15" customHeight="1" x14ac:dyDescent="0.3">
      <c r="A100" s="1" t="s">
        <v>656</v>
      </c>
      <c r="B100" s="70"/>
      <c r="I100" s="148"/>
      <c r="J100" s="151"/>
      <c r="K100" s="151"/>
      <c r="L100" s="151"/>
      <c r="M100" s="150"/>
      <c r="N100" s="149"/>
      <c r="O100" s="701" t="s">
        <v>693</v>
      </c>
    </row>
    <row r="101" spans="1:16" ht="14.25" customHeight="1" x14ac:dyDescent="0.3">
      <c r="A101" s="1" t="s">
        <v>657</v>
      </c>
      <c r="B101" s="70">
        <v>400</v>
      </c>
      <c r="I101" s="148" t="s">
        <v>684</v>
      </c>
      <c r="J101" s="147"/>
      <c r="K101" s="147" t="s">
        <v>692</v>
      </c>
      <c r="L101" s="146">
        <v>25000</v>
      </c>
      <c r="M101" s="145">
        <v>0.25</v>
      </c>
      <c r="N101" s="144">
        <f>M101*L101</f>
        <v>6250</v>
      </c>
      <c r="O101" s="701"/>
    </row>
    <row r="102" spans="1:16" ht="18" customHeight="1" x14ac:dyDescent="0.3">
      <c r="A102" s="174" t="s">
        <v>658</v>
      </c>
      <c r="I102" s="143"/>
      <c r="J102" s="142"/>
      <c r="K102" s="142"/>
      <c r="L102" s="142"/>
      <c r="M102" s="141"/>
      <c r="N102" s="95"/>
      <c r="O102" s="701"/>
    </row>
    <row r="103" spans="1:16" ht="14.25" customHeight="1" x14ac:dyDescent="0.3">
      <c r="A103" s="174" t="s">
        <v>659</v>
      </c>
      <c r="O103" s="701"/>
    </row>
    <row r="104" spans="1:16" ht="24.75" customHeight="1" x14ac:dyDescent="0.3">
      <c r="O104" s="701"/>
    </row>
    <row r="106" spans="1:16" ht="14.25" customHeight="1" x14ac:dyDescent="0.3">
      <c r="H106" s="1" t="s">
        <v>694</v>
      </c>
      <c r="I106" s="1">
        <f>I104*6</f>
        <v>0</v>
      </c>
    </row>
    <row r="116" spans="1:8" ht="14.25" customHeight="1" x14ac:dyDescent="0.3">
      <c r="A116" s="700"/>
    </row>
    <row r="117" spans="1:8" ht="52.5" customHeight="1" x14ac:dyDescent="0.3">
      <c r="A117" s="700"/>
    </row>
    <row r="118" spans="1:8" ht="15" customHeight="1" x14ac:dyDescent="0.3">
      <c r="A118" s="162" t="s">
        <v>49</v>
      </c>
      <c r="B118" s="162" t="s">
        <v>626</v>
      </c>
      <c r="C118" s="162" t="s">
        <v>627</v>
      </c>
      <c r="D118" s="162" t="s">
        <v>628</v>
      </c>
      <c r="E118" s="162" t="s">
        <v>670</v>
      </c>
      <c r="F118" s="162" t="s">
        <v>682</v>
      </c>
      <c r="G118" s="173" t="s">
        <v>186</v>
      </c>
      <c r="H118" s="701" t="s">
        <v>695</v>
      </c>
    </row>
    <row r="119" spans="1:8" ht="14.25" customHeight="1" x14ac:dyDescent="0.3">
      <c r="A119" s="167"/>
      <c r="B119" s="167"/>
      <c r="C119" s="167"/>
      <c r="D119" s="167"/>
      <c r="E119" s="167"/>
      <c r="F119" s="167"/>
      <c r="G119" s="166"/>
      <c r="H119" s="701"/>
    </row>
    <row r="120" spans="1:8" ht="14.25" customHeight="1" x14ac:dyDescent="0.3">
      <c r="A120" s="167" t="s">
        <v>696</v>
      </c>
      <c r="B120" s="164"/>
      <c r="C120" s="164" t="s">
        <v>697</v>
      </c>
      <c r="D120" s="164">
        <v>12</v>
      </c>
      <c r="E120" s="164">
        <v>190</v>
      </c>
      <c r="F120" s="172">
        <v>17.3</v>
      </c>
      <c r="G120" s="171">
        <f>F120*E120*D120</f>
        <v>39444</v>
      </c>
      <c r="H120" s="701"/>
    </row>
    <row r="121" spans="1:8" ht="18" customHeight="1" x14ac:dyDescent="0.3">
      <c r="A121" s="167"/>
      <c r="B121" s="170"/>
      <c r="C121" s="170"/>
      <c r="D121" s="170"/>
      <c r="E121" s="170" t="s">
        <v>464</v>
      </c>
      <c r="F121" s="164"/>
      <c r="G121" s="165"/>
      <c r="H121" s="701"/>
    </row>
    <row r="122" spans="1:8" ht="14.25" customHeight="1" x14ac:dyDescent="0.3">
      <c r="A122" s="167" t="s">
        <v>698</v>
      </c>
      <c r="B122" s="164"/>
      <c r="C122" s="164" t="s">
        <v>697</v>
      </c>
      <c r="D122" s="164">
        <v>12</v>
      </c>
      <c r="E122" s="164">
        <v>190</v>
      </c>
      <c r="F122" s="172">
        <v>18.5</v>
      </c>
      <c r="G122" s="171">
        <f>F122*E122*D122</f>
        <v>42180</v>
      </c>
      <c r="H122" s="701"/>
    </row>
    <row r="123" spans="1:8" ht="18" customHeight="1" x14ac:dyDescent="0.3">
      <c r="A123" s="167"/>
      <c r="B123" s="170"/>
      <c r="C123" s="170"/>
      <c r="D123" s="170"/>
      <c r="E123" s="170" t="s">
        <v>464</v>
      </c>
      <c r="F123" s="164"/>
      <c r="G123" s="165"/>
      <c r="H123" s="701"/>
    </row>
    <row r="124" spans="1:8" ht="18" customHeight="1" x14ac:dyDescent="0.3">
      <c r="A124" s="160"/>
      <c r="B124" s="169"/>
      <c r="C124" s="169"/>
      <c r="D124" s="169"/>
      <c r="E124" s="169"/>
      <c r="F124" s="168"/>
      <c r="G124" s="168"/>
      <c r="H124" s="701"/>
    </row>
    <row r="126" spans="1:8" ht="30" customHeight="1" x14ac:dyDescent="0.3">
      <c r="A126" s="155" t="s">
        <v>49</v>
      </c>
      <c r="B126" s="153" t="s">
        <v>626</v>
      </c>
      <c r="C126" s="153" t="s">
        <v>627</v>
      </c>
      <c r="D126" s="154" t="s">
        <v>672</v>
      </c>
      <c r="E126" s="153" t="s">
        <v>682</v>
      </c>
      <c r="F126" s="152" t="s">
        <v>186</v>
      </c>
    </row>
    <row r="127" spans="1:8" ht="15" customHeight="1" x14ac:dyDescent="0.3">
      <c r="A127" s="148"/>
      <c r="B127" s="151"/>
      <c r="C127" s="151"/>
      <c r="D127" s="151"/>
      <c r="E127" s="150"/>
      <c r="F127" s="149"/>
      <c r="G127" s="701" t="s">
        <v>693</v>
      </c>
    </row>
    <row r="128" spans="1:8" ht="14.25" customHeight="1" x14ac:dyDescent="0.3">
      <c r="A128" s="167" t="s">
        <v>696</v>
      </c>
      <c r="B128" s="165"/>
      <c r="C128" s="164" t="s">
        <v>697</v>
      </c>
      <c r="D128" s="164">
        <v>20000</v>
      </c>
      <c r="E128" s="163">
        <v>0.55000000000000004</v>
      </c>
      <c r="F128" s="163">
        <f>E128*D128</f>
        <v>11000</v>
      </c>
      <c r="G128" s="701"/>
    </row>
    <row r="129" spans="1:8" ht="14.25" customHeight="1" x14ac:dyDescent="0.3">
      <c r="A129" s="148"/>
      <c r="B129" s="151"/>
      <c r="C129" s="151"/>
      <c r="D129" s="151"/>
      <c r="E129" s="150"/>
      <c r="F129" s="149"/>
      <c r="G129" s="701"/>
    </row>
    <row r="130" spans="1:8" ht="14.25" customHeight="1" x14ac:dyDescent="0.3">
      <c r="A130" s="166" t="s">
        <v>543</v>
      </c>
      <c r="B130" s="165"/>
      <c r="C130" s="164" t="s">
        <v>697</v>
      </c>
      <c r="D130" s="164">
        <v>20000</v>
      </c>
      <c r="E130" s="163">
        <v>0.55000000000000004</v>
      </c>
      <c r="F130" s="163">
        <f>E130*D130</f>
        <v>11000</v>
      </c>
      <c r="G130" s="701"/>
    </row>
    <row r="131" spans="1:8" ht="18" customHeight="1" x14ac:dyDescent="0.3">
      <c r="A131" s="143"/>
      <c r="B131" s="142"/>
      <c r="C131" s="142"/>
      <c r="D131" s="142"/>
      <c r="E131" s="141"/>
      <c r="F131" s="115"/>
    </row>
    <row r="134" spans="1:8" ht="14.25" customHeight="1" x14ac:dyDescent="0.3">
      <c r="A134" s="700"/>
      <c r="B134" s="700"/>
      <c r="C134" s="700"/>
      <c r="D134" s="700"/>
      <c r="E134" s="700"/>
      <c r="F134" s="700"/>
      <c r="G134" s="700"/>
      <c r="H134" s="700"/>
    </row>
    <row r="135" spans="1:8" ht="78.75" customHeight="1" x14ac:dyDescent="0.3">
      <c r="A135" s="700"/>
      <c r="B135" s="700"/>
      <c r="C135" s="700"/>
      <c r="D135" s="700"/>
      <c r="E135" s="700"/>
      <c r="F135" s="700"/>
      <c r="G135" s="700"/>
      <c r="H135" s="700"/>
    </row>
    <row r="136" spans="1:8" ht="15" customHeight="1" x14ac:dyDescent="0.3">
      <c r="A136" s="162" t="s">
        <v>49</v>
      </c>
      <c r="B136" s="152" t="s">
        <v>626</v>
      </c>
      <c r="C136" s="152" t="s">
        <v>627</v>
      </c>
      <c r="D136" s="152" t="s">
        <v>628</v>
      </c>
      <c r="E136" s="152" t="s">
        <v>670</v>
      </c>
      <c r="F136" s="152" t="s">
        <v>629</v>
      </c>
      <c r="G136" s="161" t="s">
        <v>186</v>
      </c>
      <c r="H136" s="708" t="s">
        <v>699</v>
      </c>
    </row>
    <row r="137" spans="1:8" ht="14.25" customHeight="1" x14ac:dyDescent="0.3">
      <c r="A137" s="148"/>
      <c r="B137" s="151"/>
      <c r="C137" s="151"/>
      <c r="D137" s="151"/>
      <c r="E137" s="151"/>
      <c r="F137" s="151"/>
      <c r="G137" s="160"/>
      <c r="H137" s="708"/>
    </row>
    <row r="138" spans="1:8" ht="14.25" customHeight="1" x14ac:dyDescent="0.3">
      <c r="A138" s="148" t="s">
        <v>634</v>
      </c>
      <c r="B138" s="147">
        <v>15179090</v>
      </c>
      <c r="C138" s="147" t="s">
        <v>10</v>
      </c>
      <c r="D138" s="147">
        <v>12</v>
      </c>
      <c r="E138" s="147">
        <v>475</v>
      </c>
      <c r="F138" s="159">
        <v>19.100000000000001</v>
      </c>
      <c r="G138" s="158">
        <f>F138*E138*12</f>
        <v>108870</v>
      </c>
      <c r="H138" s="708"/>
    </row>
    <row r="139" spans="1:8" ht="18" customHeight="1" x14ac:dyDescent="0.3">
      <c r="A139" s="143"/>
      <c r="B139" s="142"/>
      <c r="C139" s="142"/>
      <c r="D139" s="142"/>
      <c r="E139" s="142" t="s">
        <v>700</v>
      </c>
      <c r="F139" s="157"/>
      <c r="G139" s="156"/>
      <c r="H139" s="708"/>
    </row>
    <row r="140" spans="1:8" ht="14.25" customHeight="1" x14ac:dyDescent="0.3">
      <c r="A140" s="709"/>
      <c r="B140" s="709"/>
      <c r="C140" s="709"/>
      <c r="D140" s="709"/>
      <c r="E140" s="709"/>
      <c r="F140" s="709"/>
      <c r="G140" s="709"/>
      <c r="H140" s="708"/>
    </row>
    <row r="141" spans="1:8" ht="30" customHeight="1" x14ac:dyDescent="0.3">
      <c r="A141" s="155" t="s">
        <v>49</v>
      </c>
      <c r="B141" s="153" t="s">
        <v>626</v>
      </c>
      <c r="C141" s="153" t="s">
        <v>627</v>
      </c>
      <c r="D141" s="154" t="s">
        <v>701</v>
      </c>
      <c r="E141" s="153" t="s">
        <v>629</v>
      </c>
      <c r="F141" s="152" t="s">
        <v>186</v>
      </c>
      <c r="G141" s="709"/>
      <c r="H141" s="94"/>
    </row>
    <row r="142" spans="1:8" ht="15" customHeight="1" x14ac:dyDescent="0.3">
      <c r="A142" s="148"/>
      <c r="B142" s="151"/>
      <c r="C142" s="151"/>
      <c r="D142" s="151"/>
      <c r="E142" s="150"/>
      <c r="F142" s="149"/>
      <c r="G142" s="701" t="s">
        <v>673</v>
      </c>
      <c r="H142" s="705" t="s">
        <v>702</v>
      </c>
    </row>
    <row r="143" spans="1:8" ht="14.25" customHeight="1" x14ac:dyDescent="0.3">
      <c r="A143" s="148" t="s">
        <v>634</v>
      </c>
      <c r="B143" s="147">
        <v>15179090</v>
      </c>
      <c r="C143" s="147" t="s">
        <v>10</v>
      </c>
      <c r="D143" s="146">
        <v>25000</v>
      </c>
      <c r="E143" s="145">
        <v>0.45</v>
      </c>
      <c r="F143" s="144">
        <f>E143*D143</f>
        <v>11250</v>
      </c>
      <c r="G143" s="701"/>
      <c r="H143" s="701"/>
    </row>
    <row r="144" spans="1:8" ht="18" customHeight="1" x14ac:dyDescent="0.3">
      <c r="A144" s="143"/>
      <c r="B144" s="142"/>
      <c r="C144" s="142"/>
      <c r="D144" s="142"/>
      <c r="E144" s="141"/>
      <c r="F144" s="95"/>
      <c r="G144" s="701"/>
      <c r="H144" s="705"/>
    </row>
    <row r="145" spans="1:8" ht="14.25" customHeight="1" x14ac:dyDescent="0.3">
      <c r="A145" s="706"/>
      <c r="B145" s="706"/>
      <c r="C145" s="706"/>
      <c r="D145" s="706"/>
      <c r="E145" s="706"/>
      <c r="F145" s="706"/>
      <c r="G145" s="701"/>
      <c r="H145" s="707"/>
    </row>
    <row r="146" spans="1:8" ht="14.25" customHeight="1" x14ac:dyDescent="0.3">
      <c r="A146" s="706"/>
      <c r="B146" s="706"/>
      <c r="C146" s="706"/>
      <c r="D146" s="706"/>
      <c r="E146" s="706"/>
      <c r="F146" s="706"/>
      <c r="G146" s="701"/>
      <c r="H146" s="707"/>
    </row>
    <row r="147" spans="1:8" ht="14.25" customHeight="1" x14ac:dyDescent="0.3">
      <c r="A147" s="706"/>
      <c r="B147" s="706"/>
      <c r="C147" s="706"/>
      <c r="D147" s="706"/>
      <c r="E147" s="706"/>
      <c r="F147" s="706"/>
      <c r="G147" s="701"/>
      <c r="H147" s="707"/>
    </row>
    <row r="148" spans="1:8" ht="14.25" customHeight="1" x14ac:dyDescent="0.3">
      <c r="A148" s="706"/>
      <c r="B148" s="706"/>
      <c r="C148" s="706"/>
      <c r="D148" s="706"/>
      <c r="E148" s="706"/>
      <c r="F148" s="706"/>
      <c r="G148" s="701"/>
      <c r="H148" s="707"/>
    </row>
  </sheetData>
  <mergeCells count="33">
    <mergeCell ref="O100:O104"/>
    <mergeCell ref="A116:A117"/>
    <mergeCell ref="G142:G148"/>
    <mergeCell ref="H142:H144"/>
    <mergeCell ref="A145:F148"/>
    <mergeCell ref="H145:H148"/>
    <mergeCell ref="H118:H124"/>
    <mergeCell ref="G127:G130"/>
    <mergeCell ref="A134:A135"/>
    <mergeCell ref="B134:H135"/>
    <mergeCell ref="H136:H140"/>
    <mergeCell ref="A140:F140"/>
    <mergeCell ref="G140:G141"/>
    <mergeCell ref="S67:S72"/>
    <mergeCell ref="A75:A76"/>
    <mergeCell ref="H77:H80"/>
    <mergeCell ref="I77:I83"/>
    <mergeCell ref="H81:H83"/>
    <mergeCell ref="G86:G91"/>
    <mergeCell ref="I89:I90"/>
    <mergeCell ref="P91:P97"/>
    <mergeCell ref="A41:A42"/>
    <mergeCell ref="H43:H47"/>
    <mergeCell ref="G49:G55"/>
    <mergeCell ref="A56:A57"/>
    <mergeCell ref="H59:H64"/>
    <mergeCell ref="G67:G72"/>
    <mergeCell ref="A29:A30"/>
    <mergeCell ref="M30:M31"/>
    <mergeCell ref="I32:I34"/>
    <mergeCell ref="T33:T35"/>
    <mergeCell ref="I35:I39"/>
    <mergeCell ref="T36:T39"/>
  </mergeCells>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BEC3-9831-4122-BA4E-5BD10ECA4D15}">
  <dimension ref="A1:T252"/>
  <sheetViews>
    <sheetView showGridLines="0" topLeftCell="A133" zoomScaleNormal="100" workbookViewId="0">
      <selection activeCell="F150" sqref="F150:J150"/>
    </sheetView>
  </sheetViews>
  <sheetFormatPr defaultColWidth="8.5546875" defaultRowHeight="14.4" x14ac:dyDescent="0.3"/>
  <cols>
    <col min="1" max="1" width="12.5546875" style="62" customWidth="1"/>
    <col min="2" max="2" width="12.5546875" style="1" customWidth="1"/>
    <col min="3" max="3" width="8.5546875" style="1"/>
    <col min="4" max="4" width="5" style="1" customWidth="1"/>
    <col min="5" max="5" width="20.44140625" style="1" customWidth="1"/>
    <col min="6" max="9" width="8.5546875" style="1"/>
    <col min="10" max="10" width="6" style="1" customWidth="1"/>
    <col min="11" max="13" width="8.5546875" style="1"/>
    <col min="14" max="14" width="9.33203125" style="1" customWidth="1"/>
    <col min="15" max="15" width="16.33203125" style="1" customWidth="1"/>
    <col min="16" max="16" width="4.5546875" style="1" customWidth="1"/>
    <col min="17" max="17" width="9.44140625" style="1" customWidth="1"/>
    <col min="18" max="16384" width="8.5546875" style="1"/>
  </cols>
  <sheetData>
    <row r="1" spans="1:20" ht="15" customHeight="1" x14ac:dyDescent="0.3">
      <c r="A1" s="710" t="s">
        <v>703</v>
      </c>
      <c r="B1" s="710"/>
      <c r="C1" s="710"/>
      <c r="D1" s="710"/>
      <c r="E1" s="710"/>
      <c r="F1" s="710"/>
      <c r="G1" s="710"/>
      <c r="H1" s="710"/>
      <c r="I1" s="710"/>
      <c r="J1" s="710"/>
      <c r="K1" s="710"/>
      <c r="L1" s="710"/>
      <c r="M1" s="710"/>
      <c r="N1" s="710"/>
      <c r="O1" s="710"/>
      <c r="P1" s="710"/>
      <c r="Q1" s="199"/>
      <c r="R1" s="199"/>
      <c r="S1" s="199"/>
      <c r="T1" s="199"/>
    </row>
    <row r="2" spans="1:20" ht="15" customHeight="1" x14ac:dyDescent="0.3">
      <c r="A2" s="711"/>
      <c r="B2" s="710"/>
      <c r="C2" s="710"/>
      <c r="D2" s="710"/>
      <c r="E2" s="710"/>
      <c r="F2" s="710"/>
      <c r="G2" s="710"/>
      <c r="H2" s="710"/>
      <c r="I2" s="710"/>
      <c r="J2" s="710"/>
      <c r="K2" s="710"/>
      <c r="L2" s="710"/>
      <c r="M2" s="710"/>
      <c r="N2" s="710"/>
      <c r="O2" s="710"/>
      <c r="P2" s="710"/>
      <c r="Q2" s="199"/>
      <c r="R2" s="199"/>
      <c r="S2" s="199"/>
      <c r="T2" s="199"/>
    </row>
    <row r="3" spans="1:20" ht="19.5" customHeight="1" x14ac:dyDescent="0.3">
      <c r="A3" s="712" t="s">
        <v>704</v>
      </c>
      <c r="B3" s="713"/>
      <c r="C3" s="713"/>
      <c r="D3" s="713"/>
      <c r="E3" s="198" t="s">
        <v>705</v>
      </c>
      <c r="F3" s="713" t="s">
        <v>47</v>
      </c>
      <c r="G3" s="713"/>
      <c r="H3" s="713"/>
      <c r="I3" s="713"/>
      <c r="J3" s="713"/>
      <c r="K3" s="713" t="s">
        <v>49</v>
      </c>
      <c r="L3" s="713"/>
      <c r="M3" s="713"/>
      <c r="N3" s="713"/>
      <c r="O3" s="713" t="s">
        <v>706</v>
      </c>
      <c r="P3" s="713"/>
    </row>
    <row r="4" spans="1:20" ht="15.75" customHeight="1" x14ac:dyDescent="0.3">
      <c r="A4" s="714">
        <v>46027</v>
      </c>
      <c r="B4" s="715"/>
      <c r="C4" s="715"/>
      <c r="D4" s="715"/>
      <c r="E4" s="189" t="s">
        <v>707</v>
      </c>
      <c r="F4" s="716" t="s">
        <v>708</v>
      </c>
      <c r="G4" s="716"/>
      <c r="H4" s="716"/>
      <c r="I4" s="716"/>
      <c r="J4" s="716"/>
      <c r="K4" s="717" t="s">
        <v>709</v>
      </c>
      <c r="L4" s="717"/>
      <c r="M4" s="717"/>
      <c r="N4" s="717"/>
      <c r="O4" s="197">
        <f>210+701</f>
        <v>911</v>
      </c>
      <c r="P4" s="186" t="s">
        <v>650</v>
      </c>
    </row>
    <row r="5" spans="1:20" ht="15.75" customHeight="1" x14ac:dyDescent="0.3">
      <c r="A5" s="714">
        <v>46028</v>
      </c>
      <c r="B5" s="715"/>
      <c r="C5" s="715"/>
      <c r="D5" s="715"/>
      <c r="E5" s="189">
        <v>2136</v>
      </c>
      <c r="F5" s="716" t="s">
        <v>710</v>
      </c>
      <c r="G5" s="716"/>
      <c r="H5" s="716"/>
      <c r="I5" s="716"/>
      <c r="J5" s="716"/>
      <c r="K5" s="717" t="s">
        <v>709</v>
      </c>
      <c r="L5" s="717"/>
      <c r="M5" s="717"/>
      <c r="N5" s="717"/>
      <c r="O5" s="197">
        <v>470</v>
      </c>
      <c r="P5" s="186" t="s">
        <v>650</v>
      </c>
    </row>
    <row r="6" spans="1:20" ht="15.75" customHeight="1" x14ac:dyDescent="0.3">
      <c r="A6" s="714">
        <v>46029</v>
      </c>
      <c r="B6" s="715"/>
      <c r="C6" s="715"/>
      <c r="D6" s="715"/>
      <c r="E6" s="189" t="s">
        <v>711</v>
      </c>
      <c r="F6" s="716" t="s">
        <v>712</v>
      </c>
      <c r="G6" s="716"/>
      <c r="H6" s="716"/>
      <c r="I6" s="716"/>
      <c r="J6" s="716"/>
      <c r="K6" s="717" t="s">
        <v>709</v>
      </c>
      <c r="L6" s="717"/>
      <c r="M6" s="717"/>
      <c r="N6" s="717"/>
      <c r="O6" s="197">
        <f>800+330+500</f>
        <v>1630</v>
      </c>
      <c r="P6" s="186" t="s">
        <v>650</v>
      </c>
    </row>
    <row r="7" spans="1:20" ht="15.75" customHeight="1" x14ac:dyDescent="0.3">
      <c r="A7" s="714">
        <v>46030</v>
      </c>
      <c r="B7" s="715"/>
      <c r="C7" s="715"/>
      <c r="D7" s="715"/>
      <c r="E7" s="189" t="s">
        <v>713</v>
      </c>
      <c r="F7" s="716" t="s">
        <v>714</v>
      </c>
      <c r="G7" s="716"/>
      <c r="H7" s="716"/>
      <c r="I7" s="716"/>
      <c r="J7" s="716"/>
      <c r="K7" s="717" t="s">
        <v>709</v>
      </c>
      <c r="L7" s="717"/>
      <c r="M7" s="717"/>
      <c r="N7" s="717"/>
      <c r="O7" s="197">
        <f>800+350+430</f>
        <v>1580</v>
      </c>
      <c r="P7" s="186" t="s">
        <v>650</v>
      </c>
    </row>
    <row r="8" spans="1:20" ht="15.75" customHeight="1" x14ac:dyDescent="0.3">
      <c r="A8" s="714">
        <v>46031</v>
      </c>
      <c r="B8" s="715"/>
      <c r="C8" s="715"/>
      <c r="D8" s="715"/>
      <c r="E8" s="189" t="s">
        <v>715</v>
      </c>
      <c r="F8" s="716" t="s">
        <v>716</v>
      </c>
      <c r="G8" s="716"/>
      <c r="H8" s="716"/>
      <c r="I8" s="716"/>
      <c r="J8" s="716"/>
      <c r="K8" s="717" t="s">
        <v>709</v>
      </c>
      <c r="L8" s="717"/>
      <c r="M8" s="717"/>
      <c r="N8" s="717"/>
      <c r="O8" s="197">
        <f>630+810</f>
        <v>1440</v>
      </c>
      <c r="P8" s="186" t="s">
        <v>650</v>
      </c>
    </row>
    <row r="9" spans="1:20" ht="15.75" customHeight="1" x14ac:dyDescent="0.3">
      <c r="A9" s="714">
        <v>46034</v>
      </c>
      <c r="B9" s="715"/>
      <c r="C9" s="715"/>
      <c r="D9" s="715"/>
      <c r="E9" s="189" t="s">
        <v>717</v>
      </c>
      <c r="F9" s="716" t="s">
        <v>718</v>
      </c>
      <c r="G9" s="716"/>
      <c r="H9" s="716"/>
      <c r="I9" s="716"/>
      <c r="J9" s="716"/>
      <c r="K9" s="717" t="s">
        <v>709</v>
      </c>
      <c r="L9" s="717"/>
      <c r="M9" s="717"/>
      <c r="N9" s="717"/>
      <c r="O9" s="197">
        <f>460+280</f>
        <v>740</v>
      </c>
      <c r="P9" s="186" t="s">
        <v>650</v>
      </c>
    </row>
    <row r="10" spans="1:20" ht="15.75" customHeight="1" x14ac:dyDescent="0.3">
      <c r="A10" s="714">
        <v>46035</v>
      </c>
      <c r="B10" s="715"/>
      <c r="C10" s="715"/>
      <c r="D10" s="715"/>
      <c r="E10" s="189">
        <v>2154</v>
      </c>
      <c r="F10" s="716" t="s">
        <v>719</v>
      </c>
      <c r="G10" s="716"/>
      <c r="H10" s="716"/>
      <c r="I10" s="716"/>
      <c r="J10" s="716"/>
      <c r="K10" s="717" t="s">
        <v>709</v>
      </c>
      <c r="L10" s="717"/>
      <c r="M10" s="717"/>
      <c r="N10" s="717"/>
      <c r="O10" s="197">
        <f>230+650</f>
        <v>880</v>
      </c>
      <c r="P10" s="186" t="s">
        <v>650</v>
      </c>
    </row>
    <row r="11" spans="1:20" ht="15.75" customHeight="1" x14ac:dyDescent="0.3">
      <c r="A11" s="714">
        <v>46038</v>
      </c>
      <c r="B11" s="715"/>
      <c r="C11" s="715"/>
      <c r="D11" s="715"/>
      <c r="E11" s="189" t="s">
        <v>720</v>
      </c>
      <c r="F11" s="716" t="s">
        <v>721</v>
      </c>
      <c r="G11" s="716"/>
      <c r="H11" s="716"/>
      <c r="I11" s="716"/>
      <c r="J11" s="716"/>
      <c r="K11" s="717" t="s">
        <v>709</v>
      </c>
      <c r="L11" s="717"/>
      <c r="M11" s="717"/>
      <c r="N11" s="717"/>
      <c r="O11" s="197">
        <f>800*2</f>
        <v>1600</v>
      </c>
      <c r="P11" s="186" t="s">
        <v>650</v>
      </c>
    </row>
    <row r="12" spans="1:20" ht="15.75" customHeight="1" x14ac:dyDescent="0.3">
      <c r="A12" s="714">
        <v>46039</v>
      </c>
      <c r="B12" s="715"/>
      <c r="C12" s="715"/>
      <c r="D12" s="715"/>
      <c r="E12" s="189">
        <v>2163</v>
      </c>
      <c r="F12" s="716" t="s">
        <v>722</v>
      </c>
      <c r="G12" s="716"/>
      <c r="H12" s="716"/>
      <c r="I12" s="716"/>
      <c r="J12" s="716"/>
      <c r="K12" s="717" t="s">
        <v>709</v>
      </c>
      <c r="L12" s="717"/>
      <c r="M12" s="717"/>
      <c r="N12" s="717"/>
      <c r="O12" s="197">
        <v>600</v>
      </c>
      <c r="P12" s="186" t="s">
        <v>650</v>
      </c>
    </row>
    <row r="13" spans="1:20" ht="15.75" customHeight="1" x14ac:dyDescent="0.3">
      <c r="A13" s="714">
        <v>46041</v>
      </c>
      <c r="B13" s="715"/>
      <c r="C13" s="715"/>
      <c r="D13" s="715"/>
      <c r="E13" s="189" t="s">
        <v>723</v>
      </c>
      <c r="F13" s="716" t="s">
        <v>724</v>
      </c>
      <c r="G13" s="716"/>
      <c r="H13" s="716"/>
      <c r="I13" s="716"/>
      <c r="J13" s="716"/>
      <c r="K13" s="717" t="s">
        <v>709</v>
      </c>
      <c r="L13" s="717"/>
      <c r="M13" s="717"/>
      <c r="N13" s="717"/>
      <c r="O13" s="197">
        <f>650+670</f>
        <v>1320</v>
      </c>
      <c r="P13" s="186" t="s">
        <v>650</v>
      </c>
    </row>
    <row r="14" spans="1:20" ht="15.75" customHeight="1" x14ac:dyDescent="0.3">
      <c r="A14" s="714">
        <v>46042</v>
      </c>
      <c r="B14" s="715"/>
      <c r="C14" s="715"/>
      <c r="D14" s="715"/>
      <c r="E14" s="189">
        <v>2169</v>
      </c>
      <c r="F14" s="716" t="s">
        <v>725</v>
      </c>
      <c r="G14" s="716"/>
      <c r="H14" s="716"/>
      <c r="I14" s="716"/>
      <c r="J14" s="716"/>
      <c r="K14" s="717" t="s">
        <v>709</v>
      </c>
      <c r="L14" s="717"/>
      <c r="M14" s="717"/>
      <c r="N14" s="717"/>
      <c r="O14" s="197">
        <v>550</v>
      </c>
      <c r="P14" s="186" t="s">
        <v>650</v>
      </c>
    </row>
    <row r="15" spans="1:20" ht="15.75" customHeight="1" x14ac:dyDescent="0.3">
      <c r="A15" s="714">
        <v>46043</v>
      </c>
      <c r="B15" s="715"/>
      <c r="C15" s="715"/>
      <c r="D15" s="715"/>
      <c r="E15" s="189">
        <v>2173</v>
      </c>
      <c r="F15" s="716" t="s">
        <v>726</v>
      </c>
      <c r="G15" s="716"/>
      <c r="H15" s="716"/>
      <c r="I15" s="716"/>
      <c r="J15" s="716"/>
      <c r="K15" s="717" t="s">
        <v>709</v>
      </c>
      <c r="L15" s="717"/>
      <c r="M15" s="717"/>
      <c r="N15" s="717"/>
      <c r="O15" s="197">
        <v>470</v>
      </c>
      <c r="P15" s="186" t="s">
        <v>650</v>
      </c>
    </row>
    <row r="16" spans="1:20" ht="15.75" customHeight="1" x14ac:dyDescent="0.3">
      <c r="A16" s="714">
        <v>46048</v>
      </c>
      <c r="B16" s="715"/>
      <c r="C16" s="715"/>
      <c r="D16" s="715"/>
      <c r="E16" s="189">
        <v>2180</v>
      </c>
      <c r="F16" s="716" t="s">
        <v>727</v>
      </c>
      <c r="G16" s="716"/>
      <c r="H16" s="716"/>
      <c r="I16" s="716"/>
      <c r="J16" s="716"/>
      <c r="K16" s="717" t="s">
        <v>709</v>
      </c>
      <c r="L16" s="717"/>
      <c r="M16" s="717"/>
      <c r="N16" s="717"/>
      <c r="O16" s="197">
        <v>490</v>
      </c>
      <c r="P16" s="186" t="s">
        <v>650</v>
      </c>
    </row>
    <row r="17" spans="1:17" ht="15.75" customHeight="1" x14ac:dyDescent="0.3">
      <c r="A17" s="714">
        <v>46049</v>
      </c>
      <c r="B17" s="715"/>
      <c r="C17" s="715"/>
      <c r="D17" s="715"/>
      <c r="E17" s="189" t="s">
        <v>728</v>
      </c>
      <c r="F17" s="716" t="s">
        <v>729</v>
      </c>
      <c r="G17" s="716"/>
      <c r="H17" s="716"/>
      <c r="I17" s="716"/>
      <c r="J17" s="716"/>
      <c r="K17" s="717" t="s">
        <v>709</v>
      </c>
      <c r="L17" s="717"/>
      <c r="M17" s="717"/>
      <c r="N17" s="717"/>
      <c r="O17" s="197">
        <f>640+560</f>
        <v>1200</v>
      </c>
      <c r="P17" s="186" t="s">
        <v>650</v>
      </c>
    </row>
    <row r="18" spans="1:17" ht="15.75" customHeight="1" x14ac:dyDescent="0.3">
      <c r="A18" s="714">
        <v>46051</v>
      </c>
      <c r="B18" s="715"/>
      <c r="C18" s="715"/>
      <c r="D18" s="715"/>
      <c r="E18" s="189" t="s">
        <v>730</v>
      </c>
      <c r="F18" s="716" t="s">
        <v>731</v>
      </c>
      <c r="G18" s="716"/>
      <c r="H18" s="716"/>
      <c r="I18" s="716"/>
      <c r="J18" s="716"/>
      <c r="K18" s="717" t="s">
        <v>709</v>
      </c>
      <c r="L18" s="717"/>
      <c r="M18" s="717"/>
      <c r="N18" s="717"/>
      <c r="O18" s="197">
        <f>748+270</f>
        <v>1018</v>
      </c>
      <c r="P18" s="186" t="s">
        <v>650</v>
      </c>
    </row>
    <row r="19" spans="1:17" ht="15.75" customHeight="1" x14ac:dyDescent="0.3">
      <c r="A19" s="714">
        <v>46052</v>
      </c>
      <c r="B19" s="715"/>
      <c r="C19" s="715"/>
      <c r="D19" s="715"/>
      <c r="E19" s="189" t="s">
        <v>732</v>
      </c>
      <c r="F19" s="716" t="s">
        <v>733</v>
      </c>
      <c r="G19" s="716"/>
      <c r="H19" s="716"/>
      <c r="I19" s="716"/>
      <c r="J19" s="716"/>
      <c r="K19" s="717" t="s">
        <v>709</v>
      </c>
      <c r="L19" s="717"/>
      <c r="M19" s="717"/>
      <c r="N19" s="717"/>
      <c r="O19" s="197">
        <f>800+800</f>
        <v>1600</v>
      </c>
      <c r="P19" s="186" t="s">
        <v>650</v>
      </c>
      <c r="Q19" s="190">
        <f>SUMIFS($O:$O,$A:$A,"&gt;="&amp;DATE(2026,1,1),$A:$A,"&lt;"&amp;DATE(2026,2,1))</f>
        <v>17099</v>
      </c>
    </row>
    <row r="20" spans="1:17" ht="15.75" customHeight="1" x14ac:dyDescent="0.3">
      <c r="A20" s="714">
        <v>46053</v>
      </c>
      <c r="B20" s="715"/>
      <c r="C20" s="715"/>
      <c r="D20" s="715"/>
      <c r="E20" s="189">
        <v>2194</v>
      </c>
      <c r="F20" s="716" t="s">
        <v>734</v>
      </c>
      <c r="G20" s="716"/>
      <c r="H20" s="716"/>
      <c r="I20" s="716"/>
      <c r="J20" s="716"/>
      <c r="K20" s="717" t="s">
        <v>709</v>
      </c>
      <c r="L20" s="717"/>
      <c r="M20" s="717"/>
      <c r="N20" s="717"/>
      <c r="O20" s="197">
        <v>600</v>
      </c>
      <c r="P20" s="186" t="s">
        <v>650</v>
      </c>
    </row>
    <row r="21" spans="1:17" ht="16.5" customHeight="1" x14ac:dyDescent="0.3">
      <c r="A21" s="714">
        <v>46055</v>
      </c>
      <c r="B21" s="715"/>
      <c r="C21" s="715"/>
      <c r="D21" s="715"/>
      <c r="E21" s="189" t="s">
        <v>735</v>
      </c>
      <c r="F21" s="716" t="s">
        <v>736</v>
      </c>
      <c r="G21" s="716"/>
      <c r="H21" s="716"/>
      <c r="I21" s="716"/>
      <c r="J21" s="716"/>
      <c r="K21" s="717" t="s">
        <v>709</v>
      </c>
      <c r="L21" s="717"/>
      <c r="M21" s="717"/>
      <c r="N21" s="717"/>
      <c r="O21" s="197">
        <f>560+630</f>
        <v>1190</v>
      </c>
      <c r="P21" s="186" t="s">
        <v>650</v>
      </c>
    </row>
    <row r="22" spans="1:17" ht="15.75" customHeight="1" x14ac:dyDescent="0.3">
      <c r="A22" s="714">
        <v>46056</v>
      </c>
      <c r="B22" s="715"/>
      <c r="C22" s="715"/>
      <c r="D22" s="715"/>
      <c r="E22" s="189" t="s">
        <v>737</v>
      </c>
      <c r="F22" s="716" t="s">
        <v>738</v>
      </c>
      <c r="G22" s="716"/>
      <c r="H22" s="716"/>
      <c r="I22" s="716"/>
      <c r="J22" s="716"/>
      <c r="K22" s="717" t="s">
        <v>709</v>
      </c>
      <c r="L22" s="717"/>
      <c r="M22" s="717"/>
      <c r="N22" s="717"/>
      <c r="O22" s="197">
        <f>700+800</f>
        <v>1500</v>
      </c>
      <c r="P22" s="186" t="s">
        <v>650</v>
      </c>
    </row>
    <row r="23" spans="1:17" ht="15.75" customHeight="1" x14ac:dyDescent="0.3">
      <c r="A23" s="714">
        <v>46057</v>
      </c>
      <c r="B23" s="715"/>
      <c r="C23" s="715"/>
      <c r="D23" s="715"/>
      <c r="E23" s="189" t="s">
        <v>739</v>
      </c>
      <c r="F23" s="716" t="s">
        <v>740</v>
      </c>
      <c r="G23" s="716"/>
      <c r="H23" s="716"/>
      <c r="I23" s="716"/>
      <c r="J23" s="716"/>
      <c r="K23" s="717" t="s">
        <v>709</v>
      </c>
      <c r="L23" s="717"/>
      <c r="M23" s="717"/>
      <c r="N23" s="717"/>
      <c r="O23" s="197">
        <f>792+210</f>
        <v>1002</v>
      </c>
      <c r="P23" s="186" t="s">
        <v>650</v>
      </c>
    </row>
    <row r="24" spans="1:17" ht="15.75" customHeight="1" x14ac:dyDescent="0.3">
      <c r="A24" s="714">
        <v>46058</v>
      </c>
      <c r="B24" s="715"/>
      <c r="C24" s="715"/>
      <c r="D24" s="715"/>
      <c r="E24" s="189" t="s">
        <v>741</v>
      </c>
      <c r="F24" s="716" t="s">
        <v>742</v>
      </c>
      <c r="G24" s="716"/>
      <c r="H24" s="716"/>
      <c r="I24" s="716"/>
      <c r="J24" s="716"/>
      <c r="K24" s="717" t="s">
        <v>709</v>
      </c>
      <c r="L24" s="717"/>
      <c r="M24" s="717"/>
      <c r="N24" s="717"/>
      <c r="O24" s="197">
        <f>740+830</f>
        <v>1570</v>
      </c>
      <c r="P24" s="186" t="s">
        <v>650</v>
      </c>
    </row>
    <row r="25" spans="1:17" ht="15.75" customHeight="1" x14ac:dyDescent="0.3">
      <c r="A25" s="714">
        <v>46062</v>
      </c>
      <c r="B25" s="715"/>
      <c r="C25" s="715"/>
      <c r="D25" s="715"/>
      <c r="E25" s="189" t="s">
        <v>743</v>
      </c>
      <c r="F25" s="716" t="s">
        <v>744</v>
      </c>
      <c r="G25" s="716"/>
      <c r="H25" s="716"/>
      <c r="I25" s="716"/>
      <c r="J25" s="716"/>
      <c r="K25" s="717" t="s">
        <v>709</v>
      </c>
      <c r="L25" s="717"/>
      <c r="M25" s="717"/>
      <c r="N25" s="717"/>
      <c r="O25" s="197">
        <f>730+330</f>
        <v>1060</v>
      </c>
      <c r="P25" s="186" t="s">
        <v>650</v>
      </c>
    </row>
    <row r="26" spans="1:17" ht="15.75" customHeight="1" x14ac:dyDescent="0.3">
      <c r="A26" s="714">
        <v>46063</v>
      </c>
      <c r="B26" s="715"/>
      <c r="C26" s="715"/>
      <c r="D26" s="715"/>
      <c r="E26" s="189">
        <v>2215</v>
      </c>
      <c r="F26" s="716" t="s">
        <v>745</v>
      </c>
      <c r="G26" s="716"/>
      <c r="H26" s="716"/>
      <c r="I26" s="716"/>
      <c r="J26" s="716"/>
      <c r="K26" s="717" t="s">
        <v>709</v>
      </c>
      <c r="L26" s="717"/>
      <c r="M26" s="717"/>
      <c r="N26" s="717"/>
      <c r="O26" s="197">
        <v>600</v>
      </c>
      <c r="P26" s="186" t="s">
        <v>650</v>
      </c>
    </row>
    <row r="27" spans="1:17" ht="15.75" customHeight="1" x14ac:dyDescent="0.3">
      <c r="A27" s="714">
        <v>46064</v>
      </c>
      <c r="B27" s="715"/>
      <c r="C27" s="715"/>
      <c r="D27" s="715"/>
      <c r="E27" s="189" t="s">
        <v>746</v>
      </c>
      <c r="F27" s="716" t="s">
        <v>747</v>
      </c>
      <c r="G27" s="716"/>
      <c r="H27" s="716"/>
      <c r="I27" s="716"/>
      <c r="J27" s="716"/>
      <c r="K27" s="717" t="s">
        <v>709</v>
      </c>
      <c r="L27" s="717"/>
      <c r="M27" s="717"/>
      <c r="N27" s="717"/>
      <c r="O27" s="197">
        <f>800+510</f>
        <v>1310</v>
      </c>
      <c r="P27" s="186" t="s">
        <v>650</v>
      </c>
    </row>
    <row r="28" spans="1:17" ht="15.75" customHeight="1" x14ac:dyDescent="0.3">
      <c r="A28" s="714">
        <v>46065</v>
      </c>
      <c r="B28" s="715"/>
      <c r="C28" s="715"/>
      <c r="D28" s="715"/>
      <c r="E28" s="189" t="s">
        <v>748</v>
      </c>
      <c r="F28" s="716" t="s">
        <v>749</v>
      </c>
      <c r="G28" s="716"/>
      <c r="H28" s="716"/>
      <c r="I28" s="716"/>
      <c r="J28" s="716"/>
      <c r="K28" s="717" t="s">
        <v>709</v>
      </c>
      <c r="L28" s="717"/>
      <c r="M28" s="717"/>
      <c r="N28" s="717"/>
      <c r="O28" s="197">
        <f>680+730</f>
        <v>1410</v>
      </c>
      <c r="P28" s="186" t="s">
        <v>650</v>
      </c>
    </row>
    <row r="29" spans="1:17" ht="15.75" customHeight="1" x14ac:dyDescent="0.3">
      <c r="A29" s="714">
        <v>46066</v>
      </c>
      <c r="B29" s="715"/>
      <c r="C29" s="715"/>
      <c r="D29" s="715"/>
      <c r="E29" s="189" t="s">
        <v>750</v>
      </c>
      <c r="F29" s="716" t="s">
        <v>751</v>
      </c>
      <c r="G29" s="716"/>
      <c r="H29" s="716"/>
      <c r="I29" s="716"/>
      <c r="J29" s="716"/>
      <c r="K29" s="717" t="s">
        <v>709</v>
      </c>
      <c r="L29" s="717"/>
      <c r="M29" s="717"/>
      <c r="N29" s="717"/>
      <c r="O29" s="197">
        <f>730+300</f>
        <v>1030</v>
      </c>
      <c r="P29" s="186" t="s">
        <v>650</v>
      </c>
    </row>
    <row r="30" spans="1:17" ht="15.75" customHeight="1" x14ac:dyDescent="0.3">
      <c r="A30" s="714">
        <v>46066</v>
      </c>
      <c r="B30" s="715"/>
      <c r="C30" s="715"/>
      <c r="D30" s="715"/>
      <c r="E30" s="189">
        <v>2231</v>
      </c>
      <c r="F30" s="716" t="s">
        <v>752</v>
      </c>
      <c r="G30" s="716"/>
      <c r="H30" s="716"/>
      <c r="I30" s="716"/>
      <c r="J30" s="716"/>
      <c r="K30" s="717" t="s">
        <v>709</v>
      </c>
      <c r="L30" s="717"/>
      <c r="M30" s="717"/>
      <c r="N30" s="717"/>
      <c r="O30" s="197">
        <v>90</v>
      </c>
      <c r="P30" s="186" t="s">
        <v>650</v>
      </c>
    </row>
    <row r="31" spans="1:17" ht="15.75" customHeight="1" x14ac:dyDescent="0.3">
      <c r="A31" s="714">
        <v>46072</v>
      </c>
      <c r="B31" s="715"/>
      <c r="C31" s="715"/>
      <c r="D31" s="715"/>
      <c r="E31" s="189" t="s">
        <v>753</v>
      </c>
      <c r="F31" s="716" t="s">
        <v>754</v>
      </c>
      <c r="G31" s="716"/>
      <c r="H31" s="716"/>
      <c r="I31" s="716"/>
      <c r="J31" s="716"/>
      <c r="K31" s="717" t="s">
        <v>709</v>
      </c>
      <c r="L31" s="717"/>
      <c r="M31" s="717"/>
      <c r="N31" s="717"/>
      <c r="O31" s="197">
        <f>600+300</f>
        <v>900</v>
      </c>
      <c r="P31" s="186" t="s">
        <v>650</v>
      </c>
    </row>
    <row r="32" spans="1:17" ht="15.75" customHeight="1" x14ac:dyDescent="0.3">
      <c r="A32" s="714">
        <v>46073</v>
      </c>
      <c r="B32" s="715"/>
      <c r="C32" s="715"/>
      <c r="D32" s="715"/>
      <c r="E32" s="189">
        <v>2237</v>
      </c>
      <c r="F32" s="716" t="s">
        <v>755</v>
      </c>
      <c r="G32" s="716"/>
      <c r="H32" s="716"/>
      <c r="I32" s="716"/>
      <c r="J32" s="716"/>
      <c r="K32" s="717" t="s">
        <v>709</v>
      </c>
      <c r="L32" s="717"/>
      <c r="M32" s="717"/>
      <c r="N32" s="717"/>
      <c r="O32" s="197">
        <v>360</v>
      </c>
      <c r="P32" s="186" t="s">
        <v>650</v>
      </c>
    </row>
    <row r="33" spans="1:18" ht="15.75" customHeight="1" x14ac:dyDescent="0.3">
      <c r="A33" s="714">
        <v>46076</v>
      </c>
      <c r="B33" s="715"/>
      <c r="C33" s="715"/>
      <c r="D33" s="715"/>
      <c r="E33" s="189">
        <v>2239</v>
      </c>
      <c r="F33" s="716" t="s">
        <v>756</v>
      </c>
      <c r="G33" s="716"/>
      <c r="H33" s="716"/>
      <c r="I33" s="716"/>
      <c r="J33" s="716"/>
      <c r="K33" s="717" t="s">
        <v>709</v>
      </c>
      <c r="L33" s="717"/>
      <c r="M33" s="717"/>
      <c r="N33" s="717"/>
      <c r="O33" s="197">
        <v>340</v>
      </c>
      <c r="P33" s="186" t="s">
        <v>650</v>
      </c>
    </row>
    <row r="34" spans="1:18" ht="15.75" customHeight="1" x14ac:dyDescent="0.3">
      <c r="A34" s="714">
        <v>46077</v>
      </c>
      <c r="B34" s="715"/>
      <c r="C34" s="715"/>
      <c r="D34" s="715"/>
      <c r="E34" s="189" t="s">
        <v>757</v>
      </c>
      <c r="F34" s="716" t="s">
        <v>758</v>
      </c>
      <c r="G34" s="716"/>
      <c r="H34" s="716"/>
      <c r="I34" s="716"/>
      <c r="J34" s="716"/>
      <c r="K34" s="717" t="s">
        <v>709</v>
      </c>
      <c r="L34" s="717"/>
      <c r="M34" s="717"/>
      <c r="N34" s="717"/>
      <c r="O34" s="197">
        <f>541+110</f>
        <v>651</v>
      </c>
      <c r="P34" s="186" t="s">
        <v>650</v>
      </c>
    </row>
    <row r="35" spans="1:18" ht="15.75" customHeight="1" x14ac:dyDescent="0.3">
      <c r="A35" s="714">
        <v>46078</v>
      </c>
      <c r="B35" s="715"/>
      <c r="C35" s="715"/>
      <c r="D35" s="715"/>
      <c r="E35" s="189">
        <v>2248</v>
      </c>
      <c r="F35" s="716" t="s">
        <v>759</v>
      </c>
      <c r="G35" s="716"/>
      <c r="H35" s="716"/>
      <c r="I35" s="716"/>
      <c r="J35" s="716"/>
      <c r="K35" s="717" t="s">
        <v>709</v>
      </c>
      <c r="L35" s="717"/>
      <c r="M35" s="717"/>
      <c r="N35" s="717"/>
      <c r="O35" s="197">
        <v>320</v>
      </c>
      <c r="P35" s="186" t="s">
        <v>650</v>
      </c>
    </row>
    <row r="36" spans="1:18" ht="15.75" customHeight="1" x14ac:dyDescent="0.3">
      <c r="A36" s="714">
        <v>46079</v>
      </c>
      <c r="B36" s="715"/>
      <c r="C36" s="715"/>
      <c r="D36" s="715"/>
      <c r="E36" s="189">
        <v>2250</v>
      </c>
      <c r="F36" s="716" t="s">
        <v>760</v>
      </c>
      <c r="G36" s="716"/>
      <c r="H36" s="716"/>
      <c r="I36" s="716"/>
      <c r="J36" s="716"/>
      <c r="K36" s="717" t="s">
        <v>709</v>
      </c>
      <c r="L36" s="717"/>
      <c r="M36" s="717"/>
      <c r="N36" s="717"/>
      <c r="O36" s="197">
        <v>140</v>
      </c>
      <c r="P36" s="186" t="s">
        <v>650</v>
      </c>
    </row>
    <row r="37" spans="1:18" ht="15.75" customHeight="1" x14ac:dyDescent="0.3">
      <c r="A37" s="714">
        <v>46080</v>
      </c>
      <c r="B37" s="715"/>
      <c r="C37" s="715"/>
      <c r="D37" s="715"/>
      <c r="E37" s="189">
        <v>2253</v>
      </c>
      <c r="F37" s="716" t="s">
        <v>761</v>
      </c>
      <c r="G37" s="716"/>
      <c r="H37" s="716"/>
      <c r="I37" s="716"/>
      <c r="J37" s="716"/>
      <c r="K37" s="717" t="s">
        <v>709</v>
      </c>
      <c r="L37" s="717"/>
      <c r="M37" s="717"/>
      <c r="N37" s="717"/>
      <c r="O37" s="197">
        <v>440</v>
      </c>
      <c r="P37" s="186" t="s">
        <v>650</v>
      </c>
    </row>
    <row r="38" spans="1:18" ht="15.75" customHeight="1" x14ac:dyDescent="0.3">
      <c r="A38" s="714">
        <v>46081</v>
      </c>
      <c r="B38" s="715"/>
      <c r="C38" s="715"/>
      <c r="D38" s="715"/>
      <c r="E38" s="189">
        <v>2254</v>
      </c>
      <c r="F38" s="716" t="s">
        <v>762</v>
      </c>
      <c r="G38" s="716"/>
      <c r="H38" s="716"/>
      <c r="I38" s="716"/>
      <c r="J38" s="716"/>
      <c r="K38" s="717" t="s">
        <v>709</v>
      </c>
      <c r="L38" s="717"/>
      <c r="M38" s="717"/>
      <c r="N38" s="717"/>
      <c r="O38" s="197">
        <v>800</v>
      </c>
      <c r="P38" s="186" t="s">
        <v>650</v>
      </c>
      <c r="Q38" s="190">
        <f>SUMIFS($O:$O,$A:$A,"&gt;="&amp;DATE(2026,2,1),$A:$A,"&lt;"&amp;DATE(2026,3,1))</f>
        <v>15153</v>
      </c>
    </row>
    <row r="39" spans="1:18" ht="15.75" customHeight="1" x14ac:dyDescent="0.3">
      <c r="A39" s="714">
        <v>46083</v>
      </c>
      <c r="B39" s="715"/>
      <c r="C39" s="715"/>
      <c r="D39" s="715"/>
      <c r="E39" s="189" t="s">
        <v>763</v>
      </c>
      <c r="F39" s="716" t="s">
        <v>762</v>
      </c>
      <c r="G39" s="716"/>
      <c r="H39" s="716"/>
      <c r="I39" s="716"/>
      <c r="J39" s="716"/>
      <c r="K39" s="717" t="s">
        <v>709</v>
      </c>
      <c r="L39" s="717"/>
      <c r="M39" s="717"/>
      <c r="N39" s="717"/>
      <c r="O39" s="197">
        <f>800+510</f>
        <v>1310</v>
      </c>
      <c r="P39" s="186" t="s">
        <v>650</v>
      </c>
    </row>
    <row r="40" spans="1:18" ht="15.75" customHeight="1" x14ac:dyDescent="0.3">
      <c r="A40" s="714">
        <v>46084</v>
      </c>
      <c r="B40" s="715"/>
      <c r="C40" s="715"/>
      <c r="D40" s="715"/>
      <c r="E40" s="189" t="s">
        <v>764</v>
      </c>
      <c r="F40" s="716" t="s">
        <v>765</v>
      </c>
      <c r="G40" s="716"/>
      <c r="H40" s="716"/>
      <c r="I40" s="716"/>
      <c r="J40" s="716"/>
      <c r="K40" s="717" t="s">
        <v>709</v>
      </c>
      <c r="L40" s="717"/>
      <c r="M40" s="717"/>
      <c r="N40" s="717"/>
      <c r="O40" s="197">
        <f>550+800</f>
        <v>1350</v>
      </c>
      <c r="P40" s="186" t="s">
        <v>650</v>
      </c>
    </row>
    <row r="41" spans="1:18" ht="15.75" customHeight="1" x14ac:dyDescent="0.3">
      <c r="A41" s="714">
        <v>46085</v>
      </c>
      <c r="B41" s="715"/>
      <c r="C41" s="715"/>
      <c r="D41" s="715"/>
      <c r="E41" s="189" t="s">
        <v>766</v>
      </c>
      <c r="F41" s="716" t="s">
        <v>767</v>
      </c>
      <c r="G41" s="716"/>
      <c r="H41" s="716"/>
      <c r="I41" s="716"/>
      <c r="J41" s="716"/>
      <c r="K41" s="717" t="s">
        <v>709</v>
      </c>
      <c r="L41" s="717"/>
      <c r="M41" s="717"/>
      <c r="N41" s="717"/>
      <c r="O41" s="197">
        <f>800*2</f>
        <v>1600</v>
      </c>
      <c r="P41" s="186" t="s">
        <v>650</v>
      </c>
    </row>
    <row r="42" spans="1:18" ht="15.75" customHeight="1" x14ac:dyDescent="0.3">
      <c r="A42" s="714">
        <v>46086</v>
      </c>
      <c r="B42" s="715"/>
      <c r="C42" s="715"/>
      <c r="D42" s="715"/>
      <c r="E42" s="189" t="s">
        <v>768</v>
      </c>
      <c r="F42" s="716" t="s">
        <v>769</v>
      </c>
      <c r="G42" s="716"/>
      <c r="H42" s="716"/>
      <c r="I42" s="716"/>
      <c r="J42" s="716"/>
      <c r="K42" s="717" t="s">
        <v>709</v>
      </c>
      <c r="L42" s="717"/>
      <c r="M42" s="717"/>
      <c r="N42" s="717"/>
      <c r="O42" s="197">
        <f>630+660</f>
        <v>1290</v>
      </c>
      <c r="P42" s="186" t="s">
        <v>650</v>
      </c>
      <c r="Q42" s="196"/>
      <c r="R42" s="195"/>
    </row>
    <row r="43" spans="1:18" ht="15.75" customHeight="1" x14ac:dyDescent="0.3">
      <c r="A43" s="714">
        <v>46087</v>
      </c>
      <c r="B43" s="715"/>
      <c r="C43" s="715"/>
      <c r="D43" s="715"/>
      <c r="E43" s="189" t="s">
        <v>770</v>
      </c>
      <c r="F43" s="716" t="s">
        <v>771</v>
      </c>
      <c r="G43" s="716"/>
      <c r="H43" s="716"/>
      <c r="I43" s="716"/>
      <c r="J43" s="716"/>
      <c r="K43" s="717" t="s">
        <v>709</v>
      </c>
      <c r="L43" s="717"/>
      <c r="M43" s="717"/>
      <c r="N43" s="717"/>
      <c r="O43" s="197">
        <f>370+110</f>
        <v>480</v>
      </c>
      <c r="P43" s="186" t="s">
        <v>650</v>
      </c>
    </row>
    <row r="44" spans="1:18" ht="15.75" customHeight="1" x14ac:dyDescent="0.3">
      <c r="A44" s="714">
        <v>46090</v>
      </c>
      <c r="B44" s="715"/>
      <c r="C44" s="715"/>
      <c r="D44" s="715"/>
      <c r="E44" s="189" t="s">
        <v>772</v>
      </c>
      <c r="F44" s="716" t="s">
        <v>773</v>
      </c>
      <c r="G44" s="716"/>
      <c r="H44" s="716"/>
      <c r="I44" s="716"/>
      <c r="J44" s="716"/>
      <c r="K44" s="717" t="s">
        <v>709</v>
      </c>
      <c r="L44" s="717"/>
      <c r="M44" s="717"/>
      <c r="N44" s="717"/>
      <c r="O44" s="197">
        <f>800+301</f>
        <v>1101</v>
      </c>
      <c r="P44" s="186" t="s">
        <v>650</v>
      </c>
    </row>
    <row r="45" spans="1:18" ht="15.75" customHeight="1" x14ac:dyDescent="0.3">
      <c r="A45" s="714">
        <v>46091</v>
      </c>
      <c r="B45" s="715"/>
      <c r="C45" s="715"/>
      <c r="D45" s="715"/>
      <c r="E45" s="189">
        <v>2278</v>
      </c>
      <c r="F45" s="716" t="s">
        <v>774</v>
      </c>
      <c r="G45" s="716"/>
      <c r="H45" s="716"/>
      <c r="I45" s="716"/>
      <c r="J45" s="716"/>
      <c r="K45" s="717" t="s">
        <v>709</v>
      </c>
      <c r="L45" s="717"/>
      <c r="M45" s="717"/>
      <c r="N45" s="717"/>
      <c r="O45" s="197">
        <v>490</v>
      </c>
      <c r="P45" s="186" t="s">
        <v>650</v>
      </c>
    </row>
    <row r="46" spans="1:18" ht="15.75" customHeight="1" x14ac:dyDescent="0.3">
      <c r="A46" s="714">
        <v>46092</v>
      </c>
      <c r="B46" s="715"/>
      <c r="C46" s="715"/>
      <c r="D46" s="715"/>
      <c r="E46" s="189" t="s">
        <v>775</v>
      </c>
      <c r="F46" s="716" t="s">
        <v>776</v>
      </c>
      <c r="G46" s="716"/>
      <c r="H46" s="716"/>
      <c r="I46" s="716"/>
      <c r="J46" s="716"/>
      <c r="K46" s="717" t="s">
        <v>709</v>
      </c>
      <c r="L46" s="717"/>
      <c r="M46" s="717"/>
      <c r="N46" s="717"/>
      <c r="O46" s="197">
        <f>800+380</f>
        <v>1180</v>
      </c>
      <c r="P46" s="186" t="s">
        <v>650</v>
      </c>
    </row>
    <row r="47" spans="1:18" ht="15.75" customHeight="1" x14ac:dyDescent="0.3">
      <c r="A47" s="714">
        <v>46093</v>
      </c>
      <c r="B47" s="715"/>
      <c r="C47" s="715"/>
      <c r="D47" s="715"/>
      <c r="E47" s="189">
        <v>2284</v>
      </c>
      <c r="F47" s="716" t="s">
        <v>777</v>
      </c>
      <c r="G47" s="716"/>
      <c r="H47" s="716"/>
      <c r="I47" s="716"/>
      <c r="J47" s="716"/>
      <c r="K47" s="717" t="s">
        <v>709</v>
      </c>
      <c r="L47" s="717"/>
      <c r="M47" s="717"/>
      <c r="N47" s="717"/>
      <c r="O47" s="197">
        <v>580</v>
      </c>
      <c r="P47" s="186" t="s">
        <v>650</v>
      </c>
    </row>
    <row r="48" spans="1:18" ht="15.75" customHeight="1" x14ac:dyDescent="0.3">
      <c r="A48" s="714">
        <v>46094</v>
      </c>
      <c r="B48" s="715"/>
      <c r="C48" s="715"/>
      <c r="D48" s="715"/>
      <c r="E48" s="189" t="s">
        <v>778</v>
      </c>
      <c r="F48" s="716" t="s">
        <v>779</v>
      </c>
      <c r="G48" s="716"/>
      <c r="H48" s="716"/>
      <c r="I48" s="716"/>
      <c r="J48" s="716"/>
      <c r="K48" s="717" t="s">
        <v>709</v>
      </c>
      <c r="L48" s="717"/>
      <c r="M48" s="717"/>
      <c r="N48" s="717"/>
      <c r="O48" s="197">
        <f>800+540</f>
        <v>1340</v>
      </c>
      <c r="P48" s="186" t="s">
        <v>650</v>
      </c>
    </row>
    <row r="49" spans="1:18" ht="15.75" customHeight="1" x14ac:dyDescent="0.3">
      <c r="A49" s="714">
        <v>46097</v>
      </c>
      <c r="B49" s="715"/>
      <c r="C49" s="715"/>
      <c r="D49" s="715"/>
      <c r="E49" s="189" t="s">
        <v>780</v>
      </c>
      <c r="F49" s="716" t="s">
        <v>781</v>
      </c>
      <c r="G49" s="716"/>
      <c r="H49" s="716"/>
      <c r="I49" s="716"/>
      <c r="J49" s="716"/>
      <c r="K49" s="717" t="s">
        <v>709</v>
      </c>
      <c r="L49" s="717"/>
      <c r="M49" s="717"/>
      <c r="N49" s="717"/>
      <c r="O49" s="187">
        <f>720+660</f>
        <v>1380</v>
      </c>
      <c r="P49" s="186" t="s">
        <v>650</v>
      </c>
    </row>
    <row r="50" spans="1:18" ht="15.75" customHeight="1" x14ac:dyDescent="0.3">
      <c r="A50" s="714">
        <v>46098</v>
      </c>
      <c r="B50" s="715"/>
      <c r="C50" s="715"/>
      <c r="D50" s="715"/>
      <c r="E50" s="189">
        <v>2296</v>
      </c>
      <c r="F50" s="716" t="s">
        <v>782</v>
      </c>
      <c r="G50" s="716"/>
      <c r="H50" s="716"/>
      <c r="I50" s="716"/>
      <c r="J50" s="716"/>
      <c r="K50" s="717" t="s">
        <v>709</v>
      </c>
      <c r="L50" s="717"/>
      <c r="M50" s="717"/>
      <c r="N50" s="717"/>
      <c r="O50" s="187">
        <f>540+740</f>
        <v>1280</v>
      </c>
      <c r="P50" s="186" t="s">
        <v>650</v>
      </c>
    </row>
    <row r="51" spans="1:18" ht="15.75" customHeight="1" x14ac:dyDescent="0.3">
      <c r="A51" s="714">
        <v>46099</v>
      </c>
      <c r="B51" s="715"/>
      <c r="C51" s="715"/>
      <c r="D51" s="715"/>
      <c r="E51" s="189" t="s">
        <v>783</v>
      </c>
      <c r="F51" s="716" t="s">
        <v>784</v>
      </c>
      <c r="G51" s="716"/>
      <c r="H51" s="716"/>
      <c r="I51" s="716"/>
      <c r="J51" s="716"/>
      <c r="K51" s="717" t="s">
        <v>709</v>
      </c>
      <c r="L51" s="717"/>
      <c r="M51" s="717"/>
      <c r="N51" s="717"/>
      <c r="O51" s="187">
        <f>800+300</f>
        <v>1100</v>
      </c>
      <c r="P51" s="186" t="s">
        <v>650</v>
      </c>
    </row>
    <row r="52" spans="1:18" ht="15.75" customHeight="1" x14ac:dyDescent="0.3">
      <c r="A52" s="714">
        <v>46100</v>
      </c>
      <c r="B52" s="715"/>
      <c r="C52" s="715"/>
      <c r="D52" s="715"/>
      <c r="E52" s="189" t="s">
        <v>785</v>
      </c>
      <c r="F52" s="716" t="s">
        <v>786</v>
      </c>
      <c r="G52" s="716"/>
      <c r="H52" s="716"/>
      <c r="I52" s="716"/>
      <c r="J52" s="716"/>
      <c r="K52" s="717" t="s">
        <v>709</v>
      </c>
      <c r="L52" s="717"/>
      <c r="M52" s="717"/>
      <c r="N52" s="717"/>
      <c r="O52" s="187">
        <f>650+380</f>
        <v>1030</v>
      </c>
      <c r="P52" s="186" t="s">
        <v>650</v>
      </c>
    </row>
    <row r="53" spans="1:18" ht="15.75" customHeight="1" x14ac:dyDescent="0.3">
      <c r="A53" s="714">
        <v>46101</v>
      </c>
      <c r="B53" s="715"/>
      <c r="C53" s="715"/>
      <c r="D53" s="715"/>
      <c r="E53" s="189" t="s">
        <v>787</v>
      </c>
      <c r="F53" s="716" t="s">
        <v>788</v>
      </c>
      <c r="G53" s="716"/>
      <c r="H53" s="716"/>
      <c r="I53" s="716"/>
      <c r="J53" s="716"/>
      <c r="K53" s="717" t="s">
        <v>709</v>
      </c>
      <c r="L53" s="717"/>
      <c r="M53" s="717"/>
      <c r="N53" s="717"/>
      <c r="O53" s="197">
        <f>480+540</f>
        <v>1020</v>
      </c>
      <c r="P53" s="186" t="s">
        <v>650</v>
      </c>
    </row>
    <row r="54" spans="1:18" ht="15.75" customHeight="1" x14ac:dyDescent="0.3">
      <c r="A54" s="714">
        <v>46076</v>
      </c>
      <c r="B54" s="715"/>
      <c r="C54" s="715"/>
      <c r="D54" s="715"/>
      <c r="E54" s="189">
        <v>2311</v>
      </c>
      <c r="F54" s="716" t="s">
        <v>789</v>
      </c>
      <c r="G54" s="716"/>
      <c r="H54" s="716"/>
      <c r="I54" s="716"/>
      <c r="J54" s="716"/>
      <c r="K54" s="717" t="s">
        <v>709</v>
      </c>
      <c r="L54" s="717"/>
      <c r="M54" s="717"/>
      <c r="N54" s="717"/>
      <c r="O54" s="197">
        <v>440</v>
      </c>
      <c r="P54" s="186" t="s">
        <v>650</v>
      </c>
      <c r="Q54" s="196"/>
      <c r="R54" s="195" t="s">
        <v>790</v>
      </c>
    </row>
    <row r="55" spans="1:18" ht="15.75" customHeight="1" x14ac:dyDescent="0.3">
      <c r="A55" s="714">
        <v>46105</v>
      </c>
      <c r="B55" s="715"/>
      <c r="C55" s="715"/>
      <c r="D55" s="715"/>
      <c r="E55" s="189" t="s">
        <v>791</v>
      </c>
      <c r="F55" s="716" t="s">
        <v>792</v>
      </c>
      <c r="G55" s="716"/>
      <c r="H55" s="716"/>
      <c r="I55" s="716"/>
      <c r="J55" s="716"/>
      <c r="K55" s="717" t="s">
        <v>709</v>
      </c>
      <c r="L55" s="717"/>
      <c r="M55" s="717"/>
      <c r="N55" s="717"/>
      <c r="O55" s="187">
        <f>800+820</f>
        <v>1620</v>
      </c>
      <c r="P55" s="186" t="s">
        <v>650</v>
      </c>
    </row>
    <row r="56" spans="1:18" ht="15.75" customHeight="1" x14ac:dyDescent="0.3">
      <c r="A56" s="714">
        <v>46106</v>
      </c>
      <c r="B56" s="715"/>
      <c r="C56" s="715"/>
      <c r="D56" s="715"/>
      <c r="E56" s="189">
        <v>2316</v>
      </c>
      <c r="F56" s="716" t="s">
        <v>793</v>
      </c>
      <c r="G56" s="716"/>
      <c r="H56" s="716"/>
      <c r="I56" s="716"/>
      <c r="J56" s="716"/>
      <c r="K56" s="717" t="s">
        <v>709</v>
      </c>
      <c r="L56" s="717"/>
      <c r="M56" s="717"/>
      <c r="N56" s="717"/>
      <c r="O56" s="187">
        <v>800</v>
      </c>
      <c r="P56" s="186" t="s">
        <v>650</v>
      </c>
    </row>
    <row r="57" spans="1:18" ht="15.75" customHeight="1" x14ac:dyDescent="0.3">
      <c r="A57" s="714">
        <v>46107</v>
      </c>
      <c r="B57" s="715"/>
      <c r="C57" s="715"/>
      <c r="D57" s="715"/>
      <c r="E57" s="189" t="s">
        <v>794</v>
      </c>
      <c r="F57" s="716" t="s">
        <v>795</v>
      </c>
      <c r="G57" s="716"/>
      <c r="H57" s="716"/>
      <c r="I57" s="716"/>
      <c r="J57" s="716"/>
      <c r="K57" s="717" t="s">
        <v>709</v>
      </c>
      <c r="L57" s="717"/>
      <c r="M57" s="717"/>
      <c r="N57" s="717"/>
      <c r="O57" s="187">
        <f>400+200</f>
        <v>600</v>
      </c>
      <c r="P57" s="186" t="s">
        <v>650</v>
      </c>
    </row>
    <row r="58" spans="1:18" ht="15.75" customHeight="1" x14ac:dyDescent="0.3">
      <c r="A58" s="714">
        <v>46108</v>
      </c>
      <c r="B58" s="715"/>
      <c r="C58" s="715"/>
      <c r="D58" s="715"/>
      <c r="E58" s="189" t="s">
        <v>796</v>
      </c>
      <c r="F58" s="716" t="s">
        <v>797</v>
      </c>
      <c r="G58" s="716"/>
      <c r="H58" s="716"/>
      <c r="I58" s="716"/>
      <c r="J58" s="716"/>
      <c r="K58" s="717" t="s">
        <v>709</v>
      </c>
      <c r="L58" s="717"/>
      <c r="M58" s="717"/>
      <c r="N58" s="717"/>
      <c r="O58" s="187">
        <f>430+230</f>
        <v>660</v>
      </c>
      <c r="P58" s="186" t="s">
        <v>650</v>
      </c>
    </row>
    <row r="59" spans="1:18" ht="15.75" customHeight="1" x14ac:dyDescent="0.3">
      <c r="A59" s="714">
        <v>46111</v>
      </c>
      <c r="B59" s="715"/>
      <c r="C59" s="715"/>
      <c r="D59" s="715"/>
      <c r="E59" s="189">
        <v>2326</v>
      </c>
      <c r="F59" s="716" t="s">
        <v>798</v>
      </c>
      <c r="G59" s="716"/>
      <c r="H59" s="716"/>
      <c r="I59" s="716"/>
      <c r="J59" s="716"/>
      <c r="K59" s="717" t="s">
        <v>709</v>
      </c>
      <c r="L59" s="717"/>
      <c r="M59" s="717"/>
      <c r="N59" s="717"/>
      <c r="O59" s="187">
        <v>270</v>
      </c>
      <c r="P59" s="186" t="s">
        <v>650</v>
      </c>
    </row>
    <row r="60" spans="1:18" ht="15.75" customHeight="1" x14ac:dyDescent="0.3">
      <c r="A60" s="714">
        <v>46112</v>
      </c>
      <c r="B60" s="715"/>
      <c r="C60" s="715"/>
      <c r="D60" s="715"/>
      <c r="E60" s="189">
        <v>2331</v>
      </c>
      <c r="F60" s="716" t="s">
        <v>799</v>
      </c>
      <c r="G60" s="716"/>
      <c r="H60" s="716"/>
      <c r="I60" s="716"/>
      <c r="J60" s="716"/>
      <c r="K60" s="717" t="s">
        <v>709</v>
      </c>
      <c r="L60" s="717"/>
      <c r="M60" s="717"/>
      <c r="N60" s="717"/>
      <c r="O60" s="187">
        <v>610</v>
      </c>
      <c r="P60" s="186" t="s">
        <v>650</v>
      </c>
      <c r="Q60" s="190">
        <f>SUMIFS($O:$O,$A:$A,"&gt;="&amp;DATE(2026,3,1),$A:$A,"&lt;"&amp;DATE(2026,4,1))</f>
        <v>21091</v>
      </c>
    </row>
    <row r="61" spans="1:18" ht="15.75" customHeight="1" x14ac:dyDescent="0.3">
      <c r="A61" s="714">
        <v>46113</v>
      </c>
      <c r="B61" s="715"/>
      <c r="C61" s="715"/>
      <c r="D61" s="715"/>
      <c r="E61" s="189">
        <v>2333</v>
      </c>
      <c r="F61" s="716" t="s">
        <v>800</v>
      </c>
      <c r="G61" s="716"/>
      <c r="H61" s="716"/>
      <c r="I61" s="716"/>
      <c r="J61" s="716"/>
      <c r="K61" s="717" t="s">
        <v>709</v>
      </c>
      <c r="L61" s="717"/>
      <c r="M61" s="717"/>
      <c r="N61" s="717"/>
      <c r="O61" s="187">
        <v>210</v>
      </c>
      <c r="P61" s="186" t="s">
        <v>650</v>
      </c>
    </row>
    <row r="62" spans="1:18" ht="15.75" customHeight="1" x14ac:dyDescent="0.3">
      <c r="A62" s="714">
        <v>46114</v>
      </c>
      <c r="B62" s="715"/>
      <c r="C62" s="715"/>
      <c r="D62" s="715"/>
      <c r="E62" s="189">
        <v>2336</v>
      </c>
      <c r="F62" s="716" t="s">
        <v>801</v>
      </c>
      <c r="G62" s="716"/>
      <c r="H62" s="716"/>
      <c r="I62" s="716"/>
      <c r="J62" s="716"/>
      <c r="K62" s="717" t="s">
        <v>709</v>
      </c>
      <c r="L62" s="717"/>
      <c r="M62" s="717"/>
      <c r="N62" s="717"/>
      <c r="O62" s="187">
        <v>440</v>
      </c>
      <c r="P62" s="186" t="s">
        <v>650</v>
      </c>
    </row>
    <row r="63" spans="1:18" ht="15.75" customHeight="1" x14ac:dyDescent="0.3">
      <c r="A63" s="714">
        <v>46120</v>
      </c>
      <c r="B63" s="715"/>
      <c r="C63" s="715"/>
      <c r="D63" s="715"/>
      <c r="E63" s="189" t="s">
        <v>802</v>
      </c>
      <c r="F63" s="716" t="s">
        <v>803</v>
      </c>
      <c r="G63" s="716"/>
      <c r="H63" s="716"/>
      <c r="I63" s="716"/>
      <c r="J63" s="716"/>
      <c r="K63" s="717" t="s">
        <v>709</v>
      </c>
      <c r="L63" s="717"/>
      <c r="M63" s="717"/>
      <c r="N63" s="717"/>
      <c r="O63" s="187">
        <f>330+800</f>
        <v>1130</v>
      </c>
      <c r="P63" s="186" t="s">
        <v>650</v>
      </c>
    </row>
    <row r="64" spans="1:18" ht="15.75" customHeight="1" x14ac:dyDescent="0.3">
      <c r="A64" s="714">
        <v>46121</v>
      </c>
      <c r="B64" s="715"/>
      <c r="C64" s="715"/>
      <c r="D64" s="715"/>
      <c r="E64" s="189" t="s">
        <v>804</v>
      </c>
      <c r="F64" s="716" t="s">
        <v>805</v>
      </c>
      <c r="G64" s="716"/>
      <c r="H64" s="716"/>
      <c r="I64" s="716"/>
      <c r="J64" s="716"/>
      <c r="K64" s="717" t="s">
        <v>709</v>
      </c>
      <c r="L64" s="717"/>
      <c r="M64" s="717"/>
      <c r="N64" s="717"/>
      <c r="O64" s="187">
        <f>530+800</f>
        <v>1330</v>
      </c>
      <c r="P64" s="186" t="s">
        <v>650</v>
      </c>
    </row>
    <row r="65" spans="1:16" ht="15.75" customHeight="1" x14ac:dyDescent="0.3">
      <c r="A65" s="714">
        <v>46122</v>
      </c>
      <c r="B65" s="715"/>
      <c r="C65" s="715"/>
      <c r="D65" s="715"/>
      <c r="E65" s="189">
        <v>2352</v>
      </c>
      <c r="F65" s="716" t="s">
        <v>806</v>
      </c>
      <c r="G65" s="716"/>
      <c r="H65" s="716"/>
      <c r="I65" s="716"/>
      <c r="J65" s="716"/>
      <c r="K65" s="717" t="s">
        <v>709</v>
      </c>
      <c r="L65" s="717"/>
      <c r="M65" s="717"/>
      <c r="N65" s="717"/>
      <c r="O65" s="187">
        <v>170</v>
      </c>
      <c r="P65" s="186" t="s">
        <v>650</v>
      </c>
    </row>
    <row r="66" spans="1:16" ht="15.75" customHeight="1" x14ac:dyDescent="0.3">
      <c r="A66" s="714">
        <v>46125</v>
      </c>
      <c r="B66" s="715"/>
      <c r="C66" s="715"/>
      <c r="D66" s="715"/>
      <c r="E66" s="189" t="s">
        <v>807</v>
      </c>
      <c r="F66" s="716" t="s">
        <v>808</v>
      </c>
      <c r="G66" s="716"/>
      <c r="H66" s="716"/>
      <c r="I66" s="716"/>
      <c r="J66" s="716"/>
      <c r="K66" s="717" t="s">
        <v>709</v>
      </c>
      <c r="L66" s="717"/>
      <c r="M66" s="717"/>
      <c r="N66" s="717"/>
      <c r="O66" s="187">
        <f>800+360</f>
        <v>1160</v>
      </c>
      <c r="P66" s="186" t="s">
        <v>650</v>
      </c>
    </row>
    <row r="67" spans="1:16" ht="15.75" customHeight="1" x14ac:dyDescent="0.3">
      <c r="A67" s="714">
        <v>46126</v>
      </c>
      <c r="B67" s="715"/>
      <c r="C67" s="715"/>
      <c r="D67" s="715"/>
      <c r="E67" s="189" t="s">
        <v>809</v>
      </c>
      <c r="F67" s="716" t="s">
        <v>810</v>
      </c>
      <c r="G67" s="716"/>
      <c r="H67" s="716"/>
      <c r="I67" s="716"/>
      <c r="J67" s="716"/>
      <c r="K67" s="717" t="s">
        <v>709</v>
      </c>
      <c r="L67" s="717"/>
      <c r="M67" s="717"/>
      <c r="N67" s="717"/>
      <c r="O67" s="187">
        <f>410+710</f>
        <v>1120</v>
      </c>
      <c r="P67" s="186" t="s">
        <v>650</v>
      </c>
    </row>
    <row r="68" spans="1:16" ht="15.75" customHeight="1" x14ac:dyDescent="0.3">
      <c r="A68" s="714">
        <v>46127</v>
      </c>
      <c r="B68" s="715"/>
      <c r="C68" s="715"/>
      <c r="D68" s="715"/>
      <c r="E68" s="189" t="s">
        <v>811</v>
      </c>
      <c r="F68" s="716" t="s">
        <v>812</v>
      </c>
      <c r="G68" s="716"/>
      <c r="H68" s="716"/>
      <c r="I68" s="716"/>
      <c r="J68" s="716"/>
      <c r="K68" s="717" t="s">
        <v>709</v>
      </c>
      <c r="L68" s="717"/>
      <c r="M68" s="717"/>
      <c r="N68" s="717"/>
      <c r="O68" s="187">
        <f>801+800</f>
        <v>1601</v>
      </c>
      <c r="P68" s="186" t="s">
        <v>650</v>
      </c>
    </row>
    <row r="69" spans="1:16" ht="15.75" customHeight="1" x14ac:dyDescent="0.3">
      <c r="A69" s="714">
        <v>46128</v>
      </c>
      <c r="B69" s="715"/>
      <c r="C69" s="715"/>
      <c r="D69" s="715"/>
      <c r="E69" s="189">
        <v>2367</v>
      </c>
      <c r="F69" s="716" t="s">
        <v>813</v>
      </c>
      <c r="G69" s="716"/>
      <c r="H69" s="716"/>
      <c r="I69" s="716"/>
      <c r="J69" s="716"/>
      <c r="K69" s="717" t="s">
        <v>709</v>
      </c>
      <c r="L69" s="717"/>
      <c r="M69" s="717"/>
      <c r="N69" s="717"/>
      <c r="O69" s="187">
        <v>670</v>
      </c>
      <c r="P69" s="186" t="s">
        <v>650</v>
      </c>
    </row>
    <row r="70" spans="1:16" ht="15.75" customHeight="1" x14ac:dyDescent="0.3">
      <c r="A70" s="714">
        <v>46129</v>
      </c>
      <c r="B70" s="715"/>
      <c r="C70" s="715"/>
      <c r="D70" s="715"/>
      <c r="E70" s="189">
        <v>2369</v>
      </c>
      <c r="F70" s="716" t="s">
        <v>814</v>
      </c>
      <c r="G70" s="716"/>
      <c r="H70" s="716"/>
      <c r="I70" s="716"/>
      <c r="J70" s="716"/>
      <c r="K70" s="717" t="s">
        <v>709</v>
      </c>
      <c r="L70" s="717"/>
      <c r="M70" s="717"/>
      <c r="N70" s="717"/>
      <c r="O70" s="187">
        <v>300</v>
      </c>
      <c r="P70" s="186" t="s">
        <v>650</v>
      </c>
    </row>
    <row r="71" spans="1:16" ht="15.75" customHeight="1" x14ac:dyDescent="0.3">
      <c r="A71" s="714">
        <v>46130</v>
      </c>
      <c r="B71" s="715"/>
      <c r="C71" s="715"/>
      <c r="D71" s="715"/>
      <c r="E71" s="189" t="s">
        <v>815</v>
      </c>
      <c r="F71" s="716" t="s">
        <v>816</v>
      </c>
      <c r="G71" s="716"/>
      <c r="H71" s="716"/>
      <c r="I71" s="716"/>
      <c r="J71" s="716"/>
      <c r="K71" s="717" t="s">
        <v>709</v>
      </c>
      <c r="L71" s="717"/>
      <c r="M71" s="717"/>
      <c r="N71" s="717"/>
      <c r="O71" s="187">
        <f>570+450</f>
        <v>1020</v>
      </c>
      <c r="P71" s="186" t="s">
        <v>650</v>
      </c>
    </row>
    <row r="72" spans="1:16" ht="15.75" customHeight="1" x14ac:dyDescent="0.3">
      <c r="A72" s="714">
        <v>46132</v>
      </c>
      <c r="B72" s="715"/>
      <c r="C72" s="715"/>
      <c r="D72" s="715"/>
      <c r="E72" s="189" t="s">
        <v>817</v>
      </c>
      <c r="F72" s="716" t="s">
        <v>818</v>
      </c>
      <c r="G72" s="716"/>
      <c r="H72" s="716"/>
      <c r="I72" s="716"/>
      <c r="J72" s="716"/>
      <c r="K72" s="717" t="s">
        <v>709</v>
      </c>
      <c r="L72" s="717"/>
      <c r="M72" s="717"/>
      <c r="N72" s="717"/>
      <c r="O72" s="187">
        <f>670+520</f>
        <v>1190</v>
      </c>
      <c r="P72" s="186" t="s">
        <v>650</v>
      </c>
    </row>
    <row r="73" spans="1:16" ht="15.75" customHeight="1" x14ac:dyDescent="0.3">
      <c r="A73" s="714">
        <v>46133</v>
      </c>
      <c r="B73" s="715"/>
      <c r="C73" s="715"/>
      <c r="D73" s="715"/>
      <c r="E73" s="189" t="s">
        <v>819</v>
      </c>
      <c r="F73" s="716" t="s">
        <v>820</v>
      </c>
      <c r="G73" s="716"/>
      <c r="H73" s="716"/>
      <c r="I73" s="716"/>
      <c r="J73" s="716"/>
      <c r="K73" s="717" t="s">
        <v>709</v>
      </c>
      <c r="L73" s="717"/>
      <c r="M73" s="717"/>
      <c r="N73" s="717"/>
      <c r="O73" s="187">
        <f>800+700+350</f>
        <v>1850</v>
      </c>
      <c r="P73" s="186" t="s">
        <v>650</v>
      </c>
    </row>
    <row r="74" spans="1:16" ht="15.75" customHeight="1" x14ac:dyDescent="0.3">
      <c r="A74" s="714">
        <v>46134</v>
      </c>
      <c r="B74" s="715"/>
      <c r="C74" s="715"/>
      <c r="D74" s="715"/>
      <c r="E74" s="189" t="s">
        <v>821</v>
      </c>
      <c r="F74" s="716" t="s">
        <v>822</v>
      </c>
      <c r="G74" s="716"/>
      <c r="H74" s="716"/>
      <c r="I74" s="716"/>
      <c r="J74" s="716"/>
      <c r="K74" s="717" t="s">
        <v>709</v>
      </c>
      <c r="L74" s="717"/>
      <c r="M74" s="717"/>
      <c r="N74" s="717"/>
      <c r="O74" s="187">
        <f>800+540</f>
        <v>1340</v>
      </c>
      <c r="P74" s="186" t="s">
        <v>650</v>
      </c>
    </row>
    <row r="75" spans="1:16" ht="15.75" customHeight="1" x14ac:dyDescent="0.3">
      <c r="A75" s="714">
        <v>46135</v>
      </c>
      <c r="B75" s="715"/>
      <c r="C75" s="715"/>
      <c r="D75" s="715"/>
      <c r="E75" s="189" t="s">
        <v>823</v>
      </c>
      <c r="F75" s="716" t="s">
        <v>824</v>
      </c>
      <c r="G75" s="716"/>
      <c r="H75" s="716"/>
      <c r="I75" s="716"/>
      <c r="J75" s="716"/>
      <c r="K75" s="717" t="s">
        <v>709</v>
      </c>
      <c r="L75" s="717"/>
      <c r="M75" s="717"/>
      <c r="N75" s="717"/>
      <c r="O75" s="187">
        <f>630+800</f>
        <v>1430</v>
      </c>
      <c r="P75" s="186" t="s">
        <v>650</v>
      </c>
    </row>
    <row r="76" spans="1:16" ht="15.75" customHeight="1" x14ac:dyDescent="0.3">
      <c r="A76" s="714">
        <v>46136</v>
      </c>
      <c r="B76" s="715"/>
      <c r="C76" s="715"/>
      <c r="D76" s="715"/>
      <c r="E76" s="189" t="s">
        <v>825</v>
      </c>
      <c r="F76" s="716" t="s">
        <v>826</v>
      </c>
      <c r="G76" s="716"/>
      <c r="H76" s="716"/>
      <c r="I76" s="716"/>
      <c r="J76" s="716"/>
      <c r="K76" s="717" t="s">
        <v>709</v>
      </c>
      <c r="L76" s="717"/>
      <c r="M76" s="717"/>
      <c r="N76" s="717"/>
      <c r="O76" s="187">
        <f>650+140</f>
        <v>790</v>
      </c>
      <c r="P76" s="186" t="s">
        <v>650</v>
      </c>
    </row>
    <row r="77" spans="1:16" ht="15.75" customHeight="1" x14ac:dyDescent="0.3">
      <c r="A77" s="714">
        <v>46137</v>
      </c>
      <c r="B77" s="715"/>
      <c r="C77" s="715"/>
      <c r="D77" s="715"/>
      <c r="E77" s="189" t="s">
        <v>827</v>
      </c>
      <c r="F77" s="716" t="s">
        <v>828</v>
      </c>
      <c r="G77" s="716"/>
      <c r="H77" s="716"/>
      <c r="I77" s="716"/>
      <c r="J77" s="716"/>
      <c r="K77" s="717" t="s">
        <v>709</v>
      </c>
      <c r="L77" s="717"/>
      <c r="M77" s="717"/>
      <c r="N77" s="717"/>
      <c r="O77" s="187">
        <f>180+320</f>
        <v>500</v>
      </c>
      <c r="P77" s="186" t="s">
        <v>650</v>
      </c>
    </row>
    <row r="78" spans="1:16" ht="15.75" customHeight="1" x14ac:dyDescent="0.3">
      <c r="A78" s="714">
        <v>46139</v>
      </c>
      <c r="B78" s="715"/>
      <c r="C78" s="715"/>
      <c r="D78" s="715"/>
      <c r="E78" s="189">
        <v>2392</v>
      </c>
      <c r="F78" s="716" t="s">
        <v>828</v>
      </c>
      <c r="G78" s="716"/>
      <c r="H78" s="716"/>
      <c r="I78" s="716"/>
      <c r="J78" s="716"/>
      <c r="K78" s="717" t="s">
        <v>709</v>
      </c>
      <c r="L78" s="717"/>
      <c r="M78" s="717"/>
      <c r="N78" s="717"/>
      <c r="O78" s="187">
        <v>500</v>
      </c>
      <c r="P78" s="186" t="s">
        <v>650</v>
      </c>
    </row>
    <row r="79" spans="1:16" ht="15.75" customHeight="1" x14ac:dyDescent="0.3">
      <c r="A79" s="714">
        <v>46140</v>
      </c>
      <c r="B79" s="715"/>
      <c r="C79" s="715"/>
      <c r="D79" s="715"/>
      <c r="E79" s="189">
        <v>2394</v>
      </c>
      <c r="F79" s="716" t="s">
        <v>829</v>
      </c>
      <c r="G79" s="716"/>
      <c r="H79" s="716"/>
      <c r="I79" s="716"/>
      <c r="J79" s="716"/>
      <c r="K79" s="717" t="s">
        <v>709</v>
      </c>
      <c r="L79" s="717"/>
      <c r="M79" s="717"/>
      <c r="N79" s="717"/>
      <c r="O79" s="187">
        <v>460</v>
      </c>
      <c r="P79" s="186" t="s">
        <v>650</v>
      </c>
    </row>
    <row r="80" spans="1:16" ht="15.75" customHeight="1" x14ac:dyDescent="0.3">
      <c r="A80" s="714">
        <v>46141</v>
      </c>
      <c r="B80" s="715"/>
      <c r="C80" s="715"/>
      <c r="D80" s="715"/>
      <c r="E80" s="189" t="s">
        <v>830</v>
      </c>
      <c r="F80" s="716" t="s">
        <v>831</v>
      </c>
      <c r="G80" s="716"/>
      <c r="H80" s="716"/>
      <c r="I80" s="716"/>
      <c r="J80" s="716"/>
      <c r="K80" s="717" t="s">
        <v>709</v>
      </c>
      <c r="L80" s="717"/>
      <c r="M80" s="717"/>
      <c r="N80" s="717"/>
      <c r="O80" s="187">
        <f>800+800+400</f>
        <v>2000</v>
      </c>
      <c r="P80" s="186" t="s">
        <v>650</v>
      </c>
    </row>
    <row r="81" spans="1:17" ht="15.75" customHeight="1" x14ac:dyDescent="0.3">
      <c r="A81" s="714">
        <v>46142</v>
      </c>
      <c r="B81" s="715"/>
      <c r="C81" s="715"/>
      <c r="D81" s="715"/>
      <c r="E81" s="189" t="s">
        <v>832</v>
      </c>
      <c r="F81" s="716" t="s">
        <v>833</v>
      </c>
      <c r="G81" s="716"/>
      <c r="H81" s="716"/>
      <c r="I81" s="716"/>
      <c r="J81" s="716"/>
      <c r="K81" s="717" t="s">
        <v>709</v>
      </c>
      <c r="L81" s="717"/>
      <c r="M81" s="717"/>
      <c r="N81" s="717"/>
      <c r="O81" s="187">
        <f>580+670+500</f>
        <v>1750</v>
      </c>
      <c r="P81" s="186" t="s">
        <v>650</v>
      </c>
      <c r="Q81" s="190">
        <f>SUMIFS($O:$O,$A:$A,"&gt;="&amp;DATE(2026,4,1),$A:$A,"&lt;"&amp;DATE(2026,5,1))</f>
        <v>20961</v>
      </c>
    </row>
    <row r="82" spans="1:17" ht="15.75" customHeight="1" x14ac:dyDescent="0.3">
      <c r="A82" s="714">
        <v>46143</v>
      </c>
      <c r="B82" s="715"/>
      <c r="C82" s="715"/>
      <c r="D82" s="715"/>
      <c r="E82" s="189" t="s">
        <v>834</v>
      </c>
      <c r="F82" s="716" t="s">
        <v>835</v>
      </c>
      <c r="G82" s="716"/>
      <c r="H82" s="716"/>
      <c r="I82" s="716"/>
      <c r="J82" s="716"/>
      <c r="K82" s="717" t="s">
        <v>709</v>
      </c>
      <c r="L82" s="717"/>
      <c r="M82" s="717"/>
      <c r="N82" s="717"/>
      <c r="O82" s="194">
        <v>1630</v>
      </c>
      <c r="P82" s="186" t="s">
        <v>650</v>
      </c>
    </row>
    <row r="83" spans="1:17" ht="15.75" customHeight="1" x14ac:dyDescent="0.3">
      <c r="A83" s="714">
        <v>46144</v>
      </c>
      <c r="B83" s="715"/>
      <c r="C83" s="715"/>
      <c r="D83" s="715"/>
      <c r="E83" s="189">
        <v>2406</v>
      </c>
      <c r="F83" s="716" t="s">
        <v>835</v>
      </c>
      <c r="G83" s="716"/>
      <c r="H83" s="716"/>
      <c r="I83" s="716"/>
      <c r="J83" s="716"/>
      <c r="K83" s="717" t="s">
        <v>709</v>
      </c>
      <c r="L83" s="717"/>
      <c r="M83" s="717"/>
      <c r="N83" s="717"/>
      <c r="O83" s="187">
        <f>380+540</f>
        <v>920</v>
      </c>
      <c r="P83" s="186" t="s">
        <v>650</v>
      </c>
    </row>
    <row r="84" spans="1:17" ht="15.75" customHeight="1" x14ac:dyDescent="0.3">
      <c r="A84" s="714">
        <v>46146</v>
      </c>
      <c r="B84" s="715"/>
      <c r="C84" s="715"/>
      <c r="D84" s="715"/>
      <c r="E84" s="189" t="s">
        <v>836</v>
      </c>
      <c r="F84" s="716" t="s">
        <v>837</v>
      </c>
      <c r="G84" s="716"/>
      <c r="H84" s="716"/>
      <c r="I84" s="716"/>
      <c r="J84" s="716"/>
      <c r="K84" s="717" t="s">
        <v>709</v>
      </c>
      <c r="L84" s="717"/>
      <c r="M84" s="717"/>
      <c r="N84" s="717"/>
      <c r="O84" s="187">
        <f>560+420</f>
        <v>980</v>
      </c>
      <c r="P84" s="186" t="s">
        <v>650</v>
      </c>
    </row>
    <row r="85" spans="1:17" ht="15.75" customHeight="1" x14ac:dyDescent="0.3">
      <c r="A85" s="714">
        <v>46147</v>
      </c>
      <c r="B85" s="715"/>
      <c r="C85" s="715"/>
      <c r="D85" s="715"/>
      <c r="E85" s="189">
        <v>2412</v>
      </c>
      <c r="F85" s="716" t="s">
        <v>838</v>
      </c>
      <c r="G85" s="716"/>
      <c r="H85" s="716"/>
      <c r="I85" s="716"/>
      <c r="J85" s="716"/>
      <c r="K85" s="717" t="s">
        <v>709</v>
      </c>
      <c r="L85" s="717"/>
      <c r="M85" s="717"/>
      <c r="N85" s="717"/>
      <c r="O85" s="187">
        <v>800</v>
      </c>
      <c r="P85" s="186" t="s">
        <v>650</v>
      </c>
    </row>
    <row r="86" spans="1:17" ht="15.75" customHeight="1" x14ac:dyDescent="0.3">
      <c r="A86" s="714">
        <v>46149</v>
      </c>
      <c r="B86" s="715"/>
      <c r="C86" s="715"/>
      <c r="D86" s="715"/>
      <c r="E86" s="189">
        <v>2419</v>
      </c>
      <c r="F86" s="716" t="s">
        <v>839</v>
      </c>
      <c r="G86" s="716"/>
      <c r="H86" s="716"/>
      <c r="I86" s="716"/>
      <c r="J86" s="716"/>
      <c r="K86" s="717" t="s">
        <v>709</v>
      </c>
      <c r="L86" s="717"/>
      <c r="M86" s="717"/>
      <c r="N86" s="717"/>
      <c r="O86" s="187">
        <v>300</v>
      </c>
      <c r="P86" s="186" t="s">
        <v>650</v>
      </c>
    </row>
    <row r="87" spans="1:17" ht="15.75" customHeight="1" x14ac:dyDescent="0.3">
      <c r="A87" s="714">
        <v>46150</v>
      </c>
      <c r="B87" s="715"/>
      <c r="C87" s="715"/>
      <c r="D87" s="715"/>
      <c r="E87" s="189" t="s">
        <v>840</v>
      </c>
      <c r="F87" s="716" t="s">
        <v>841</v>
      </c>
      <c r="G87" s="716"/>
      <c r="H87" s="716"/>
      <c r="I87" s="716"/>
      <c r="J87" s="716"/>
      <c r="K87" s="717" t="s">
        <v>709</v>
      </c>
      <c r="L87" s="717"/>
      <c r="M87" s="717"/>
      <c r="N87" s="717"/>
      <c r="O87" s="187">
        <f>400+650</f>
        <v>1050</v>
      </c>
      <c r="P87" s="186" t="s">
        <v>650</v>
      </c>
    </row>
    <row r="88" spans="1:17" ht="15.75" customHeight="1" x14ac:dyDescent="0.3">
      <c r="A88" s="714">
        <v>46151</v>
      </c>
      <c r="B88" s="715"/>
      <c r="C88" s="715"/>
      <c r="D88" s="715"/>
      <c r="E88" s="189" t="s">
        <v>842</v>
      </c>
      <c r="F88" s="716" t="s">
        <v>843</v>
      </c>
      <c r="G88" s="716"/>
      <c r="H88" s="716"/>
      <c r="I88" s="716"/>
      <c r="J88" s="716"/>
      <c r="K88" s="717" t="s">
        <v>709</v>
      </c>
      <c r="L88" s="717"/>
      <c r="M88" s="717"/>
      <c r="N88" s="717"/>
      <c r="O88" s="187">
        <f>300+530+610</f>
        <v>1440</v>
      </c>
      <c r="P88" s="186" t="s">
        <v>650</v>
      </c>
    </row>
    <row r="89" spans="1:17" ht="15.75" customHeight="1" x14ac:dyDescent="0.3">
      <c r="A89" s="714">
        <v>46153</v>
      </c>
      <c r="B89" s="715"/>
      <c r="C89" s="715"/>
      <c r="D89" s="715"/>
      <c r="E89" s="189" t="s">
        <v>844</v>
      </c>
      <c r="F89" s="716" t="s">
        <v>845</v>
      </c>
      <c r="G89" s="716"/>
      <c r="H89" s="716"/>
      <c r="I89" s="716"/>
      <c r="J89" s="716"/>
      <c r="K89" s="717" t="s">
        <v>709</v>
      </c>
      <c r="L89" s="717"/>
      <c r="M89" s="717"/>
      <c r="N89" s="717"/>
      <c r="O89" s="187">
        <f>600+50</f>
        <v>650</v>
      </c>
      <c r="P89" s="186" t="s">
        <v>650</v>
      </c>
    </row>
    <row r="90" spans="1:17" ht="15.75" customHeight="1" x14ac:dyDescent="0.3">
      <c r="A90" s="714">
        <v>46154</v>
      </c>
      <c r="B90" s="715"/>
      <c r="C90" s="715"/>
      <c r="D90" s="715"/>
      <c r="E90" s="189" t="s">
        <v>846</v>
      </c>
      <c r="F90" s="716" t="s">
        <v>847</v>
      </c>
      <c r="G90" s="716"/>
      <c r="H90" s="716"/>
      <c r="I90" s="716"/>
      <c r="J90" s="716"/>
      <c r="K90" s="717" t="s">
        <v>709</v>
      </c>
      <c r="L90" s="717"/>
      <c r="M90" s="717"/>
      <c r="N90" s="717"/>
      <c r="O90" s="187">
        <f>800+240</f>
        <v>1040</v>
      </c>
      <c r="P90" s="186" t="s">
        <v>650</v>
      </c>
    </row>
    <row r="91" spans="1:17" ht="15.75" customHeight="1" x14ac:dyDescent="0.3">
      <c r="A91" s="714">
        <v>46154</v>
      </c>
      <c r="B91" s="715"/>
      <c r="C91" s="715"/>
      <c r="D91" s="715"/>
      <c r="E91" s="193" t="s">
        <v>848</v>
      </c>
      <c r="F91" s="716" t="s">
        <v>849</v>
      </c>
      <c r="G91" s="716"/>
      <c r="H91" s="716"/>
      <c r="I91" s="716"/>
      <c r="J91" s="716"/>
      <c r="K91" s="717" t="s">
        <v>709</v>
      </c>
      <c r="L91" s="717"/>
      <c r="M91" s="717"/>
      <c r="N91" s="717"/>
      <c r="O91" s="187">
        <f>800+800</f>
        <v>1600</v>
      </c>
      <c r="P91" s="186" t="s">
        <v>650</v>
      </c>
    </row>
    <row r="92" spans="1:17" ht="15.75" customHeight="1" x14ac:dyDescent="0.3">
      <c r="A92" s="714">
        <v>46156</v>
      </c>
      <c r="B92" s="715"/>
      <c r="C92" s="715"/>
      <c r="D92" s="715"/>
      <c r="E92" s="189" t="s">
        <v>850</v>
      </c>
      <c r="F92" s="716" t="s">
        <v>851</v>
      </c>
      <c r="G92" s="716"/>
      <c r="H92" s="716"/>
      <c r="I92" s="716"/>
      <c r="J92" s="716"/>
      <c r="K92" s="717" t="s">
        <v>709</v>
      </c>
      <c r="L92" s="717"/>
      <c r="M92" s="717"/>
      <c r="N92" s="717"/>
      <c r="O92" s="187">
        <f>800+540</f>
        <v>1340</v>
      </c>
      <c r="P92" s="186" t="s">
        <v>650</v>
      </c>
      <c r="Q92" s="192"/>
    </row>
    <row r="93" spans="1:17" ht="15.75" customHeight="1" x14ac:dyDescent="0.3">
      <c r="A93" s="714">
        <v>46157</v>
      </c>
      <c r="B93" s="715"/>
      <c r="C93" s="715"/>
      <c r="D93" s="715"/>
      <c r="E93" s="189" t="s">
        <v>852</v>
      </c>
      <c r="F93" s="716" t="s">
        <v>853</v>
      </c>
      <c r="G93" s="716"/>
      <c r="H93" s="716"/>
      <c r="I93" s="716"/>
      <c r="J93" s="716"/>
      <c r="K93" s="717" t="s">
        <v>709</v>
      </c>
      <c r="L93" s="717"/>
      <c r="M93" s="717"/>
      <c r="N93" s="717"/>
      <c r="O93" s="187">
        <f>750+600</f>
        <v>1350</v>
      </c>
      <c r="P93" s="186" t="s">
        <v>650</v>
      </c>
    </row>
    <row r="94" spans="1:17" ht="15.75" customHeight="1" x14ac:dyDescent="0.3">
      <c r="A94" s="714">
        <v>46158</v>
      </c>
      <c r="B94" s="715"/>
      <c r="C94" s="715"/>
      <c r="D94" s="715"/>
      <c r="E94" s="189" t="s">
        <v>854</v>
      </c>
      <c r="F94" s="716" t="s">
        <v>855</v>
      </c>
      <c r="G94" s="716"/>
      <c r="H94" s="716"/>
      <c r="I94" s="716"/>
      <c r="J94" s="716"/>
      <c r="K94" s="717" t="s">
        <v>709</v>
      </c>
      <c r="L94" s="717"/>
      <c r="M94" s="717"/>
      <c r="N94" s="717"/>
      <c r="O94" s="187">
        <f>310+420+600</f>
        <v>1330</v>
      </c>
      <c r="P94" s="186" t="s">
        <v>650</v>
      </c>
    </row>
    <row r="95" spans="1:17" ht="15.75" customHeight="1" x14ac:dyDescent="0.3">
      <c r="A95" s="714">
        <v>46160</v>
      </c>
      <c r="B95" s="715"/>
      <c r="C95" s="715"/>
      <c r="D95" s="715"/>
      <c r="E95" s="189" t="s">
        <v>856</v>
      </c>
      <c r="F95" s="716" t="s">
        <v>857</v>
      </c>
      <c r="G95" s="716"/>
      <c r="H95" s="716"/>
      <c r="I95" s="716"/>
      <c r="J95" s="716"/>
      <c r="K95" s="717" t="s">
        <v>709</v>
      </c>
      <c r="L95" s="717"/>
      <c r="M95" s="717"/>
      <c r="N95" s="717"/>
      <c r="O95" s="187">
        <f>200+180</f>
        <v>380</v>
      </c>
      <c r="P95" s="186" t="s">
        <v>650</v>
      </c>
    </row>
    <row r="96" spans="1:17" ht="15.75" customHeight="1" x14ac:dyDescent="0.3">
      <c r="A96" s="714">
        <v>46161</v>
      </c>
      <c r="B96" s="715"/>
      <c r="C96" s="715"/>
      <c r="D96" s="715"/>
      <c r="E96" s="189" t="s">
        <v>1007</v>
      </c>
      <c r="F96" s="716" t="s">
        <v>974</v>
      </c>
      <c r="G96" s="716"/>
      <c r="H96" s="716"/>
      <c r="I96" s="716"/>
      <c r="J96" s="716"/>
      <c r="K96" s="717" t="s">
        <v>709</v>
      </c>
      <c r="L96" s="717"/>
      <c r="M96" s="717"/>
      <c r="N96" s="717"/>
      <c r="O96" s="187">
        <f>350</f>
        <v>350</v>
      </c>
      <c r="P96" s="186" t="s">
        <v>650</v>
      </c>
    </row>
    <row r="97" spans="1:17" ht="15.75" customHeight="1" x14ac:dyDescent="0.3">
      <c r="A97" s="714">
        <v>46162</v>
      </c>
      <c r="B97" s="715"/>
      <c r="C97" s="715"/>
      <c r="D97" s="715"/>
      <c r="E97" s="189" t="s">
        <v>978</v>
      </c>
      <c r="F97" s="716" t="s">
        <v>979</v>
      </c>
      <c r="G97" s="716"/>
      <c r="H97" s="716"/>
      <c r="I97" s="716"/>
      <c r="J97" s="716"/>
      <c r="K97" s="717" t="s">
        <v>709</v>
      </c>
      <c r="L97" s="717"/>
      <c r="M97" s="717"/>
      <c r="N97" s="717"/>
      <c r="O97" s="187">
        <f>800+200</f>
        <v>1000</v>
      </c>
      <c r="P97" s="186" t="s">
        <v>650</v>
      </c>
    </row>
    <row r="98" spans="1:17" ht="15.75" customHeight="1" x14ac:dyDescent="0.3">
      <c r="A98" s="714">
        <v>46163</v>
      </c>
      <c r="B98" s="715"/>
      <c r="C98" s="715"/>
      <c r="D98" s="715"/>
      <c r="E98" s="189" t="s">
        <v>981</v>
      </c>
      <c r="F98" s="716" t="s">
        <v>980</v>
      </c>
      <c r="G98" s="716"/>
      <c r="H98" s="716"/>
      <c r="I98" s="716"/>
      <c r="J98" s="716"/>
      <c r="K98" s="717" t="s">
        <v>709</v>
      </c>
      <c r="L98" s="717"/>
      <c r="M98" s="717"/>
      <c r="N98" s="717"/>
      <c r="O98" s="187">
        <f>380+801</f>
        <v>1181</v>
      </c>
      <c r="P98" s="186" t="s">
        <v>650</v>
      </c>
    </row>
    <row r="99" spans="1:17" ht="15.75" customHeight="1" x14ac:dyDescent="0.3">
      <c r="A99" s="714">
        <v>46164</v>
      </c>
      <c r="B99" s="715"/>
      <c r="C99" s="715"/>
      <c r="D99" s="715"/>
      <c r="E99" s="189" t="s">
        <v>985</v>
      </c>
      <c r="F99" s="718" t="s">
        <v>983</v>
      </c>
      <c r="G99" s="718"/>
      <c r="H99" s="718"/>
      <c r="I99" s="718"/>
      <c r="J99" s="718"/>
      <c r="K99" s="717" t="s">
        <v>709</v>
      </c>
      <c r="L99" s="717"/>
      <c r="M99" s="717"/>
      <c r="N99" s="717"/>
      <c r="O99" s="187">
        <f>610+330</f>
        <v>940</v>
      </c>
      <c r="P99" s="186" t="s">
        <v>650</v>
      </c>
    </row>
    <row r="100" spans="1:17" ht="15.75" customHeight="1" x14ac:dyDescent="0.3">
      <c r="A100" s="714">
        <v>46165</v>
      </c>
      <c r="B100" s="715"/>
      <c r="C100" s="715"/>
      <c r="D100" s="715"/>
      <c r="E100" s="189" t="s">
        <v>987</v>
      </c>
      <c r="F100" s="718" t="s">
        <v>988</v>
      </c>
      <c r="G100" s="718"/>
      <c r="H100" s="718"/>
      <c r="I100" s="718"/>
      <c r="J100" s="718"/>
      <c r="K100" s="717" t="s">
        <v>709</v>
      </c>
      <c r="L100" s="717"/>
      <c r="M100" s="717"/>
      <c r="N100" s="717"/>
      <c r="O100" s="187">
        <f>30+390+260</f>
        <v>680</v>
      </c>
      <c r="P100" s="186" t="s">
        <v>650</v>
      </c>
    </row>
    <row r="101" spans="1:17" ht="15.75" customHeight="1" x14ac:dyDescent="0.3">
      <c r="A101" s="714">
        <v>46167</v>
      </c>
      <c r="B101" s="715"/>
      <c r="C101" s="715"/>
      <c r="D101" s="715"/>
      <c r="E101" s="189" t="s">
        <v>993</v>
      </c>
      <c r="F101" s="718" t="s">
        <v>988</v>
      </c>
      <c r="G101" s="718"/>
      <c r="H101" s="718"/>
      <c r="I101" s="718"/>
      <c r="J101" s="718"/>
      <c r="K101" s="717" t="s">
        <v>709</v>
      </c>
      <c r="L101" s="717"/>
      <c r="M101" s="717"/>
      <c r="N101" s="717"/>
      <c r="O101" s="187">
        <f>550+210</f>
        <v>760</v>
      </c>
      <c r="P101" s="186" t="s">
        <v>650</v>
      </c>
    </row>
    <row r="102" spans="1:17" ht="15.75" customHeight="1" x14ac:dyDescent="0.3">
      <c r="A102" s="714">
        <v>46168</v>
      </c>
      <c r="B102" s="715"/>
      <c r="C102" s="715"/>
      <c r="D102" s="715"/>
      <c r="E102" s="189" t="s">
        <v>999</v>
      </c>
      <c r="F102" s="718" t="s">
        <v>997</v>
      </c>
      <c r="G102" s="718"/>
      <c r="H102" s="718"/>
      <c r="I102" s="718"/>
      <c r="J102" s="718"/>
      <c r="K102" s="717" t="s">
        <v>709</v>
      </c>
      <c r="L102" s="717"/>
      <c r="M102" s="717"/>
      <c r="N102" s="717"/>
      <c r="O102" s="187">
        <f>250+800</f>
        <v>1050</v>
      </c>
      <c r="P102" s="186" t="s">
        <v>650</v>
      </c>
    </row>
    <row r="103" spans="1:17" ht="15.75" customHeight="1" x14ac:dyDescent="0.3">
      <c r="A103" s="714">
        <v>46169</v>
      </c>
      <c r="B103" s="715"/>
      <c r="C103" s="715"/>
      <c r="D103" s="715"/>
      <c r="E103" s="189" t="s">
        <v>1008</v>
      </c>
      <c r="F103" s="718" t="s">
        <v>1005</v>
      </c>
      <c r="G103" s="718"/>
      <c r="H103" s="718"/>
      <c r="I103" s="718"/>
      <c r="J103" s="718"/>
      <c r="K103" s="717" t="s">
        <v>709</v>
      </c>
      <c r="L103" s="717"/>
      <c r="M103" s="717"/>
      <c r="N103" s="717"/>
      <c r="O103" s="187">
        <f>620+800+130</f>
        <v>1550</v>
      </c>
      <c r="P103" s="186" t="s">
        <v>650</v>
      </c>
    </row>
    <row r="104" spans="1:17" ht="15.75" customHeight="1" x14ac:dyDescent="0.3">
      <c r="A104" s="714">
        <v>46170</v>
      </c>
      <c r="B104" s="715"/>
      <c r="C104" s="715"/>
      <c r="D104" s="715"/>
      <c r="E104" s="189" t="s">
        <v>1016</v>
      </c>
      <c r="F104" s="718" t="s">
        <v>1010</v>
      </c>
      <c r="G104" s="718"/>
      <c r="H104" s="718"/>
      <c r="I104" s="718"/>
      <c r="J104" s="718"/>
      <c r="K104" s="717" t="s">
        <v>709</v>
      </c>
      <c r="L104" s="717"/>
      <c r="M104" s="717"/>
      <c r="N104" s="717"/>
      <c r="O104" s="187">
        <f>400+310</f>
        <v>710</v>
      </c>
      <c r="P104" s="186" t="s">
        <v>650</v>
      </c>
    </row>
    <row r="105" spans="1:17" ht="15.75" customHeight="1" x14ac:dyDescent="0.3">
      <c r="A105" s="714">
        <v>46171</v>
      </c>
      <c r="B105" s="715"/>
      <c r="C105" s="715"/>
      <c r="D105" s="715"/>
      <c r="E105" s="189" t="s">
        <v>1022</v>
      </c>
      <c r="F105" s="718" t="s">
        <v>1019</v>
      </c>
      <c r="G105" s="718"/>
      <c r="H105" s="718"/>
      <c r="I105" s="718"/>
      <c r="J105" s="718"/>
      <c r="K105" s="717" t="s">
        <v>709</v>
      </c>
      <c r="L105" s="717"/>
      <c r="M105" s="717"/>
      <c r="N105" s="717"/>
      <c r="O105" s="187">
        <f>330+110</f>
        <v>440</v>
      </c>
      <c r="P105" s="186" t="s">
        <v>650</v>
      </c>
    </row>
    <row r="106" spans="1:17" ht="15.75" customHeight="1" x14ac:dyDescent="0.3">
      <c r="A106" s="714">
        <v>46172</v>
      </c>
      <c r="B106" s="715"/>
      <c r="C106" s="715"/>
      <c r="D106" s="715"/>
      <c r="E106" s="189" t="s">
        <v>1026</v>
      </c>
      <c r="F106" s="718" t="s">
        <v>1025</v>
      </c>
      <c r="G106" s="718"/>
      <c r="H106" s="718"/>
      <c r="I106" s="718"/>
      <c r="J106" s="718"/>
      <c r="K106" s="717" t="s">
        <v>709</v>
      </c>
      <c r="L106" s="717"/>
      <c r="M106" s="717"/>
      <c r="N106" s="717"/>
      <c r="O106" s="187">
        <f>660+420</f>
        <v>1080</v>
      </c>
      <c r="P106" s="186" t="s">
        <v>650</v>
      </c>
      <c r="Q106" s="192">
        <f>SUMIFS($O:$O,$A:$A,"&gt;="&amp;DATE(2026,5,1),$A:$A,"&lt;"&amp;DATE(2026,6,1))</f>
        <v>24551</v>
      </c>
    </row>
    <row r="107" spans="1:17" ht="15.75" customHeight="1" x14ac:dyDescent="0.3">
      <c r="A107" s="714">
        <v>46174</v>
      </c>
      <c r="B107" s="715"/>
      <c r="C107" s="715"/>
      <c r="D107" s="715"/>
      <c r="E107" s="189" t="s">
        <v>1029</v>
      </c>
      <c r="F107" s="718" t="s">
        <v>1028</v>
      </c>
      <c r="G107" s="718"/>
      <c r="H107" s="718"/>
      <c r="I107" s="718"/>
      <c r="J107" s="718"/>
      <c r="K107" s="717" t="s">
        <v>709</v>
      </c>
      <c r="L107" s="717"/>
      <c r="M107" s="717"/>
      <c r="N107" s="717"/>
      <c r="O107" s="187">
        <f>500+350</f>
        <v>850</v>
      </c>
      <c r="P107" s="186" t="s">
        <v>650</v>
      </c>
    </row>
    <row r="108" spans="1:17" ht="15.75" customHeight="1" x14ac:dyDescent="0.3">
      <c r="A108" s="714">
        <v>46175</v>
      </c>
      <c r="B108" s="715"/>
      <c r="C108" s="715"/>
      <c r="D108" s="715"/>
      <c r="E108" s="189" t="s">
        <v>1032</v>
      </c>
      <c r="F108" s="718" t="s">
        <v>1030</v>
      </c>
      <c r="G108" s="718"/>
      <c r="H108" s="718"/>
      <c r="I108" s="718"/>
      <c r="J108" s="718"/>
      <c r="K108" s="717" t="s">
        <v>709</v>
      </c>
      <c r="L108" s="717"/>
      <c r="M108" s="717"/>
      <c r="N108" s="717"/>
      <c r="O108" s="187">
        <f>800+60+800+170</f>
        <v>1830</v>
      </c>
      <c r="P108" s="186" t="s">
        <v>650</v>
      </c>
    </row>
    <row r="109" spans="1:17" ht="15.75" customHeight="1" x14ac:dyDescent="0.3">
      <c r="A109" s="714">
        <v>46176</v>
      </c>
      <c r="B109" s="715"/>
      <c r="C109" s="715"/>
      <c r="D109" s="715"/>
      <c r="E109" s="189" t="s">
        <v>1050</v>
      </c>
      <c r="F109" s="718" t="s">
        <v>1036</v>
      </c>
      <c r="G109" s="718"/>
      <c r="H109" s="718"/>
      <c r="I109" s="718"/>
      <c r="J109" s="718"/>
      <c r="K109" s="717" t="s">
        <v>709</v>
      </c>
      <c r="L109" s="717"/>
      <c r="M109" s="717"/>
      <c r="N109" s="717"/>
      <c r="O109" s="187">
        <f>740+800</f>
        <v>1540</v>
      </c>
      <c r="P109" s="186" t="s">
        <v>650</v>
      </c>
    </row>
    <row r="110" spans="1:17" ht="15.75" customHeight="1" x14ac:dyDescent="0.3">
      <c r="A110" s="714">
        <v>46177</v>
      </c>
      <c r="B110" s="715"/>
      <c r="C110" s="715"/>
      <c r="D110" s="715"/>
      <c r="E110" s="189" t="s">
        <v>1059</v>
      </c>
      <c r="F110" s="718" t="s">
        <v>1052</v>
      </c>
      <c r="G110" s="718"/>
      <c r="H110" s="718"/>
      <c r="I110" s="718"/>
      <c r="J110" s="718"/>
      <c r="K110" s="717" t="s">
        <v>709</v>
      </c>
      <c r="L110" s="717"/>
      <c r="M110" s="717"/>
      <c r="N110" s="717"/>
      <c r="O110" s="187">
        <f>640+480+430</f>
        <v>1550</v>
      </c>
      <c r="P110" s="186" t="s">
        <v>650</v>
      </c>
    </row>
    <row r="111" spans="1:17" ht="15.75" customHeight="1" x14ac:dyDescent="0.3">
      <c r="A111" s="714">
        <v>46178</v>
      </c>
      <c r="B111" s="715"/>
      <c r="C111" s="715"/>
      <c r="D111" s="715"/>
      <c r="E111" s="189">
        <v>2507</v>
      </c>
      <c r="F111" s="718" t="s">
        <v>1062</v>
      </c>
      <c r="G111" s="718"/>
      <c r="H111" s="718"/>
      <c r="I111" s="718"/>
      <c r="J111" s="718"/>
      <c r="K111" s="717" t="s">
        <v>709</v>
      </c>
      <c r="L111" s="717"/>
      <c r="M111" s="717"/>
      <c r="N111" s="717"/>
      <c r="O111" s="191">
        <v>410</v>
      </c>
      <c r="P111" s="186" t="s">
        <v>650</v>
      </c>
    </row>
    <row r="112" spans="1:17" ht="15.75" customHeight="1" x14ac:dyDescent="0.3">
      <c r="A112" s="714">
        <v>46181</v>
      </c>
      <c r="B112" s="715"/>
      <c r="C112" s="715"/>
      <c r="D112" s="715"/>
      <c r="E112" s="189" t="s">
        <v>1067</v>
      </c>
      <c r="F112" s="718" t="s">
        <v>1062</v>
      </c>
      <c r="G112" s="718"/>
      <c r="H112" s="718"/>
      <c r="I112" s="718"/>
      <c r="J112" s="718"/>
      <c r="K112" s="717" t="s">
        <v>709</v>
      </c>
      <c r="L112" s="717"/>
      <c r="M112" s="717"/>
      <c r="N112" s="717"/>
      <c r="O112" s="187">
        <f>100+500</f>
        <v>600</v>
      </c>
      <c r="P112" s="186" t="s">
        <v>650</v>
      </c>
    </row>
    <row r="113" spans="1:17" ht="15.75" customHeight="1" x14ac:dyDescent="0.3">
      <c r="A113" s="714">
        <v>46182</v>
      </c>
      <c r="B113" s="715"/>
      <c r="C113" s="715"/>
      <c r="D113" s="715"/>
      <c r="E113" s="189" t="s">
        <v>1071</v>
      </c>
      <c r="F113" s="718" t="s">
        <v>1068</v>
      </c>
      <c r="G113" s="718"/>
      <c r="H113" s="718"/>
      <c r="I113" s="718"/>
      <c r="J113" s="718"/>
      <c r="K113" s="717" t="s">
        <v>709</v>
      </c>
      <c r="L113" s="717"/>
      <c r="M113" s="717"/>
      <c r="N113" s="717"/>
      <c r="O113" s="187">
        <f>800+801+160</f>
        <v>1761</v>
      </c>
      <c r="P113" s="186" t="s">
        <v>650</v>
      </c>
    </row>
    <row r="114" spans="1:17" ht="15.75" customHeight="1" x14ac:dyDescent="0.3">
      <c r="A114" s="714">
        <v>46183</v>
      </c>
      <c r="B114" s="715"/>
      <c r="C114" s="715"/>
      <c r="D114" s="715"/>
      <c r="E114" s="189" t="s">
        <v>1073</v>
      </c>
      <c r="F114" s="718" t="s">
        <v>1072</v>
      </c>
      <c r="G114" s="718"/>
      <c r="H114" s="718"/>
      <c r="I114" s="718"/>
      <c r="J114" s="718"/>
      <c r="K114" s="717" t="s">
        <v>709</v>
      </c>
      <c r="L114" s="717"/>
      <c r="M114" s="717"/>
      <c r="N114" s="717"/>
      <c r="O114" s="187">
        <f>700+400</f>
        <v>1100</v>
      </c>
      <c r="P114" s="186" t="s">
        <v>650</v>
      </c>
    </row>
    <row r="115" spans="1:17" ht="15.75" customHeight="1" x14ac:dyDescent="0.3">
      <c r="A115" s="714">
        <v>46184</v>
      </c>
      <c r="B115" s="715"/>
      <c r="C115" s="715"/>
      <c r="D115" s="715"/>
      <c r="E115" s="189" t="s">
        <v>1081</v>
      </c>
      <c r="F115" s="718" t="s">
        <v>1074</v>
      </c>
      <c r="G115" s="718"/>
      <c r="H115" s="718"/>
      <c r="I115" s="718"/>
      <c r="J115" s="718"/>
      <c r="K115" s="717" t="s">
        <v>709</v>
      </c>
      <c r="L115" s="717"/>
      <c r="M115" s="717"/>
      <c r="N115" s="717"/>
      <c r="O115" s="187">
        <f>800+100+800+440</f>
        <v>2140</v>
      </c>
      <c r="P115" s="186" t="s">
        <v>650</v>
      </c>
      <c r="Q115" s="190"/>
    </row>
    <row r="116" spans="1:17" ht="15.75" customHeight="1" x14ac:dyDescent="0.3">
      <c r="A116" s="714">
        <v>46185</v>
      </c>
      <c r="B116" s="715"/>
      <c r="C116" s="715"/>
      <c r="D116" s="715"/>
      <c r="E116" s="189" t="s">
        <v>1088</v>
      </c>
      <c r="F116" s="718" t="s">
        <v>1085</v>
      </c>
      <c r="G116" s="718"/>
      <c r="H116" s="718"/>
      <c r="I116" s="718"/>
      <c r="J116" s="718"/>
      <c r="K116" s="717" t="s">
        <v>709</v>
      </c>
      <c r="L116" s="717"/>
      <c r="M116" s="717"/>
      <c r="N116" s="717"/>
      <c r="O116" s="187">
        <f>390+550+370</f>
        <v>1310</v>
      </c>
      <c r="P116" s="186" t="s">
        <v>650</v>
      </c>
    </row>
    <row r="117" spans="1:17" ht="15.75" customHeight="1" x14ac:dyDescent="0.3">
      <c r="A117" s="714">
        <v>46186</v>
      </c>
      <c r="B117" s="715"/>
      <c r="C117" s="715"/>
      <c r="D117" s="715"/>
      <c r="E117" s="189" t="s">
        <v>1097</v>
      </c>
      <c r="F117" s="718" t="s">
        <v>1095</v>
      </c>
      <c r="G117" s="718"/>
      <c r="H117" s="718"/>
      <c r="I117" s="718"/>
      <c r="J117" s="718"/>
      <c r="K117" s="717" t="s">
        <v>709</v>
      </c>
      <c r="L117" s="717"/>
      <c r="M117" s="717"/>
      <c r="N117" s="717"/>
      <c r="O117" s="187">
        <f>610+540+420</f>
        <v>1570</v>
      </c>
      <c r="P117" s="186" t="s">
        <v>650</v>
      </c>
    </row>
    <row r="118" spans="1:17" ht="15.75" customHeight="1" x14ac:dyDescent="0.3">
      <c r="A118" s="714">
        <v>46188</v>
      </c>
      <c r="B118" s="715"/>
      <c r="C118" s="715"/>
      <c r="D118" s="715"/>
      <c r="E118" s="189" t="s">
        <v>1102</v>
      </c>
      <c r="F118" s="718" t="s">
        <v>1099</v>
      </c>
      <c r="G118" s="718"/>
      <c r="H118" s="718"/>
      <c r="I118" s="718"/>
      <c r="J118" s="718"/>
      <c r="K118" s="717" t="s">
        <v>709</v>
      </c>
      <c r="L118" s="717"/>
      <c r="M118" s="717"/>
      <c r="N118" s="717"/>
      <c r="O118" s="187">
        <f>550+310</f>
        <v>860</v>
      </c>
      <c r="P118" s="186" t="s">
        <v>650</v>
      </c>
    </row>
    <row r="119" spans="1:17" ht="15.75" customHeight="1" x14ac:dyDescent="0.3">
      <c r="A119" s="714">
        <v>46189</v>
      </c>
      <c r="B119" s="715"/>
      <c r="C119" s="715"/>
      <c r="D119" s="715"/>
      <c r="E119" s="189" t="s">
        <v>1106</v>
      </c>
      <c r="F119" s="718" t="s">
        <v>1103</v>
      </c>
      <c r="G119" s="718"/>
      <c r="H119" s="718"/>
      <c r="I119" s="718"/>
      <c r="J119" s="718"/>
      <c r="K119" s="717" t="s">
        <v>709</v>
      </c>
      <c r="L119" s="717"/>
      <c r="M119" s="717"/>
      <c r="N119" s="717"/>
      <c r="O119" s="187">
        <f>370+610</f>
        <v>980</v>
      </c>
      <c r="P119" s="186" t="s">
        <v>650</v>
      </c>
    </row>
    <row r="120" spans="1:17" ht="15.75" customHeight="1" x14ac:dyDescent="0.3">
      <c r="A120" s="714">
        <v>46190</v>
      </c>
      <c r="B120" s="715"/>
      <c r="C120" s="715"/>
      <c r="D120" s="715"/>
      <c r="E120" s="189">
        <v>2545</v>
      </c>
      <c r="F120" s="718" t="s">
        <v>1116</v>
      </c>
      <c r="G120" s="718"/>
      <c r="H120" s="718"/>
      <c r="I120" s="718"/>
      <c r="J120" s="718"/>
      <c r="K120" s="717" t="s">
        <v>709</v>
      </c>
      <c r="L120" s="717"/>
      <c r="M120" s="717"/>
      <c r="N120" s="717"/>
      <c r="O120" s="187">
        <v>800</v>
      </c>
      <c r="P120" s="186" t="s">
        <v>650</v>
      </c>
    </row>
    <row r="121" spans="1:17" ht="15.75" customHeight="1" x14ac:dyDescent="0.3">
      <c r="A121" s="714">
        <v>46191</v>
      </c>
      <c r="B121" s="715"/>
      <c r="C121" s="715"/>
      <c r="D121" s="715"/>
      <c r="E121" s="189" t="s">
        <v>1119</v>
      </c>
      <c r="F121" s="718" t="s">
        <v>1117</v>
      </c>
      <c r="G121" s="718"/>
      <c r="H121" s="718"/>
      <c r="I121" s="718"/>
      <c r="J121" s="718"/>
      <c r="K121" s="717" t="s">
        <v>709</v>
      </c>
      <c r="L121" s="717"/>
      <c r="M121" s="717"/>
      <c r="N121" s="717"/>
      <c r="O121" s="187">
        <f>780+600</f>
        <v>1380</v>
      </c>
      <c r="P121" s="186" t="s">
        <v>650</v>
      </c>
    </row>
    <row r="122" spans="1:17" ht="15.75" customHeight="1" x14ac:dyDescent="0.3">
      <c r="A122" s="714">
        <v>46192</v>
      </c>
      <c r="B122" s="715"/>
      <c r="C122" s="715"/>
      <c r="D122" s="715"/>
      <c r="E122" s="189" t="s">
        <v>1121</v>
      </c>
      <c r="F122" s="718" t="s">
        <v>1120</v>
      </c>
      <c r="G122" s="718"/>
      <c r="H122" s="718"/>
      <c r="I122" s="718"/>
      <c r="J122" s="718"/>
      <c r="K122" s="717" t="s">
        <v>709</v>
      </c>
      <c r="L122" s="717"/>
      <c r="M122" s="717"/>
      <c r="N122" s="717"/>
      <c r="O122" s="187">
        <f>300+750</f>
        <v>1050</v>
      </c>
      <c r="P122" s="186" t="s">
        <v>650</v>
      </c>
    </row>
    <row r="123" spans="1:17" ht="15.75" customHeight="1" x14ac:dyDescent="0.3">
      <c r="A123" s="714">
        <v>46193</v>
      </c>
      <c r="B123" s="715"/>
      <c r="C123" s="715"/>
      <c r="D123" s="715"/>
      <c r="E123" s="189" t="s">
        <v>1128</v>
      </c>
      <c r="F123" s="718" t="s">
        <v>1122</v>
      </c>
      <c r="G123" s="718"/>
      <c r="H123" s="718"/>
      <c r="I123" s="718"/>
      <c r="J123" s="718"/>
      <c r="K123" s="717" t="s">
        <v>709</v>
      </c>
      <c r="L123" s="717"/>
      <c r="M123" s="717"/>
      <c r="N123" s="717"/>
      <c r="O123" s="187">
        <f>800+510+660</f>
        <v>1970</v>
      </c>
      <c r="P123" s="186" t="s">
        <v>650</v>
      </c>
    </row>
    <row r="124" spans="1:17" ht="15.75" customHeight="1" x14ac:dyDescent="0.3">
      <c r="A124" s="714">
        <v>46195</v>
      </c>
      <c r="B124" s="715"/>
      <c r="C124" s="715"/>
      <c r="D124" s="715"/>
      <c r="E124" s="189" t="s">
        <v>1130</v>
      </c>
      <c r="F124" s="718" t="s">
        <v>1129</v>
      </c>
      <c r="G124" s="718"/>
      <c r="H124" s="718"/>
      <c r="I124" s="718"/>
      <c r="J124" s="718"/>
      <c r="K124" s="717" t="s">
        <v>709</v>
      </c>
      <c r="L124" s="717"/>
      <c r="M124" s="717"/>
      <c r="N124" s="717"/>
      <c r="O124" s="187">
        <f>350+650</f>
        <v>1000</v>
      </c>
      <c r="P124" s="186" t="s">
        <v>650</v>
      </c>
    </row>
    <row r="125" spans="1:17" ht="15.75" customHeight="1" x14ac:dyDescent="0.3">
      <c r="A125" s="714">
        <v>46196</v>
      </c>
      <c r="B125" s="715"/>
      <c r="C125" s="715"/>
      <c r="D125" s="715"/>
      <c r="E125" s="189" t="s">
        <v>1133</v>
      </c>
      <c r="F125" s="718" t="s">
        <v>1131</v>
      </c>
      <c r="G125" s="718"/>
      <c r="H125" s="718"/>
      <c r="I125" s="718"/>
      <c r="J125" s="718"/>
      <c r="K125" s="717" t="s">
        <v>709</v>
      </c>
      <c r="L125" s="717"/>
      <c r="M125" s="717"/>
      <c r="N125" s="717"/>
      <c r="O125" s="187">
        <f>800+800</f>
        <v>1600</v>
      </c>
      <c r="P125" s="186" t="s">
        <v>650</v>
      </c>
    </row>
    <row r="126" spans="1:17" ht="15.75" customHeight="1" x14ac:dyDescent="0.3">
      <c r="A126" s="714">
        <v>46197</v>
      </c>
      <c r="B126" s="715"/>
      <c r="C126" s="715"/>
      <c r="D126" s="715"/>
      <c r="E126" s="189" t="s">
        <v>1135</v>
      </c>
      <c r="F126" s="718" t="s">
        <v>1134</v>
      </c>
      <c r="G126" s="718"/>
      <c r="H126" s="718"/>
      <c r="I126" s="718"/>
      <c r="J126" s="718"/>
      <c r="K126" s="717" t="s">
        <v>709</v>
      </c>
      <c r="L126" s="717"/>
      <c r="M126" s="717"/>
      <c r="N126" s="717"/>
      <c r="O126" s="187">
        <f>540+100+270</f>
        <v>910</v>
      </c>
      <c r="P126" s="186" t="s">
        <v>650</v>
      </c>
    </row>
    <row r="127" spans="1:17" ht="15.75" customHeight="1" x14ac:dyDescent="0.3">
      <c r="A127" s="714">
        <v>46198</v>
      </c>
      <c r="B127" s="715"/>
      <c r="C127" s="715"/>
      <c r="D127" s="715"/>
      <c r="E127" s="189" t="s">
        <v>1141</v>
      </c>
      <c r="F127" s="718" t="s">
        <v>1139</v>
      </c>
      <c r="G127" s="718"/>
      <c r="H127" s="718"/>
      <c r="I127" s="718"/>
      <c r="J127" s="718"/>
      <c r="K127" s="717" t="s">
        <v>709</v>
      </c>
      <c r="L127" s="717"/>
      <c r="M127" s="717"/>
      <c r="N127" s="717"/>
      <c r="O127" s="187">
        <f>210+760</f>
        <v>970</v>
      </c>
      <c r="P127" s="186" t="s">
        <v>650</v>
      </c>
    </row>
    <row r="128" spans="1:17" ht="15.75" customHeight="1" x14ac:dyDescent="0.3">
      <c r="A128" s="714">
        <v>46199</v>
      </c>
      <c r="B128" s="715"/>
      <c r="C128" s="715"/>
      <c r="D128" s="715"/>
      <c r="E128" s="189" t="s">
        <v>1150</v>
      </c>
      <c r="F128" s="718" t="s">
        <v>1146</v>
      </c>
      <c r="G128" s="718"/>
      <c r="H128" s="718"/>
      <c r="I128" s="718"/>
      <c r="J128" s="718"/>
      <c r="K128" s="717" t="s">
        <v>709</v>
      </c>
      <c r="L128" s="717"/>
      <c r="M128" s="717"/>
      <c r="N128" s="717"/>
      <c r="O128" s="187">
        <f>760+200</f>
        <v>960</v>
      </c>
      <c r="P128" s="186" t="s">
        <v>650</v>
      </c>
    </row>
    <row r="129" spans="1:17" ht="15.75" customHeight="1" x14ac:dyDescent="0.3">
      <c r="A129" s="714">
        <v>46200</v>
      </c>
      <c r="B129" s="715"/>
      <c r="C129" s="715"/>
      <c r="D129" s="715"/>
      <c r="E129" s="189" t="s">
        <v>1152</v>
      </c>
      <c r="F129" s="718" t="s">
        <v>1151</v>
      </c>
      <c r="G129" s="718"/>
      <c r="H129" s="718"/>
      <c r="I129" s="718"/>
      <c r="J129" s="718"/>
      <c r="K129" s="717" t="s">
        <v>709</v>
      </c>
      <c r="L129" s="717"/>
      <c r="M129" s="717"/>
      <c r="N129" s="717"/>
      <c r="O129" s="187">
        <f>210+180+240</f>
        <v>630</v>
      </c>
      <c r="P129" s="186" t="s">
        <v>650</v>
      </c>
    </row>
    <row r="130" spans="1:17" ht="15.75" customHeight="1" x14ac:dyDescent="0.3">
      <c r="A130" s="714">
        <v>46202</v>
      </c>
      <c r="B130" s="715"/>
      <c r="C130" s="715"/>
      <c r="D130" s="715"/>
      <c r="E130" s="189" t="s">
        <v>1154</v>
      </c>
      <c r="F130" s="718" t="s">
        <v>1153</v>
      </c>
      <c r="G130" s="718"/>
      <c r="H130" s="718"/>
      <c r="I130" s="718"/>
      <c r="J130" s="718"/>
      <c r="K130" s="717" t="s">
        <v>709</v>
      </c>
      <c r="L130" s="717"/>
      <c r="M130" s="717"/>
      <c r="N130" s="717"/>
      <c r="O130" s="187">
        <f>440+450+471</f>
        <v>1361</v>
      </c>
      <c r="P130" s="186" t="s">
        <v>650</v>
      </c>
    </row>
    <row r="131" spans="1:17" ht="15.75" customHeight="1" x14ac:dyDescent="0.3">
      <c r="A131" s="714">
        <v>46203</v>
      </c>
      <c r="B131" s="715"/>
      <c r="C131" s="715"/>
      <c r="D131" s="715"/>
      <c r="E131" s="189" t="s">
        <v>1160</v>
      </c>
      <c r="F131" s="718" t="s">
        <v>1155</v>
      </c>
      <c r="G131" s="718"/>
      <c r="H131" s="718"/>
      <c r="I131" s="718"/>
      <c r="J131" s="718"/>
      <c r="K131" s="717" t="s">
        <v>709</v>
      </c>
      <c r="L131" s="717"/>
      <c r="M131" s="717"/>
      <c r="N131" s="717"/>
      <c r="O131" s="187">
        <f>270+800</f>
        <v>1070</v>
      </c>
      <c r="P131" s="186" t="s">
        <v>650</v>
      </c>
      <c r="Q131" s="192">
        <f>SUMIFS($O:$O,$A:$A,"&gt;="&amp;DATE(2026,6,1),$A:$A,"&lt;"&amp;DATE(2026,7,1))</f>
        <v>30202</v>
      </c>
    </row>
    <row r="132" spans="1:17" ht="15.75" customHeight="1" x14ac:dyDescent="0.3">
      <c r="A132" s="714">
        <v>46204</v>
      </c>
      <c r="B132" s="715"/>
      <c r="C132" s="715"/>
      <c r="D132" s="715"/>
      <c r="E132" s="189" t="s">
        <v>1166</v>
      </c>
      <c r="F132" s="718" t="s">
        <v>1161</v>
      </c>
      <c r="G132" s="718"/>
      <c r="H132" s="718"/>
      <c r="I132" s="718"/>
      <c r="J132" s="718"/>
      <c r="K132" s="717" t="s">
        <v>709</v>
      </c>
      <c r="L132" s="717"/>
      <c r="M132" s="717"/>
      <c r="N132" s="717"/>
      <c r="O132" s="187">
        <f>800+700</f>
        <v>1500</v>
      </c>
      <c r="P132" s="186" t="s">
        <v>650</v>
      </c>
    </row>
    <row r="133" spans="1:17" ht="15.75" customHeight="1" x14ac:dyDescent="0.3">
      <c r="A133" s="714">
        <v>46205</v>
      </c>
      <c r="B133" s="715"/>
      <c r="C133" s="715"/>
      <c r="D133" s="715"/>
      <c r="E133" s="189" t="s">
        <v>1172</v>
      </c>
      <c r="F133" s="718" t="s">
        <v>1168</v>
      </c>
      <c r="G133" s="718"/>
      <c r="H133" s="718"/>
      <c r="I133" s="718"/>
      <c r="J133" s="718"/>
      <c r="K133" s="717" t="s">
        <v>709</v>
      </c>
      <c r="L133" s="717"/>
      <c r="M133" s="717"/>
      <c r="N133" s="717"/>
      <c r="O133" s="187">
        <f>560+800</f>
        <v>1360</v>
      </c>
      <c r="P133" s="186" t="s">
        <v>650</v>
      </c>
    </row>
    <row r="134" spans="1:17" ht="15.75" customHeight="1" x14ac:dyDescent="0.3">
      <c r="A134" s="714">
        <v>46206</v>
      </c>
      <c r="B134" s="715"/>
      <c r="C134" s="715"/>
      <c r="D134" s="715"/>
      <c r="E134" s="189" t="s">
        <v>1175</v>
      </c>
      <c r="F134" s="718" t="s">
        <v>1173</v>
      </c>
      <c r="G134" s="718"/>
      <c r="H134" s="718"/>
      <c r="I134" s="718"/>
      <c r="J134" s="718"/>
      <c r="K134" s="717" t="s">
        <v>709</v>
      </c>
      <c r="L134" s="717"/>
      <c r="M134" s="717"/>
      <c r="N134" s="717"/>
      <c r="O134" s="187">
        <f>400+800</f>
        <v>1200</v>
      </c>
      <c r="P134" s="186" t="s">
        <v>650</v>
      </c>
    </row>
    <row r="135" spans="1:17" ht="15.75" customHeight="1" x14ac:dyDescent="0.3">
      <c r="A135" s="714">
        <v>46207</v>
      </c>
      <c r="B135" s="715"/>
      <c r="C135" s="715"/>
      <c r="D135" s="715"/>
      <c r="E135" s="189" t="s">
        <v>1177</v>
      </c>
      <c r="F135" s="718" t="s">
        <v>1176</v>
      </c>
      <c r="G135" s="718"/>
      <c r="H135" s="718"/>
      <c r="I135" s="718"/>
      <c r="J135" s="718"/>
      <c r="K135" s="717" t="s">
        <v>709</v>
      </c>
      <c r="L135" s="717"/>
      <c r="M135" s="717"/>
      <c r="N135" s="717"/>
      <c r="O135" s="187">
        <f>800+670</f>
        <v>1470</v>
      </c>
      <c r="P135" s="186" t="s">
        <v>650</v>
      </c>
    </row>
    <row r="136" spans="1:17" ht="15.75" customHeight="1" x14ac:dyDescent="0.3">
      <c r="A136" s="714">
        <v>46209</v>
      </c>
      <c r="B136" s="715"/>
      <c r="C136" s="715"/>
      <c r="D136" s="715"/>
      <c r="E136" s="189" t="s">
        <v>1185</v>
      </c>
      <c r="F136" s="718" t="s">
        <v>1186</v>
      </c>
      <c r="G136" s="718"/>
      <c r="H136" s="718"/>
      <c r="I136" s="718"/>
      <c r="J136" s="718"/>
      <c r="K136" s="717" t="s">
        <v>709</v>
      </c>
      <c r="L136" s="717"/>
      <c r="M136" s="717"/>
      <c r="N136" s="717"/>
      <c r="O136" s="187">
        <f>420+250+30</f>
        <v>700</v>
      </c>
      <c r="P136" s="186" t="s">
        <v>650</v>
      </c>
    </row>
    <row r="137" spans="1:17" ht="15.75" customHeight="1" x14ac:dyDescent="0.3">
      <c r="A137" s="714">
        <v>46210</v>
      </c>
      <c r="B137" s="715"/>
      <c r="C137" s="715"/>
      <c r="D137" s="715"/>
      <c r="E137" s="189">
        <v>2612</v>
      </c>
      <c r="F137" s="718" t="s">
        <v>1186</v>
      </c>
      <c r="G137" s="718"/>
      <c r="H137" s="718"/>
      <c r="I137" s="718"/>
      <c r="J137" s="718"/>
      <c r="K137" s="717" t="s">
        <v>709</v>
      </c>
      <c r="L137" s="717"/>
      <c r="M137" s="717"/>
      <c r="N137" s="717"/>
      <c r="O137" s="187">
        <v>800</v>
      </c>
      <c r="P137" s="186" t="s">
        <v>650</v>
      </c>
    </row>
    <row r="138" spans="1:17" ht="15.75" customHeight="1" x14ac:dyDescent="0.3">
      <c r="A138" s="714">
        <v>46212</v>
      </c>
      <c r="B138" s="715"/>
      <c r="C138" s="715"/>
      <c r="D138" s="715"/>
      <c r="E138" s="189">
        <v>2615</v>
      </c>
      <c r="F138" s="718" t="s">
        <v>1208</v>
      </c>
      <c r="G138" s="718"/>
      <c r="H138" s="718"/>
      <c r="I138" s="718"/>
      <c r="J138" s="718"/>
      <c r="K138" s="717" t="s">
        <v>709</v>
      </c>
      <c r="L138" s="717"/>
      <c r="M138" s="717"/>
      <c r="N138" s="717"/>
      <c r="O138" s="187">
        <v>370</v>
      </c>
      <c r="P138" s="186" t="s">
        <v>650</v>
      </c>
    </row>
    <row r="139" spans="1:17" ht="15.75" customHeight="1" x14ac:dyDescent="0.3">
      <c r="A139" s="714">
        <v>46213</v>
      </c>
      <c r="B139" s="715"/>
      <c r="C139" s="715"/>
      <c r="D139" s="715"/>
      <c r="E139" s="189" t="s">
        <v>1227</v>
      </c>
      <c r="F139" s="718" t="s">
        <v>1209</v>
      </c>
      <c r="G139" s="718"/>
      <c r="H139" s="718"/>
      <c r="I139" s="718"/>
      <c r="J139" s="718"/>
      <c r="K139" s="717" t="s">
        <v>709</v>
      </c>
      <c r="L139" s="717"/>
      <c r="M139" s="717"/>
      <c r="N139" s="717"/>
      <c r="O139" s="187">
        <f>280+400</f>
        <v>680</v>
      </c>
      <c r="P139" s="186" t="s">
        <v>650</v>
      </c>
    </row>
    <row r="140" spans="1:17" ht="15.75" customHeight="1" x14ac:dyDescent="0.3">
      <c r="A140" s="714">
        <v>46214</v>
      </c>
      <c r="B140" s="715"/>
      <c r="C140" s="715"/>
      <c r="D140" s="715"/>
      <c r="E140" s="189" t="s">
        <v>1233</v>
      </c>
      <c r="F140" s="718" t="s">
        <v>1229</v>
      </c>
      <c r="G140" s="718"/>
      <c r="H140" s="718"/>
      <c r="I140" s="718"/>
      <c r="J140" s="718"/>
      <c r="K140" s="717" t="s">
        <v>709</v>
      </c>
      <c r="L140" s="717"/>
      <c r="M140" s="717"/>
      <c r="N140" s="717"/>
      <c r="O140" s="187">
        <f>270+260</f>
        <v>530</v>
      </c>
      <c r="P140" s="186" t="s">
        <v>650</v>
      </c>
    </row>
    <row r="141" spans="1:17" ht="15.75" customHeight="1" x14ac:dyDescent="0.3">
      <c r="A141" s="714">
        <v>46216</v>
      </c>
      <c r="B141" s="715"/>
      <c r="C141" s="715"/>
      <c r="D141" s="715"/>
      <c r="E141" s="189" t="s">
        <v>1236</v>
      </c>
      <c r="F141" s="718" t="s">
        <v>1235</v>
      </c>
      <c r="G141" s="718"/>
      <c r="H141" s="718"/>
      <c r="I141" s="718"/>
      <c r="J141" s="718"/>
      <c r="K141" s="717" t="s">
        <v>709</v>
      </c>
      <c r="L141" s="717"/>
      <c r="M141" s="717"/>
      <c r="N141" s="717"/>
      <c r="O141" s="187">
        <f>350+70</f>
        <v>420</v>
      </c>
      <c r="P141" s="186" t="s">
        <v>650</v>
      </c>
    </row>
    <row r="142" spans="1:17" ht="15.75" customHeight="1" x14ac:dyDescent="0.3">
      <c r="A142" s="714">
        <v>46217</v>
      </c>
      <c r="B142" s="715"/>
      <c r="C142" s="715"/>
      <c r="D142" s="715"/>
      <c r="E142" s="189" t="s">
        <v>1240</v>
      </c>
      <c r="F142" s="718" t="s">
        <v>1239</v>
      </c>
      <c r="G142" s="718"/>
      <c r="H142" s="718"/>
      <c r="I142" s="718"/>
      <c r="J142" s="718"/>
      <c r="K142" s="717" t="s">
        <v>709</v>
      </c>
      <c r="L142" s="717"/>
      <c r="M142" s="717"/>
      <c r="N142" s="717"/>
      <c r="O142" s="187">
        <f>380+210</f>
        <v>590</v>
      </c>
      <c r="P142" s="186" t="s">
        <v>650</v>
      </c>
    </row>
    <row r="143" spans="1:17" ht="15.75" customHeight="1" x14ac:dyDescent="0.3">
      <c r="A143" s="714">
        <v>46218</v>
      </c>
      <c r="B143" s="715"/>
      <c r="C143" s="715"/>
      <c r="D143" s="715"/>
      <c r="E143" s="189" t="s">
        <v>1257</v>
      </c>
      <c r="F143" s="718" t="s">
        <v>1247</v>
      </c>
      <c r="G143" s="718"/>
      <c r="H143" s="718"/>
      <c r="I143" s="718"/>
      <c r="J143" s="718"/>
      <c r="K143" s="717" t="s">
        <v>709</v>
      </c>
      <c r="L143" s="717"/>
      <c r="M143" s="717"/>
      <c r="N143" s="717"/>
      <c r="O143" s="187">
        <f>800+700</f>
        <v>1500</v>
      </c>
      <c r="P143" s="186" t="s">
        <v>650</v>
      </c>
    </row>
    <row r="144" spans="1:17" ht="15.75" customHeight="1" x14ac:dyDescent="0.3">
      <c r="A144" s="714">
        <v>46219</v>
      </c>
      <c r="B144" s="715"/>
      <c r="C144" s="715"/>
      <c r="D144" s="715"/>
      <c r="E144" s="189" t="s">
        <v>1259</v>
      </c>
      <c r="F144" s="718" t="s">
        <v>1258</v>
      </c>
      <c r="G144" s="718"/>
      <c r="H144" s="718"/>
      <c r="I144" s="718"/>
      <c r="J144" s="718"/>
      <c r="K144" s="717" t="s">
        <v>709</v>
      </c>
      <c r="L144" s="717"/>
      <c r="M144" s="717"/>
      <c r="N144" s="717"/>
      <c r="O144" s="187">
        <f>610+720</f>
        <v>1330</v>
      </c>
      <c r="P144" s="186" t="s">
        <v>650</v>
      </c>
    </row>
    <row r="145" spans="1:17" ht="15.75" customHeight="1" x14ac:dyDescent="0.3">
      <c r="A145" s="714">
        <v>46220</v>
      </c>
      <c r="B145" s="715"/>
      <c r="C145" s="715"/>
      <c r="D145" s="715"/>
      <c r="E145" s="189" t="s">
        <v>1263</v>
      </c>
      <c r="F145" s="718" t="s">
        <v>1269</v>
      </c>
      <c r="G145" s="718"/>
      <c r="H145" s="718"/>
      <c r="I145" s="718"/>
      <c r="J145" s="718"/>
      <c r="K145" s="717" t="s">
        <v>709</v>
      </c>
      <c r="L145" s="717"/>
      <c r="M145" s="717"/>
      <c r="N145" s="717"/>
      <c r="O145" s="187">
        <f>800+180+800</f>
        <v>1780</v>
      </c>
      <c r="P145" s="186" t="s">
        <v>650</v>
      </c>
      <c r="Q145" s="192">
        <f>SUMIFS($O:$O,$A:$A,"&gt;="&amp;DATE(2026,7,1),$A:$A,"&lt;"&amp;DATE(2026,8,1))</f>
        <v>20040</v>
      </c>
    </row>
    <row r="146" spans="1:17" ht="15.75" customHeight="1" x14ac:dyDescent="0.3">
      <c r="A146" s="714">
        <v>46221</v>
      </c>
      <c r="B146" s="715"/>
      <c r="C146" s="715"/>
      <c r="D146" s="715"/>
      <c r="E146" s="189" t="s">
        <v>1274</v>
      </c>
      <c r="F146" s="718" t="s">
        <v>1271</v>
      </c>
      <c r="G146" s="718"/>
      <c r="H146" s="718"/>
      <c r="I146" s="718"/>
      <c r="J146" s="718"/>
      <c r="K146" s="717" t="s">
        <v>709</v>
      </c>
      <c r="L146" s="717"/>
      <c r="M146" s="717"/>
      <c r="N146" s="717"/>
      <c r="O146" s="187">
        <f>300+610+600</f>
        <v>1510</v>
      </c>
      <c r="P146" s="186" t="s">
        <v>650</v>
      </c>
    </row>
    <row r="147" spans="1:17" ht="15.75" customHeight="1" x14ac:dyDescent="0.3">
      <c r="A147" s="714">
        <v>46223</v>
      </c>
      <c r="B147" s="715"/>
      <c r="C147" s="715"/>
      <c r="D147" s="715"/>
      <c r="E147" s="189" t="s">
        <v>1333</v>
      </c>
      <c r="F147" s="718" t="s">
        <v>1275</v>
      </c>
      <c r="G147" s="718"/>
      <c r="H147" s="718"/>
      <c r="I147" s="718"/>
      <c r="J147" s="718"/>
      <c r="K147" s="717" t="s">
        <v>709</v>
      </c>
      <c r="L147" s="717"/>
      <c r="M147" s="717"/>
      <c r="N147" s="717"/>
      <c r="O147" s="187">
        <f>630+790</f>
        <v>1420</v>
      </c>
      <c r="P147" s="186" t="s">
        <v>650</v>
      </c>
    </row>
    <row r="148" spans="1:17" ht="15.75" customHeight="1" x14ac:dyDescent="0.3">
      <c r="A148" s="714">
        <v>46224</v>
      </c>
      <c r="B148" s="715"/>
      <c r="C148" s="715"/>
      <c r="D148" s="715"/>
      <c r="E148" s="189" t="s">
        <v>1385</v>
      </c>
      <c r="F148" s="718" t="s">
        <v>1334</v>
      </c>
      <c r="G148" s="718"/>
      <c r="H148" s="718"/>
      <c r="I148" s="718"/>
      <c r="J148" s="718"/>
      <c r="K148" s="717" t="s">
        <v>709</v>
      </c>
      <c r="L148" s="717"/>
      <c r="M148" s="717"/>
      <c r="N148" s="717"/>
      <c r="O148" s="187">
        <f>250+800</f>
        <v>1050</v>
      </c>
      <c r="P148" s="186" t="s">
        <v>650</v>
      </c>
    </row>
    <row r="149" spans="1:17" ht="15.75" customHeight="1" x14ac:dyDescent="0.3">
      <c r="A149" s="714">
        <v>46225</v>
      </c>
      <c r="B149" s="715"/>
      <c r="C149" s="715"/>
      <c r="D149" s="715"/>
      <c r="E149" s="189" t="s">
        <v>1397</v>
      </c>
      <c r="F149" s="718" t="s">
        <v>1396</v>
      </c>
      <c r="G149" s="718"/>
      <c r="H149" s="718"/>
      <c r="I149" s="718"/>
      <c r="J149" s="718"/>
      <c r="K149" s="717" t="s">
        <v>709</v>
      </c>
      <c r="L149" s="717"/>
      <c r="M149" s="717"/>
      <c r="N149" s="717"/>
      <c r="O149" s="187">
        <f>380+650</f>
        <v>1030</v>
      </c>
      <c r="P149" s="186" t="s">
        <v>650</v>
      </c>
    </row>
    <row r="150" spans="1:17" ht="15.75" customHeight="1" x14ac:dyDescent="0.3">
      <c r="A150" s="714">
        <v>46226</v>
      </c>
      <c r="B150" s="715"/>
      <c r="C150" s="715"/>
      <c r="D150" s="715"/>
      <c r="E150" s="189">
        <v>2654</v>
      </c>
      <c r="F150" s="718" t="s">
        <v>1402</v>
      </c>
      <c r="G150" s="718"/>
      <c r="H150" s="718"/>
      <c r="I150" s="718"/>
      <c r="J150" s="718"/>
      <c r="K150" s="717" t="s">
        <v>709</v>
      </c>
      <c r="L150" s="717"/>
      <c r="M150" s="717"/>
      <c r="N150" s="717"/>
      <c r="O150" s="187">
        <f>800</f>
        <v>800</v>
      </c>
      <c r="P150" s="186" t="s">
        <v>650</v>
      </c>
    </row>
    <row r="151" spans="1:17" ht="15.75" customHeight="1" x14ac:dyDescent="0.3">
      <c r="A151" s="719"/>
      <c r="B151" s="720"/>
      <c r="C151" s="720"/>
      <c r="D151" s="720"/>
      <c r="E151" s="188"/>
      <c r="F151" s="721"/>
      <c r="G151" s="721"/>
      <c r="H151" s="721"/>
      <c r="I151" s="721"/>
      <c r="J151" s="721"/>
      <c r="K151" s="722" t="s">
        <v>709</v>
      </c>
      <c r="L151" s="722"/>
      <c r="M151" s="722"/>
      <c r="N151" s="722"/>
      <c r="O151" s="187"/>
      <c r="P151" s="186" t="s">
        <v>650</v>
      </c>
    </row>
    <row r="152" spans="1:17" ht="15.75" customHeight="1" x14ac:dyDescent="0.3">
      <c r="A152" s="719"/>
      <c r="B152" s="720"/>
      <c r="C152" s="720"/>
      <c r="D152" s="720"/>
      <c r="E152" s="188"/>
      <c r="F152" s="721"/>
      <c r="G152" s="721"/>
      <c r="H152" s="721"/>
      <c r="I152" s="721"/>
      <c r="J152" s="721"/>
      <c r="K152" s="722" t="s">
        <v>709</v>
      </c>
      <c r="L152" s="722"/>
      <c r="M152" s="722"/>
      <c r="N152" s="722"/>
      <c r="O152" s="187"/>
      <c r="P152" s="186" t="s">
        <v>650</v>
      </c>
    </row>
    <row r="153" spans="1:17" ht="15.75" customHeight="1" x14ac:dyDescent="0.3">
      <c r="A153" s="719"/>
      <c r="B153" s="720"/>
      <c r="C153" s="720"/>
      <c r="D153" s="720"/>
      <c r="E153" s="188"/>
      <c r="F153" s="721"/>
      <c r="G153" s="721"/>
      <c r="H153" s="721"/>
      <c r="I153" s="721"/>
      <c r="J153" s="721"/>
      <c r="K153" s="722" t="s">
        <v>709</v>
      </c>
      <c r="L153" s="722"/>
      <c r="M153" s="722"/>
      <c r="N153" s="722"/>
      <c r="O153" s="187"/>
      <c r="P153" s="186" t="s">
        <v>650</v>
      </c>
    </row>
    <row r="154" spans="1:17" ht="15.75" customHeight="1" x14ac:dyDescent="0.3">
      <c r="A154" s="719"/>
      <c r="B154" s="720"/>
      <c r="C154" s="720"/>
      <c r="D154" s="720"/>
      <c r="E154" s="188"/>
      <c r="F154" s="721"/>
      <c r="G154" s="721"/>
      <c r="H154" s="721"/>
      <c r="I154" s="721"/>
      <c r="J154" s="721"/>
      <c r="K154" s="722" t="s">
        <v>709</v>
      </c>
      <c r="L154" s="722"/>
      <c r="M154" s="722"/>
      <c r="N154" s="722"/>
      <c r="O154" s="187"/>
      <c r="P154" s="186" t="s">
        <v>650</v>
      </c>
    </row>
    <row r="155" spans="1:17" ht="15.75" customHeight="1" x14ac:dyDescent="0.3">
      <c r="A155" s="719"/>
      <c r="B155" s="720"/>
      <c r="C155" s="720"/>
      <c r="D155" s="720"/>
      <c r="E155" s="188"/>
      <c r="F155" s="721"/>
      <c r="G155" s="721"/>
      <c r="H155" s="721"/>
      <c r="I155" s="721"/>
      <c r="J155" s="721"/>
      <c r="K155" s="722" t="s">
        <v>709</v>
      </c>
      <c r="L155" s="722"/>
      <c r="M155" s="722"/>
      <c r="N155" s="722"/>
      <c r="O155" s="187"/>
      <c r="P155" s="186" t="s">
        <v>650</v>
      </c>
    </row>
    <row r="156" spans="1:17" ht="15.75" customHeight="1" x14ac:dyDescent="0.3">
      <c r="A156" s="719"/>
      <c r="B156" s="720"/>
      <c r="C156" s="720"/>
      <c r="D156" s="720"/>
      <c r="E156" s="188"/>
      <c r="F156" s="721"/>
      <c r="G156" s="721"/>
      <c r="H156" s="721"/>
      <c r="I156" s="721"/>
      <c r="J156" s="721"/>
      <c r="K156" s="722" t="s">
        <v>709</v>
      </c>
      <c r="L156" s="722"/>
      <c r="M156" s="722"/>
      <c r="N156" s="722"/>
      <c r="O156" s="187"/>
      <c r="P156" s="186" t="s">
        <v>650</v>
      </c>
    </row>
    <row r="157" spans="1:17" ht="15.75" customHeight="1" x14ac:dyDescent="0.3">
      <c r="A157" s="719"/>
      <c r="B157" s="720"/>
      <c r="C157" s="720"/>
      <c r="D157" s="720"/>
      <c r="E157" s="188"/>
      <c r="F157" s="721"/>
      <c r="G157" s="721"/>
      <c r="H157" s="721"/>
      <c r="I157" s="721"/>
      <c r="J157" s="721"/>
      <c r="K157" s="722" t="s">
        <v>709</v>
      </c>
      <c r="L157" s="722"/>
      <c r="M157" s="722"/>
      <c r="N157" s="722"/>
      <c r="O157" s="187"/>
      <c r="P157" s="186" t="s">
        <v>650</v>
      </c>
    </row>
    <row r="158" spans="1:17" ht="15.75" customHeight="1" x14ac:dyDescent="0.3">
      <c r="A158" s="719"/>
      <c r="B158" s="720"/>
      <c r="C158" s="720"/>
      <c r="D158" s="720"/>
      <c r="E158" s="188"/>
      <c r="F158" s="721"/>
      <c r="G158" s="721"/>
      <c r="H158" s="721"/>
      <c r="I158" s="721"/>
      <c r="J158" s="721"/>
      <c r="K158" s="722" t="s">
        <v>709</v>
      </c>
      <c r="L158" s="722"/>
      <c r="M158" s="722"/>
      <c r="N158" s="722"/>
      <c r="O158" s="187"/>
      <c r="P158" s="186" t="s">
        <v>650</v>
      </c>
    </row>
    <row r="159" spans="1:17" ht="15.75" customHeight="1" x14ac:dyDescent="0.3">
      <c r="A159" s="719"/>
      <c r="B159" s="720"/>
      <c r="C159" s="720"/>
      <c r="D159" s="720"/>
      <c r="E159" s="188"/>
      <c r="F159" s="721"/>
      <c r="G159" s="721"/>
      <c r="H159" s="721"/>
      <c r="I159" s="721"/>
      <c r="J159" s="721"/>
      <c r="K159" s="722" t="s">
        <v>709</v>
      </c>
      <c r="L159" s="722"/>
      <c r="M159" s="722"/>
      <c r="N159" s="722"/>
      <c r="O159" s="187"/>
      <c r="P159" s="186" t="s">
        <v>650</v>
      </c>
    </row>
    <row r="160" spans="1:17" ht="15.75" customHeight="1" x14ac:dyDescent="0.3">
      <c r="A160" s="719"/>
      <c r="B160" s="720"/>
      <c r="C160" s="720"/>
      <c r="D160" s="720"/>
      <c r="E160" s="188"/>
      <c r="F160" s="721"/>
      <c r="G160" s="721"/>
      <c r="H160" s="721"/>
      <c r="I160" s="721"/>
      <c r="J160" s="721"/>
      <c r="K160" s="722" t="s">
        <v>709</v>
      </c>
      <c r="L160" s="722"/>
      <c r="M160" s="722"/>
      <c r="N160" s="722"/>
      <c r="O160" s="187"/>
      <c r="P160" s="186" t="s">
        <v>650</v>
      </c>
    </row>
    <row r="161" spans="1:16" ht="15.75" customHeight="1" x14ac:dyDescent="0.3">
      <c r="A161" s="719"/>
      <c r="B161" s="720"/>
      <c r="C161" s="720"/>
      <c r="D161" s="720"/>
      <c r="E161" s="188"/>
      <c r="F161" s="721"/>
      <c r="G161" s="721"/>
      <c r="H161" s="721"/>
      <c r="I161" s="721"/>
      <c r="J161" s="721"/>
      <c r="K161" s="722" t="s">
        <v>709</v>
      </c>
      <c r="L161" s="722"/>
      <c r="M161" s="722"/>
      <c r="N161" s="722"/>
      <c r="O161" s="187"/>
      <c r="P161" s="186" t="s">
        <v>650</v>
      </c>
    </row>
    <row r="162" spans="1:16" ht="15.75" customHeight="1" x14ac:dyDescent="0.3">
      <c r="A162" s="719"/>
      <c r="B162" s="720"/>
      <c r="C162" s="720"/>
      <c r="D162" s="720"/>
      <c r="E162" s="188"/>
      <c r="F162" s="721"/>
      <c r="G162" s="721"/>
      <c r="H162" s="721"/>
      <c r="I162" s="721"/>
      <c r="J162" s="721"/>
      <c r="K162" s="722" t="s">
        <v>709</v>
      </c>
      <c r="L162" s="722"/>
      <c r="M162" s="722"/>
      <c r="N162" s="722"/>
      <c r="O162" s="187"/>
      <c r="P162" s="186" t="s">
        <v>650</v>
      </c>
    </row>
    <row r="163" spans="1:16" ht="15.75" customHeight="1" x14ac:dyDescent="0.3">
      <c r="A163" s="719"/>
      <c r="B163" s="720"/>
      <c r="C163" s="720"/>
      <c r="D163" s="720"/>
      <c r="E163" s="188"/>
      <c r="F163" s="721"/>
      <c r="G163" s="721"/>
      <c r="H163" s="721"/>
      <c r="I163" s="721"/>
      <c r="J163" s="721"/>
      <c r="K163" s="722" t="s">
        <v>709</v>
      </c>
      <c r="L163" s="722"/>
      <c r="M163" s="722"/>
      <c r="N163" s="722"/>
      <c r="O163" s="187"/>
      <c r="P163" s="186" t="s">
        <v>650</v>
      </c>
    </row>
    <row r="164" spans="1:16" ht="15.75" customHeight="1" x14ac:dyDescent="0.3">
      <c r="A164" s="719"/>
      <c r="B164" s="720"/>
      <c r="C164" s="720"/>
      <c r="D164" s="720"/>
      <c r="E164" s="188"/>
      <c r="F164" s="721"/>
      <c r="G164" s="721"/>
      <c r="H164" s="721"/>
      <c r="I164" s="721"/>
      <c r="J164" s="721"/>
      <c r="K164" s="722" t="s">
        <v>709</v>
      </c>
      <c r="L164" s="722"/>
      <c r="M164" s="722"/>
      <c r="N164" s="722"/>
      <c r="O164" s="187"/>
      <c r="P164" s="186" t="s">
        <v>650</v>
      </c>
    </row>
    <row r="165" spans="1:16" ht="15.75" customHeight="1" x14ac:dyDescent="0.3">
      <c r="A165" s="719"/>
      <c r="B165" s="720"/>
      <c r="C165" s="720"/>
      <c r="D165" s="720"/>
      <c r="E165" s="188"/>
      <c r="F165" s="721"/>
      <c r="G165" s="721"/>
      <c r="H165" s="721"/>
      <c r="I165" s="721"/>
      <c r="J165" s="721"/>
      <c r="K165" s="722" t="s">
        <v>709</v>
      </c>
      <c r="L165" s="722"/>
      <c r="M165" s="722"/>
      <c r="N165" s="722"/>
      <c r="O165" s="187"/>
      <c r="P165" s="186" t="s">
        <v>650</v>
      </c>
    </row>
    <row r="166" spans="1:16" ht="15.75" customHeight="1" x14ac:dyDescent="0.3">
      <c r="A166" s="719"/>
      <c r="B166" s="720"/>
      <c r="C166" s="720"/>
      <c r="D166" s="720"/>
      <c r="E166" s="188"/>
      <c r="F166" s="721"/>
      <c r="G166" s="721"/>
      <c r="H166" s="721"/>
      <c r="I166" s="721"/>
      <c r="J166" s="721"/>
      <c r="K166" s="722" t="s">
        <v>709</v>
      </c>
      <c r="L166" s="722"/>
      <c r="M166" s="722"/>
      <c r="N166" s="722"/>
      <c r="O166" s="187"/>
      <c r="P166" s="186" t="s">
        <v>650</v>
      </c>
    </row>
    <row r="167" spans="1:16" ht="15.75" customHeight="1" x14ac:dyDescent="0.3">
      <c r="A167" s="719"/>
      <c r="B167" s="720"/>
      <c r="C167" s="720"/>
      <c r="D167" s="720"/>
      <c r="E167" s="188"/>
      <c r="F167" s="721"/>
      <c r="G167" s="721"/>
      <c r="H167" s="721"/>
      <c r="I167" s="721"/>
      <c r="J167" s="721"/>
      <c r="K167" s="722" t="s">
        <v>709</v>
      </c>
      <c r="L167" s="722"/>
      <c r="M167" s="722"/>
      <c r="N167" s="722"/>
      <c r="O167" s="187"/>
      <c r="P167" s="186" t="s">
        <v>650</v>
      </c>
    </row>
    <row r="168" spans="1:16" ht="15.75" customHeight="1" x14ac:dyDescent="0.3">
      <c r="A168" s="719"/>
      <c r="B168" s="720"/>
      <c r="C168" s="720"/>
      <c r="D168" s="720"/>
      <c r="E168" s="188"/>
      <c r="F168" s="721"/>
      <c r="G168" s="721"/>
      <c r="H168" s="721"/>
      <c r="I168" s="721"/>
      <c r="J168" s="721"/>
      <c r="K168" s="722" t="s">
        <v>709</v>
      </c>
      <c r="L168" s="722"/>
      <c r="M168" s="722"/>
      <c r="N168" s="722"/>
      <c r="O168" s="187"/>
      <c r="P168" s="186" t="s">
        <v>650</v>
      </c>
    </row>
    <row r="169" spans="1:16" ht="15.75" customHeight="1" x14ac:dyDescent="0.3">
      <c r="A169" s="719"/>
      <c r="B169" s="720"/>
      <c r="C169" s="720"/>
      <c r="D169" s="720"/>
      <c r="E169" s="188"/>
      <c r="F169" s="721"/>
      <c r="G169" s="721"/>
      <c r="H169" s="721"/>
      <c r="I169" s="721"/>
      <c r="J169" s="721"/>
      <c r="K169" s="722" t="s">
        <v>709</v>
      </c>
      <c r="L169" s="722"/>
      <c r="M169" s="722"/>
      <c r="N169" s="722"/>
      <c r="O169" s="187"/>
      <c r="P169" s="186" t="s">
        <v>650</v>
      </c>
    </row>
    <row r="170" spans="1:16" ht="15.75" customHeight="1" x14ac:dyDescent="0.3">
      <c r="A170" s="719"/>
      <c r="B170" s="720"/>
      <c r="C170" s="720"/>
      <c r="D170" s="720"/>
      <c r="E170" s="188"/>
      <c r="F170" s="721"/>
      <c r="G170" s="721"/>
      <c r="H170" s="721"/>
      <c r="I170" s="721"/>
      <c r="J170" s="721"/>
      <c r="K170" s="722" t="s">
        <v>709</v>
      </c>
      <c r="L170" s="722"/>
      <c r="M170" s="722"/>
      <c r="N170" s="722"/>
      <c r="O170" s="187"/>
      <c r="P170" s="186" t="s">
        <v>650</v>
      </c>
    </row>
    <row r="171" spans="1:16" ht="15.75" customHeight="1" x14ac:dyDescent="0.3">
      <c r="A171" s="719"/>
      <c r="B171" s="720"/>
      <c r="C171" s="720"/>
      <c r="D171" s="720"/>
      <c r="E171" s="188"/>
      <c r="F171" s="721"/>
      <c r="G171" s="721"/>
      <c r="H171" s="721"/>
      <c r="I171" s="721"/>
      <c r="J171" s="721"/>
      <c r="K171" s="722" t="s">
        <v>709</v>
      </c>
      <c r="L171" s="722"/>
      <c r="M171" s="722"/>
      <c r="N171" s="722"/>
      <c r="O171" s="187"/>
      <c r="P171" s="186" t="s">
        <v>650</v>
      </c>
    </row>
    <row r="172" spans="1:16" ht="15.75" customHeight="1" x14ac:dyDescent="0.3">
      <c r="A172" s="719"/>
      <c r="B172" s="720"/>
      <c r="C172" s="720"/>
      <c r="D172" s="720"/>
      <c r="E172" s="188"/>
      <c r="F172" s="721"/>
      <c r="G172" s="721"/>
      <c r="H172" s="721"/>
      <c r="I172" s="721"/>
      <c r="J172" s="721"/>
      <c r="K172" s="722" t="s">
        <v>709</v>
      </c>
      <c r="L172" s="722"/>
      <c r="M172" s="722"/>
      <c r="N172" s="722"/>
      <c r="O172" s="187"/>
      <c r="P172" s="186" t="s">
        <v>650</v>
      </c>
    </row>
    <row r="173" spans="1:16" ht="15.75" customHeight="1" x14ac:dyDescent="0.3">
      <c r="A173" s="719"/>
      <c r="B173" s="720"/>
      <c r="C173" s="720"/>
      <c r="D173" s="720"/>
      <c r="E173" s="188"/>
      <c r="F173" s="721"/>
      <c r="G173" s="721"/>
      <c r="H173" s="721"/>
      <c r="I173" s="721"/>
      <c r="J173" s="721"/>
      <c r="K173" s="722" t="s">
        <v>709</v>
      </c>
      <c r="L173" s="722"/>
      <c r="M173" s="722"/>
      <c r="N173" s="722"/>
      <c r="O173" s="187"/>
      <c r="P173" s="186" t="s">
        <v>650</v>
      </c>
    </row>
    <row r="174" spans="1:16" ht="15.75" customHeight="1" x14ac:dyDescent="0.3">
      <c r="A174" s="719"/>
      <c r="B174" s="720"/>
      <c r="C174" s="720"/>
      <c r="D174" s="720"/>
      <c r="E174" s="188"/>
      <c r="F174" s="721"/>
      <c r="G174" s="721"/>
      <c r="H174" s="721"/>
      <c r="I174" s="721"/>
      <c r="J174" s="721"/>
      <c r="K174" s="722" t="s">
        <v>709</v>
      </c>
      <c r="L174" s="722"/>
      <c r="M174" s="722"/>
      <c r="N174" s="722"/>
      <c r="O174" s="187"/>
      <c r="P174" s="186" t="s">
        <v>650</v>
      </c>
    </row>
    <row r="175" spans="1:16" ht="15.75" customHeight="1" x14ac:dyDescent="0.3">
      <c r="A175" s="719"/>
      <c r="B175" s="720"/>
      <c r="C175" s="720"/>
      <c r="D175" s="720"/>
      <c r="E175" s="188"/>
      <c r="F175" s="721"/>
      <c r="G175" s="721"/>
      <c r="H175" s="721"/>
      <c r="I175" s="721"/>
      <c r="J175" s="721"/>
      <c r="K175" s="722" t="s">
        <v>709</v>
      </c>
      <c r="L175" s="722"/>
      <c r="M175" s="722"/>
      <c r="N175" s="722"/>
      <c r="O175" s="187"/>
      <c r="P175" s="186" t="s">
        <v>650</v>
      </c>
    </row>
    <row r="176" spans="1:16" ht="15.75" customHeight="1" x14ac:dyDescent="0.3">
      <c r="A176" s="719"/>
      <c r="B176" s="720"/>
      <c r="C176" s="720"/>
      <c r="D176" s="720"/>
      <c r="E176" s="188"/>
      <c r="F176" s="721"/>
      <c r="G176" s="721"/>
      <c r="H176" s="721"/>
      <c r="I176" s="721"/>
      <c r="J176" s="721"/>
      <c r="K176" s="722" t="s">
        <v>709</v>
      </c>
      <c r="L176" s="722"/>
      <c r="M176" s="722"/>
      <c r="N176" s="722"/>
      <c r="O176" s="187"/>
      <c r="P176" s="186" t="s">
        <v>650</v>
      </c>
    </row>
    <row r="177" spans="1:16" ht="15.75" customHeight="1" x14ac:dyDescent="0.3">
      <c r="A177" s="719"/>
      <c r="B177" s="720"/>
      <c r="C177" s="720"/>
      <c r="D177" s="720"/>
      <c r="E177" s="188"/>
      <c r="F177" s="721"/>
      <c r="G177" s="721"/>
      <c r="H177" s="721"/>
      <c r="I177" s="721"/>
      <c r="J177" s="721"/>
      <c r="K177" s="722" t="s">
        <v>709</v>
      </c>
      <c r="L177" s="722"/>
      <c r="M177" s="722"/>
      <c r="N177" s="722"/>
      <c r="O177" s="187"/>
      <c r="P177" s="186" t="s">
        <v>650</v>
      </c>
    </row>
    <row r="178" spans="1:16" ht="15.75" customHeight="1" x14ac:dyDescent="0.3">
      <c r="A178" s="719"/>
      <c r="B178" s="720"/>
      <c r="C178" s="720"/>
      <c r="D178" s="720"/>
      <c r="E178" s="188"/>
      <c r="F178" s="721"/>
      <c r="G178" s="721"/>
      <c r="H178" s="721"/>
      <c r="I178" s="721"/>
      <c r="J178" s="721"/>
      <c r="K178" s="722" t="s">
        <v>709</v>
      </c>
      <c r="L178" s="722"/>
      <c r="M178" s="722"/>
      <c r="N178" s="722"/>
      <c r="O178" s="187"/>
      <c r="P178" s="186" t="s">
        <v>650</v>
      </c>
    </row>
    <row r="179" spans="1:16" ht="15.75" customHeight="1" x14ac:dyDescent="0.3">
      <c r="A179" s="719"/>
      <c r="B179" s="720"/>
      <c r="C179" s="720"/>
      <c r="D179" s="720"/>
      <c r="E179" s="188"/>
      <c r="F179" s="721"/>
      <c r="G179" s="721"/>
      <c r="H179" s="721"/>
      <c r="I179" s="721"/>
      <c r="J179" s="721"/>
      <c r="K179" s="722" t="s">
        <v>709</v>
      </c>
      <c r="L179" s="722"/>
      <c r="M179" s="722"/>
      <c r="N179" s="722"/>
      <c r="O179" s="187"/>
      <c r="P179" s="186" t="s">
        <v>650</v>
      </c>
    </row>
    <row r="180" spans="1:16" ht="15.75" customHeight="1" x14ac:dyDescent="0.3">
      <c r="A180" s="719"/>
      <c r="B180" s="720"/>
      <c r="C180" s="720"/>
      <c r="D180" s="720"/>
      <c r="E180" s="188"/>
      <c r="F180" s="721"/>
      <c r="G180" s="721"/>
      <c r="H180" s="721"/>
      <c r="I180" s="721"/>
      <c r="J180" s="721"/>
      <c r="K180" s="722" t="s">
        <v>709</v>
      </c>
      <c r="L180" s="722"/>
      <c r="M180" s="722"/>
      <c r="N180" s="722"/>
      <c r="O180" s="187"/>
      <c r="P180" s="186" t="s">
        <v>650</v>
      </c>
    </row>
    <row r="181" spans="1:16" ht="15.75" customHeight="1" x14ac:dyDescent="0.3">
      <c r="A181" s="719"/>
      <c r="B181" s="720"/>
      <c r="C181" s="720"/>
      <c r="D181" s="720"/>
      <c r="E181" s="188"/>
      <c r="F181" s="721"/>
      <c r="G181" s="721"/>
      <c r="H181" s="721"/>
      <c r="I181" s="721"/>
      <c r="J181" s="721"/>
      <c r="K181" s="722" t="s">
        <v>709</v>
      </c>
      <c r="L181" s="722"/>
      <c r="M181" s="722"/>
      <c r="N181" s="722"/>
      <c r="O181" s="187"/>
      <c r="P181" s="186" t="s">
        <v>650</v>
      </c>
    </row>
    <row r="182" spans="1:16" ht="15.75" customHeight="1" x14ac:dyDescent="0.3">
      <c r="A182" s="719"/>
      <c r="B182" s="720"/>
      <c r="C182" s="720"/>
      <c r="D182" s="720"/>
      <c r="E182" s="188"/>
      <c r="F182" s="721"/>
      <c r="G182" s="721"/>
      <c r="H182" s="721"/>
      <c r="I182" s="721"/>
      <c r="J182" s="721"/>
      <c r="K182" s="722" t="s">
        <v>709</v>
      </c>
      <c r="L182" s="722"/>
      <c r="M182" s="722"/>
      <c r="N182" s="722"/>
      <c r="O182" s="187"/>
      <c r="P182" s="186" t="s">
        <v>650</v>
      </c>
    </row>
    <row r="183" spans="1:16" ht="15.75" customHeight="1" x14ac:dyDescent="0.3">
      <c r="A183" s="719"/>
      <c r="B183" s="720"/>
      <c r="C183" s="720"/>
      <c r="D183" s="720"/>
      <c r="E183" s="188"/>
      <c r="F183" s="721"/>
      <c r="G183" s="721"/>
      <c r="H183" s="721"/>
      <c r="I183" s="721"/>
      <c r="J183" s="721"/>
      <c r="K183" s="722" t="s">
        <v>709</v>
      </c>
      <c r="L183" s="722"/>
      <c r="M183" s="722"/>
      <c r="N183" s="722"/>
      <c r="O183" s="187"/>
      <c r="P183" s="186" t="s">
        <v>650</v>
      </c>
    </row>
    <row r="184" spans="1:16" ht="15.75" customHeight="1" x14ac:dyDescent="0.3">
      <c r="A184" s="719"/>
      <c r="B184" s="720"/>
      <c r="C184" s="720"/>
      <c r="D184" s="720"/>
      <c r="E184" s="188"/>
      <c r="F184" s="721"/>
      <c r="G184" s="721"/>
      <c r="H184" s="721"/>
      <c r="I184" s="721"/>
      <c r="J184" s="721"/>
      <c r="K184" s="722" t="s">
        <v>709</v>
      </c>
      <c r="L184" s="722"/>
      <c r="M184" s="722"/>
      <c r="N184" s="722"/>
      <c r="O184" s="187"/>
      <c r="P184" s="186" t="s">
        <v>650</v>
      </c>
    </row>
    <row r="185" spans="1:16" ht="15.75" customHeight="1" x14ac:dyDescent="0.3">
      <c r="A185" s="719"/>
      <c r="B185" s="720"/>
      <c r="C185" s="720"/>
      <c r="D185" s="720"/>
      <c r="E185" s="188"/>
      <c r="F185" s="721"/>
      <c r="G185" s="721"/>
      <c r="H185" s="721"/>
      <c r="I185" s="721"/>
      <c r="J185" s="721"/>
      <c r="K185" s="722" t="s">
        <v>709</v>
      </c>
      <c r="L185" s="722"/>
      <c r="M185" s="722"/>
      <c r="N185" s="722"/>
      <c r="O185" s="187"/>
      <c r="P185" s="186" t="s">
        <v>650</v>
      </c>
    </row>
    <row r="186" spans="1:16" ht="15.75" customHeight="1" x14ac:dyDescent="0.3">
      <c r="A186" s="719"/>
      <c r="B186" s="720"/>
      <c r="C186" s="720"/>
      <c r="D186" s="720"/>
      <c r="E186" s="188"/>
      <c r="F186" s="721"/>
      <c r="G186" s="721"/>
      <c r="H186" s="721"/>
      <c r="I186" s="721"/>
      <c r="J186" s="721"/>
      <c r="K186" s="722" t="s">
        <v>709</v>
      </c>
      <c r="L186" s="722"/>
      <c r="M186" s="722"/>
      <c r="N186" s="722"/>
      <c r="O186" s="187"/>
      <c r="P186" s="186" t="s">
        <v>650</v>
      </c>
    </row>
    <row r="187" spans="1:16" ht="15.75" customHeight="1" x14ac:dyDescent="0.3">
      <c r="A187" s="719"/>
      <c r="B187" s="720"/>
      <c r="C187" s="720"/>
      <c r="D187" s="720"/>
      <c r="E187" s="188"/>
      <c r="F187" s="721"/>
      <c r="G187" s="721"/>
      <c r="H187" s="721"/>
      <c r="I187" s="721"/>
      <c r="J187" s="721"/>
      <c r="K187" s="722" t="s">
        <v>709</v>
      </c>
      <c r="L187" s="722"/>
      <c r="M187" s="722"/>
      <c r="N187" s="722"/>
      <c r="O187" s="187"/>
      <c r="P187" s="186" t="s">
        <v>650</v>
      </c>
    </row>
    <row r="188" spans="1:16" ht="15.75" customHeight="1" x14ac:dyDescent="0.3">
      <c r="A188" s="719"/>
      <c r="B188" s="720"/>
      <c r="C188" s="720"/>
      <c r="D188" s="720"/>
      <c r="E188" s="188"/>
      <c r="F188" s="721"/>
      <c r="G188" s="721"/>
      <c r="H188" s="721"/>
      <c r="I188" s="721"/>
      <c r="J188" s="721"/>
      <c r="K188" s="722" t="s">
        <v>709</v>
      </c>
      <c r="L188" s="722"/>
      <c r="M188" s="722"/>
      <c r="N188" s="722"/>
      <c r="O188" s="187"/>
      <c r="P188" s="186" t="s">
        <v>650</v>
      </c>
    </row>
    <row r="189" spans="1:16" ht="15.75" customHeight="1" x14ac:dyDescent="0.3">
      <c r="A189" s="719"/>
      <c r="B189" s="720"/>
      <c r="C189" s="720"/>
      <c r="D189" s="720"/>
      <c r="E189" s="188"/>
      <c r="F189" s="721"/>
      <c r="G189" s="721"/>
      <c r="H189" s="721"/>
      <c r="I189" s="721"/>
      <c r="J189" s="721"/>
      <c r="K189" s="722" t="s">
        <v>709</v>
      </c>
      <c r="L189" s="722"/>
      <c r="M189" s="722"/>
      <c r="N189" s="722"/>
      <c r="O189" s="187"/>
      <c r="P189" s="186" t="s">
        <v>650</v>
      </c>
    </row>
    <row r="190" spans="1:16" ht="15.75" customHeight="1" x14ac:dyDescent="0.3">
      <c r="A190" s="719"/>
      <c r="B190" s="720"/>
      <c r="C190" s="720"/>
      <c r="D190" s="720"/>
      <c r="E190" s="188"/>
      <c r="F190" s="721"/>
      <c r="G190" s="721"/>
      <c r="H190" s="721"/>
      <c r="I190" s="721"/>
      <c r="J190" s="721"/>
      <c r="K190" s="722" t="s">
        <v>709</v>
      </c>
      <c r="L190" s="722"/>
      <c r="M190" s="722"/>
      <c r="N190" s="722"/>
      <c r="O190" s="187"/>
      <c r="P190" s="186" t="s">
        <v>650</v>
      </c>
    </row>
    <row r="191" spans="1:16" ht="15.75" customHeight="1" x14ac:dyDescent="0.3">
      <c r="A191" s="719"/>
      <c r="B191" s="720"/>
      <c r="C191" s="720"/>
      <c r="D191" s="720"/>
      <c r="E191" s="188"/>
      <c r="F191" s="721"/>
      <c r="G191" s="721"/>
      <c r="H191" s="721"/>
      <c r="I191" s="721"/>
      <c r="J191" s="721"/>
      <c r="K191" s="722" t="s">
        <v>709</v>
      </c>
      <c r="L191" s="722"/>
      <c r="M191" s="722"/>
      <c r="N191" s="722"/>
      <c r="O191" s="187"/>
      <c r="P191" s="186" t="s">
        <v>650</v>
      </c>
    </row>
    <row r="192" spans="1:16" ht="15.75" customHeight="1" x14ac:dyDescent="0.3">
      <c r="A192" s="719"/>
      <c r="B192" s="720"/>
      <c r="C192" s="720"/>
      <c r="D192" s="720"/>
      <c r="E192" s="188"/>
      <c r="F192" s="721"/>
      <c r="G192" s="721"/>
      <c r="H192" s="721"/>
      <c r="I192" s="721"/>
      <c r="J192" s="721"/>
      <c r="K192" s="722" t="s">
        <v>709</v>
      </c>
      <c r="L192" s="722"/>
      <c r="M192" s="722"/>
      <c r="N192" s="722"/>
      <c r="O192" s="187"/>
      <c r="P192" s="186" t="s">
        <v>650</v>
      </c>
    </row>
    <row r="193" spans="1:16" ht="15.75" customHeight="1" x14ac:dyDescent="0.3">
      <c r="A193" s="719"/>
      <c r="B193" s="720"/>
      <c r="C193" s="720"/>
      <c r="D193" s="720"/>
      <c r="E193" s="188"/>
      <c r="F193" s="721"/>
      <c r="G193" s="721"/>
      <c r="H193" s="721"/>
      <c r="I193" s="721"/>
      <c r="J193" s="721"/>
      <c r="K193" s="722" t="s">
        <v>709</v>
      </c>
      <c r="L193" s="722"/>
      <c r="M193" s="722"/>
      <c r="N193" s="722"/>
      <c r="O193" s="187"/>
      <c r="P193" s="186" t="s">
        <v>650</v>
      </c>
    </row>
    <row r="194" spans="1:16" ht="15.75" customHeight="1" x14ac:dyDescent="0.3">
      <c r="A194" s="719"/>
      <c r="B194" s="720"/>
      <c r="C194" s="720"/>
      <c r="D194" s="720"/>
      <c r="E194" s="188"/>
      <c r="F194" s="721"/>
      <c r="G194" s="721"/>
      <c r="H194" s="721"/>
      <c r="I194" s="721"/>
      <c r="J194" s="721"/>
      <c r="K194" s="722" t="s">
        <v>709</v>
      </c>
      <c r="L194" s="722"/>
      <c r="M194" s="722"/>
      <c r="N194" s="722"/>
      <c r="O194" s="187"/>
      <c r="P194" s="186" t="s">
        <v>650</v>
      </c>
    </row>
    <row r="195" spans="1:16" ht="15.75" customHeight="1" x14ac:dyDescent="0.3">
      <c r="A195" s="719"/>
      <c r="B195" s="720"/>
      <c r="C195" s="720"/>
      <c r="D195" s="720"/>
      <c r="E195" s="188"/>
      <c r="F195" s="721"/>
      <c r="G195" s="721"/>
      <c r="H195" s="721"/>
      <c r="I195" s="721"/>
      <c r="J195" s="721"/>
      <c r="K195" s="722" t="s">
        <v>709</v>
      </c>
      <c r="L195" s="722"/>
      <c r="M195" s="722"/>
      <c r="N195" s="722"/>
      <c r="O195" s="187"/>
      <c r="P195" s="186" t="s">
        <v>650</v>
      </c>
    </row>
    <row r="196" spans="1:16" ht="15.75" customHeight="1" x14ac:dyDescent="0.3">
      <c r="A196" s="719"/>
      <c r="B196" s="720"/>
      <c r="C196" s="720"/>
      <c r="D196" s="720"/>
      <c r="E196" s="188"/>
      <c r="F196" s="721"/>
      <c r="G196" s="721"/>
      <c r="H196" s="721"/>
      <c r="I196" s="721"/>
      <c r="J196" s="721"/>
      <c r="K196" s="722" t="s">
        <v>709</v>
      </c>
      <c r="L196" s="722"/>
      <c r="M196" s="722"/>
      <c r="N196" s="722"/>
      <c r="O196" s="187"/>
      <c r="P196" s="186" t="s">
        <v>650</v>
      </c>
    </row>
    <row r="197" spans="1:16" ht="15.75" customHeight="1" x14ac:dyDescent="0.3">
      <c r="A197" s="719"/>
      <c r="B197" s="720"/>
      <c r="C197" s="720"/>
      <c r="D197" s="720"/>
      <c r="E197" s="188"/>
      <c r="F197" s="721"/>
      <c r="G197" s="721"/>
      <c r="H197" s="721"/>
      <c r="I197" s="721"/>
      <c r="J197" s="721"/>
      <c r="K197" s="722" t="s">
        <v>709</v>
      </c>
      <c r="L197" s="722"/>
      <c r="M197" s="722"/>
      <c r="N197" s="722"/>
      <c r="O197" s="187"/>
      <c r="P197" s="186" t="s">
        <v>650</v>
      </c>
    </row>
    <row r="198" spans="1:16" ht="15.75" customHeight="1" x14ac:dyDescent="0.3">
      <c r="A198" s="719"/>
      <c r="B198" s="720"/>
      <c r="C198" s="720"/>
      <c r="D198" s="720"/>
      <c r="E198" s="188"/>
      <c r="F198" s="721"/>
      <c r="G198" s="721"/>
      <c r="H198" s="721"/>
      <c r="I198" s="721"/>
      <c r="J198" s="721"/>
      <c r="K198" s="722" t="s">
        <v>709</v>
      </c>
      <c r="L198" s="722"/>
      <c r="M198" s="722"/>
      <c r="N198" s="722"/>
      <c r="O198" s="187"/>
      <c r="P198" s="186" t="s">
        <v>650</v>
      </c>
    </row>
    <row r="199" spans="1:16" ht="15.75" customHeight="1" x14ac:dyDescent="0.3">
      <c r="A199" s="719"/>
      <c r="B199" s="720"/>
      <c r="C199" s="720"/>
      <c r="D199" s="720"/>
      <c r="E199" s="188"/>
      <c r="F199" s="721"/>
      <c r="G199" s="721"/>
      <c r="H199" s="721"/>
      <c r="I199" s="721"/>
      <c r="J199" s="721"/>
      <c r="K199" s="722" t="s">
        <v>709</v>
      </c>
      <c r="L199" s="722"/>
      <c r="M199" s="722"/>
      <c r="N199" s="722"/>
      <c r="O199" s="187"/>
      <c r="P199" s="186" t="s">
        <v>650</v>
      </c>
    </row>
    <row r="200" spans="1:16" ht="15.75" customHeight="1" x14ac:dyDescent="0.3">
      <c r="A200" s="719"/>
      <c r="B200" s="720"/>
      <c r="C200" s="720"/>
      <c r="D200" s="720"/>
      <c r="E200" s="188"/>
      <c r="F200" s="721"/>
      <c r="G200" s="721"/>
      <c r="H200" s="721"/>
      <c r="I200" s="721"/>
      <c r="J200" s="721"/>
      <c r="K200" s="722" t="s">
        <v>709</v>
      </c>
      <c r="L200" s="722"/>
      <c r="M200" s="722"/>
      <c r="N200" s="722"/>
      <c r="O200" s="187"/>
      <c r="P200" s="186" t="s">
        <v>650</v>
      </c>
    </row>
    <row r="201" spans="1:16" ht="15.75" customHeight="1" x14ac:dyDescent="0.3">
      <c r="A201" s="719"/>
      <c r="B201" s="720"/>
      <c r="C201" s="720"/>
      <c r="D201" s="720"/>
      <c r="E201" s="188"/>
      <c r="F201" s="721"/>
      <c r="G201" s="721"/>
      <c r="H201" s="721"/>
      <c r="I201" s="721"/>
      <c r="J201" s="721"/>
      <c r="K201" s="722" t="s">
        <v>709</v>
      </c>
      <c r="L201" s="722"/>
      <c r="M201" s="722"/>
      <c r="N201" s="722"/>
      <c r="O201" s="187"/>
      <c r="P201" s="186" t="s">
        <v>650</v>
      </c>
    </row>
    <row r="202" spans="1:16" ht="15.75" customHeight="1" x14ac:dyDescent="0.3">
      <c r="A202" s="719"/>
      <c r="B202" s="720"/>
      <c r="C202" s="720"/>
      <c r="D202" s="720"/>
      <c r="E202" s="188"/>
      <c r="F202" s="721"/>
      <c r="G202" s="721"/>
      <c r="H202" s="721"/>
      <c r="I202" s="721"/>
      <c r="J202" s="721"/>
      <c r="K202" s="722" t="s">
        <v>709</v>
      </c>
      <c r="L202" s="722"/>
      <c r="M202" s="722"/>
      <c r="N202" s="722"/>
      <c r="O202" s="187"/>
      <c r="P202" s="186" t="s">
        <v>650</v>
      </c>
    </row>
    <row r="203" spans="1:16" ht="15.75" customHeight="1" x14ac:dyDescent="0.3">
      <c r="A203" s="719"/>
      <c r="B203" s="720"/>
      <c r="C203" s="720"/>
      <c r="D203" s="720"/>
      <c r="E203" s="188"/>
      <c r="F203" s="721"/>
      <c r="G203" s="721"/>
      <c r="H203" s="721"/>
      <c r="I203" s="721"/>
      <c r="J203" s="721"/>
      <c r="K203" s="722" t="s">
        <v>709</v>
      </c>
      <c r="L203" s="722"/>
      <c r="M203" s="722"/>
      <c r="N203" s="722"/>
      <c r="O203" s="187"/>
      <c r="P203" s="186" t="s">
        <v>650</v>
      </c>
    </row>
    <row r="204" spans="1:16" ht="15.75" customHeight="1" x14ac:dyDescent="0.3">
      <c r="A204" s="719"/>
      <c r="B204" s="720"/>
      <c r="C204" s="720"/>
      <c r="D204" s="720"/>
      <c r="E204" s="188"/>
      <c r="F204" s="721"/>
      <c r="G204" s="721"/>
      <c r="H204" s="721"/>
      <c r="I204" s="721"/>
      <c r="J204" s="721"/>
      <c r="K204" s="722" t="s">
        <v>709</v>
      </c>
      <c r="L204" s="722"/>
      <c r="M204" s="722"/>
      <c r="N204" s="722"/>
      <c r="O204" s="187"/>
      <c r="P204" s="186" t="s">
        <v>650</v>
      </c>
    </row>
    <row r="205" spans="1:16" ht="15.75" customHeight="1" x14ac:dyDescent="0.3">
      <c r="A205" s="719"/>
      <c r="B205" s="720"/>
      <c r="C205" s="720"/>
      <c r="D205" s="720"/>
      <c r="E205" s="188"/>
      <c r="F205" s="721"/>
      <c r="G205" s="721"/>
      <c r="H205" s="721"/>
      <c r="I205" s="721"/>
      <c r="J205" s="721"/>
      <c r="K205" s="722" t="s">
        <v>709</v>
      </c>
      <c r="L205" s="722"/>
      <c r="M205" s="722"/>
      <c r="N205" s="722"/>
      <c r="O205" s="187"/>
      <c r="P205" s="186" t="s">
        <v>650</v>
      </c>
    </row>
    <row r="206" spans="1:16" ht="15.75" customHeight="1" x14ac:dyDescent="0.3">
      <c r="A206" s="719"/>
      <c r="B206" s="720"/>
      <c r="C206" s="720"/>
      <c r="D206" s="720"/>
      <c r="E206" s="188"/>
      <c r="F206" s="721"/>
      <c r="G206" s="721"/>
      <c r="H206" s="721"/>
      <c r="I206" s="721"/>
      <c r="J206" s="721"/>
      <c r="K206" s="722" t="s">
        <v>709</v>
      </c>
      <c r="L206" s="722"/>
      <c r="M206" s="722"/>
      <c r="N206" s="722"/>
      <c r="O206" s="187"/>
      <c r="P206" s="186" t="s">
        <v>650</v>
      </c>
    </row>
    <row r="207" spans="1:16" ht="15.75" customHeight="1" x14ac:dyDescent="0.3">
      <c r="A207" s="719"/>
      <c r="B207" s="720"/>
      <c r="C207" s="720"/>
      <c r="D207" s="720"/>
      <c r="E207" s="188"/>
      <c r="F207" s="721"/>
      <c r="G207" s="721"/>
      <c r="H207" s="721"/>
      <c r="I207" s="721"/>
      <c r="J207" s="721"/>
      <c r="K207" s="722" t="s">
        <v>709</v>
      </c>
      <c r="L207" s="722"/>
      <c r="M207" s="722"/>
      <c r="N207" s="722"/>
      <c r="O207" s="187"/>
      <c r="P207" s="186" t="s">
        <v>650</v>
      </c>
    </row>
    <row r="208" spans="1:16" ht="15.75" customHeight="1" x14ac:dyDescent="0.3">
      <c r="A208" s="719"/>
      <c r="B208" s="720"/>
      <c r="C208" s="720"/>
      <c r="D208" s="720"/>
      <c r="E208" s="188"/>
      <c r="F208" s="721"/>
      <c r="G208" s="721"/>
      <c r="H208" s="721"/>
      <c r="I208" s="721"/>
      <c r="J208" s="721"/>
      <c r="K208" s="722" t="s">
        <v>709</v>
      </c>
      <c r="L208" s="722"/>
      <c r="M208" s="722"/>
      <c r="N208" s="722"/>
      <c r="O208" s="187"/>
      <c r="P208" s="186" t="s">
        <v>650</v>
      </c>
    </row>
    <row r="209" spans="1:16" ht="15.75" customHeight="1" x14ac:dyDescent="0.3">
      <c r="A209" s="719"/>
      <c r="B209" s="720"/>
      <c r="C209" s="720"/>
      <c r="D209" s="720"/>
      <c r="E209" s="188"/>
      <c r="F209" s="721"/>
      <c r="G209" s="721"/>
      <c r="H209" s="721"/>
      <c r="I209" s="721"/>
      <c r="J209" s="721"/>
      <c r="K209" s="722" t="s">
        <v>709</v>
      </c>
      <c r="L209" s="722"/>
      <c r="M209" s="722"/>
      <c r="N209" s="722"/>
      <c r="O209" s="187"/>
      <c r="P209" s="186" t="s">
        <v>650</v>
      </c>
    </row>
    <row r="210" spans="1:16" ht="15.75" customHeight="1" x14ac:dyDescent="0.3">
      <c r="A210" s="719"/>
      <c r="B210" s="720"/>
      <c r="C210" s="720"/>
      <c r="D210" s="720"/>
      <c r="E210" s="188"/>
      <c r="F210" s="721"/>
      <c r="G210" s="721"/>
      <c r="H210" s="721"/>
      <c r="I210" s="721"/>
      <c r="J210" s="721"/>
      <c r="K210" s="722" t="s">
        <v>709</v>
      </c>
      <c r="L210" s="722"/>
      <c r="M210" s="722"/>
      <c r="N210" s="722"/>
      <c r="O210" s="187"/>
      <c r="P210" s="186" t="s">
        <v>650</v>
      </c>
    </row>
    <row r="211" spans="1:16" ht="15.75" customHeight="1" x14ac:dyDescent="0.3">
      <c r="A211" s="719"/>
      <c r="B211" s="720"/>
      <c r="C211" s="720"/>
      <c r="D211" s="720"/>
      <c r="E211" s="188"/>
      <c r="F211" s="721"/>
      <c r="G211" s="721"/>
      <c r="H211" s="721"/>
      <c r="I211" s="721"/>
      <c r="J211" s="721"/>
      <c r="K211" s="722" t="s">
        <v>709</v>
      </c>
      <c r="L211" s="722"/>
      <c r="M211" s="722"/>
      <c r="N211" s="722"/>
      <c r="O211" s="187"/>
      <c r="P211" s="186" t="s">
        <v>650</v>
      </c>
    </row>
    <row r="212" spans="1:16" ht="15.75" customHeight="1" x14ac:dyDescent="0.3">
      <c r="A212" s="719"/>
      <c r="B212" s="720"/>
      <c r="C212" s="720"/>
      <c r="D212" s="720"/>
      <c r="E212" s="188"/>
      <c r="F212" s="721"/>
      <c r="G212" s="721"/>
      <c r="H212" s="721"/>
      <c r="I212" s="721"/>
      <c r="J212" s="721"/>
      <c r="K212" s="722" t="s">
        <v>709</v>
      </c>
      <c r="L212" s="722"/>
      <c r="M212" s="722"/>
      <c r="N212" s="722"/>
      <c r="O212" s="187"/>
      <c r="P212" s="186" t="s">
        <v>650</v>
      </c>
    </row>
    <row r="213" spans="1:16" ht="15.75" customHeight="1" x14ac:dyDescent="0.3">
      <c r="A213" s="719"/>
      <c r="B213" s="720"/>
      <c r="C213" s="720"/>
      <c r="D213" s="720"/>
      <c r="E213" s="188"/>
      <c r="F213" s="721"/>
      <c r="G213" s="721"/>
      <c r="H213" s="721"/>
      <c r="I213" s="721"/>
      <c r="J213" s="721"/>
      <c r="K213" s="722" t="s">
        <v>709</v>
      </c>
      <c r="L213" s="722"/>
      <c r="M213" s="722"/>
      <c r="N213" s="722"/>
      <c r="O213" s="187"/>
      <c r="P213" s="186" t="s">
        <v>650</v>
      </c>
    </row>
    <row r="214" spans="1:16" ht="15.75" customHeight="1" x14ac:dyDescent="0.3">
      <c r="A214" s="719"/>
      <c r="B214" s="720"/>
      <c r="C214" s="720"/>
      <c r="D214" s="720"/>
      <c r="E214" s="188"/>
      <c r="F214" s="721"/>
      <c r="G214" s="721"/>
      <c r="H214" s="721"/>
      <c r="I214" s="721"/>
      <c r="J214" s="721"/>
      <c r="K214" s="722" t="s">
        <v>709</v>
      </c>
      <c r="L214" s="722"/>
      <c r="M214" s="722"/>
      <c r="N214" s="722"/>
      <c r="O214" s="187"/>
      <c r="P214" s="186" t="s">
        <v>650</v>
      </c>
    </row>
    <row r="215" spans="1:16" ht="15.75" customHeight="1" x14ac:dyDescent="0.3">
      <c r="A215" s="719"/>
      <c r="B215" s="720"/>
      <c r="C215" s="720"/>
      <c r="D215" s="720"/>
      <c r="E215" s="188"/>
      <c r="F215" s="721"/>
      <c r="G215" s="721"/>
      <c r="H215" s="721"/>
      <c r="I215" s="721"/>
      <c r="J215" s="721"/>
      <c r="K215" s="722" t="s">
        <v>709</v>
      </c>
      <c r="L215" s="722"/>
      <c r="M215" s="722"/>
      <c r="N215" s="722"/>
      <c r="O215" s="187"/>
      <c r="P215" s="186" t="s">
        <v>650</v>
      </c>
    </row>
    <row r="216" spans="1:16" ht="15.75" customHeight="1" x14ac:dyDescent="0.3">
      <c r="A216" s="719"/>
      <c r="B216" s="720"/>
      <c r="C216" s="720"/>
      <c r="D216" s="720"/>
      <c r="E216" s="188"/>
      <c r="F216" s="721"/>
      <c r="G216" s="721"/>
      <c r="H216" s="721"/>
      <c r="I216" s="721"/>
      <c r="J216" s="721"/>
      <c r="K216" s="722" t="s">
        <v>709</v>
      </c>
      <c r="L216" s="722"/>
      <c r="M216" s="722"/>
      <c r="N216" s="722"/>
      <c r="O216" s="187"/>
      <c r="P216" s="186" t="s">
        <v>650</v>
      </c>
    </row>
    <row r="217" spans="1:16" ht="15.75" customHeight="1" x14ac:dyDescent="0.3">
      <c r="A217" s="719"/>
      <c r="B217" s="720"/>
      <c r="C217" s="720"/>
      <c r="D217" s="720"/>
      <c r="E217" s="188"/>
      <c r="F217" s="721"/>
      <c r="G217" s="721"/>
      <c r="H217" s="721"/>
      <c r="I217" s="721"/>
      <c r="J217" s="721"/>
      <c r="K217" s="722" t="s">
        <v>709</v>
      </c>
      <c r="L217" s="722"/>
      <c r="M217" s="722"/>
      <c r="N217" s="722"/>
      <c r="O217" s="187"/>
      <c r="P217" s="186" t="s">
        <v>650</v>
      </c>
    </row>
    <row r="218" spans="1:16" ht="15.75" customHeight="1" x14ac:dyDescent="0.3">
      <c r="A218" s="719"/>
      <c r="B218" s="720"/>
      <c r="C218" s="720"/>
      <c r="D218" s="720"/>
      <c r="E218" s="188"/>
      <c r="F218" s="721"/>
      <c r="G218" s="721"/>
      <c r="H218" s="721"/>
      <c r="I218" s="721"/>
      <c r="J218" s="721"/>
      <c r="K218" s="722" t="s">
        <v>709</v>
      </c>
      <c r="L218" s="722"/>
      <c r="M218" s="722"/>
      <c r="N218" s="722"/>
      <c r="O218" s="187"/>
      <c r="P218" s="186" t="s">
        <v>650</v>
      </c>
    </row>
    <row r="219" spans="1:16" ht="15.75" customHeight="1" x14ac:dyDescent="0.3">
      <c r="A219" s="719"/>
      <c r="B219" s="720"/>
      <c r="C219" s="720"/>
      <c r="D219" s="720"/>
      <c r="E219" s="188"/>
      <c r="F219" s="721"/>
      <c r="G219" s="721"/>
      <c r="H219" s="721"/>
      <c r="I219" s="721"/>
      <c r="J219" s="721"/>
      <c r="K219" s="722" t="s">
        <v>709</v>
      </c>
      <c r="L219" s="722"/>
      <c r="M219" s="722"/>
      <c r="N219" s="722"/>
      <c r="O219" s="187"/>
      <c r="P219" s="186" t="s">
        <v>650</v>
      </c>
    </row>
    <row r="220" spans="1:16" ht="15.75" customHeight="1" x14ac:dyDescent="0.3">
      <c r="A220" s="719"/>
      <c r="B220" s="720"/>
      <c r="C220" s="720"/>
      <c r="D220" s="720"/>
      <c r="E220" s="188"/>
      <c r="F220" s="721"/>
      <c r="G220" s="721"/>
      <c r="H220" s="721"/>
      <c r="I220" s="721"/>
      <c r="J220" s="721"/>
      <c r="K220" s="722" t="s">
        <v>709</v>
      </c>
      <c r="L220" s="722"/>
      <c r="M220" s="722"/>
      <c r="N220" s="722"/>
      <c r="O220" s="187"/>
      <c r="P220" s="186" t="s">
        <v>650</v>
      </c>
    </row>
    <row r="221" spans="1:16" ht="15.75" customHeight="1" x14ac:dyDescent="0.3">
      <c r="A221" s="719"/>
      <c r="B221" s="720"/>
      <c r="C221" s="720"/>
      <c r="D221" s="720"/>
      <c r="E221" s="188"/>
      <c r="F221" s="721"/>
      <c r="G221" s="721"/>
      <c r="H221" s="721"/>
      <c r="I221" s="721"/>
      <c r="J221" s="721"/>
      <c r="K221" s="722" t="s">
        <v>709</v>
      </c>
      <c r="L221" s="722"/>
      <c r="M221" s="722"/>
      <c r="N221" s="722"/>
      <c r="O221" s="187"/>
      <c r="P221" s="186" t="s">
        <v>650</v>
      </c>
    </row>
    <row r="222" spans="1:16" ht="15.75" customHeight="1" x14ac:dyDescent="0.3">
      <c r="A222" s="719"/>
      <c r="B222" s="720"/>
      <c r="C222" s="720"/>
      <c r="D222" s="720"/>
      <c r="E222" s="188"/>
      <c r="F222" s="721"/>
      <c r="G222" s="721"/>
      <c r="H222" s="721"/>
      <c r="I222" s="721"/>
      <c r="J222" s="721"/>
      <c r="K222" s="722" t="s">
        <v>709</v>
      </c>
      <c r="L222" s="722"/>
      <c r="M222" s="722"/>
      <c r="N222" s="722"/>
      <c r="O222" s="187"/>
      <c r="P222" s="186" t="s">
        <v>650</v>
      </c>
    </row>
    <row r="223" spans="1:16" ht="15.75" customHeight="1" x14ac:dyDescent="0.3">
      <c r="A223" s="719"/>
      <c r="B223" s="720"/>
      <c r="C223" s="720"/>
      <c r="D223" s="720"/>
      <c r="E223" s="188"/>
      <c r="F223" s="721"/>
      <c r="G223" s="721"/>
      <c r="H223" s="721"/>
      <c r="I223" s="721"/>
      <c r="J223" s="721"/>
      <c r="K223" s="722" t="s">
        <v>709</v>
      </c>
      <c r="L223" s="722"/>
      <c r="M223" s="722"/>
      <c r="N223" s="722"/>
      <c r="O223" s="187"/>
      <c r="P223" s="186" t="s">
        <v>650</v>
      </c>
    </row>
    <row r="224" spans="1:16" ht="15.75" customHeight="1" x14ac:dyDescent="0.3">
      <c r="A224" s="719"/>
      <c r="B224" s="720"/>
      <c r="C224" s="720"/>
      <c r="D224" s="720"/>
      <c r="E224" s="188"/>
      <c r="F224" s="721"/>
      <c r="G224" s="721"/>
      <c r="H224" s="721"/>
      <c r="I224" s="721"/>
      <c r="J224" s="721"/>
      <c r="K224" s="722" t="s">
        <v>709</v>
      </c>
      <c r="L224" s="722"/>
      <c r="M224" s="722"/>
      <c r="N224" s="722"/>
      <c r="O224" s="187"/>
      <c r="P224" s="186" t="s">
        <v>650</v>
      </c>
    </row>
    <row r="225" spans="1:16" ht="15.75" customHeight="1" x14ac:dyDescent="0.3">
      <c r="A225" s="719"/>
      <c r="B225" s="720"/>
      <c r="C225" s="720"/>
      <c r="D225" s="720"/>
      <c r="E225" s="188"/>
      <c r="F225" s="721"/>
      <c r="G225" s="721"/>
      <c r="H225" s="721"/>
      <c r="I225" s="721"/>
      <c r="J225" s="721"/>
      <c r="K225" s="722" t="s">
        <v>709</v>
      </c>
      <c r="L225" s="722"/>
      <c r="M225" s="722"/>
      <c r="N225" s="722"/>
      <c r="O225" s="187"/>
      <c r="P225" s="186" t="s">
        <v>650</v>
      </c>
    </row>
    <row r="226" spans="1:16" ht="15.75" customHeight="1" x14ac:dyDescent="0.3">
      <c r="A226" s="719"/>
      <c r="B226" s="720"/>
      <c r="C226" s="720"/>
      <c r="D226" s="720"/>
      <c r="E226" s="188"/>
      <c r="F226" s="721"/>
      <c r="G226" s="721"/>
      <c r="H226" s="721"/>
      <c r="I226" s="721"/>
      <c r="J226" s="721"/>
      <c r="K226" s="722" t="s">
        <v>709</v>
      </c>
      <c r="L226" s="722"/>
      <c r="M226" s="722"/>
      <c r="N226" s="722"/>
      <c r="O226" s="187"/>
      <c r="P226" s="186" t="s">
        <v>650</v>
      </c>
    </row>
    <row r="227" spans="1:16" ht="15.75" customHeight="1" x14ac:dyDescent="0.3">
      <c r="A227" s="719"/>
      <c r="B227" s="720"/>
      <c r="C227" s="720"/>
      <c r="D227" s="720"/>
      <c r="E227" s="188"/>
      <c r="F227" s="721"/>
      <c r="G227" s="721"/>
      <c r="H227" s="721"/>
      <c r="I227" s="721"/>
      <c r="J227" s="721"/>
      <c r="K227" s="722" t="s">
        <v>709</v>
      </c>
      <c r="L227" s="722"/>
      <c r="M227" s="722"/>
      <c r="N227" s="722"/>
      <c r="O227" s="187"/>
      <c r="P227" s="186" t="s">
        <v>650</v>
      </c>
    </row>
    <row r="228" spans="1:16" ht="15.75" customHeight="1" x14ac:dyDescent="0.3">
      <c r="A228" s="719"/>
      <c r="B228" s="720"/>
      <c r="C228" s="720"/>
      <c r="D228" s="720"/>
      <c r="E228" s="188"/>
      <c r="F228" s="721"/>
      <c r="G228" s="721"/>
      <c r="H228" s="721"/>
      <c r="I228" s="721"/>
      <c r="J228" s="721"/>
      <c r="K228" s="722" t="s">
        <v>709</v>
      </c>
      <c r="L228" s="722"/>
      <c r="M228" s="722"/>
      <c r="N228" s="722"/>
      <c r="O228" s="187"/>
      <c r="P228" s="186" t="s">
        <v>650</v>
      </c>
    </row>
    <row r="229" spans="1:16" ht="15.75" customHeight="1" x14ac:dyDescent="0.3">
      <c r="A229" s="719"/>
      <c r="B229" s="720"/>
      <c r="C229" s="720"/>
      <c r="D229" s="720"/>
      <c r="E229" s="188"/>
      <c r="F229" s="721"/>
      <c r="G229" s="721"/>
      <c r="H229" s="721"/>
      <c r="I229" s="721"/>
      <c r="J229" s="721"/>
      <c r="K229" s="722" t="s">
        <v>709</v>
      </c>
      <c r="L229" s="722"/>
      <c r="M229" s="722"/>
      <c r="N229" s="722"/>
      <c r="O229" s="187"/>
      <c r="P229" s="186" t="s">
        <v>650</v>
      </c>
    </row>
    <row r="230" spans="1:16" ht="15.75" customHeight="1" x14ac:dyDescent="0.3">
      <c r="A230" s="719"/>
      <c r="B230" s="720"/>
      <c r="C230" s="720"/>
      <c r="D230" s="720"/>
      <c r="E230" s="188"/>
      <c r="F230" s="721"/>
      <c r="G230" s="721"/>
      <c r="H230" s="721"/>
      <c r="I230" s="721"/>
      <c r="J230" s="721"/>
      <c r="K230" s="722" t="s">
        <v>709</v>
      </c>
      <c r="L230" s="722"/>
      <c r="M230" s="722"/>
      <c r="N230" s="722"/>
      <c r="O230" s="187"/>
      <c r="P230" s="186" t="s">
        <v>650</v>
      </c>
    </row>
    <row r="231" spans="1:16" ht="15.75" customHeight="1" x14ac:dyDescent="0.3">
      <c r="A231" s="719"/>
      <c r="B231" s="720"/>
      <c r="C231" s="720"/>
      <c r="D231" s="720"/>
      <c r="E231" s="188"/>
      <c r="F231" s="721"/>
      <c r="G231" s="721"/>
      <c r="H231" s="721"/>
      <c r="I231" s="721"/>
      <c r="J231" s="721"/>
      <c r="K231" s="722" t="s">
        <v>709</v>
      </c>
      <c r="L231" s="722"/>
      <c r="M231" s="722"/>
      <c r="N231" s="722"/>
      <c r="O231" s="187"/>
      <c r="P231" s="186" t="s">
        <v>650</v>
      </c>
    </row>
    <row r="232" spans="1:16" ht="15.75" customHeight="1" x14ac:dyDescent="0.3">
      <c r="A232" s="719"/>
      <c r="B232" s="720"/>
      <c r="C232" s="720"/>
      <c r="D232" s="720"/>
      <c r="E232" s="188"/>
      <c r="F232" s="721"/>
      <c r="G232" s="721"/>
      <c r="H232" s="721"/>
      <c r="I232" s="721"/>
      <c r="J232" s="721"/>
      <c r="K232" s="722" t="s">
        <v>709</v>
      </c>
      <c r="L232" s="722"/>
      <c r="M232" s="722"/>
      <c r="N232" s="722"/>
      <c r="O232" s="187"/>
      <c r="P232" s="186" t="s">
        <v>650</v>
      </c>
    </row>
    <row r="233" spans="1:16" ht="15.75" customHeight="1" x14ac:dyDescent="0.3">
      <c r="A233" s="719"/>
      <c r="B233" s="720"/>
      <c r="C233" s="720"/>
      <c r="D233" s="720"/>
      <c r="E233" s="188"/>
      <c r="F233" s="721"/>
      <c r="G233" s="721"/>
      <c r="H233" s="721"/>
      <c r="I233" s="721"/>
      <c r="J233" s="721"/>
      <c r="K233" s="722" t="s">
        <v>709</v>
      </c>
      <c r="L233" s="722"/>
      <c r="M233" s="722"/>
      <c r="N233" s="722"/>
      <c r="O233" s="187"/>
      <c r="P233" s="186" t="s">
        <v>650</v>
      </c>
    </row>
    <row r="234" spans="1:16" ht="15.75" customHeight="1" x14ac:dyDescent="0.3">
      <c r="A234" s="719"/>
      <c r="B234" s="720"/>
      <c r="C234" s="720"/>
      <c r="D234" s="720"/>
      <c r="E234" s="188"/>
      <c r="F234" s="721"/>
      <c r="G234" s="721"/>
      <c r="H234" s="721"/>
      <c r="I234" s="721"/>
      <c r="J234" s="721"/>
      <c r="K234" s="722" t="s">
        <v>709</v>
      </c>
      <c r="L234" s="722"/>
      <c r="M234" s="722"/>
      <c r="N234" s="722"/>
      <c r="O234" s="187"/>
      <c r="P234" s="186" t="s">
        <v>650</v>
      </c>
    </row>
    <row r="235" spans="1:16" ht="15.75" customHeight="1" x14ac:dyDescent="0.3">
      <c r="A235" s="719"/>
      <c r="B235" s="720"/>
      <c r="C235" s="720"/>
      <c r="D235" s="720"/>
      <c r="E235" s="188"/>
      <c r="F235" s="721"/>
      <c r="G235" s="721"/>
      <c r="H235" s="721"/>
      <c r="I235" s="721"/>
      <c r="J235" s="721"/>
      <c r="K235" s="722" t="s">
        <v>709</v>
      </c>
      <c r="L235" s="722"/>
      <c r="M235" s="722"/>
      <c r="N235" s="722"/>
      <c r="O235" s="187"/>
      <c r="P235" s="186" t="s">
        <v>650</v>
      </c>
    </row>
    <row r="236" spans="1:16" ht="15.75" customHeight="1" x14ac:dyDescent="0.3">
      <c r="A236" s="719"/>
      <c r="B236" s="720"/>
      <c r="C236" s="720"/>
      <c r="D236" s="720"/>
      <c r="E236" s="188"/>
      <c r="F236" s="721"/>
      <c r="G236" s="721"/>
      <c r="H236" s="721"/>
      <c r="I236" s="721"/>
      <c r="J236" s="721"/>
      <c r="K236" s="722" t="s">
        <v>709</v>
      </c>
      <c r="L236" s="722"/>
      <c r="M236" s="722"/>
      <c r="N236" s="722"/>
      <c r="O236" s="187"/>
      <c r="P236" s="186" t="s">
        <v>650</v>
      </c>
    </row>
    <row r="237" spans="1:16" ht="15.75" customHeight="1" x14ac:dyDescent="0.3">
      <c r="A237" s="719"/>
      <c r="B237" s="720"/>
      <c r="C237" s="720"/>
      <c r="D237" s="720"/>
      <c r="E237" s="188"/>
      <c r="F237" s="721"/>
      <c r="G237" s="721"/>
      <c r="H237" s="721"/>
      <c r="I237" s="721"/>
      <c r="J237" s="721"/>
      <c r="K237" s="722" t="s">
        <v>709</v>
      </c>
      <c r="L237" s="722"/>
      <c r="M237" s="722"/>
      <c r="N237" s="722"/>
      <c r="O237" s="187"/>
      <c r="P237" s="186" t="s">
        <v>650</v>
      </c>
    </row>
    <row r="238" spans="1:16" ht="15.75" customHeight="1" x14ac:dyDescent="0.3">
      <c r="A238" s="719"/>
      <c r="B238" s="720"/>
      <c r="C238" s="720"/>
      <c r="D238" s="720"/>
      <c r="E238" s="188"/>
      <c r="F238" s="721"/>
      <c r="G238" s="721"/>
      <c r="H238" s="721"/>
      <c r="I238" s="721"/>
      <c r="J238" s="721"/>
      <c r="K238" s="722" t="s">
        <v>709</v>
      </c>
      <c r="L238" s="722"/>
      <c r="M238" s="722"/>
      <c r="N238" s="722"/>
      <c r="O238" s="187"/>
      <c r="P238" s="186" t="s">
        <v>650</v>
      </c>
    </row>
    <row r="239" spans="1:16" ht="15.75" customHeight="1" x14ac:dyDescent="0.3">
      <c r="A239" s="719"/>
      <c r="B239" s="720"/>
      <c r="C239" s="720"/>
      <c r="D239" s="720"/>
      <c r="E239" s="188"/>
      <c r="F239" s="721"/>
      <c r="G239" s="721"/>
      <c r="H239" s="721"/>
      <c r="I239" s="721"/>
      <c r="J239" s="721"/>
      <c r="K239" s="722" t="s">
        <v>709</v>
      </c>
      <c r="L239" s="722"/>
      <c r="M239" s="722"/>
      <c r="N239" s="722"/>
      <c r="O239" s="187"/>
      <c r="P239" s="186" t="s">
        <v>650</v>
      </c>
    </row>
    <row r="240" spans="1:16" ht="15.75" customHeight="1" x14ac:dyDescent="0.3">
      <c r="A240" s="719"/>
      <c r="B240" s="720"/>
      <c r="C240" s="720"/>
      <c r="D240" s="720"/>
      <c r="E240" s="188"/>
      <c r="F240" s="721"/>
      <c r="G240" s="721"/>
      <c r="H240" s="721"/>
      <c r="I240" s="721"/>
      <c r="J240" s="721"/>
      <c r="K240" s="722" t="s">
        <v>709</v>
      </c>
      <c r="L240" s="722"/>
      <c r="M240" s="722"/>
      <c r="N240" s="722"/>
      <c r="O240" s="187"/>
      <c r="P240" s="186" t="s">
        <v>650</v>
      </c>
    </row>
    <row r="241" spans="1:16" ht="15.75" customHeight="1" x14ac:dyDescent="0.3">
      <c r="A241" s="719"/>
      <c r="B241" s="720"/>
      <c r="C241" s="720"/>
      <c r="D241" s="720"/>
      <c r="E241" s="188"/>
      <c r="F241" s="721"/>
      <c r="G241" s="721"/>
      <c r="H241" s="721"/>
      <c r="I241" s="721"/>
      <c r="J241" s="721"/>
      <c r="K241" s="722" t="s">
        <v>709</v>
      </c>
      <c r="L241" s="722"/>
      <c r="M241" s="722"/>
      <c r="N241" s="722"/>
      <c r="O241" s="187"/>
      <c r="P241" s="186" t="s">
        <v>650</v>
      </c>
    </row>
    <row r="242" spans="1:16" ht="15.75" customHeight="1" x14ac:dyDescent="0.3">
      <c r="A242" s="719"/>
      <c r="B242" s="720"/>
      <c r="C242" s="720"/>
      <c r="D242" s="720"/>
      <c r="E242" s="188"/>
      <c r="F242" s="721"/>
      <c r="G242" s="721"/>
      <c r="H242" s="721"/>
      <c r="I242" s="721"/>
      <c r="J242" s="721"/>
      <c r="K242" s="722" t="s">
        <v>709</v>
      </c>
      <c r="L242" s="722"/>
      <c r="M242" s="722"/>
      <c r="N242" s="722"/>
      <c r="O242" s="187"/>
      <c r="P242" s="186" t="s">
        <v>650</v>
      </c>
    </row>
    <row r="243" spans="1:16" ht="15.75" customHeight="1" x14ac:dyDescent="0.3">
      <c r="A243" s="719"/>
      <c r="B243" s="720"/>
      <c r="C243" s="720"/>
      <c r="D243" s="720"/>
      <c r="E243" s="188"/>
      <c r="F243" s="721"/>
      <c r="G243" s="721"/>
      <c r="H243" s="721"/>
      <c r="I243" s="721"/>
      <c r="J243" s="721"/>
      <c r="K243" s="722" t="s">
        <v>709</v>
      </c>
      <c r="L243" s="722"/>
      <c r="M243" s="722"/>
      <c r="N243" s="722"/>
      <c r="O243" s="187"/>
      <c r="P243" s="186" t="s">
        <v>650</v>
      </c>
    </row>
    <row r="244" spans="1:16" ht="15.75" customHeight="1" x14ac:dyDescent="0.3">
      <c r="A244" s="719"/>
      <c r="B244" s="720"/>
      <c r="C244" s="720"/>
      <c r="D244" s="720"/>
      <c r="E244" s="188"/>
      <c r="F244" s="721"/>
      <c r="G244" s="721"/>
      <c r="H244" s="721"/>
      <c r="I244" s="721"/>
      <c r="J244" s="721"/>
      <c r="K244" s="722" t="s">
        <v>709</v>
      </c>
      <c r="L244" s="722"/>
      <c r="M244" s="722"/>
      <c r="N244" s="722"/>
      <c r="O244" s="187"/>
      <c r="P244" s="186" t="s">
        <v>650</v>
      </c>
    </row>
    <row r="245" spans="1:16" ht="15.75" customHeight="1" x14ac:dyDescent="0.3">
      <c r="A245" s="719"/>
      <c r="B245" s="720"/>
      <c r="C245" s="720"/>
      <c r="D245" s="720"/>
      <c r="E245" s="188"/>
      <c r="F245" s="721"/>
      <c r="G245" s="721"/>
      <c r="H245" s="721"/>
      <c r="I245" s="721"/>
      <c r="J245" s="721"/>
      <c r="K245" s="722" t="s">
        <v>709</v>
      </c>
      <c r="L245" s="722"/>
      <c r="M245" s="722"/>
      <c r="N245" s="722"/>
      <c r="O245" s="187"/>
      <c r="P245" s="186" t="s">
        <v>650</v>
      </c>
    </row>
    <row r="246" spans="1:16" ht="15.75" customHeight="1" x14ac:dyDescent="0.3">
      <c r="A246" s="719"/>
      <c r="B246" s="720"/>
      <c r="C246" s="720"/>
      <c r="D246" s="720"/>
      <c r="E246" s="188"/>
      <c r="F246" s="721"/>
      <c r="G246" s="721"/>
      <c r="H246" s="721"/>
      <c r="I246" s="721"/>
      <c r="J246" s="721"/>
      <c r="K246" s="722" t="s">
        <v>709</v>
      </c>
      <c r="L246" s="722"/>
      <c r="M246" s="722"/>
      <c r="N246" s="722"/>
      <c r="O246" s="187"/>
      <c r="P246" s="186" t="s">
        <v>650</v>
      </c>
    </row>
    <row r="247" spans="1:16" ht="15.75" customHeight="1" x14ac:dyDescent="0.3">
      <c r="A247" s="719"/>
      <c r="B247" s="720"/>
      <c r="C247" s="720"/>
      <c r="D247" s="720"/>
      <c r="E247" s="188"/>
      <c r="F247" s="721"/>
      <c r="G247" s="721"/>
      <c r="H247" s="721"/>
      <c r="I247" s="721"/>
      <c r="J247" s="721"/>
      <c r="K247" s="722" t="s">
        <v>709</v>
      </c>
      <c r="L247" s="722"/>
      <c r="M247" s="722"/>
      <c r="N247" s="722"/>
      <c r="O247" s="187"/>
      <c r="P247" s="186" t="s">
        <v>650</v>
      </c>
    </row>
    <row r="248" spans="1:16" ht="15.75" customHeight="1" x14ac:dyDescent="0.3">
      <c r="A248" s="719"/>
      <c r="B248" s="720"/>
      <c r="C248" s="720"/>
      <c r="D248" s="720"/>
      <c r="E248" s="188"/>
      <c r="F248" s="721"/>
      <c r="G248" s="721"/>
      <c r="H248" s="721"/>
      <c r="I248" s="721"/>
      <c r="J248" s="721"/>
      <c r="K248" s="722" t="s">
        <v>709</v>
      </c>
      <c r="L248" s="722"/>
      <c r="M248" s="722"/>
      <c r="N248" s="722"/>
      <c r="O248" s="187"/>
      <c r="P248" s="186" t="s">
        <v>650</v>
      </c>
    </row>
    <row r="249" spans="1:16" ht="15.75" customHeight="1" x14ac:dyDescent="0.3">
      <c r="A249" s="719"/>
      <c r="B249" s="720"/>
      <c r="C249" s="720"/>
      <c r="D249" s="720"/>
      <c r="E249" s="188"/>
      <c r="F249" s="721"/>
      <c r="G249" s="721"/>
      <c r="H249" s="721"/>
      <c r="I249" s="721"/>
      <c r="J249" s="721"/>
      <c r="K249" s="722" t="s">
        <v>709</v>
      </c>
      <c r="L249" s="722"/>
      <c r="M249" s="722"/>
      <c r="N249" s="722"/>
      <c r="O249" s="187"/>
      <c r="P249" s="186" t="s">
        <v>650</v>
      </c>
    </row>
    <row r="250" spans="1:16" ht="15.75" customHeight="1" x14ac:dyDescent="0.3">
      <c r="A250" s="719"/>
      <c r="B250" s="720"/>
      <c r="C250" s="720"/>
      <c r="D250" s="720"/>
      <c r="E250" s="188"/>
      <c r="F250" s="721"/>
      <c r="G250" s="721"/>
      <c r="H250" s="721"/>
      <c r="I250" s="721"/>
      <c r="J250" s="721"/>
      <c r="K250" s="722" t="s">
        <v>709</v>
      </c>
      <c r="L250" s="722"/>
      <c r="M250" s="722"/>
      <c r="N250" s="722"/>
      <c r="O250" s="187"/>
      <c r="P250" s="186" t="s">
        <v>650</v>
      </c>
    </row>
    <row r="251" spans="1:16" ht="15.75" customHeight="1" x14ac:dyDescent="0.3">
      <c r="A251" s="719"/>
      <c r="B251" s="720"/>
      <c r="C251" s="720"/>
      <c r="D251" s="720"/>
      <c r="E251" s="188"/>
      <c r="F251" s="721"/>
      <c r="G251" s="721"/>
      <c r="H251" s="721"/>
      <c r="I251" s="721"/>
      <c r="J251" s="721"/>
      <c r="K251" s="722" t="s">
        <v>709</v>
      </c>
      <c r="L251" s="722"/>
      <c r="M251" s="722"/>
      <c r="N251" s="722"/>
      <c r="O251" s="187"/>
      <c r="P251" s="186" t="s">
        <v>650</v>
      </c>
    </row>
    <row r="252" spans="1:16" ht="15.75" customHeight="1" x14ac:dyDescent="0.3">
      <c r="A252" s="719"/>
      <c r="B252" s="720"/>
      <c r="C252" s="720"/>
      <c r="D252" s="720"/>
      <c r="E252" s="188"/>
      <c r="F252" s="721"/>
      <c r="G252" s="721"/>
      <c r="H252" s="721"/>
      <c r="I252" s="721"/>
      <c r="J252" s="721"/>
      <c r="K252" s="722" t="s">
        <v>709</v>
      </c>
      <c r="L252" s="722"/>
      <c r="M252" s="722"/>
      <c r="N252" s="722"/>
      <c r="O252" s="187"/>
      <c r="P252" s="186" t="s">
        <v>650</v>
      </c>
    </row>
  </sheetData>
  <mergeCells count="752">
    <mergeCell ref="F251:J251"/>
    <mergeCell ref="K251:N251"/>
    <mergeCell ref="A252:D252"/>
    <mergeCell ref="F252:J252"/>
    <mergeCell ref="K252:N252"/>
    <mergeCell ref="A249:D249"/>
    <mergeCell ref="F249:J249"/>
    <mergeCell ref="K249:N249"/>
    <mergeCell ref="A250:D250"/>
    <mergeCell ref="F250:J250"/>
    <mergeCell ref="K250:N250"/>
    <mergeCell ref="A251:D251"/>
    <mergeCell ref="A247:D247"/>
    <mergeCell ref="F247:J247"/>
    <mergeCell ref="K247:N247"/>
    <mergeCell ref="A248:D248"/>
    <mergeCell ref="F248:J248"/>
    <mergeCell ref="K248:N248"/>
    <mergeCell ref="A245:D245"/>
    <mergeCell ref="F245:J245"/>
    <mergeCell ref="K245:N245"/>
    <mergeCell ref="A246:D246"/>
    <mergeCell ref="F246:J246"/>
    <mergeCell ref="K246:N246"/>
    <mergeCell ref="A243:D243"/>
    <mergeCell ref="F243:J243"/>
    <mergeCell ref="K243:N243"/>
    <mergeCell ref="A244:D244"/>
    <mergeCell ref="F244:J244"/>
    <mergeCell ref="K244:N244"/>
    <mergeCell ref="A241:D241"/>
    <mergeCell ref="F241:J241"/>
    <mergeCell ref="K241:N241"/>
    <mergeCell ref="A242:D242"/>
    <mergeCell ref="F242:J242"/>
    <mergeCell ref="K242:N242"/>
    <mergeCell ref="A239:D239"/>
    <mergeCell ref="F239:J239"/>
    <mergeCell ref="K239:N239"/>
    <mergeCell ref="A240:D240"/>
    <mergeCell ref="F240:J240"/>
    <mergeCell ref="K240:N240"/>
    <mergeCell ref="A237:D237"/>
    <mergeCell ref="F237:J237"/>
    <mergeCell ref="K237:N237"/>
    <mergeCell ref="A238:D238"/>
    <mergeCell ref="F238:J238"/>
    <mergeCell ref="K238:N238"/>
    <mergeCell ref="A235:D235"/>
    <mergeCell ref="F235:J235"/>
    <mergeCell ref="K235:N235"/>
    <mergeCell ref="A236:D236"/>
    <mergeCell ref="F236:J236"/>
    <mergeCell ref="K236:N236"/>
    <mergeCell ref="A233:D233"/>
    <mergeCell ref="F233:J233"/>
    <mergeCell ref="K233:N233"/>
    <mergeCell ref="A234:D234"/>
    <mergeCell ref="F234:J234"/>
    <mergeCell ref="K234:N234"/>
    <mergeCell ref="A231:D231"/>
    <mergeCell ref="F231:J231"/>
    <mergeCell ref="K231:N231"/>
    <mergeCell ref="A232:D232"/>
    <mergeCell ref="F232:J232"/>
    <mergeCell ref="K232:N232"/>
    <mergeCell ref="A229:D229"/>
    <mergeCell ref="F229:J229"/>
    <mergeCell ref="K229:N229"/>
    <mergeCell ref="A230:D230"/>
    <mergeCell ref="F230:J230"/>
    <mergeCell ref="K230:N230"/>
    <mergeCell ref="A227:D227"/>
    <mergeCell ref="F227:J227"/>
    <mergeCell ref="K227:N227"/>
    <mergeCell ref="A228:D228"/>
    <mergeCell ref="F228:J228"/>
    <mergeCell ref="K228:N228"/>
    <mergeCell ref="A225:D225"/>
    <mergeCell ref="F225:J225"/>
    <mergeCell ref="K225:N225"/>
    <mergeCell ref="A226:D226"/>
    <mergeCell ref="F226:J226"/>
    <mergeCell ref="K226:N226"/>
    <mergeCell ref="A223:D223"/>
    <mergeCell ref="F223:J223"/>
    <mergeCell ref="K223:N223"/>
    <mergeCell ref="A224:D224"/>
    <mergeCell ref="F224:J224"/>
    <mergeCell ref="K224:N224"/>
    <mergeCell ref="A221:D221"/>
    <mergeCell ref="F221:J221"/>
    <mergeCell ref="K221:N221"/>
    <mergeCell ref="A222:D222"/>
    <mergeCell ref="F222:J222"/>
    <mergeCell ref="K222:N222"/>
    <mergeCell ref="A219:D219"/>
    <mergeCell ref="F219:J219"/>
    <mergeCell ref="K219:N219"/>
    <mergeCell ref="A220:D220"/>
    <mergeCell ref="F220:J220"/>
    <mergeCell ref="K220:N220"/>
    <mergeCell ref="A217:D217"/>
    <mergeCell ref="F217:J217"/>
    <mergeCell ref="K217:N217"/>
    <mergeCell ref="A218:D218"/>
    <mergeCell ref="F218:J218"/>
    <mergeCell ref="K218:N218"/>
    <mergeCell ref="A215:D215"/>
    <mergeCell ref="F215:J215"/>
    <mergeCell ref="K215:N215"/>
    <mergeCell ref="A216:D216"/>
    <mergeCell ref="F216:J216"/>
    <mergeCell ref="K216:N216"/>
    <mergeCell ref="A213:D213"/>
    <mergeCell ref="F213:J213"/>
    <mergeCell ref="K213:N213"/>
    <mergeCell ref="A214:D214"/>
    <mergeCell ref="F214:J214"/>
    <mergeCell ref="K214:N214"/>
    <mergeCell ref="A211:D211"/>
    <mergeCell ref="F211:J211"/>
    <mergeCell ref="K211:N211"/>
    <mergeCell ref="A212:D212"/>
    <mergeCell ref="F212:J212"/>
    <mergeCell ref="K212:N212"/>
    <mergeCell ref="A209:D209"/>
    <mergeCell ref="F209:J209"/>
    <mergeCell ref="K209:N209"/>
    <mergeCell ref="A210:D210"/>
    <mergeCell ref="F210:J210"/>
    <mergeCell ref="K210:N210"/>
    <mergeCell ref="A207:D207"/>
    <mergeCell ref="F207:J207"/>
    <mergeCell ref="K207:N207"/>
    <mergeCell ref="A208:D208"/>
    <mergeCell ref="F208:J208"/>
    <mergeCell ref="K208:N208"/>
    <mergeCell ref="A205:D205"/>
    <mergeCell ref="F205:J205"/>
    <mergeCell ref="K205:N205"/>
    <mergeCell ref="A206:D206"/>
    <mergeCell ref="F206:J206"/>
    <mergeCell ref="K206:N206"/>
    <mergeCell ref="A203:D203"/>
    <mergeCell ref="F203:J203"/>
    <mergeCell ref="K203:N203"/>
    <mergeCell ref="A204:D204"/>
    <mergeCell ref="F204:J204"/>
    <mergeCell ref="K204:N204"/>
    <mergeCell ref="A201:D201"/>
    <mergeCell ref="F201:J201"/>
    <mergeCell ref="K201:N201"/>
    <mergeCell ref="A202:D202"/>
    <mergeCell ref="F202:J202"/>
    <mergeCell ref="K202:N202"/>
    <mergeCell ref="A199:D199"/>
    <mergeCell ref="F199:J199"/>
    <mergeCell ref="K199:N199"/>
    <mergeCell ref="A200:D200"/>
    <mergeCell ref="F200:J200"/>
    <mergeCell ref="K200:N200"/>
    <mergeCell ref="A197:D197"/>
    <mergeCell ref="F197:J197"/>
    <mergeCell ref="K197:N197"/>
    <mergeCell ref="A198:D198"/>
    <mergeCell ref="F198:J198"/>
    <mergeCell ref="K198:N198"/>
    <mergeCell ref="A195:D195"/>
    <mergeCell ref="F195:J195"/>
    <mergeCell ref="K195:N195"/>
    <mergeCell ref="A196:D196"/>
    <mergeCell ref="F196:J196"/>
    <mergeCell ref="K196:N196"/>
    <mergeCell ref="A193:D193"/>
    <mergeCell ref="F193:J193"/>
    <mergeCell ref="K193:N193"/>
    <mergeCell ref="A194:D194"/>
    <mergeCell ref="F194:J194"/>
    <mergeCell ref="K194:N194"/>
    <mergeCell ref="A191:D191"/>
    <mergeCell ref="F191:J191"/>
    <mergeCell ref="K191:N191"/>
    <mergeCell ref="A192:D192"/>
    <mergeCell ref="F192:J192"/>
    <mergeCell ref="K192:N192"/>
    <mergeCell ref="A189:D189"/>
    <mergeCell ref="F189:J189"/>
    <mergeCell ref="K189:N189"/>
    <mergeCell ref="A190:D190"/>
    <mergeCell ref="F190:J190"/>
    <mergeCell ref="K190:N190"/>
    <mergeCell ref="A187:D187"/>
    <mergeCell ref="F187:J187"/>
    <mergeCell ref="K187:N187"/>
    <mergeCell ref="A188:D188"/>
    <mergeCell ref="F188:J188"/>
    <mergeCell ref="K188:N188"/>
    <mergeCell ref="A185:D185"/>
    <mergeCell ref="F185:J185"/>
    <mergeCell ref="K185:N185"/>
    <mergeCell ref="A186:D186"/>
    <mergeCell ref="F186:J186"/>
    <mergeCell ref="K186:N186"/>
    <mergeCell ref="A183:D183"/>
    <mergeCell ref="F183:J183"/>
    <mergeCell ref="K183:N183"/>
    <mergeCell ref="A184:D184"/>
    <mergeCell ref="F184:J184"/>
    <mergeCell ref="K184:N184"/>
    <mergeCell ref="A181:D181"/>
    <mergeCell ref="F181:J181"/>
    <mergeCell ref="K181:N181"/>
    <mergeCell ref="A182:D182"/>
    <mergeCell ref="F182:J182"/>
    <mergeCell ref="K182:N182"/>
    <mergeCell ref="A179:D179"/>
    <mergeCell ref="F179:J179"/>
    <mergeCell ref="K179:N179"/>
    <mergeCell ref="A180:D180"/>
    <mergeCell ref="F180:J180"/>
    <mergeCell ref="K180:N180"/>
    <mergeCell ref="A177:D177"/>
    <mergeCell ref="F177:J177"/>
    <mergeCell ref="K177:N177"/>
    <mergeCell ref="A178:D178"/>
    <mergeCell ref="F178:J178"/>
    <mergeCell ref="K178:N178"/>
    <mergeCell ref="A175:D175"/>
    <mergeCell ref="F175:J175"/>
    <mergeCell ref="K175:N175"/>
    <mergeCell ref="A176:D176"/>
    <mergeCell ref="F176:J176"/>
    <mergeCell ref="K176:N176"/>
    <mergeCell ref="A173:D173"/>
    <mergeCell ref="F173:J173"/>
    <mergeCell ref="K173:N173"/>
    <mergeCell ref="A174:D174"/>
    <mergeCell ref="F174:J174"/>
    <mergeCell ref="K174:N174"/>
    <mergeCell ref="A171:D171"/>
    <mergeCell ref="F171:J171"/>
    <mergeCell ref="K171:N171"/>
    <mergeCell ref="A172:D172"/>
    <mergeCell ref="F172:J172"/>
    <mergeCell ref="K172:N172"/>
    <mergeCell ref="A169:D169"/>
    <mergeCell ref="F169:J169"/>
    <mergeCell ref="K169:N169"/>
    <mergeCell ref="A170:D170"/>
    <mergeCell ref="F170:J170"/>
    <mergeCell ref="K170:N170"/>
    <mergeCell ref="A167:D167"/>
    <mergeCell ref="F167:J167"/>
    <mergeCell ref="K167:N167"/>
    <mergeCell ref="A168:D168"/>
    <mergeCell ref="F168:J168"/>
    <mergeCell ref="K168:N168"/>
    <mergeCell ref="A165:D165"/>
    <mergeCell ref="F165:J165"/>
    <mergeCell ref="K165:N165"/>
    <mergeCell ref="A166:D166"/>
    <mergeCell ref="F166:J166"/>
    <mergeCell ref="K166:N166"/>
    <mergeCell ref="A163:D163"/>
    <mergeCell ref="F163:J163"/>
    <mergeCell ref="K163:N163"/>
    <mergeCell ref="A164:D164"/>
    <mergeCell ref="F164:J164"/>
    <mergeCell ref="K164:N164"/>
    <mergeCell ref="A161:D161"/>
    <mergeCell ref="F161:J161"/>
    <mergeCell ref="K161:N161"/>
    <mergeCell ref="A162:D162"/>
    <mergeCell ref="F162:J162"/>
    <mergeCell ref="K162:N162"/>
    <mergeCell ref="A159:D159"/>
    <mergeCell ref="F159:J159"/>
    <mergeCell ref="K159:N159"/>
    <mergeCell ref="A160:D160"/>
    <mergeCell ref="F160:J160"/>
    <mergeCell ref="K160:N160"/>
    <mergeCell ref="A157:D157"/>
    <mergeCell ref="F157:J157"/>
    <mergeCell ref="K157:N157"/>
    <mergeCell ref="A158:D158"/>
    <mergeCell ref="F158:J158"/>
    <mergeCell ref="K158:N158"/>
    <mergeCell ref="A155:D155"/>
    <mergeCell ref="F155:J155"/>
    <mergeCell ref="K155:N155"/>
    <mergeCell ref="A156:D156"/>
    <mergeCell ref="F156:J156"/>
    <mergeCell ref="K156:N156"/>
    <mergeCell ref="A153:D153"/>
    <mergeCell ref="F153:J153"/>
    <mergeCell ref="K153:N153"/>
    <mergeCell ref="A154:D154"/>
    <mergeCell ref="F154:J154"/>
    <mergeCell ref="K154:N154"/>
    <mergeCell ref="A151:D151"/>
    <mergeCell ref="F151:J151"/>
    <mergeCell ref="K151:N151"/>
    <mergeCell ref="A152:D152"/>
    <mergeCell ref="F152:J152"/>
    <mergeCell ref="K152:N152"/>
    <mergeCell ref="A149:D149"/>
    <mergeCell ref="F149:J149"/>
    <mergeCell ref="K149:N149"/>
    <mergeCell ref="A150:D150"/>
    <mergeCell ref="F150:J150"/>
    <mergeCell ref="K150:N150"/>
    <mergeCell ref="A147:D147"/>
    <mergeCell ref="F147:J147"/>
    <mergeCell ref="K147:N147"/>
    <mergeCell ref="A148:D148"/>
    <mergeCell ref="F148:J148"/>
    <mergeCell ref="K148:N148"/>
    <mergeCell ref="A145:D145"/>
    <mergeCell ref="F145:J145"/>
    <mergeCell ref="K145:N145"/>
    <mergeCell ref="A146:D146"/>
    <mergeCell ref="F146:J146"/>
    <mergeCell ref="K146:N146"/>
    <mergeCell ref="A143:D143"/>
    <mergeCell ref="F143:J143"/>
    <mergeCell ref="K143:N143"/>
    <mergeCell ref="A144:D144"/>
    <mergeCell ref="F144:J144"/>
    <mergeCell ref="K144:N144"/>
    <mergeCell ref="A141:D141"/>
    <mergeCell ref="F141:J141"/>
    <mergeCell ref="K141:N141"/>
    <mergeCell ref="A142:D142"/>
    <mergeCell ref="F142:J142"/>
    <mergeCell ref="K142:N142"/>
    <mergeCell ref="A139:D139"/>
    <mergeCell ref="F139:J139"/>
    <mergeCell ref="K139:N139"/>
    <mergeCell ref="A140:D140"/>
    <mergeCell ref="F140:J140"/>
    <mergeCell ref="K140:N140"/>
    <mergeCell ref="A137:D137"/>
    <mergeCell ref="F137:J137"/>
    <mergeCell ref="K137:N137"/>
    <mergeCell ref="A138:D138"/>
    <mergeCell ref="F138:J138"/>
    <mergeCell ref="K138:N138"/>
    <mergeCell ref="A135:D135"/>
    <mergeCell ref="F135:J135"/>
    <mergeCell ref="K135:N135"/>
    <mergeCell ref="A136:D136"/>
    <mergeCell ref="F136:J136"/>
    <mergeCell ref="K136:N136"/>
    <mergeCell ref="A133:D133"/>
    <mergeCell ref="F133:J133"/>
    <mergeCell ref="K133:N133"/>
    <mergeCell ref="A134:D134"/>
    <mergeCell ref="F134:J134"/>
    <mergeCell ref="K134:N134"/>
    <mergeCell ref="A131:D131"/>
    <mergeCell ref="F131:J131"/>
    <mergeCell ref="K131:N131"/>
    <mergeCell ref="A132:D132"/>
    <mergeCell ref="F132:J132"/>
    <mergeCell ref="K132:N132"/>
    <mergeCell ref="A129:D129"/>
    <mergeCell ref="F129:J129"/>
    <mergeCell ref="K129:N129"/>
    <mergeCell ref="A130:D130"/>
    <mergeCell ref="F130:J130"/>
    <mergeCell ref="K130:N130"/>
    <mergeCell ref="A127:D127"/>
    <mergeCell ref="F127:J127"/>
    <mergeCell ref="K127:N127"/>
    <mergeCell ref="A128:D128"/>
    <mergeCell ref="F128:J128"/>
    <mergeCell ref="K128:N128"/>
    <mergeCell ref="A125:D125"/>
    <mergeCell ref="F125:J125"/>
    <mergeCell ref="K125:N125"/>
    <mergeCell ref="A126:D126"/>
    <mergeCell ref="F126:J126"/>
    <mergeCell ref="K126:N126"/>
    <mergeCell ref="A123:D123"/>
    <mergeCell ref="F123:J123"/>
    <mergeCell ref="K123:N123"/>
    <mergeCell ref="A124:D124"/>
    <mergeCell ref="F124:J124"/>
    <mergeCell ref="K124:N124"/>
    <mergeCell ref="A121:D121"/>
    <mergeCell ref="F121:J121"/>
    <mergeCell ref="K121:N121"/>
    <mergeCell ref="A122:D122"/>
    <mergeCell ref="F122:J122"/>
    <mergeCell ref="K122:N122"/>
    <mergeCell ref="A119:D119"/>
    <mergeCell ref="F119:J119"/>
    <mergeCell ref="K119:N119"/>
    <mergeCell ref="A120:D120"/>
    <mergeCell ref="F120:J120"/>
    <mergeCell ref="K120:N120"/>
    <mergeCell ref="A117:D117"/>
    <mergeCell ref="F117:J117"/>
    <mergeCell ref="K117:N117"/>
    <mergeCell ref="A118:D118"/>
    <mergeCell ref="F118:J118"/>
    <mergeCell ref="K118:N118"/>
    <mergeCell ref="A115:D115"/>
    <mergeCell ref="F115:J115"/>
    <mergeCell ref="K115:N115"/>
    <mergeCell ref="A116:D116"/>
    <mergeCell ref="F116:J116"/>
    <mergeCell ref="K116:N116"/>
    <mergeCell ref="A113:D113"/>
    <mergeCell ref="F113:J113"/>
    <mergeCell ref="K113:N113"/>
    <mergeCell ref="A114:D114"/>
    <mergeCell ref="F114:J114"/>
    <mergeCell ref="K114:N114"/>
    <mergeCell ref="A111:D111"/>
    <mergeCell ref="F111:J111"/>
    <mergeCell ref="K111:N111"/>
    <mergeCell ref="A112:D112"/>
    <mergeCell ref="F112:J112"/>
    <mergeCell ref="K112:N112"/>
    <mergeCell ref="A109:D109"/>
    <mergeCell ref="F109:J109"/>
    <mergeCell ref="K109:N109"/>
    <mergeCell ref="A110:D110"/>
    <mergeCell ref="F110:J110"/>
    <mergeCell ref="K110:N110"/>
    <mergeCell ref="A107:D107"/>
    <mergeCell ref="F107:J107"/>
    <mergeCell ref="K107:N107"/>
    <mergeCell ref="A108:D108"/>
    <mergeCell ref="F108:J108"/>
    <mergeCell ref="K108:N108"/>
    <mergeCell ref="A105:D105"/>
    <mergeCell ref="F105:J105"/>
    <mergeCell ref="K105:N105"/>
    <mergeCell ref="A106:D106"/>
    <mergeCell ref="F106:J106"/>
    <mergeCell ref="K106:N106"/>
    <mergeCell ref="A103:D103"/>
    <mergeCell ref="F103:J103"/>
    <mergeCell ref="K103:N103"/>
    <mergeCell ref="A104:D104"/>
    <mergeCell ref="F104:J104"/>
    <mergeCell ref="K104:N104"/>
    <mergeCell ref="A101:D101"/>
    <mergeCell ref="F101:J101"/>
    <mergeCell ref="K101:N101"/>
    <mergeCell ref="A102:D102"/>
    <mergeCell ref="F102:J102"/>
    <mergeCell ref="K102:N102"/>
    <mergeCell ref="A99:D99"/>
    <mergeCell ref="F99:J99"/>
    <mergeCell ref="K99:N99"/>
    <mergeCell ref="A100:D100"/>
    <mergeCell ref="F100:J100"/>
    <mergeCell ref="K100:N100"/>
    <mergeCell ref="A97:D97"/>
    <mergeCell ref="F97:J97"/>
    <mergeCell ref="K97:N97"/>
    <mergeCell ref="A98:D98"/>
    <mergeCell ref="F98:J98"/>
    <mergeCell ref="K98:N98"/>
    <mergeCell ref="A95:D95"/>
    <mergeCell ref="F95:J95"/>
    <mergeCell ref="K95:N95"/>
    <mergeCell ref="A96:D96"/>
    <mergeCell ref="F96:J96"/>
    <mergeCell ref="K96:N96"/>
    <mergeCell ref="A93:D93"/>
    <mergeCell ref="F93:J93"/>
    <mergeCell ref="K93:N93"/>
    <mergeCell ref="A94:D94"/>
    <mergeCell ref="F94:J94"/>
    <mergeCell ref="K94:N94"/>
    <mergeCell ref="A91:D91"/>
    <mergeCell ref="F91:J91"/>
    <mergeCell ref="K91:N91"/>
    <mergeCell ref="A92:D92"/>
    <mergeCell ref="F92:J92"/>
    <mergeCell ref="K92:N92"/>
    <mergeCell ref="A89:D89"/>
    <mergeCell ref="F89:J89"/>
    <mergeCell ref="K89:N89"/>
    <mergeCell ref="A90:D90"/>
    <mergeCell ref="F90:J90"/>
    <mergeCell ref="K90:N90"/>
    <mergeCell ref="A87:D87"/>
    <mergeCell ref="F87:J87"/>
    <mergeCell ref="K87:N87"/>
    <mergeCell ref="A88:D88"/>
    <mergeCell ref="F88:J88"/>
    <mergeCell ref="K88:N88"/>
    <mergeCell ref="A85:D85"/>
    <mergeCell ref="F85:J85"/>
    <mergeCell ref="K85:N85"/>
    <mergeCell ref="A86:D86"/>
    <mergeCell ref="F86:J86"/>
    <mergeCell ref="K86:N86"/>
    <mergeCell ref="A83:D83"/>
    <mergeCell ref="F83:J83"/>
    <mergeCell ref="K83:N83"/>
    <mergeCell ref="A84:D84"/>
    <mergeCell ref="F84:J84"/>
    <mergeCell ref="K84:N84"/>
    <mergeCell ref="A81:D81"/>
    <mergeCell ref="F81:J81"/>
    <mergeCell ref="K81:N81"/>
    <mergeCell ref="A82:D82"/>
    <mergeCell ref="F82:J82"/>
    <mergeCell ref="K82:N82"/>
    <mergeCell ref="A79:D79"/>
    <mergeCell ref="F79:J79"/>
    <mergeCell ref="K79:N79"/>
    <mergeCell ref="A80:D80"/>
    <mergeCell ref="F80:J80"/>
    <mergeCell ref="K80:N80"/>
    <mergeCell ref="A77:D77"/>
    <mergeCell ref="F77:J77"/>
    <mergeCell ref="K77:N77"/>
    <mergeCell ref="A78:D78"/>
    <mergeCell ref="F78:J78"/>
    <mergeCell ref="K78:N78"/>
    <mergeCell ref="A75:D75"/>
    <mergeCell ref="F75:J75"/>
    <mergeCell ref="K75:N75"/>
    <mergeCell ref="A76:D76"/>
    <mergeCell ref="F76:J76"/>
    <mergeCell ref="K76:N76"/>
    <mergeCell ref="A73:D73"/>
    <mergeCell ref="F73:J73"/>
    <mergeCell ref="K73:N73"/>
    <mergeCell ref="A74:D74"/>
    <mergeCell ref="F74:J74"/>
    <mergeCell ref="K74:N74"/>
    <mergeCell ref="A71:D71"/>
    <mergeCell ref="F71:J71"/>
    <mergeCell ref="K71:N71"/>
    <mergeCell ref="A72:D72"/>
    <mergeCell ref="F72:J72"/>
    <mergeCell ref="K72:N72"/>
    <mergeCell ref="A69:D69"/>
    <mergeCell ref="F69:J69"/>
    <mergeCell ref="K69:N69"/>
    <mergeCell ref="A70:D70"/>
    <mergeCell ref="F70:J70"/>
    <mergeCell ref="K70:N70"/>
    <mergeCell ref="A67:D67"/>
    <mergeCell ref="F67:J67"/>
    <mergeCell ref="K67:N67"/>
    <mergeCell ref="A68:D68"/>
    <mergeCell ref="F68:J68"/>
    <mergeCell ref="K68:N68"/>
    <mergeCell ref="A65:D65"/>
    <mergeCell ref="F65:J65"/>
    <mergeCell ref="K65:N65"/>
    <mergeCell ref="A66:D66"/>
    <mergeCell ref="F66:J66"/>
    <mergeCell ref="K66:N66"/>
    <mergeCell ref="A63:D63"/>
    <mergeCell ref="F63:J63"/>
    <mergeCell ref="K63:N63"/>
    <mergeCell ref="A64:D64"/>
    <mergeCell ref="F64:J64"/>
    <mergeCell ref="K64:N64"/>
    <mergeCell ref="A61:D61"/>
    <mergeCell ref="F61:J61"/>
    <mergeCell ref="K61:N61"/>
    <mergeCell ref="A62:D62"/>
    <mergeCell ref="F62:J62"/>
    <mergeCell ref="K62:N62"/>
    <mergeCell ref="A59:D59"/>
    <mergeCell ref="F59:J59"/>
    <mergeCell ref="K59:N59"/>
    <mergeCell ref="A60:D60"/>
    <mergeCell ref="F60:J60"/>
    <mergeCell ref="K60:N60"/>
    <mergeCell ref="A57:D57"/>
    <mergeCell ref="F57:J57"/>
    <mergeCell ref="K57:N57"/>
    <mergeCell ref="A58:D58"/>
    <mergeCell ref="F58:J58"/>
    <mergeCell ref="K58:N58"/>
    <mergeCell ref="A55:D55"/>
    <mergeCell ref="F55:J55"/>
    <mergeCell ref="K55:N55"/>
    <mergeCell ref="A56:D56"/>
    <mergeCell ref="F56:J56"/>
    <mergeCell ref="K56:N56"/>
    <mergeCell ref="A53:D53"/>
    <mergeCell ref="F53:J53"/>
    <mergeCell ref="K53:N53"/>
    <mergeCell ref="A54:D54"/>
    <mergeCell ref="F54:J54"/>
    <mergeCell ref="K54:N54"/>
    <mergeCell ref="A51:D51"/>
    <mergeCell ref="F51:J51"/>
    <mergeCell ref="K51:N51"/>
    <mergeCell ref="A52:D52"/>
    <mergeCell ref="F52:J52"/>
    <mergeCell ref="K52:N52"/>
    <mergeCell ref="A49:D49"/>
    <mergeCell ref="F49:J49"/>
    <mergeCell ref="K49:N49"/>
    <mergeCell ref="A50:D50"/>
    <mergeCell ref="F50:J50"/>
    <mergeCell ref="K50:N50"/>
    <mergeCell ref="A47:D47"/>
    <mergeCell ref="F47:J47"/>
    <mergeCell ref="K47:N47"/>
    <mergeCell ref="A48:D48"/>
    <mergeCell ref="F48:J48"/>
    <mergeCell ref="K48:N48"/>
    <mergeCell ref="A45:D45"/>
    <mergeCell ref="F45:J45"/>
    <mergeCell ref="K45:N45"/>
    <mergeCell ref="A46:D46"/>
    <mergeCell ref="F46:J46"/>
    <mergeCell ref="K46:N46"/>
    <mergeCell ref="A43:D43"/>
    <mergeCell ref="F43:J43"/>
    <mergeCell ref="K43:N43"/>
    <mergeCell ref="A44:D44"/>
    <mergeCell ref="F44:J44"/>
    <mergeCell ref="K44:N44"/>
    <mergeCell ref="A41:D41"/>
    <mergeCell ref="F41:J41"/>
    <mergeCell ref="K41:N41"/>
    <mergeCell ref="A42:D42"/>
    <mergeCell ref="F42:J42"/>
    <mergeCell ref="K42:N42"/>
    <mergeCell ref="A39:D39"/>
    <mergeCell ref="F39:J39"/>
    <mergeCell ref="K39:N39"/>
    <mergeCell ref="A40:D40"/>
    <mergeCell ref="F40:J40"/>
    <mergeCell ref="K40:N40"/>
    <mergeCell ref="A37:D37"/>
    <mergeCell ref="F37:J37"/>
    <mergeCell ref="K37:N37"/>
    <mergeCell ref="A38:D38"/>
    <mergeCell ref="F38:J38"/>
    <mergeCell ref="K38:N38"/>
    <mergeCell ref="A35:D35"/>
    <mergeCell ref="F35:J35"/>
    <mergeCell ref="K35:N35"/>
    <mergeCell ref="A36:D36"/>
    <mergeCell ref="F36:J36"/>
    <mergeCell ref="K36:N36"/>
    <mergeCell ref="A33:D33"/>
    <mergeCell ref="F33:J33"/>
    <mergeCell ref="K33:N33"/>
    <mergeCell ref="A34:D34"/>
    <mergeCell ref="F34:J34"/>
    <mergeCell ref="K34:N34"/>
    <mergeCell ref="A31:D31"/>
    <mergeCell ref="F31:J31"/>
    <mergeCell ref="K31:N31"/>
    <mergeCell ref="A32:D32"/>
    <mergeCell ref="F32:J32"/>
    <mergeCell ref="K32:N32"/>
    <mergeCell ref="A29:D29"/>
    <mergeCell ref="F29:J29"/>
    <mergeCell ref="K29:N29"/>
    <mergeCell ref="A30:D30"/>
    <mergeCell ref="F30:J30"/>
    <mergeCell ref="K30:N30"/>
    <mergeCell ref="A27:D27"/>
    <mergeCell ref="F27:J27"/>
    <mergeCell ref="K27:N27"/>
    <mergeCell ref="A28:D28"/>
    <mergeCell ref="F28:J28"/>
    <mergeCell ref="K28:N28"/>
    <mergeCell ref="A25:D25"/>
    <mergeCell ref="F25:J25"/>
    <mergeCell ref="K25:N25"/>
    <mergeCell ref="A26:D26"/>
    <mergeCell ref="F26:J26"/>
    <mergeCell ref="K26:N26"/>
    <mergeCell ref="A23:D23"/>
    <mergeCell ref="F23:J23"/>
    <mergeCell ref="K23:N23"/>
    <mergeCell ref="A24:D24"/>
    <mergeCell ref="F24:J24"/>
    <mergeCell ref="K24:N24"/>
    <mergeCell ref="A21:D21"/>
    <mergeCell ref="F21:J21"/>
    <mergeCell ref="K21:N21"/>
    <mergeCell ref="A22:D22"/>
    <mergeCell ref="F22:J22"/>
    <mergeCell ref="K22:N22"/>
    <mergeCell ref="A19:D19"/>
    <mergeCell ref="F19:J19"/>
    <mergeCell ref="K19:N19"/>
    <mergeCell ref="A20:D20"/>
    <mergeCell ref="F20:J20"/>
    <mergeCell ref="K20:N20"/>
    <mergeCell ref="A17:D17"/>
    <mergeCell ref="F17:J17"/>
    <mergeCell ref="K17:N17"/>
    <mergeCell ref="A18:D18"/>
    <mergeCell ref="F18:J18"/>
    <mergeCell ref="K18:N18"/>
    <mergeCell ref="A15:D15"/>
    <mergeCell ref="F15:J15"/>
    <mergeCell ref="K15:N15"/>
    <mergeCell ref="A16:D16"/>
    <mergeCell ref="F16:J16"/>
    <mergeCell ref="K16:N16"/>
    <mergeCell ref="A13:D13"/>
    <mergeCell ref="F13:J13"/>
    <mergeCell ref="K13:N13"/>
    <mergeCell ref="A14:D14"/>
    <mergeCell ref="F14:J14"/>
    <mergeCell ref="K14:N14"/>
    <mergeCell ref="A11:D11"/>
    <mergeCell ref="F11:J11"/>
    <mergeCell ref="K11:N11"/>
    <mergeCell ref="A12:D12"/>
    <mergeCell ref="F12:J12"/>
    <mergeCell ref="K12:N12"/>
    <mergeCell ref="A9:D9"/>
    <mergeCell ref="F9:J9"/>
    <mergeCell ref="K9:N9"/>
    <mergeCell ref="A10:D10"/>
    <mergeCell ref="F10:J10"/>
    <mergeCell ref="K10:N10"/>
    <mergeCell ref="A8:D8"/>
    <mergeCell ref="F8:J8"/>
    <mergeCell ref="K8:N8"/>
    <mergeCell ref="A5:D5"/>
    <mergeCell ref="F5:J5"/>
    <mergeCell ref="K5:N5"/>
    <mergeCell ref="A6:D6"/>
    <mergeCell ref="F6:J6"/>
    <mergeCell ref="K6:N6"/>
    <mergeCell ref="A1:P2"/>
    <mergeCell ref="A3:D3"/>
    <mergeCell ref="F3:J3"/>
    <mergeCell ref="K3:N3"/>
    <mergeCell ref="O3:P3"/>
    <mergeCell ref="A4:D4"/>
    <mergeCell ref="F4:J4"/>
    <mergeCell ref="K4:N4"/>
    <mergeCell ref="A7:D7"/>
    <mergeCell ref="F7:J7"/>
    <mergeCell ref="K7:N7"/>
  </mergeCells>
  <conditionalFormatting sqref="O1:O2 O4:O1048576">
    <cfRule type="cellIs" dxfId="25" priority="1" operator="notEqual">
      <formula>$O2&lt;&gt;""</formula>
    </cfRule>
  </conditionalFormatting>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41FF-43DD-4EBA-A40A-60B5917BC464}">
  <dimension ref="A1:B10"/>
  <sheetViews>
    <sheetView showGridLines="0" zoomScaleNormal="100" workbookViewId="0">
      <selection activeCell="B26" sqref="B26"/>
    </sheetView>
  </sheetViews>
  <sheetFormatPr defaultColWidth="8.5546875" defaultRowHeight="14.4" x14ac:dyDescent="0.3"/>
  <cols>
    <col min="1" max="1" width="25" style="1" customWidth="1"/>
    <col min="2" max="2" width="70" style="1" customWidth="1"/>
    <col min="3" max="16384" width="8.5546875" style="1"/>
  </cols>
  <sheetData>
    <row r="1" spans="1:2" ht="19.5" customHeight="1" thickBot="1" x14ac:dyDescent="0.4">
      <c r="A1" s="577" t="s">
        <v>858</v>
      </c>
      <c r="B1" s="578"/>
    </row>
    <row r="2" spans="1:2" ht="15" thickTop="1" x14ac:dyDescent="0.3"/>
    <row r="3" spans="1:2" ht="14.25" customHeight="1" x14ac:dyDescent="0.3">
      <c r="A3" s="579" t="s">
        <v>859</v>
      </c>
      <c r="B3" s="581">
        <v>11000</v>
      </c>
    </row>
    <row r="4" spans="1:2" ht="26.25" customHeight="1" x14ac:dyDescent="0.3">
      <c r="A4" s="580" t="s">
        <v>860</v>
      </c>
      <c r="B4" s="582" t="s">
        <v>861</v>
      </c>
    </row>
    <row r="6" spans="1:2" x14ac:dyDescent="0.3">
      <c r="A6" s="574" t="s">
        <v>1386</v>
      </c>
      <c r="B6" s="574" t="s">
        <v>1391</v>
      </c>
    </row>
    <row r="7" spans="1:2" x14ac:dyDescent="0.3">
      <c r="A7" s="575" t="s">
        <v>1387</v>
      </c>
      <c r="B7" s="576" t="s">
        <v>1388</v>
      </c>
    </row>
    <row r="8" spans="1:2" x14ac:dyDescent="0.3">
      <c r="A8" s="575" t="s">
        <v>1389</v>
      </c>
      <c r="B8" s="576" t="s">
        <v>1390</v>
      </c>
    </row>
    <row r="9" spans="1:2" x14ac:dyDescent="0.3">
      <c r="A9" s="575" t="s">
        <v>1392</v>
      </c>
      <c r="B9" s="576" t="s">
        <v>1393</v>
      </c>
    </row>
    <row r="10" spans="1:2" x14ac:dyDescent="0.3">
      <c r="A10" s="575" t="s">
        <v>1394</v>
      </c>
      <c r="B10" s="576" t="s">
        <v>1395</v>
      </c>
    </row>
  </sheetData>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A937-93D8-4E0E-B533-5533ABCC5E54}">
  <dimension ref="A1:I2000"/>
  <sheetViews>
    <sheetView showGridLines="0" topLeftCell="A88" zoomScale="90" zoomScaleNormal="90" workbookViewId="0">
      <selection activeCell="K223" sqref="K223"/>
    </sheetView>
  </sheetViews>
  <sheetFormatPr defaultColWidth="8.5546875" defaultRowHeight="14.4" x14ac:dyDescent="0.3"/>
  <cols>
    <col min="1" max="1" width="13" style="62" customWidth="1"/>
    <col min="2" max="2" width="13.6640625" style="1" customWidth="1"/>
    <col min="3" max="3" width="24.33203125" style="1" customWidth="1"/>
    <col min="4" max="4" width="11.33203125" style="1" customWidth="1"/>
    <col min="5" max="5" width="12" style="1" customWidth="1"/>
    <col min="6" max="6" width="11.33203125" style="1" customWidth="1"/>
    <col min="7" max="7" width="10.44140625" style="1" customWidth="1"/>
    <col min="8" max="8" width="30.5546875" style="1" customWidth="1"/>
    <col min="9" max="9" width="13.6640625" style="1" customWidth="1"/>
    <col min="10" max="16384" width="8.5546875" style="1"/>
  </cols>
  <sheetData>
    <row r="1" spans="1:9" ht="22.35" customHeight="1" thickBot="1" x14ac:dyDescent="0.35">
      <c r="A1" s="293" t="s">
        <v>213</v>
      </c>
      <c r="B1" s="294" t="s">
        <v>862</v>
      </c>
      <c r="C1" s="294" t="s">
        <v>21</v>
      </c>
      <c r="D1" s="294" t="s">
        <v>863</v>
      </c>
      <c r="E1" s="294" t="s">
        <v>864</v>
      </c>
      <c r="F1" s="294" t="s">
        <v>1267</v>
      </c>
      <c r="G1" s="294" t="s">
        <v>1268</v>
      </c>
      <c r="H1" s="294" t="s">
        <v>865</v>
      </c>
      <c r="I1" s="295" t="s">
        <v>884</v>
      </c>
    </row>
    <row r="2" spans="1:9" ht="18" customHeight="1" x14ac:dyDescent="0.3">
      <c r="A2" s="296" cm="1">
        <f t="array" ref="A2:I368">_xlfn.LET(_xlpm.d,_xlfn._xlws.FILTER(_AUTO_BASE!A2:I5721,(_AUTO_BASE!C2:C5721&lt;&gt;"")*(_AUTO_BASE!C2:C5721&lt;&gt;"PRODUTO")*(_AUTO_BASE!C2:C5721&lt;&gt;"TOTAL")*(_AUTO_BASE!D2:D5721&gt;0),""),_xlpm.s,_xlfn.SORTBY(_xlpm.d,_xlfn.CHOOSECOLS(_xlpm.d,1),1),_xlpm.ms,_xlfn.UNIQUE(_xlfn.CHOOSECOLS(_xlpm.s,2)),_xlpm.first,_xlfn._xlws.FILTER(_xlpm.s,_xlfn.CHOOSECOLS(_xlpm.s,2)=INDEX(_xlpm.ms,1)),_xlfn.REDUCE(_xlpm.first,_xlfn.DROP(_xlpm.ms,1),_xlfn.LAMBDA(_xlpm.acc,_xlpm.m,_xlfn.VSTACK(_xlpm.acc,_xlfn.MAKEARRAY(2,9,_xlfn.LAMBDA(_xlpm.r,_xlpm.c,"")),_xlfn._xlws.FILTER(_xlpm.s,_xlfn.CHOOSECOLS(_xlpm.s,2)=_xlpm.m)))))</f>
        <v>46027</v>
      </c>
      <c r="B2" s="297" t="str">
        <v>JANEIRO</v>
      </c>
      <c r="C2" s="297" t="str">
        <v>ADIMIX (FADEVA)</v>
      </c>
      <c r="D2" s="298">
        <v>29</v>
      </c>
      <c r="E2" s="298">
        <v>348</v>
      </c>
      <c r="F2" s="298">
        <v>665</v>
      </c>
      <c r="G2" s="298">
        <v>7</v>
      </c>
      <c r="H2" s="297" t="str">
        <v>SEMANA JANEIRO!B6:I6</v>
      </c>
      <c r="I2" s="298">
        <v>600</v>
      </c>
    </row>
    <row r="3" spans="1:9" ht="18" customHeight="1" x14ac:dyDescent="0.3">
      <c r="A3" s="299">
        <v>46028</v>
      </c>
      <c r="B3" s="300" t="str">
        <v>JANEIRO</v>
      </c>
      <c r="C3" s="300" t="str">
        <v>ADIMIX (FADEVA)</v>
      </c>
      <c r="D3" s="301">
        <v>156</v>
      </c>
      <c r="E3" s="301">
        <v>1872</v>
      </c>
      <c r="F3" s="301">
        <v>636</v>
      </c>
      <c r="G3" s="301">
        <v>7</v>
      </c>
      <c r="H3" s="300" t="str">
        <v>SEMANA JANEIRO!B13:I13</v>
      </c>
      <c r="I3" s="301">
        <v>600</v>
      </c>
    </row>
    <row r="4" spans="1:9" ht="18" customHeight="1" x14ac:dyDescent="0.3">
      <c r="A4" s="299">
        <v>46029</v>
      </c>
      <c r="B4" s="300" t="str">
        <v>JANEIRO</v>
      </c>
      <c r="C4" s="300" t="str">
        <v>ADIMIX</v>
      </c>
      <c r="D4" s="301">
        <v>494</v>
      </c>
      <c r="E4" s="301">
        <v>5928</v>
      </c>
      <c r="F4" s="301">
        <v>480</v>
      </c>
      <c r="G4" s="301">
        <v>6</v>
      </c>
      <c r="H4" s="300" t="str">
        <v>SEMANA JANEIRO!B20:I20</v>
      </c>
      <c r="I4" s="301">
        <v>600</v>
      </c>
    </row>
    <row r="5" spans="1:9" ht="18" customHeight="1" x14ac:dyDescent="0.3">
      <c r="A5" s="299">
        <v>46029</v>
      </c>
      <c r="B5" s="300" t="str">
        <v>JANEIRO</v>
      </c>
      <c r="C5" s="300" t="str">
        <v>UNTA FACIL</v>
      </c>
      <c r="D5" s="301">
        <v>509</v>
      </c>
      <c r="E5" s="301">
        <v>6108</v>
      </c>
      <c r="F5" s="301">
        <v>1348</v>
      </c>
      <c r="G5" s="301">
        <v>15</v>
      </c>
      <c r="H5" s="300" t="str">
        <v>SEMANA JANEIRO!B21:I21</v>
      </c>
      <c r="I5" s="301">
        <v>600</v>
      </c>
    </row>
    <row r="6" spans="1:9" ht="18" customHeight="1" x14ac:dyDescent="0.3">
      <c r="A6" s="299">
        <v>46030</v>
      </c>
      <c r="B6" s="300" t="str">
        <v>JANEIRO</v>
      </c>
      <c r="C6" s="300" t="str">
        <v>UNTA FACIL</v>
      </c>
      <c r="D6" s="301">
        <v>821</v>
      </c>
      <c r="E6" s="301">
        <v>9852</v>
      </c>
      <c r="F6" s="301">
        <v>839</v>
      </c>
      <c r="G6" s="301">
        <v>9</v>
      </c>
      <c r="H6" s="300" t="str">
        <v>SEMANA JANEIRO!B28:I28</v>
      </c>
      <c r="I6" s="301">
        <v>600</v>
      </c>
    </row>
    <row r="7" spans="1:9" ht="18" customHeight="1" x14ac:dyDescent="0.3">
      <c r="A7" s="299">
        <v>46031</v>
      </c>
      <c r="B7" s="300" t="str">
        <v>JANEIRO</v>
      </c>
      <c r="C7" s="300" t="str">
        <v>UNTA FACIL</v>
      </c>
      <c r="D7" s="301">
        <v>13</v>
      </c>
      <c r="E7" s="301">
        <v>156</v>
      </c>
      <c r="F7" s="301">
        <v>18</v>
      </c>
      <c r="G7" s="301">
        <v>1</v>
      </c>
      <c r="H7" s="300" t="str">
        <v>SEMANA JANEIRO!B36:I36</v>
      </c>
      <c r="I7" s="301">
        <v>600</v>
      </c>
    </row>
    <row r="8" spans="1:9" ht="18" customHeight="1" x14ac:dyDescent="0.3">
      <c r="A8" s="299">
        <v>46031</v>
      </c>
      <c r="B8" s="300" t="str">
        <v>JANEIRO</v>
      </c>
      <c r="C8" s="300" t="str">
        <v>PURATOS DESTAK</v>
      </c>
      <c r="D8" s="301">
        <v>1057</v>
      </c>
      <c r="E8" s="301">
        <v>6342</v>
      </c>
      <c r="F8" s="301">
        <v>2660</v>
      </c>
      <c r="G8" s="301">
        <v>14</v>
      </c>
      <c r="H8" s="300" t="str">
        <v>SEMANA JANEIRO!B37:I37</v>
      </c>
      <c r="I8" s="301">
        <v>600</v>
      </c>
    </row>
    <row r="9" spans="1:9" ht="18" customHeight="1" x14ac:dyDescent="0.3">
      <c r="A9" s="299">
        <v>46034</v>
      </c>
      <c r="B9" s="300" t="str">
        <v>JANEIRO</v>
      </c>
      <c r="C9" s="300" t="str">
        <v>PURATOS DESTAK</v>
      </c>
      <c r="D9" s="301">
        <v>1072</v>
      </c>
      <c r="E9" s="301">
        <v>6432</v>
      </c>
      <c r="F9" s="301">
        <v>1603</v>
      </c>
      <c r="G9" s="301">
        <v>9</v>
      </c>
      <c r="H9" s="300" t="str">
        <v>SEMANA JANEIRO!B45:I45</v>
      </c>
      <c r="I9" s="301">
        <v>600</v>
      </c>
    </row>
    <row r="10" spans="1:9" ht="18" customHeight="1" x14ac:dyDescent="0.3">
      <c r="A10" s="299">
        <v>46035</v>
      </c>
      <c r="B10" s="300" t="str">
        <v>JANEIRO</v>
      </c>
      <c r="C10" s="300" t="str">
        <v>PURATOS DESTAK</v>
      </c>
      <c r="D10" s="301">
        <v>562</v>
      </c>
      <c r="E10" s="301">
        <v>3372</v>
      </c>
      <c r="F10" s="301">
        <v>531</v>
      </c>
      <c r="G10" s="301">
        <v>3</v>
      </c>
      <c r="H10" s="300" t="str">
        <v>SEMANA JANEIRO!B53:I53</v>
      </c>
      <c r="I10" s="301">
        <v>600</v>
      </c>
    </row>
    <row r="11" spans="1:9" ht="18" customHeight="1" x14ac:dyDescent="0.3">
      <c r="A11" s="299">
        <v>46035</v>
      </c>
      <c r="B11" s="300" t="str">
        <v>JANEIRO</v>
      </c>
      <c r="C11" s="300" t="str">
        <v>PURATOS DESTAK</v>
      </c>
      <c r="D11" s="301">
        <v>240</v>
      </c>
      <c r="E11" s="301">
        <v>2400</v>
      </c>
      <c r="F11" s="301">
        <v>1140</v>
      </c>
      <c r="G11" s="301">
        <v>19</v>
      </c>
      <c r="H11" s="300" t="str">
        <v>SEMANA JANEIRO!B55:I55</v>
      </c>
      <c r="I11" s="301" t="str">
        <v>5L</v>
      </c>
    </row>
    <row r="12" spans="1:9" ht="18" customHeight="1" x14ac:dyDescent="0.3">
      <c r="A12" s="299">
        <v>46036</v>
      </c>
      <c r="B12" s="300" t="str">
        <v>JANEIRO</v>
      </c>
      <c r="C12" s="300" t="str">
        <v>PURATOS DESTAK</v>
      </c>
      <c r="D12" s="301">
        <v>900</v>
      </c>
      <c r="E12" s="301">
        <v>9000</v>
      </c>
      <c r="F12" s="301">
        <v>900</v>
      </c>
      <c r="G12" s="301">
        <v>15</v>
      </c>
      <c r="H12" s="300" t="str">
        <v>SEMANA JANEIRO!B61:I61</v>
      </c>
      <c r="I12" s="301" t="str">
        <v>5L</v>
      </c>
    </row>
    <row r="13" spans="1:9" ht="18" customHeight="1" x14ac:dyDescent="0.3">
      <c r="A13" s="299">
        <v>46037</v>
      </c>
      <c r="B13" s="300" t="str">
        <v>JANEIRO</v>
      </c>
      <c r="C13" s="300" t="str">
        <v>ITAIQUARA</v>
      </c>
      <c r="D13" s="301">
        <v>190</v>
      </c>
      <c r="E13" s="301">
        <v>2280</v>
      </c>
      <c r="F13" s="301">
        <v>190</v>
      </c>
      <c r="G13" s="301">
        <v>2</v>
      </c>
      <c r="H13" s="300" t="str">
        <v>SEMANA JANEIRO!B69:I69</v>
      </c>
      <c r="I13" s="301">
        <v>600</v>
      </c>
    </row>
    <row r="14" spans="1:9" ht="18" customHeight="1" x14ac:dyDescent="0.3">
      <c r="A14" s="299">
        <v>46037</v>
      </c>
      <c r="B14" s="300" t="str">
        <v>JANEIRO</v>
      </c>
      <c r="C14" s="300" t="str">
        <v>ALLBREAD</v>
      </c>
      <c r="D14" s="301">
        <v>216</v>
      </c>
      <c r="E14" s="301">
        <v>2592</v>
      </c>
      <c r="F14" s="301">
        <v>768</v>
      </c>
      <c r="G14" s="301">
        <v>9</v>
      </c>
      <c r="H14" s="300" t="str">
        <v>SEMANA JANEIRO!B70:I70</v>
      </c>
      <c r="I14" s="301">
        <v>600</v>
      </c>
    </row>
    <row r="15" spans="1:9" ht="18" customHeight="1" x14ac:dyDescent="0.3">
      <c r="A15" s="299">
        <v>46038</v>
      </c>
      <c r="B15" s="300" t="str">
        <v>JANEIRO</v>
      </c>
      <c r="C15" s="300" t="str">
        <v>ALLBREAD</v>
      </c>
      <c r="D15" s="301">
        <v>552</v>
      </c>
      <c r="E15" s="301">
        <v>6624</v>
      </c>
      <c r="F15" s="301">
        <v>552</v>
      </c>
      <c r="G15" s="301">
        <v>6</v>
      </c>
      <c r="H15" s="300" t="str">
        <v>SEMANA JANEIRO!B78:I78</v>
      </c>
      <c r="I15" s="301">
        <v>600</v>
      </c>
    </row>
    <row r="16" spans="1:9" ht="18" customHeight="1" x14ac:dyDescent="0.3">
      <c r="A16" s="299">
        <v>46038</v>
      </c>
      <c r="B16" s="300" t="str">
        <v>JANEIRO</v>
      </c>
      <c r="C16" s="300" t="str">
        <v>PURATOS DESTAK</v>
      </c>
      <c r="D16" s="301">
        <v>559</v>
      </c>
      <c r="E16" s="301">
        <v>3354</v>
      </c>
      <c r="F16" s="301">
        <v>950</v>
      </c>
      <c r="G16" s="301">
        <v>5</v>
      </c>
      <c r="H16" s="300" t="str">
        <v>SEMANA JANEIRO!B79:I79</v>
      </c>
      <c r="I16" s="301">
        <v>600</v>
      </c>
    </row>
    <row r="17" spans="1:9" ht="18" customHeight="1" x14ac:dyDescent="0.3">
      <c r="A17" s="299">
        <v>46041</v>
      </c>
      <c r="B17" s="300" t="str">
        <v>JANEIRO</v>
      </c>
      <c r="C17" s="300" t="str">
        <v>PURATOS DESTAK</v>
      </c>
      <c r="D17" s="301">
        <v>400</v>
      </c>
      <c r="E17" s="301">
        <v>2400</v>
      </c>
      <c r="F17" s="301">
        <v>391</v>
      </c>
      <c r="G17" s="301">
        <v>3</v>
      </c>
      <c r="H17" s="300" t="str">
        <v>SEMANA JANEIRO!B86:I86</v>
      </c>
      <c r="I17" s="301">
        <v>600</v>
      </c>
    </row>
    <row r="18" spans="1:9" ht="18" customHeight="1" x14ac:dyDescent="0.3">
      <c r="A18" s="299">
        <v>46041</v>
      </c>
      <c r="B18" s="300" t="str">
        <v>JANEIRO</v>
      </c>
      <c r="C18" s="300" t="str">
        <v>INLOCO ECO</v>
      </c>
      <c r="D18" s="301">
        <v>308</v>
      </c>
      <c r="E18" s="301">
        <v>3696</v>
      </c>
      <c r="F18" s="301">
        <v>308</v>
      </c>
      <c r="G18" s="301">
        <v>4</v>
      </c>
      <c r="H18" s="300" t="str">
        <v>SEMANA JANEIRO!B87:I87</v>
      </c>
      <c r="I18" s="301">
        <v>600</v>
      </c>
    </row>
    <row r="19" spans="1:9" ht="18" customHeight="1" x14ac:dyDescent="0.3">
      <c r="A19" s="299">
        <v>46041</v>
      </c>
      <c r="B19" s="300" t="str">
        <v>JANEIRO</v>
      </c>
      <c r="C19" s="300" t="str">
        <v>TTF</v>
      </c>
      <c r="D19" s="301">
        <v>379</v>
      </c>
      <c r="E19" s="301">
        <v>4548</v>
      </c>
      <c r="F19" s="301">
        <v>461</v>
      </c>
      <c r="G19" s="301">
        <v>5</v>
      </c>
      <c r="H19" s="300" t="str">
        <v>SEMANA JANEIRO!B88:I88</v>
      </c>
      <c r="I19" s="301">
        <v>600</v>
      </c>
    </row>
    <row r="20" spans="1:9" ht="18" customHeight="1" x14ac:dyDescent="0.3">
      <c r="A20" s="299">
        <v>46042</v>
      </c>
      <c r="B20" s="300" t="str">
        <v>JANEIRO</v>
      </c>
      <c r="C20" s="300" t="str">
        <v>TTF</v>
      </c>
      <c r="D20" s="301">
        <v>82</v>
      </c>
      <c r="E20" s="301">
        <v>984</v>
      </c>
      <c r="F20" s="301">
        <v>82</v>
      </c>
      <c r="G20" s="301">
        <v>1</v>
      </c>
      <c r="H20" s="300" t="str">
        <v>SEMANA JANEIRO!B96:I96</v>
      </c>
      <c r="I20" s="301">
        <v>600</v>
      </c>
    </row>
    <row r="21" spans="1:9" ht="18" customHeight="1" x14ac:dyDescent="0.3">
      <c r="A21" s="299">
        <v>46042</v>
      </c>
      <c r="B21" s="300" t="str">
        <v>JANEIRO</v>
      </c>
      <c r="C21" s="300" t="str">
        <v>ROCHAPAN</v>
      </c>
      <c r="D21" s="301">
        <v>250</v>
      </c>
      <c r="E21" s="301">
        <v>3000</v>
      </c>
      <c r="F21" s="301">
        <v>250</v>
      </c>
      <c r="G21" s="301">
        <v>2</v>
      </c>
      <c r="H21" s="300" t="str">
        <v>SEMANA JANEIRO!B97:I97</v>
      </c>
      <c r="I21" s="301">
        <v>400</v>
      </c>
    </row>
    <row r="22" spans="1:9" ht="18" customHeight="1" x14ac:dyDescent="0.3">
      <c r="A22" s="299">
        <v>46042</v>
      </c>
      <c r="B22" s="300" t="str">
        <v>JANEIRO</v>
      </c>
      <c r="C22" s="300" t="str">
        <v>CASA PANIFICADOR</v>
      </c>
      <c r="D22" s="301">
        <v>201</v>
      </c>
      <c r="E22" s="301">
        <v>2412</v>
      </c>
      <c r="F22" s="301">
        <v>200</v>
      </c>
      <c r="G22" s="301">
        <v>2</v>
      </c>
      <c r="H22" s="300" t="str">
        <v>SEMANA JANEIRO!B98:I98</v>
      </c>
      <c r="I22" s="301">
        <v>400</v>
      </c>
    </row>
    <row r="23" spans="1:9" ht="18" customHeight="1" x14ac:dyDescent="0.3">
      <c r="A23" s="299">
        <v>46043</v>
      </c>
      <c r="B23" s="300" t="str">
        <v>JANEIRO</v>
      </c>
      <c r="C23" s="300" t="str">
        <v>GENGIBRE INLOCO</v>
      </c>
      <c r="D23" s="301">
        <v>660</v>
      </c>
      <c r="E23" s="301">
        <v>3960</v>
      </c>
      <c r="F23" s="301">
        <v>660</v>
      </c>
      <c r="G23" s="301">
        <v>2</v>
      </c>
      <c r="H23" s="300" t="str">
        <v>SEMANA JANEIRO!B106:I106</v>
      </c>
      <c r="I23" s="301">
        <v>200</v>
      </c>
    </row>
    <row r="24" spans="1:9" ht="18" customHeight="1" x14ac:dyDescent="0.3">
      <c r="A24" s="299">
        <v>46043</v>
      </c>
      <c r="B24" s="300" t="str">
        <v>JANEIRO</v>
      </c>
      <c r="C24" s="300" t="str">
        <v>GENGIBRE DILUTE</v>
      </c>
      <c r="D24" s="301">
        <v>1020</v>
      </c>
      <c r="E24" s="301">
        <v>6120</v>
      </c>
      <c r="F24" s="301">
        <v>1320</v>
      </c>
      <c r="G24" s="301">
        <v>4</v>
      </c>
      <c r="H24" s="300" t="str">
        <v>SEMANA JANEIRO!B107:I107</v>
      </c>
      <c r="I24" s="301">
        <v>200</v>
      </c>
    </row>
    <row r="25" spans="1:9" ht="18" customHeight="1" x14ac:dyDescent="0.3">
      <c r="A25" s="299">
        <v>46044</v>
      </c>
      <c r="B25" s="300" t="str">
        <v>JANEIRO</v>
      </c>
      <c r="C25" s="300" t="str">
        <v>GENGIBRE DILUTE</v>
      </c>
      <c r="D25" s="301">
        <v>382</v>
      </c>
      <c r="E25" s="301">
        <v>2292</v>
      </c>
      <c r="F25" s="301">
        <v>300</v>
      </c>
      <c r="G25" s="301">
        <v>1</v>
      </c>
      <c r="H25" s="300" t="str">
        <v>SEMANA JANEIRO!B114:I114</v>
      </c>
      <c r="I25" s="301">
        <v>200</v>
      </c>
    </row>
    <row r="26" spans="1:9" ht="18" customHeight="1" x14ac:dyDescent="0.3">
      <c r="A26" s="299">
        <v>46044</v>
      </c>
      <c r="B26" s="300" t="str">
        <v>JANEIRO</v>
      </c>
      <c r="C26" s="300" t="str">
        <v>MAÇA VERDE DILUTE</v>
      </c>
      <c r="D26" s="301">
        <v>853</v>
      </c>
      <c r="E26" s="301">
        <v>5118</v>
      </c>
      <c r="F26" s="301">
        <v>990</v>
      </c>
      <c r="G26" s="301">
        <v>3</v>
      </c>
      <c r="H26" s="300" t="str">
        <v>SEMANA JANEIRO!B115:I115</v>
      </c>
      <c r="I26" s="301">
        <v>200</v>
      </c>
    </row>
    <row r="27" spans="1:9" ht="18" customHeight="1" x14ac:dyDescent="0.3">
      <c r="A27" s="299">
        <v>46044</v>
      </c>
      <c r="B27" s="300" t="str">
        <v>JANEIRO</v>
      </c>
      <c r="C27" s="300" t="str">
        <v>3 LIMÕES DILUTE</v>
      </c>
      <c r="D27" s="301">
        <v>813</v>
      </c>
      <c r="E27" s="301">
        <v>4878</v>
      </c>
      <c r="F27" s="301">
        <v>990</v>
      </c>
      <c r="G27" s="301">
        <v>3</v>
      </c>
      <c r="H27" s="300" t="str">
        <v>SEMANA JANEIRO!B116:I116</v>
      </c>
      <c r="I27" s="301">
        <v>200</v>
      </c>
    </row>
    <row r="28" spans="1:9" ht="18" customHeight="1" x14ac:dyDescent="0.3">
      <c r="A28" s="299">
        <v>46045</v>
      </c>
      <c r="B28" s="300" t="str">
        <v>JANEIRO</v>
      </c>
      <c r="C28" s="300" t="str">
        <v>3 LIMÕES DILUTE</v>
      </c>
      <c r="D28" s="301">
        <v>184</v>
      </c>
      <c r="E28" s="301">
        <v>1104</v>
      </c>
      <c r="F28" s="301">
        <v>177</v>
      </c>
      <c r="G28" s="301">
        <v>1</v>
      </c>
      <c r="H28" s="300" t="str">
        <v>SEMANA JANEIRO!B124:I124</v>
      </c>
      <c r="I28" s="301">
        <v>200</v>
      </c>
    </row>
    <row r="29" spans="1:9" ht="18" customHeight="1" x14ac:dyDescent="0.3">
      <c r="A29" s="299">
        <v>46045</v>
      </c>
      <c r="B29" s="300" t="str">
        <v>JANEIRO</v>
      </c>
      <c r="C29" s="300" t="str">
        <v>F. VERMELHAS DILUTE</v>
      </c>
      <c r="D29" s="301">
        <v>197</v>
      </c>
      <c r="E29" s="301">
        <v>1182</v>
      </c>
      <c r="F29" s="301">
        <v>330</v>
      </c>
      <c r="G29" s="301">
        <v>1</v>
      </c>
      <c r="H29" s="300" t="str">
        <v>SEMANA JANEIRO!B125:I125</v>
      </c>
      <c r="I29" s="301">
        <v>200</v>
      </c>
    </row>
    <row r="30" spans="1:9" ht="18" customHeight="1" x14ac:dyDescent="0.3">
      <c r="A30" s="299">
        <v>46045</v>
      </c>
      <c r="B30" s="300" t="str">
        <v>JANEIRO</v>
      </c>
      <c r="C30" s="300" t="str">
        <v>CORANTE AMARELO</v>
      </c>
      <c r="D30" s="301">
        <v>123</v>
      </c>
      <c r="E30" s="301">
        <v>1476</v>
      </c>
      <c r="F30" s="301">
        <v>120</v>
      </c>
      <c r="G30" s="301">
        <v>1</v>
      </c>
      <c r="H30" s="300" t="str">
        <v>SEMANA JANEIRO!B126:I126</v>
      </c>
      <c r="I30" s="301">
        <v>70</v>
      </c>
    </row>
    <row r="31" spans="1:9" ht="18" customHeight="1" x14ac:dyDescent="0.3">
      <c r="A31" s="299">
        <v>46045</v>
      </c>
      <c r="B31" s="300" t="str">
        <v>JANEIRO</v>
      </c>
      <c r="C31" s="300" t="str">
        <v>CORANTE AZUL</v>
      </c>
      <c r="D31" s="301">
        <v>121</v>
      </c>
      <c r="E31" s="301">
        <v>1452</v>
      </c>
      <c r="F31" s="301">
        <v>120</v>
      </c>
      <c r="G31" s="301">
        <v>1</v>
      </c>
      <c r="H31" s="300" t="str">
        <v>SEMANA JANEIRO!B127:I127</v>
      </c>
      <c r="I31" s="301">
        <v>70</v>
      </c>
    </row>
    <row r="32" spans="1:9" ht="18" customHeight="1" x14ac:dyDescent="0.3">
      <c r="A32" s="299">
        <v>46045</v>
      </c>
      <c r="B32" s="300" t="str">
        <v>JANEIRO</v>
      </c>
      <c r="C32" s="300" t="str">
        <v>CORANTE VIOLETA</v>
      </c>
      <c r="D32" s="301">
        <v>121</v>
      </c>
      <c r="E32" s="301">
        <v>1452</v>
      </c>
      <c r="F32" s="301">
        <v>120</v>
      </c>
      <c r="G32" s="301">
        <v>1</v>
      </c>
      <c r="H32" s="300" t="str">
        <v>SEMANA JANEIRO!B128:I128</v>
      </c>
      <c r="I32" s="301">
        <v>70</v>
      </c>
    </row>
    <row r="33" spans="1:9" ht="18" customHeight="1" x14ac:dyDescent="0.3">
      <c r="A33" s="299">
        <v>46045</v>
      </c>
      <c r="B33" s="300" t="str">
        <v>JANEIRO</v>
      </c>
      <c r="C33" s="300" t="str">
        <v>CORANTE VERMELHO</v>
      </c>
      <c r="D33" s="301">
        <v>122</v>
      </c>
      <c r="E33" s="301">
        <v>1464</v>
      </c>
      <c r="F33" s="301">
        <v>120</v>
      </c>
      <c r="G33" s="301">
        <v>1</v>
      </c>
      <c r="H33" s="300" t="str">
        <v>SEMANA JANEIRO!B129:I129</v>
      </c>
      <c r="I33" s="301">
        <v>70</v>
      </c>
    </row>
    <row r="34" spans="1:9" ht="18" customHeight="1" x14ac:dyDescent="0.3">
      <c r="A34" s="299">
        <v>46048</v>
      </c>
      <c r="B34" s="300" t="str">
        <v>JANEIRO</v>
      </c>
      <c r="C34" s="300" t="str">
        <v>UNTA FACIL</v>
      </c>
      <c r="D34" s="301">
        <v>722</v>
      </c>
      <c r="E34" s="301">
        <v>8664</v>
      </c>
      <c r="F34" s="301">
        <v>720</v>
      </c>
      <c r="G34" s="301">
        <v>3</v>
      </c>
      <c r="H34" s="300" t="str">
        <v>SEMANA JANEIRO!B137:I137</v>
      </c>
      <c r="I34" s="301">
        <v>180</v>
      </c>
    </row>
    <row r="35" spans="1:9" ht="18" customHeight="1" x14ac:dyDescent="0.3">
      <c r="A35" s="299">
        <v>46048</v>
      </c>
      <c r="B35" s="300" t="str">
        <v>JANEIRO</v>
      </c>
      <c r="C35" s="300" t="str">
        <v>GELINHO ICEBERG</v>
      </c>
      <c r="D35" s="301">
        <v>176.25</v>
      </c>
      <c r="E35" s="301">
        <v>2115</v>
      </c>
      <c r="F35" s="301">
        <v>233</v>
      </c>
      <c r="G35" s="301" t="str">
        <v/>
      </c>
      <c r="H35" s="300" t="str">
        <v>SEMANA JANEIRO!B138:I138</v>
      </c>
      <c r="I35" s="301">
        <v>210</v>
      </c>
    </row>
    <row r="36" spans="1:9" ht="18" customHeight="1" x14ac:dyDescent="0.3">
      <c r="A36" s="299">
        <v>46048</v>
      </c>
      <c r="B36" s="300" t="str">
        <v>JANEIRO</v>
      </c>
      <c r="C36" s="300" t="str">
        <v>UNTA FACIL</v>
      </c>
      <c r="D36" s="301">
        <v>346</v>
      </c>
      <c r="E36" s="301">
        <v>4152</v>
      </c>
      <c r="F36" s="301">
        <v>1000</v>
      </c>
      <c r="G36" s="301">
        <v>8</v>
      </c>
      <c r="H36" s="300" t="str">
        <v>SEMANA JANEIRO!B139:I139</v>
      </c>
      <c r="I36" s="301">
        <v>400</v>
      </c>
    </row>
    <row r="37" spans="1:9" ht="18" customHeight="1" x14ac:dyDescent="0.3">
      <c r="A37" s="299">
        <v>46049</v>
      </c>
      <c r="B37" s="300" t="str">
        <v>JANEIRO</v>
      </c>
      <c r="C37" s="300" t="str">
        <v>UNTA FACIL</v>
      </c>
      <c r="D37" s="301">
        <v>654</v>
      </c>
      <c r="E37" s="301">
        <v>7848</v>
      </c>
      <c r="F37" s="301">
        <v>654</v>
      </c>
      <c r="G37" s="301">
        <v>6</v>
      </c>
      <c r="H37" s="300" t="str">
        <v>SEMANA JANEIRO!B146:I146</v>
      </c>
      <c r="I37" s="301">
        <v>400</v>
      </c>
    </row>
    <row r="38" spans="1:9" ht="18" customHeight="1" x14ac:dyDescent="0.3">
      <c r="A38" s="299">
        <v>46051</v>
      </c>
      <c r="B38" s="300" t="str">
        <v>JANEIRO</v>
      </c>
      <c r="C38" s="300" t="str">
        <v>MAGIC SPRAY EMBRAPAN</v>
      </c>
      <c r="D38" s="301">
        <v>101</v>
      </c>
      <c r="E38" s="301">
        <v>1212</v>
      </c>
      <c r="F38" s="301">
        <v>100</v>
      </c>
      <c r="G38" s="301">
        <v>1</v>
      </c>
      <c r="H38" s="300" t="str">
        <v>SEMANA JANEIRO!B165:I165</v>
      </c>
      <c r="I38" s="301">
        <v>400</v>
      </c>
    </row>
    <row r="39" spans="1:9" ht="18" customHeight="1" x14ac:dyDescent="0.3">
      <c r="A39" s="299">
        <v>46051</v>
      </c>
      <c r="B39" s="300" t="str">
        <v>JANEIRO</v>
      </c>
      <c r="C39" s="300" t="str">
        <v>ADIMIX</v>
      </c>
      <c r="D39" s="301">
        <v>665</v>
      </c>
      <c r="E39" s="301">
        <v>7980</v>
      </c>
      <c r="F39" s="301">
        <v>665</v>
      </c>
      <c r="G39" s="301">
        <v>7</v>
      </c>
      <c r="H39" s="300" t="str">
        <v>SEMANA JANEIRO!B166:I166</v>
      </c>
      <c r="I39" s="301">
        <v>600</v>
      </c>
    </row>
    <row r="40" spans="1:9" ht="18" customHeight="1" x14ac:dyDescent="0.3">
      <c r="A40" s="299">
        <v>46051</v>
      </c>
      <c r="B40" s="300" t="str">
        <v>JANEIRO</v>
      </c>
      <c r="C40" s="300" t="str">
        <v>ADIMIX</v>
      </c>
      <c r="D40" s="301">
        <v>256</v>
      </c>
      <c r="E40" s="301">
        <v>3072</v>
      </c>
      <c r="F40" s="301">
        <v>665</v>
      </c>
      <c r="G40" s="301">
        <v>7</v>
      </c>
      <c r="H40" s="300" t="str">
        <v>SEMANA JANEIRO!B167:I167</v>
      </c>
      <c r="I40" s="301">
        <v>600</v>
      </c>
    </row>
    <row r="41" spans="1:9" ht="18" customHeight="1" x14ac:dyDescent="0.3">
      <c r="A41" s="299">
        <v>46052</v>
      </c>
      <c r="B41" s="300" t="str">
        <v>JANEIRO</v>
      </c>
      <c r="C41" s="300" t="str">
        <v>ADIMIX</v>
      </c>
      <c r="D41" s="301">
        <v>424</v>
      </c>
      <c r="E41" s="301">
        <v>5088</v>
      </c>
      <c r="F41" s="301">
        <v>409</v>
      </c>
      <c r="G41" s="301">
        <v>5</v>
      </c>
      <c r="H41" s="300" t="str">
        <v>SEMANA JANEIRO!B173:I173</v>
      </c>
      <c r="I41" s="301">
        <v>600</v>
      </c>
    </row>
    <row r="42" spans="1:9" ht="18" customHeight="1" x14ac:dyDescent="0.3">
      <c r="A42" s="299">
        <v>46052</v>
      </c>
      <c r="B42" s="300" t="str">
        <v>JANEIRO</v>
      </c>
      <c r="C42" s="300" t="str">
        <v>ALLBREAD</v>
      </c>
      <c r="D42" s="301">
        <v>330</v>
      </c>
      <c r="E42" s="301">
        <v>3960</v>
      </c>
      <c r="F42" s="301">
        <v>768</v>
      </c>
      <c r="G42" s="301">
        <v>9</v>
      </c>
      <c r="H42" s="300" t="str">
        <v>SEMANA JANEIRO!B174:I174</v>
      </c>
      <c r="I42" s="301">
        <v>600</v>
      </c>
    </row>
    <row r="43" spans="1:9" ht="18" customHeight="1" x14ac:dyDescent="0.3">
      <c r="A43" s="299" t="str">
        <v/>
      </c>
      <c r="B43" s="300" t="str">
        <v/>
      </c>
      <c r="C43" s="300" t="str">
        <v/>
      </c>
      <c r="D43" s="301" t="str">
        <v/>
      </c>
      <c r="E43" s="301" t="str">
        <v/>
      </c>
      <c r="F43" s="301" t="str">
        <v/>
      </c>
      <c r="G43" s="301" t="str">
        <v/>
      </c>
      <c r="H43" s="300" t="str">
        <v/>
      </c>
      <c r="I43" s="301" t="str">
        <v/>
      </c>
    </row>
    <row r="44" spans="1:9" ht="18" customHeight="1" x14ac:dyDescent="0.3">
      <c r="A44" s="299" t="str">
        <v/>
      </c>
      <c r="B44" s="300" t="str">
        <v/>
      </c>
      <c r="C44" s="300" t="str">
        <v/>
      </c>
      <c r="D44" s="301" t="str">
        <v/>
      </c>
      <c r="E44" s="301" t="str">
        <v/>
      </c>
      <c r="F44" s="301" t="str">
        <v/>
      </c>
      <c r="G44" s="301" t="str">
        <v/>
      </c>
      <c r="H44" s="300" t="str">
        <v/>
      </c>
      <c r="I44" s="301" t="str">
        <v/>
      </c>
    </row>
    <row r="45" spans="1:9" ht="18" customHeight="1" x14ac:dyDescent="0.3">
      <c r="A45" s="299">
        <v>46055</v>
      </c>
      <c r="B45" s="300" t="str">
        <v>FEVEREIRO</v>
      </c>
      <c r="C45" s="300" t="str">
        <v>ALLBREAD</v>
      </c>
      <c r="D45" s="301">
        <v>438</v>
      </c>
      <c r="E45" s="301">
        <v>5256</v>
      </c>
      <c r="F45" s="301">
        <v>438</v>
      </c>
      <c r="G45" s="301">
        <v>5</v>
      </c>
      <c r="H45" s="300" t="str">
        <v>SEMANA FEVEREIRO!B5:I5</v>
      </c>
      <c r="I45" s="301">
        <v>600</v>
      </c>
    </row>
    <row r="46" spans="1:9" ht="18" customHeight="1" x14ac:dyDescent="0.3">
      <c r="A46" s="299">
        <v>46055</v>
      </c>
      <c r="B46" s="300" t="str">
        <v>FEVEREIRO</v>
      </c>
      <c r="C46" s="300" t="str">
        <v>UNTA FACIL</v>
      </c>
      <c r="D46" s="301">
        <v>506</v>
      </c>
      <c r="E46" s="301">
        <v>6072</v>
      </c>
      <c r="F46" s="301">
        <v>1330</v>
      </c>
      <c r="G46" s="301">
        <v>14</v>
      </c>
      <c r="H46" s="300" t="str">
        <v>SEMANA FEVEREIRO!B6:I6</v>
      </c>
      <c r="I46" s="301">
        <v>600</v>
      </c>
    </row>
    <row r="47" spans="1:9" ht="18" customHeight="1" x14ac:dyDescent="0.3">
      <c r="A47" s="299">
        <v>46056</v>
      </c>
      <c r="B47" s="300" t="str">
        <v>FEVEREIRO</v>
      </c>
      <c r="C47" s="300" t="str">
        <v>UNTA FACIL</v>
      </c>
      <c r="D47" s="301">
        <v>702</v>
      </c>
      <c r="E47" s="301">
        <v>8424</v>
      </c>
      <c r="F47" s="301">
        <v>824</v>
      </c>
      <c r="G47" s="301">
        <v>9</v>
      </c>
      <c r="H47" s="300" t="str">
        <v>SEMANA FEVEREIRO!B13:I13</v>
      </c>
      <c r="I47" s="301">
        <v>600</v>
      </c>
    </row>
    <row r="48" spans="1:9" ht="18" customHeight="1" x14ac:dyDescent="0.3">
      <c r="A48" s="299">
        <v>46057</v>
      </c>
      <c r="B48" s="300" t="str">
        <v>FEVEREIRO</v>
      </c>
      <c r="C48" s="300" t="str">
        <v>UNTA FACIL</v>
      </c>
      <c r="D48" s="301">
        <v>139</v>
      </c>
      <c r="E48" s="301">
        <v>1668</v>
      </c>
      <c r="F48" s="301">
        <v>122</v>
      </c>
      <c r="G48" s="301">
        <v>2</v>
      </c>
      <c r="H48" s="300" t="str">
        <v>SEMANA FEVEREIRO!B21:I21</v>
      </c>
      <c r="I48" s="301">
        <v>600</v>
      </c>
    </row>
    <row r="49" spans="1:9" ht="18" customHeight="1" x14ac:dyDescent="0.3">
      <c r="A49" s="299">
        <v>46057</v>
      </c>
      <c r="B49" s="300" t="str">
        <v>FEVEREIRO</v>
      </c>
      <c r="C49" s="300" t="str">
        <v>PURATOS DESTAK</v>
      </c>
      <c r="D49" s="301">
        <v>1055</v>
      </c>
      <c r="E49" s="301">
        <v>6330</v>
      </c>
      <c r="F49" s="301">
        <v>1330</v>
      </c>
      <c r="G49" s="301">
        <v>7</v>
      </c>
      <c r="H49" s="300" t="str">
        <v>SEMANA FEVEREIRO!B22:I22</v>
      </c>
      <c r="I49" s="301">
        <v>600</v>
      </c>
    </row>
    <row r="50" spans="1:9" ht="18" customHeight="1" x14ac:dyDescent="0.3">
      <c r="A50" s="299">
        <v>46058</v>
      </c>
      <c r="B50" s="300" t="str">
        <v>FEVEREIRO</v>
      </c>
      <c r="C50" s="300" t="str">
        <v>PURATOS DESTAK</v>
      </c>
      <c r="D50" s="301">
        <v>357</v>
      </c>
      <c r="E50" s="301">
        <v>2142</v>
      </c>
      <c r="F50" s="301">
        <v>275</v>
      </c>
      <c r="G50" s="301">
        <v>2</v>
      </c>
      <c r="H50" s="300" t="str">
        <v>SEMANA FEVEREIRO!B29:I29</v>
      </c>
      <c r="I50" s="301">
        <v>600</v>
      </c>
    </row>
    <row r="51" spans="1:9" ht="18" customHeight="1" x14ac:dyDescent="0.3">
      <c r="A51" s="299">
        <v>46058</v>
      </c>
      <c r="B51" s="300" t="str">
        <v>FEVEREIRO</v>
      </c>
      <c r="C51" s="300" t="str">
        <v>ITAIQUARA</v>
      </c>
      <c r="D51" s="301">
        <v>117</v>
      </c>
      <c r="E51" s="301">
        <v>1404</v>
      </c>
      <c r="F51" s="301">
        <v>190</v>
      </c>
      <c r="G51" s="301">
        <v>2</v>
      </c>
      <c r="H51" s="300" t="str">
        <v>SEMANA FEVEREIRO!B30:I30</v>
      </c>
      <c r="I51" s="301">
        <v>600</v>
      </c>
    </row>
    <row r="52" spans="1:9" ht="18" customHeight="1" x14ac:dyDescent="0.3">
      <c r="A52" s="299">
        <v>46058</v>
      </c>
      <c r="B52" s="300" t="str">
        <v>FEVEREIRO</v>
      </c>
      <c r="C52" s="300" t="str">
        <v>VIA PANE</v>
      </c>
      <c r="D52" s="301">
        <v>101</v>
      </c>
      <c r="E52" s="301">
        <v>1212</v>
      </c>
      <c r="F52" s="301">
        <v>100</v>
      </c>
      <c r="G52" s="301">
        <v>2</v>
      </c>
      <c r="H52" s="300" t="str">
        <v>SEMANA FEVEREIRO!B31:I31</v>
      </c>
      <c r="I52" s="301">
        <v>600</v>
      </c>
    </row>
    <row r="53" spans="1:9" ht="18" customHeight="1" x14ac:dyDescent="0.3">
      <c r="A53" s="299">
        <v>46058</v>
      </c>
      <c r="B53" s="300" t="str">
        <v>FEVEREIRO</v>
      </c>
      <c r="C53" s="300" t="str">
        <v>ECO UNTA FACIL</v>
      </c>
      <c r="D53" s="301">
        <v>169</v>
      </c>
      <c r="E53" s="301">
        <v>2028</v>
      </c>
      <c r="F53" s="301">
        <v>440</v>
      </c>
      <c r="G53" s="301">
        <v>5</v>
      </c>
      <c r="H53" s="300" t="str">
        <v>SEMANA FEVEREIRO!B32:I32</v>
      </c>
      <c r="I53" s="301">
        <v>600</v>
      </c>
    </row>
    <row r="54" spans="1:9" ht="18" customHeight="1" x14ac:dyDescent="0.3">
      <c r="A54" s="299">
        <v>46063</v>
      </c>
      <c r="B54" s="300" t="str">
        <v>FEVEREIRO</v>
      </c>
      <c r="C54" s="300" t="str">
        <v>UNTA FACIL</v>
      </c>
      <c r="D54" s="301">
        <v>1027</v>
      </c>
      <c r="E54" s="301">
        <v>12324</v>
      </c>
      <c r="F54" s="301">
        <v>1631</v>
      </c>
      <c r="G54" s="301">
        <v>14</v>
      </c>
      <c r="H54" s="300" t="str">
        <v>SEMANA FEVEREIRO!B57:I57</v>
      </c>
      <c r="I54" s="301">
        <v>400</v>
      </c>
    </row>
    <row r="55" spans="1:9" ht="18" customHeight="1" x14ac:dyDescent="0.3">
      <c r="A55" s="299">
        <v>46064</v>
      </c>
      <c r="B55" s="300" t="str">
        <v>FEVEREIRO</v>
      </c>
      <c r="C55" s="300" t="str">
        <v>UNTA FACIL</v>
      </c>
      <c r="D55" s="301">
        <v>611</v>
      </c>
      <c r="E55" s="301">
        <v>7332</v>
      </c>
      <c r="F55" s="301">
        <v>604</v>
      </c>
      <c r="G55" s="301">
        <v>5</v>
      </c>
      <c r="H55" s="300" t="str">
        <v>SEMANA FEVEREIRO!B65:I65</v>
      </c>
      <c r="I55" s="301">
        <v>400</v>
      </c>
    </row>
    <row r="56" spans="1:9" ht="18" customHeight="1" x14ac:dyDescent="0.3">
      <c r="A56" s="299">
        <v>46064</v>
      </c>
      <c r="B56" s="300" t="str">
        <v>FEVEREIRO</v>
      </c>
      <c r="C56" s="300" t="str">
        <v>ICEBERG CHEF</v>
      </c>
      <c r="D56" s="301">
        <v>600</v>
      </c>
      <c r="E56" s="301">
        <v>7200</v>
      </c>
      <c r="F56" s="301">
        <v>2310</v>
      </c>
      <c r="G56" s="301">
        <v>21</v>
      </c>
      <c r="H56" s="300" t="str">
        <v>SEMANA FEVEREIRO!B66:I66</v>
      </c>
      <c r="I56" s="301">
        <v>400</v>
      </c>
    </row>
    <row r="57" spans="1:9" ht="18" customHeight="1" x14ac:dyDescent="0.3">
      <c r="A57" s="299">
        <v>46065</v>
      </c>
      <c r="B57" s="300" t="str">
        <v>FEVEREIRO</v>
      </c>
      <c r="C57" s="300" t="str">
        <v>ICEBERG CHEF</v>
      </c>
      <c r="D57" s="301">
        <v>1431</v>
      </c>
      <c r="E57" s="301">
        <v>17172</v>
      </c>
      <c r="F57" s="301">
        <v>1710</v>
      </c>
      <c r="G57" s="301">
        <v>16</v>
      </c>
      <c r="H57" s="300" t="str">
        <v>SEMANA FEVEREIRO!B73:I73</v>
      </c>
      <c r="I57" s="301">
        <v>400</v>
      </c>
    </row>
    <row r="58" spans="1:9" ht="18" customHeight="1" x14ac:dyDescent="0.3">
      <c r="A58" s="299">
        <v>46066</v>
      </c>
      <c r="B58" s="300" t="str">
        <v>FEVEREIRO</v>
      </c>
      <c r="C58" s="300" t="str">
        <v>ICEBERG CHEF</v>
      </c>
      <c r="D58" s="301">
        <v>287</v>
      </c>
      <c r="E58" s="301">
        <v>3444</v>
      </c>
      <c r="F58" s="301">
        <v>279</v>
      </c>
      <c r="G58" s="301">
        <v>3</v>
      </c>
      <c r="H58" s="300" t="str">
        <v>SEMANA FEVEREIRO!B81:I81</v>
      </c>
      <c r="I58" s="301">
        <v>400</v>
      </c>
    </row>
    <row r="59" spans="1:9" ht="18" customHeight="1" x14ac:dyDescent="0.3">
      <c r="A59" s="299">
        <v>46066</v>
      </c>
      <c r="B59" s="300" t="str">
        <v>FEVEREIRO</v>
      </c>
      <c r="C59" s="300" t="str">
        <v>CASA PANIFICADOR</v>
      </c>
      <c r="D59" s="301">
        <v>202</v>
      </c>
      <c r="E59" s="301">
        <v>2424</v>
      </c>
      <c r="F59" s="301">
        <v>200</v>
      </c>
      <c r="G59" s="301">
        <v>2</v>
      </c>
      <c r="H59" s="300" t="str">
        <v>SEMANA FEVEREIRO!B82:I82</v>
      </c>
      <c r="I59" s="301">
        <v>400</v>
      </c>
    </row>
    <row r="60" spans="1:9" ht="18" customHeight="1" x14ac:dyDescent="0.3">
      <c r="A60" s="299">
        <v>46066</v>
      </c>
      <c r="B60" s="300" t="str">
        <v>FEVEREIRO</v>
      </c>
      <c r="C60" s="300" t="str">
        <v>REPETECO CHEF</v>
      </c>
      <c r="D60" s="301">
        <v>252</v>
      </c>
      <c r="E60" s="301">
        <v>3024</v>
      </c>
      <c r="F60" s="301">
        <v>250</v>
      </c>
      <c r="G60" s="301">
        <v>2</v>
      </c>
      <c r="H60" s="300" t="str">
        <v>SEMANA FEVEREIRO!B83:I83</v>
      </c>
      <c r="I60" s="301">
        <v>400</v>
      </c>
    </row>
    <row r="61" spans="1:9" ht="18" customHeight="1" x14ac:dyDescent="0.3">
      <c r="A61" s="299">
        <v>46066</v>
      </c>
      <c r="B61" s="300" t="str">
        <v>FEVEREIRO</v>
      </c>
      <c r="C61" s="300" t="str">
        <v>ROCHAPAN</v>
      </c>
      <c r="D61" s="301">
        <v>61</v>
      </c>
      <c r="E61" s="301">
        <v>732</v>
      </c>
      <c r="F61" s="301">
        <v>250</v>
      </c>
      <c r="G61" s="301">
        <v>2</v>
      </c>
      <c r="H61" s="300" t="str">
        <v>SEMANA FEVEREIRO!B84:I84</v>
      </c>
      <c r="I61" s="301">
        <v>400</v>
      </c>
    </row>
    <row r="62" spans="1:9" ht="18" customHeight="1" x14ac:dyDescent="0.3">
      <c r="A62" s="299">
        <v>46071</v>
      </c>
      <c r="B62" s="300" t="str">
        <v>FEVEREIRO</v>
      </c>
      <c r="C62" s="300" t="str">
        <v>ROCHAPAN</v>
      </c>
      <c r="D62" s="301">
        <v>192</v>
      </c>
      <c r="E62" s="301">
        <v>2304</v>
      </c>
      <c r="F62" s="301">
        <v>189</v>
      </c>
      <c r="G62" s="301">
        <v>2</v>
      </c>
      <c r="H62" s="300" t="str">
        <v>SEMANA FEVEREIRO!B93:I93</v>
      </c>
      <c r="I62" s="301">
        <v>400</v>
      </c>
    </row>
    <row r="63" spans="1:9" ht="18" customHeight="1" x14ac:dyDescent="0.3">
      <c r="A63" s="299">
        <v>46071</v>
      </c>
      <c r="B63" s="300" t="str">
        <v>FEVEREIRO</v>
      </c>
      <c r="C63" s="300" t="str">
        <v>BRICOFLEX</v>
      </c>
      <c r="D63" s="301">
        <v>229</v>
      </c>
      <c r="E63" s="301">
        <v>2748</v>
      </c>
      <c r="F63" s="301">
        <v>125</v>
      </c>
      <c r="G63" s="301">
        <v>1</v>
      </c>
      <c r="H63" s="300" t="str">
        <v>SEMANA FEVEREIRO!B94:I94</v>
      </c>
      <c r="I63" s="301">
        <v>400</v>
      </c>
    </row>
    <row r="64" spans="1:9" ht="18" customHeight="1" x14ac:dyDescent="0.3">
      <c r="A64" s="299">
        <v>46071</v>
      </c>
      <c r="B64" s="300" t="str">
        <v>FEVEREIRO</v>
      </c>
      <c r="C64" s="300" t="str">
        <v>TTF</v>
      </c>
      <c r="D64" s="301">
        <v>18</v>
      </c>
      <c r="E64" s="301">
        <v>216</v>
      </c>
      <c r="F64" s="301">
        <v>125</v>
      </c>
      <c r="G64" s="301">
        <v>1</v>
      </c>
      <c r="H64" s="300" t="str">
        <v>SEMANA FEVEREIRO!B95:I95</v>
      </c>
      <c r="I64" s="301">
        <v>400</v>
      </c>
    </row>
    <row r="65" spans="1:9" ht="18" customHeight="1" x14ac:dyDescent="0.3">
      <c r="A65" s="299">
        <v>46080</v>
      </c>
      <c r="B65" s="300" t="str">
        <v>FEVEREIRO</v>
      </c>
      <c r="C65" s="300" t="str">
        <v>VIA PANE</v>
      </c>
      <c r="D65" s="301">
        <v>91</v>
      </c>
      <c r="E65" s="301">
        <v>1092</v>
      </c>
      <c r="F65" s="301">
        <v>90</v>
      </c>
      <c r="G65" s="301">
        <v>1</v>
      </c>
      <c r="H65" s="300" t="str">
        <v>SEMANA FEVEREIRO!B160:I160</v>
      </c>
      <c r="I65" s="301">
        <v>600</v>
      </c>
    </row>
    <row r="66" spans="1:9" ht="18" customHeight="1" x14ac:dyDescent="0.3">
      <c r="A66" s="299">
        <v>46080</v>
      </c>
      <c r="B66" s="300" t="str">
        <v>FEVEREIRO</v>
      </c>
      <c r="C66" s="300" t="str">
        <v>UNTA FACIL</v>
      </c>
      <c r="D66" s="301">
        <v>545</v>
      </c>
      <c r="E66" s="301">
        <v>6540</v>
      </c>
      <c r="F66" s="301">
        <v>1330</v>
      </c>
      <c r="G66" s="301">
        <v>14</v>
      </c>
      <c r="H66" s="300" t="str">
        <v>SEMANA FEVEREIRO!B161:I161</v>
      </c>
      <c r="I66" s="301">
        <v>600</v>
      </c>
    </row>
    <row r="67" spans="1:9" ht="18" customHeight="1" x14ac:dyDescent="0.3">
      <c r="A67" s="299" t="str">
        <v>400 / 180</v>
      </c>
      <c r="B67" s="300" t="str">
        <v>FEVEREIRO</v>
      </c>
      <c r="C67" s="300" t="str">
        <v>TTF</v>
      </c>
      <c r="D67" s="301">
        <v>109</v>
      </c>
      <c r="E67" s="301">
        <v>1308</v>
      </c>
      <c r="F67" s="301">
        <v>107</v>
      </c>
      <c r="G67" s="301">
        <v>1</v>
      </c>
      <c r="H67" s="300" t="str">
        <v>SEMANA FEVEREIRO!B103:I103</v>
      </c>
      <c r="I67" s="301">
        <v>400</v>
      </c>
    </row>
    <row r="68" spans="1:9" ht="18" customHeight="1" x14ac:dyDescent="0.3">
      <c r="A68" s="299" t="str">
        <v>400 / 180</v>
      </c>
      <c r="B68" s="300" t="str">
        <v>FEVEREIRO</v>
      </c>
      <c r="C68" s="300" t="str">
        <v>DISPAN</v>
      </c>
      <c r="D68" s="301">
        <v>378</v>
      </c>
      <c r="E68" s="301">
        <v>4536</v>
      </c>
      <c r="F68" s="301">
        <v>375</v>
      </c>
      <c r="G68" s="301">
        <v>3</v>
      </c>
      <c r="H68" s="300" t="str">
        <v>SEMANA FEVEREIRO!B104:I104</v>
      </c>
      <c r="I68" s="301">
        <v>400</v>
      </c>
    </row>
    <row r="69" spans="1:9" ht="18" customHeight="1" x14ac:dyDescent="0.3">
      <c r="A69" s="299" t="str">
        <v>400 / 180</v>
      </c>
      <c r="B69" s="300" t="str">
        <v>FEVEREIRO</v>
      </c>
      <c r="C69" s="300" t="str">
        <v>ADKO</v>
      </c>
      <c r="D69" s="301">
        <v>240</v>
      </c>
      <c r="E69" s="301">
        <v>2880</v>
      </c>
      <c r="F69" s="301">
        <v>240</v>
      </c>
      <c r="G69" s="301">
        <v>1</v>
      </c>
      <c r="H69" s="300" t="str">
        <v>SEMANA FEVEREIRO!B105:I105</v>
      </c>
      <c r="I69" s="301">
        <v>180</v>
      </c>
    </row>
    <row r="70" spans="1:9" ht="18" customHeight="1" x14ac:dyDescent="0.3">
      <c r="A70" s="299" t="str">
        <v>400 / 180</v>
      </c>
      <c r="B70" s="300" t="str">
        <v>FEVEREIRO</v>
      </c>
      <c r="C70" s="300" t="str">
        <v>UNTA FACIL</v>
      </c>
      <c r="D70" s="301">
        <v>256</v>
      </c>
      <c r="E70" s="301">
        <v>3072</v>
      </c>
      <c r="F70" s="301">
        <v>480</v>
      </c>
      <c r="G70" s="301">
        <v>2</v>
      </c>
      <c r="H70" s="300" t="str">
        <v>SEMANA FEVEREIRO!B106:I106</v>
      </c>
      <c r="I70" s="301">
        <v>180</v>
      </c>
    </row>
    <row r="71" spans="1:9" ht="18" customHeight="1" x14ac:dyDescent="0.3">
      <c r="A71" s="299" t="str">
        <v>600 / 400</v>
      </c>
      <c r="B71" s="300" t="str">
        <v>FEVEREIRO</v>
      </c>
      <c r="C71" s="300" t="str">
        <v>ECO UNTA FACIL</v>
      </c>
      <c r="D71" s="301">
        <v>266</v>
      </c>
      <c r="E71" s="301">
        <v>3192</v>
      </c>
      <c r="F71" s="301">
        <v>271</v>
      </c>
      <c r="G71" s="301">
        <v>3</v>
      </c>
      <c r="H71" s="300" t="str">
        <v>SEMANA FEVEREIRO!B48:I48</v>
      </c>
      <c r="I71" s="301">
        <v>600</v>
      </c>
    </row>
    <row r="72" spans="1:9" ht="18" customHeight="1" x14ac:dyDescent="0.3">
      <c r="A72" s="299" t="str">
        <v>600 / 400</v>
      </c>
      <c r="B72" s="300" t="str">
        <v>FEVEREIRO</v>
      </c>
      <c r="C72" s="300" t="str">
        <v>ITAIQUARA</v>
      </c>
      <c r="D72" s="301">
        <v>76</v>
      </c>
      <c r="E72" s="301">
        <v>912</v>
      </c>
      <c r="F72" s="301">
        <v>73</v>
      </c>
      <c r="G72" s="301">
        <v>1</v>
      </c>
      <c r="H72" s="300" t="str">
        <v>SEMANA FEVEREIRO!B49:I49</v>
      </c>
      <c r="I72" s="301">
        <v>600</v>
      </c>
    </row>
    <row r="73" spans="1:9" ht="18" customHeight="1" x14ac:dyDescent="0.3">
      <c r="A73" s="299" t="str">
        <v>600 / 400</v>
      </c>
      <c r="B73" s="300" t="str">
        <v>FEVEREIRO</v>
      </c>
      <c r="C73" s="300" t="str">
        <v>UNTA FACIL</v>
      </c>
      <c r="D73" s="301">
        <v>869</v>
      </c>
      <c r="E73" s="301">
        <v>10428</v>
      </c>
      <c r="F73" s="301">
        <v>2500</v>
      </c>
      <c r="G73" s="301">
        <v>20</v>
      </c>
      <c r="H73" s="300" t="str">
        <v>SEMANA FEVEREIRO!B50:I50</v>
      </c>
      <c r="I73" s="301">
        <v>400</v>
      </c>
    </row>
    <row r="74" spans="1:9" ht="18" customHeight="1" x14ac:dyDescent="0.3">
      <c r="A74" s="299" t="str">
        <v>COCO</v>
      </c>
      <c r="B74" s="300" t="str">
        <v>FEVEREIRO</v>
      </c>
      <c r="C74" s="300" t="str">
        <v>UNTA FACIL</v>
      </c>
      <c r="D74" s="301">
        <v>226</v>
      </c>
      <c r="E74" s="301">
        <v>2712</v>
      </c>
      <c r="F74" s="301">
        <v>224</v>
      </c>
      <c r="G74" s="301">
        <v>1</v>
      </c>
      <c r="H74" s="300" t="str">
        <v>SEMANA FEVEREIRO!B113:I113</v>
      </c>
      <c r="I74" s="301">
        <v>180</v>
      </c>
    </row>
    <row r="75" spans="1:9" ht="18" customHeight="1" x14ac:dyDescent="0.3">
      <c r="A75" s="299" t="str">
        <v>COCO</v>
      </c>
      <c r="B75" s="300" t="str">
        <v>FEVEREIRO</v>
      </c>
      <c r="C75" s="300" t="str">
        <v>QUALICOCO MANTEIGA</v>
      </c>
      <c r="D75" s="301">
        <v>721</v>
      </c>
      <c r="E75" s="301">
        <v>8652</v>
      </c>
      <c r="F75" s="301">
        <v>720</v>
      </c>
      <c r="G75" s="301">
        <v>3</v>
      </c>
      <c r="H75" s="300" t="str">
        <v>SEMANA FEVEREIRO!B114:I114</v>
      </c>
      <c r="I75" s="301">
        <v>100</v>
      </c>
    </row>
    <row r="76" spans="1:9" ht="18" customHeight="1" x14ac:dyDescent="0.3">
      <c r="A76" s="299" t="str">
        <v>COCO</v>
      </c>
      <c r="B76" s="300" t="str">
        <v>FEVEREIRO</v>
      </c>
      <c r="C76" s="300" t="str">
        <v>QUALICOCO EXTRAVIRGEM</v>
      </c>
      <c r="D76" s="301">
        <v>150</v>
      </c>
      <c r="E76" s="301">
        <v>1800</v>
      </c>
      <c r="F76" s="301">
        <v>720</v>
      </c>
      <c r="G76" s="301">
        <v>3</v>
      </c>
      <c r="H76" s="300" t="str">
        <v>SEMANA FEVEREIRO!B115:I115</v>
      </c>
      <c r="I76" s="301">
        <v>100</v>
      </c>
    </row>
    <row r="77" spans="1:9" ht="18" customHeight="1" x14ac:dyDescent="0.3">
      <c r="A77" s="299" t="str">
        <v>COCO</v>
      </c>
      <c r="B77" s="300" t="str">
        <v>FEVEREIRO</v>
      </c>
      <c r="C77" s="300" t="str">
        <v>QUALICOCO EXTRAVIRGEM</v>
      </c>
      <c r="D77" s="301">
        <v>332</v>
      </c>
      <c r="E77" s="301">
        <v>3984</v>
      </c>
      <c r="F77" s="301">
        <v>570</v>
      </c>
      <c r="G77" s="301">
        <v>3</v>
      </c>
      <c r="H77" s="300" t="str">
        <v>SEMANA FEVEREIRO!B122:I122</v>
      </c>
      <c r="I77" s="301">
        <v>100</v>
      </c>
    </row>
    <row r="78" spans="1:9" ht="18" customHeight="1" x14ac:dyDescent="0.3">
      <c r="A78" s="299" t="str">
        <v>COCO</v>
      </c>
      <c r="B78" s="300" t="str">
        <v>FEVEREIRO</v>
      </c>
      <c r="C78" s="300" t="str">
        <v>COPRA EXTRAVIRGEM</v>
      </c>
      <c r="D78" s="301">
        <v>502</v>
      </c>
      <c r="E78" s="301">
        <v>6024</v>
      </c>
      <c r="F78" s="301">
        <v>502</v>
      </c>
      <c r="G78" s="301">
        <v>3</v>
      </c>
      <c r="H78" s="300" t="str">
        <v>SEMANA FEVEREIRO!B123:I123</v>
      </c>
      <c r="I78" s="301">
        <v>100</v>
      </c>
    </row>
    <row r="79" spans="1:9" ht="18" customHeight="1" x14ac:dyDescent="0.3">
      <c r="A79" s="299" t="str">
        <v>COCO</v>
      </c>
      <c r="B79" s="300" t="str">
        <v>FEVEREIRO</v>
      </c>
      <c r="C79" s="300" t="str">
        <v>COPRA SEM SABOR</v>
      </c>
      <c r="D79" s="301">
        <v>490</v>
      </c>
      <c r="E79" s="301">
        <v>5880</v>
      </c>
      <c r="F79" s="301">
        <v>580</v>
      </c>
      <c r="G79" s="301">
        <v>3</v>
      </c>
      <c r="H79" s="300" t="str">
        <v>SEMANA FEVEREIRO!B124:I124</v>
      </c>
      <c r="I79" s="301">
        <v>100</v>
      </c>
    </row>
    <row r="80" spans="1:9" ht="18" customHeight="1" x14ac:dyDescent="0.3">
      <c r="A80" s="299" t="str">
        <v>COCO</v>
      </c>
      <c r="B80" s="300" t="str">
        <v>FEVEREIRO</v>
      </c>
      <c r="C80" s="300" t="str">
        <v>COPRA SEM SABOR</v>
      </c>
      <c r="D80" s="301">
        <v>97</v>
      </c>
      <c r="E80" s="301">
        <v>1164</v>
      </c>
      <c r="F80" s="301">
        <v>90</v>
      </c>
      <c r="G80" s="301">
        <v>1</v>
      </c>
      <c r="H80" s="300" t="str">
        <v>SEMANA FEVEREIRO!B130:I130</v>
      </c>
      <c r="I80" s="301">
        <v>100</v>
      </c>
    </row>
    <row r="81" spans="1:9" ht="18" customHeight="1" x14ac:dyDescent="0.3">
      <c r="A81" s="299" t="str">
        <v>COCO</v>
      </c>
      <c r="B81" s="300" t="str">
        <v>FEVEREIRO</v>
      </c>
      <c r="C81" s="300" t="str">
        <v>SANTO ÓLEO SEM SABOR</v>
      </c>
      <c r="D81" s="301">
        <v>505</v>
      </c>
      <c r="E81" s="301">
        <v>6060</v>
      </c>
      <c r="F81" s="301">
        <v>500</v>
      </c>
      <c r="G81" s="301">
        <v>3</v>
      </c>
      <c r="H81" s="300" t="str">
        <v>SEMANA FEVEREIRO!B131:I131</v>
      </c>
      <c r="I81" s="301">
        <v>100</v>
      </c>
    </row>
    <row r="82" spans="1:9" ht="18" customHeight="1" x14ac:dyDescent="0.3">
      <c r="A82" s="299" t="str">
        <v>COCO</v>
      </c>
      <c r="B82" s="300" t="str">
        <v>FEVEREIRO</v>
      </c>
      <c r="C82" s="300" t="str">
        <v>SANTO ÓLEO EXTRA VIRGEM</v>
      </c>
      <c r="D82" s="301">
        <v>459</v>
      </c>
      <c r="E82" s="301">
        <v>5508</v>
      </c>
      <c r="F82" s="301">
        <v>500</v>
      </c>
      <c r="G82" s="301">
        <v>3</v>
      </c>
      <c r="H82" s="300" t="str">
        <v>SEMANA FEVEREIRO!B132:I132</v>
      </c>
      <c r="I82" s="301">
        <v>100</v>
      </c>
    </row>
    <row r="83" spans="1:9" ht="18" customHeight="1" x14ac:dyDescent="0.3">
      <c r="A83" s="299" t="str">
        <v>CORANTE</v>
      </c>
      <c r="B83" s="300" t="str">
        <v>FEVEREIRO</v>
      </c>
      <c r="C83" s="300" t="str">
        <v>SANTO ÓLEO EXTRA VIRGEM</v>
      </c>
      <c r="D83" s="301">
        <v>36</v>
      </c>
      <c r="E83" s="301">
        <v>432</v>
      </c>
      <c r="F83" s="301">
        <v>36</v>
      </c>
      <c r="G83" s="301">
        <v>1</v>
      </c>
      <c r="H83" s="300" t="str">
        <v>SEMANA FEVEREIRO!B139:I139</v>
      </c>
      <c r="I83" s="301">
        <v>100</v>
      </c>
    </row>
    <row r="84" spans="1:9" ht="18" customHeight="1" x14ac:dyDescent="0.3">
      <c r="A84" s="299" t="str">
        <v>CORANTE</v>
      </c>
      <c r="B84" s="300" t="str">
        <v>FEVEREIRO</v>
      </c>
      <c r="C84" s="300" t="str">
        <v>CORANTE AZUL INLOCO</v>
      </c>
      <c r="D84" s="301">
        <v>238</v>
      </c>
      <c r="E84" s="301">
        <v>2856</v>
      </c>
      <c r="F84" s="301">
        <v>240</v>
      </c>
      <c r="G84" s="301">
        <v>1</v>
      </c>
      <c r="H84" s="300" t="str">
        <v>SEMANA FEVEREIRO!B140:I140</v>
      </c>
      <c r="I84" s="301">
        <v>70</v>
      </c>
    </row>
    <row r="85" spans="1:9" ht="18" customHeight="1" x14ac:dyDescent="0.3">
      <c r="A85" s="299" t="str">
        <v>CORANTE</v>
      </c>
      <c r="B85" s="300" t="str">
        <v>FEVEREIRO</v>
      </c>
      <c r="C85" s="300" t="str">
        <v>CORANTE VERDE REPETECO</v>
      </c>
      <c r="D85" s="301">
        <v>122</v>
      </c>
      <c r="E85" s="301">
        <v>1464</v>
      </c>
      <c r="F85" s="301">
        <v>120</v>
      </c>
      <c r="G85" s="301">
        <v>1</v>
      </c>
      <c r="H85" s="300" t="str">
        <v>SEMANA FEVEREIRO!B141:I141</v>
      </c>
      <c r="I85" s="301">
        <v>70</v>
      </c>
    </row>
    <row r="86" spans="1:9" ht="18" customHeight="1" x14ac:dyDescent="0.3">
      <c r="A86" s="299" t="str">
        <v>CORANTE</v>
      </c>
      <c r="B86" s="300" t="str">
        <v>FEVEREIRO</v>
      </c>
      <c r="C86" s="300" t="str">
        <v>CORANTE LARANJA REPETECO</v>
      </c>
      <c r="D86" s="301">
        <v>122</v>
      </c>
      <c r="E86" s="301">
        <v>1464</v>
      </c>
      <c r="F86" s="301">
        <v>120</v>
      </c>
      <c r="G86" s="301">
        <v>1</v>
      </c>
      <c r="H86" s="300" t="str">
        <v>SEMANA FEVEREIRO!B142:I142</v>
      </c>
      <c r="I86" s="301">
        <v>70</v>
      </c>
    </row>
    <row r="87" spans="1:9" ht="18" customHeight="1" x14ac:dyDescent="0.3">
      <c r="A87" s="299" t="str">
        <v>CORANTE</v>
      </c>
      <c r="B87" s="300" t="str">
        <v>FEVEREIRO</v>
      </c>
      <c r="C87" s="300" t="str">
        <v>CORANTE VERMELHO REPETECO</v>
      </c>
      <c r="D87" s="301">
        <v>122</v>
      </c>
      <c r="E87" s="301">
        <v>1464</v>
      </c>
      <c r="F87" s="301">
        <v>120</v>
      </c>
      <c r="G87" s="301">
        <v>1</v>
      </c>
      <c r="H87" s="300" t="str">
        <v>SEMANA FEVEREIRO!B143:I143</v>
      </c>
      <c r="I87" s="301">
        <v>70</v>
      </c>
    </row>
    <row r="88" spans="1:9" ht="18" customHeight="1" x14ac:dyDescent="0.3">
      <c r="A88" s="299" t="str">
        <v>CORANTE</v>
      </c>
      <c r="B88" s="300" t="str">
        <v>FEVEREIRO</v>
      </c>
      <c r="C88" s="300" t="str">
        <v>CORANTE ROSA REPETECO</v>
      </c>
      <c r="D88" s="301">
        <v>121</v>
      </c>
      <c r="E88" s="301">
        <v>1452</v>
      </c>
      <c r="F88" s="301">
        <v>120</v>
      </c>
      <c r="G88" s="301">
        <v>1</v>
      </c>
      <c r="H88" s="300" t="str">
        <v>SEMANA FEVEREIRO!B144:I144</v>
      </c>
      <c r="I88" s="301">
        <v>70</v>
      </c>
    </row>
    <row r="89" spans="1:9" ht="18" customHeight="1" x14ac:dyDescent="0.3">
      <c r="A89" s="299" t="str">
        <v>ESPUMA</v>
      </c>
      <c r="B89" s="300" t="str">
        <v>FEVEREIRO</v>
      </c>
      <c r="C89" s="300" t="str">
        <v>ESPUMA FRUTAS VERMELHAS</v>
      </c>
      <c r="D89" s="301">
        <v>1430</v>
      </c>
      <c r="E89" s="301">
        <v>8580</v>
      </c>
      <c r="F89" s="301">
        <v>1420</v>
      </c>
      <c r="G89" s="301">
        <v>5</v>
      </c>
      <c r="H89" s="300" t="str">
        <v>SEMANA FEVEREIRO!B151:I151</v>
      </c>
      <c r="I89" s="301">
        <v>200</v>
      </c>
    </row>
    <row r="90" spans="1:9" ht="18" customHeight="1" x14ac:dyDescent="0.3">
      <c r="A90" s="299" t="str">
        <v>ESPUMA</v>
      </c>
      <c r="B90" s="300" t="str">
        <v>FEVEREIRO</v>
      </c>
      <c r="C90" s="300" t="str">
        <v>GENGIBRE</v>
      </c>
      <c r="D90" s="301">
        <v>701</v>
      </c>
      <c r="E90" s="301">
        <v>4206</v>
      </c>
      <c r="F90" s="301">
        <v>660</v>
      </c>
      <c r="G90" s="301">
        <v>2</v>
      </c>
      <c r="H90" s="300" t="str">
        <v>SEMANA FEVEREIRO!B152:I152</v>
      </c>
      <c r="I90" s="301">
        <v>200</v>
      </c>
    </row>
    <row r="91" spans="1:9" ht="18" customHeight="1" x14ac:dyDescent="0.3">
      <c r="A91" s="299" t="str">
        <v/>
      </c>
      <c r="B91" s="300" t="str">
        <v/>
      </c>
      <c r="C91" s="300" t="str">
        <v/>
      </c>
      <c r="D91" s="301" t="str">
        <v/>
      </c>
      <c r="E91" s="301" t="str">
        <v/>
      </c>
      <c r="F91" s="301" t="str">
        <v/>
      </c>
      <c r="G91" s="301" t="str">
        <v/>
      </c>
      <c r="H91" s="300" t="str">
        <v/>
      </c>
      <c r="I91" s="301" t="str">
        <v/>
      </c>
    </row>
    <row r="92" spans="1:9" ht="18" customHeight="1" x14ac:dyDescent="0.3">
      <c r="A92" s="299" t="str">
        <v/>
      </c>
      <c r="B92" s="300" t="str">
        <v/>
      </c>
      <c r="C92" s="300" t="str">
        <v/>
      </c>
      <c r="D92" s="301" t="str">
        <v/>
      </c>
      <c r="E92" s="301" t="str">
        <v/>
      </c>
      <c r="F92" s="301" t="str">
        <v/>
      </c>
      <c r="G92" s="301" t="str">
        <v/>
      </c>
      <c r="H92" s="300" t="str">
        <v/>
      </c>
      <c r="I92" s="301" t="str">
        <v/>
      </c>
    </row>
    <row r="93" spans="1:9" ht="18" customHeight="1" x14ac:dyDescent="0.3">
      <c r="A93" s="299">
        <v>46083</v>
      </c>
      <c r="B93" s="300" t="str">
        <v>MARÇO</v>
      </c>
      <c r="C93" s="300" t="str">
        <v>UNTA FACIL</v>
      </c>
      <c r="D93" s="301">
        <v>802</v>
      </c>
      <c r="E93" s="301">
        <v>9624</v>
      </c>
      <c r="F93" s="301">
        <v>0</v>
      </c>
      <c r="G93" s="301">
        <v>0</v>
      </c>
      <c r="H93" s="300" t="str">
        <v>SEMANA MARÇO!B4:I4</v>
      </c>
      <c r="I93" s="301">
        <v>600</v>
      </c>
    </row>
    <row r="94" spans="1:9" ht="18" customHeight="1" x14ac:dyDescent="0.3">
      <c r="A94" s="299">
        <v>46083</v>
      </c>
      <c r="B94" s="300" t="str">
        <v>MARÇO</v>
      </c>
      <c r="C94" s="300" t="str">
        <v>DESTAK</v>
      </c>
      <c r="D94" s="301">
        <v>197</v>
      </c>
      <c r="E94" s="301">
        <v>2364</v>
      </c>
      <c r="F94" s="301">
        <v>1330</v>
      </c>
      <c r="G94" s="301">
        <v>14</v>
      </c>
      <c r="H94" s="300" t="str">
        <v>SEMANA MARÇO!B5:I5</v>
      </c>
      <c r="I94" s="301">
        <v>600</v>
      </c>
    </row>
    <row r="95" spans="1:9" ht="18" customHeight="1" x14ac:dyDescent="0.3">
      <c r="A95" s="299">
        <v>46084</v>
      </c>
      <c r="B95" s="300" t="str">
        <v>MARÇO</v>
      </c>
      <c r="C95" s="300" t="str">
        <v>DESTAK</v>
      </c>
      <c r="D95" s="301">
        <v>1133</v>
      </c>
      <c r="E95" s="301">
        <v>13596</v>
      </c>
      <c r="F95" s="301">
        <v>0</v>
      </c>
      <c r="G95" s="301">
        <v>0</v>
      </c>
      <c r="H95" s="300" t="str">
        <v>SEMANA MARÇO!B13:I13</v>
      </c>
      <c r="I95" s="301">
        <v>600</v>
      </c>
    </row>
    <row r="96" spans="1:9" ht="18" customHeight="1" x14ac:dyDescent="0.3">
      <c r="A96" s="299">
        <v>46084</v>
      </c>
      <c r="B96" s="300" t="str">
        <v>MARÇO</v>
      </c>
      <c r="C96" s="300" t="str">
        <v>ADIMIX</v>
      </c>
      <c r="D96" s="301">
        <v>196</v>
      </c>
      <c r="E96" s="301">
        <v>2352</v>
      </c>
      <c r="F96" s="301">
        <v>665</v>
      </c>
      <c r="G96" s="301">
        <v>7</v>
      </c>
      <c r="H96" s="300" t="str">
        <v>SEMANA MARÇO!B14:I14</v>
      </c>
      <c r="I96" s="301">
        <v>600</v>
      </c>
    </row>
    <row r="97" spans="1:9" ht="18" customHeight="1" x14ac:dyDescent="0.3">
      <c r="A97" s="299">
        <v>46085</v>
      </c>
      <c r="B97" s="300" t="str">
        <v>MARÇO</v>
      </c>
      <c r="C97" s="300" t="str">
        <v>ADIMIX</v>
      </c>
      <c r="D97" s="301">
        <v>469</v>
      </c>
      <c r="E97" s="301">
        <v>5628</v>
      </c>
      <c r="F97" s="301">
        <v>0</v>
      </c>
      <c r="G97" s="301">
        <v>0</v>
      </c>
      <c r="H97" s="300" t="str">
        <v>SEMANA MARÇO!B22:I22</v>
      </c>
      <c r="I97" s="301">
        <v>600</v>
      </c>
    </row>
    <row r="98" spans="1:9" ht="18" customHeight="1" x14ac:dyDescent="0.3">
      <c r="A98" s="299">
        <v>46085</v>
      </c>
      <c r="B98" s="300" t="str">
        <v>MARÇO</v>
      </c>
      <c r="C98" s="300" t="str">
        <v>ITAIQUARA</v>
      </c>
      <c r="D98" s="301">
        <v>288</v>
      </c>
      <c r="E98" s="301">
        <v>3456</v>
      </c>
      <c r="F98" s="301">
        <v>285</v>
      </c>
      <c r="G98" s="301">
        <v>3</v>
      </c>
      <c r="H98" s="300" t="str">
        <v>SEMANA MARÇO!B23:I23</v>
      </c>
      <c r="I98" s="301">
        <v>600</v>
      </c>
    </row>
    <row r="99" spans="1:9" ht="18" customHeight="1" x14ac:dyDescent="0.3">
      <c r="A99" s="299">
        <v>46085</v>
      </c>
      <c r="B99" s="300" t="str">
        <v>MARÇO</v>
      </c>
      <c r="C99" s="300" t="str">
        <v>TTF MEL</v>
      </c>
      <c r="D99" s="301">
        <v>199</v>
      </c>
      <c r="E99" s="301">
        <v>2388</v>
      </c>
      <c r="F99" s="301">
        <v>240</v>
      </c>
      <c r="G99" s="301">
        <v>3</v>
      </c>
      <c r="H99" s="300" t="str">
        <v>SEMANA MARÇO!B24:I24</v>
      </c>
      <c r="I99" s="301">
        <v>600</v>
      </c>
    </row>
    <row r="100" spans="1:9" ht="18" customHeight="1" x14ac:dyDescent="0.3">
      <c r="A100" s="299">
        <v>46086</v>
      </c>
      <c r="B100" s="300" t="str">
        <v>MARÇO</v>
      </c>
      <c r="C100" s="300" t="str">
        <v>TTF MEL</v>
      </c>
      <c r="D100" s="301">
        <v>42</v>
      </c>
      <c r="E100" s="301">
        <v>504</v>
      </c>
      <c r="F100" s="301">
        <v>285</v>
      </c>
      <c r="G100" s="301">
        <v>3</v>
      </c>
      <c r="H100" s="300" t="str">
        <v>SEMANA MARÇO!B31:I31</v>
      </c>
      <c r="I100" s="301">
        <v>600</v>
      </c>
    </row>
    <row r="101" spans="1:9" ht="18" customHeight="1" x14ac:dyDescent="0.3">
      <c r="A101" s="299">
        <v>46086</v>
      </c>
      <c r="B101" s="300" t="str">
        <v>MARÇO</v>
      </c>
      <c r="C101" s="300" t="str">
        <v>UNTA FACIL ECO</v>
      </c>
      <c r="D101" s="301">
        <v>307</v>
      </c>
      <c r="E101" s="301">
        <v>3684</v>
      </c>
      <c r="F101" s="301">
        <v>308</v>
      </c>
      <c r="G101" s="301">
        <v>4</v>
      </c>
      <c r="H101" s="300" t="str">
        <v>SEMANA MARÇO!B32:I32</v>
      </c>
      <c r="I101" s="301">
        <v>600</v>
      </c>
    </row>
    <row r="102" spans="1:9" ht="18" customHeight="1" x14ac:dyDescent="0.3">
      <c r="A102" s="299">
        <v>46086</v>
      </c>
      <c r="B102" s="300" t="str">
        <v>MARÇO</v>
      </c>
      <c r="C102" s="300" t="str">
        <v>UNTA FORMA QUALITA</v>
      </c>
      <c r="D102" s="301">
        <v>242</v>
      </c>
      <c r="E102" s="301">
        <v>2904</v>
      </c>
      <c r="F102" s="301">
        <v>240</v>
      </c>
      <c r="G102" s="301">
        <v>1</v>
      </c>
      <c r="H102" s="300" t="str">
        <v>SEMANA MARÇO!B33:I33</v>
      </c>
      <c r="I102" s="301">
        <v>180</v>
      </c>
    </row>
    <row r="103" spans="1:9" ht="18" customHeight="1" x14ac:dyDescent="0.3">
      <c r="A103" s="299">
        <v>46086</v>
      </c>
      <c r="B103" s="300" t="str">
        <v>MARÇO</v>
      </c>
      <c r="C103" s="300" t="str">
        <v>UNTA FACIL</v>
      </c>
      <c r="D103" s="301">
        <v>276</v>
      </c>
      <c r="E103" s="301">
        <v>3312</v>
      </c>
      <c r="F103" s="301">
        <v>240</v>
      </c>
      <c r="G103" s="301">
        <v>1</v>
      </c>
      <c r="H103" s="300" t="str">
        <v>SEMANA MARÇO!B34:I34</v>
      </c>
      <c r="I103" s="301">
        <v>180</v>
      </c>
    </row>
    <row r="104" spans="1:9" ht="18" customHeight="1" x14ac:dyDescent="0.3">
      <c r="A104" s="299">
        <v>46086</v>
      </c>
      <c r="B104" s="300" t="str">
        <v>MARÇO</v>
      </c>
      <c r="C104" s="300" t="str">
        <v>UNTA FACIL AZEITE</v>
      </c>
      <c r="D104" s="301">
        <v>242</v>
      </c>
      <c r="E104" s="301">
        <v>2904</v>
      </c>
      <c r="F104" s="301">
        <v>240</v>
      </c>
      <c r="G104" s="301">
        <v>1</v>
      </c>
      <c r="H104" s="300" t="str">
        <v>SEMANA MARÇO!B35:I35</v>
      </c>
      <c r="I104" s="301">
        <v>180</v>
      </c>
    </row>
    <row r="105" spans="1:9" ht="18" customHeight="1" x14ac:dyDescent="0.3">
      <c r="A105" s="299">
        <v>46087</v>
      </c>
      <c r="B105" s="300" t="str">
        <v>MARÇO</v>
      </c>
      <c r="C105" s="300" t="str">
        <v>OLEO DE COCO CARREFOUR</v>
      </c>
      <c r="D105" s="301">
        <v>241</v>
      </c>
      <c r="E105" s="301">
        <v>2892</v>
      </c>
      <c r="F105" s="301">
        <v>240</v>
      </c>
      <c r="G105" s="301" t="str">
        <v/>
      </c>
      <c r="H105" s="300" t="str">
        <v>SEMANA MARÇO!B40:I40</v>
      </c>
      <c r="I105" s="301">
        <v>120</v>
      </c>
    </row>
    <row r="106" spans="1:9" ht="18" customHeight="1" x14ac:dyDescent="0.3">
      <c r="A106" s="299">
        <v>46087</v>
      </c>
      <c r="B106" s="300" t="str">
        <v>MARÇO</v>
      </c>
      <c r="C106" s="300" t="str">
        <v>OLEO DE COCO TEAQ</v>
      </c>
      <c r="D106" s="301">
        <v>242</v>
      </c>
      <c r="E106" s="301">
        <v>2904</v>
      </c>
      <c r="F106" s="301">
        <v>240</v>
      </c>
      <c r="G106" s="301" t="str">
        <v/>
      </c>
      <c r="H106" s="300" t="str">
        <v>SEMANA MARÇO!B41:I41</v>
      </c>
      <c r="I106" s="301">
        <v>120</v>
      </c>
    </row>
    <row r="107" spans="1:9" ht="18" customHeight="1" x14ac:dyDescent="0.3">
      <c r="A107" s="299">
        <v>46087</v>
      </c>
      <c r="B107" s="300" t="str">
        <v>MARÇO</v>
      </c>
      <c r="C107" s="300" t="str">
        <v>UNTA FACIL ECO</v>
      </c>
      <c r="D107" s="301">
        <v>192</v>
      </c>
      <c r="E107" s="301">
        <v>2304</v>
      </c>
      <c r="F107" s="301">
        <v>193</v>
      </c>
      <c r="G107" s="301">
        <v>2</v>
      </c>
      <c r="H107" s="300" t="str">
        <v>SEMANA MARÇO!B42:I42</v>
      </c>
      <c r="I107" s="301">
        <v>400</v>
      </c>
    </row>
    <row r="108" spans="1:9" ht="18" customHeight="1" x14ac:dyDescent="0.3">
      <c r="A108" s="299">
        <v>46087</v>
      </c>
      <c r="B108" s="300" t="str">
        <v>MARÇO</v>
      </c>
      <c r="C108" s="300" t="str">
        <v>DONA JURA</v>
      </c>
      <c r="D108" s="301">
        <v>270</v>
      </c>
      <c r="E108" s="301">
        <v>3240</v>
      </c>
      <c r="F108" s="301">
        <v>2060</v>
      </c>
      <c r="G108" s="301">
        <v>17</v>
      </c>
      <c r="H108" s="300" t="str">
        <v>SEMANA MARÇO!B43:I43</v>
      </c>
      <c r="I108" s="301">
        <v>400</v>
      </c>
    </row>
    <row r="109" spans="1:9" ht="18" customHeight="1" x14ac:dyDescent="0.3">
      <c r="A109" s="299">
        <v>46090</v>
      </c>
      <c r="B109" s="300" t="str">
        <v>MARÇO</v>
      </c>
      <c r="C109" s="300" t="str">
        <v>DONA JURA</v>
      </c>
      <c r="D109" s="301">
        <v>1278</v>
      </c>
      <c r="E109" s="301">
        <v>15336</v>
      </c>
      <c r="F109" s="301">
        <v>2060</v>
      </c>
      <c r="G109" s="301">
        <v>17</v>
      </c>
      <c r="H109" s="300" t="str">
        <v>SEMANA MARÇO!B49:I49</v>
      </c>
      <c r="I109" s="301">
        <v>400</v>
      </c>
    </row>
    <row r="110" spans="1:9" ht="18" customHeight="1" x14ac:dyDescent="0.3">
      <c r="A110" s="299">
        <v>46091</v>
      </c>
      <c r="B110" s="300" t="str">
        <v>MARÇO</v>
      </c>
      <c r="C110" s="300" t="str">
        <v>DONA JURA</v>
      </c>
      <c r="D110" s="301">
        <v>526</v>
      </c>
      <c r="E110" s="301">
        <v>6312</v>
      </c>
      <c r="F110" s="301">
        <v>526</v>
      </c>
      <c r="G110" s="301">
        <v>5</v>
      </c>
      <c r="H110" s="300" t="str">
        <v>SEMANA MARÇO!B58:I58</v>
      </c>
      <c r="I110" s="301">
        <v>400</v>
      </c>
    </row>
    <row r="111" spans="1:9" ht="18" customHeight="1" x14ac:dyDescent="0.3">
      <c r="A111" s="299">
        <v>46091</v>
      </c>
      <c r="B111" s="300" t="str">
        <v>MARÇO</v>
      </c>
      <c r="C111" s="300" t="str">
        <v>ROCHAPAN BONASSE</v>
      </c>
      <c r="D111" s="301">
        <v>251</v>
      </c>
      <c r="E111" s="301">
        <v>3012</v>
      </c>
      <c r="F111" s="301">
        <v>251</v>
      </c>
      <c r="G111" s="301">
        <v>3</v>
      </c>
      <c r="H111" s="300" t="str">
        <v>SEMANA MARÇO!B59:I59</v>
      </c>
      <c r="I111" s="301">
        <v>400</v>
      </c>
    </row>
    <row r="112" spans="1:9" ht="18" customHeight="1" x14ac:dyDescent="0.3">
      <c r="A112" s="299">
        <v>46091</v>
      </c>
      <c r="B112" s="300" t="str">
        <v>MARÇO</v>
      </c>
      <c r="C112" s="300" t="str">
        <v>CELEBRATE</v>
      </c>
      <c r="D112" s="301">
        <v>252</v>
      </c>
      <c r="E112" s="301">
        <v>3024</v>
      </c>
      <c r="F112" s="301">
        <v>252</v>
      </c>
      <c r="G112" s="301">
        <v>3</v>
      </c>
      <c r="H112" s="300" t="str">
        <v>SEMANA MARÇO!B60:I60</v>
      </c>
      <c r="I112" s="301">
        <v>400</v>
      </c>
    </row>
    <row r="113" spans="1:9" ht="18" customHeight="1" x14ac:dyDescent="0.3">
      <c r="A113" s="299">
        <v>46091</v>
      </c>
      <c r="B113" s="300" t="str">
        <v>MARÇO</v>
      </c>
      <c r="C113" s="300" t="str">
        <v>FESTPAN</v>
      </c>
      <c r="D113" s="301">
        <v>69</v>
      </c>
      <c r="E113" s="301">
        <v>828</v>
      </c>
      <c r="F113" s="301">
        <v>1575</v>
      </c>
      <c r="G113" s="301">
        <v>13</v>
      </c>
      <c r="H113" s="300" t="str">
        <v>SEMANA MARÇO!B61:I61</v>
      </c>
      <c r="I113" s="301">
        <v>400</v>
      </c>
    </row>
    <row r="114" spans="1:9" ht="18" customHeight="1" x14ac:dyDescent="0.3">
      <c r="A114" s="299">
        <v>46092</v>
      </c>
      <c r="B114" s="300" t="str">
        <v>MARÇO</v>
      </c>
      <c r="C114" s="300" t="str">
        <v>FESTPAN</v>
      </c>
      <c r="D114" s="301">
        <v>1144</v>
      </c>
      <c r="E114" s="301">
        <v>13728</v>
      </c>
      <c r="F114" s="301">
        <v>252</v>
      </c>
      <c r="G114" s="301">
        <v>3</v>
      </c>
      <c r="H114" s="300" t="str">
        <v>SEMANA MARÇO!B67:I67</v>
      </c>
      <c r="I114" s="301">
        <v>400</v>
      </c>
    </row>
    <row r="115" spans="1:9" ht="18" customHeight="1" x14ac:dyDescent="0.3">
      <c r="A115" s="299">
        <v>46093</v>
      </c>
      <c r="B115" s="300" t="str">
        <v>MARÇO</v>
      </c>
      <c r="C115" s="300" t="str">
        <v>FESTPAN</v>
      </c>
      <c r="D115" s="301">
        <v>362</v>
      </c>
      <c r="E115" s="301">
        <v>4344</v>
      </c>
      <c r="F115" s="301">
        <v>252</v>
      </c>
      <c r="G115" s="301">
        <v>3</v>
      </c>
      <c r="H115" s="300" t="str">
        <v>SEMANA MARÇO!B76:I76</v>
      </c>
      <c r="I115" s="301">
        <v>400</v>
      </c>
    </row>
    <row r="116" spans="1:9" ht="18" customHeight="1" x14ac:dyDescent="0.3">
      <c r="A116" s="299">
        <v>46093</v>
      </c>
      <c r="B116" s="300" t="str">
        <v>MARÇO</v>
      </c>
      <c r="C116" s="300" t="str">
        <v>UNTA FACIL</v>
      </c>
      <c r="D116" s="301">
        <v>463</v>
      </c>
      <c r="E116" s="301">
        <v>5556</v>
      </c>
      <c r="F116" s="301">
        <v>3500</v>
      </c>
      <c r="G116" s="301">
        <v>28</v>
      </c>
      <c r="H116" s="300" t="str">
        <v>SEMANA MARÇO!B77:I77</v>
      </c>
      <c r="I116" s="301">
        <v>400</v>
      </c>
    </row>
    <row r="117" spans="1:9" ht="18" customHeight="1" x14ac:dyDescent="0.3">
      <c r="A117" s="299">
        <v>46094</v>
      </c>
      <c r="B117" s="300" t="str">
        <v>MARÇO</v>
      </c>
      <c r="C117" s="300" t="str">
        <v>UNTA FACIL</v>
      </c>
      <c r="D117" s="301">
        <v>1121</v>
      </c>
      <c r="E117" s="301">
        <v>13452</v>
      </c>
      <c r="F117" s="301">
        <v>3500</v>
      </c>
      <c r="G117" s="301">
        <v>28</v>
      </c>
      <c r="H117" s="300" t="str">
        <v>SEMANA MARÇO!B85:I85</v>
      </c>
      <c r="I117" s="301">
        <v>400</v>
      </c>
    </row>
    <row r="118" spans="1:9" ht="18" customHeight="1" x14ac:dyDescent="0.3">
      <c r="A118" s="299">
        <v>46097</v>
      </c>
      <c r="B118" s="300" t="str">
        <v>MARÇO</v>
      </c>
      <c r="C118" s="300" t="str">
        <v>UNTA FACIL</v>
      </c>
      <c r="D118" s="301">
        <v>1206</v>
      </c>
      <c r="E118" s="301">
        <v>14472</v>
      </c>
      <c r="F118" s="301">
        <v>0</v>
      </c>
      <c r="G118" s="301">
        <v>0</v>
      </c>
      <c r="H118" s="300" t="str">
        <v>SEMANA MARÇO!B94:I94</v>
      </c>
      <c r="I118" s="301">
        <v>400</v>
      </c>
    </row>
    <row r="119" spans="1:9" ht="18" customHeight="1" x14ac:dyDescent="0.3">
      <c r="A119" s="299">
        <v>46097</v>
      </c>
      <c r="B119" s="300" t="str">
        <v>MARÇO</v>
      </c>
      <c r="C119" s="300" t="str">
        <v>ICEBERG CHEF</v>
      </c>
      <c r="D119" s="301">
        <v>171</v>
      </c>
      <c r="E119" s="301">
        <v>2052</v>
      </c>
      <c r="F119" s="301">
        <v>2310</v>
      </c>
      <c r="G119" s="301">
        <v>21</v>
      </c>
      <c r="H119" s="300" t="str">
        <v>SEMANA MARÇO!B95:I95</v>
      </c>
      <c r="I119" s="301">
        <v>400</v>
      </c>
    </row>
    <row r="120" spans="1:9" ht="18" customHeight="1" x14ac:dyDescent="0.3">
      <c r="A120" s="299">
        <v>46098</v>
      </c>
      <c r="B120" s="300" t="str">
        <v>MARÇO</v>
      </c>
      <c r="C120" s="300" t="str">
        <v>ICEBERG CHEF</v>
      </c>
      <c r="D120" s="301">
        <v>1482</v>
      </c>
      <c r="E120" s="301">
        <v>17784</v>
      </c>
      <c r="F120" s="301">
        <v>0</v>
      </c>
      <c r="G120" s="301">
        <v>0</v>
      </c>
      <c r="H120" s="300" t="str">
        <v>SEMANA MARÇO!B103:I103</v>
      </c>
      <c r="I120" s="301">
        <v>400</v>
      </c>
    </row>
    <row r="121" spans="1:9" ht="18" customHeight="1" x14ac:dyDescent="0.3">
      <c r="A121" s="299">
        <v>46099</v>
      </c>
      <c r="B121" s="300" t="str">
        <v>MARÇO</v>
      </c>
      <c r="C121" s="300" t="str">
        <v>ICEBERG CHEF</v>
      </c>
      <c r="D121" s="301">
        <v>657</v>
      </c>
      <c r="E121" s="301">
        <v>7884</v>
      </c>
      <c r="F121" s="301">
        <v>0</v>
      </c>
      <c r="G121" s="301">
        <v>0</v>
      </c>
      <c r="H121" s="300" t="str">
        <v>SEMANA MARÇO!B112:I112</v>
      </c>
      <c r="I121" s="301">
        <v>400</v>
      </c>
    </row>
    <row r="122" spans="1:9" ht="18" customHeight="1" x14ac:dyDescent="0.3">
      <c r="A122" s="299">
        <v>46099</v>
      </c>
      <c r="B122" s="300" t="str">
        <v>MARÇO</v>
      </c>
      <c r="C122" s="300" t="str">
        <v>AP VIOLA</v>
      </c>
      <c r="D122" s="301">
        <v>644</v>
      </c>
      <c r="E122" s="301">
        <v>7728</v>
      </c>
      <c r="F122" s="301">
        <v>750</v>
      </c>
      <c r="G122" s="301">
        <v>6</v>
      </c>
      <c r="H122" s="300" t="str">
        <v>SEMANA MARÇO!B113:I113</v>
      </c>
      <c r="I122" s="301">
        <v>400</v>
      </c>
    </row>
    <row r="123" spans="1:9" ht="18" customHeight="1" x14ac:dyDescent="0.3">
      <c r="A123" s="299">
        <v>46100</v>
      </c>
      <c r="B123" s="300" t="str">
        <v>MARÇO</v>
      </c>
      <c r="C123" s="300" t="str">
        <v>AP VIOLA</v>
      </c>
      <c r="D123" s="301">
        <v>106</v>
      </c>
      <c r="E123" s="301">
        <v>1272</v>
      </c>
      <c r="F123" s="301">
        <v>750</v>
      </c>
      <c r="G123" s="301">
        <v>6</v>
      </c>
      <c r="H123" s="300" t="str">
        <v>SEMANA MARÇO!B121:I121</v>
      </c>
      <c r="I123" s="301">
        <v>400</v>
      </c>
    </row>
    <row r="124" spans="1:9" ht="18" customHeight="1" x14ac:dyDescent="0.3">
      <c r="A124" s="299">
        <v>46100</v>
      </c>
      <c r="B124" s="300" t="str">
        <v>MARÇO</v>
      </c>
      <c r="C124" s="300" t="str">
        <v>CASA DO PANIFICADOR</v>
      </c>
      <c r="D124" s="301">
        <v>202</v>
      </c>
      <c r="E124" s="301">
        <v>2424</v>
      </c>
      <c r="F124" s="301">
        <v>200</v>
      </c>
      <c r="G124" s="301">
        <v>2</v>
      </c>
      <c r="H124" s="300" t="str">
        <v>SEMANA MARÇO!B122:I122</v>
      </c>
      <c r="I124" s="301">
        <v>400</v>
      </c>
    </row>
    <row r="125" spans="1:9" ht="18" customHeight="1" x14ac:dyDescent="0.3">
      <c r="A125" s="299">
        <v>46100</v>
      </c>
      <c r="B125" s="300" t="str">
        <v>MARÇO</v>
      </c>
      <c r="C125" s="300" t="str">
        <v>OLEO DE COCO SANTO OLEO</v>
      </c>
      <c r="D125" s="301">
        <v>994</v>
      </c>
      <c r="E125" s="301">
        <v>5964</v>
      </c>
      <c r="F125" s="301">
        <v>990</v>
      </c>
      <c r="G125" s="301">
        <v>3</v>
      </c>
      <c r="H125" s="300" t="str">
        <v>SEMANA MARÇO!B123:I123</v>
      </c>
      <c r="I125" s="301">
        <v>200</v>
      </c>
    </row>
    <row r="126" spans="1:9" ht="18" customHeight="1" x14ac:dyDescent="0.3">
      <c r="A126" s="299">
        <v>46100</v>
      </c>
      <c r="B126" s="300" t="str">
        <v>MARÇO</v>
      </c>
      <c r="C126" s="300" t="str">
        <v>NORCAU PURATOS</v>
      </c>
      <c r="D126" s="301">
        <v>74</v>
      </c>
      <c r="E126" s="301">
        <v>888</v>
      </c>
      <c r="F126" s="301">
        <v>1140</v>
      </c>
      <c r="G126" s="301">
        <v>12</v>
      </c>
      <c r="H126" s="300" t="str">
        <v>SEMANA MARÇO!B124:I124</v>
      </c>
      <c r="I126" s="301">
        <v>600</v>
      </c>
    </row>
    <row r="127" spans="1:9" ht="18" customHeight="1" x14ac:dyDescent="0.3">
      <c r="A127" s="299">
        <v>46101</v>
      </c>
      <c r="B127" s="300" t="str">
        <v>MARÇO</v>
      </c>
      <c r="C127" s="300" t="str">
        <v>NORCAU PURATOS</v>
      </c>
      <c r="D127" s="301">
        <v>431</v>
      </c>
      <c r="E127" s="301">
        <v>5172</v>
      </c>
      <c r="F127" s="301">
        <v>1140</v>
      </c>
      <c r="G127" s="301">
        <v>12</v>
      </c>
      <c r="H127" s="300" t="str">
        <v>SEMANA MARÇO!B130:I130</v>
      </c>
      <c r="I127" s="301">
        <v>600</v>
      </c>
    </row>
    <row r="128" spans="1:9" ht="18" customHeight="1" x14ac:dyDescent="0.3">
      <c r="A128" s="299">
        <v>46104</v>
      </c>
      <c r="B128" s="300" t="str">
        <v>MARÇO</v>
      </c>
      <c r="C128" s="300" t="str">
        <v>NORCAU PURATOS</v>
      </c>
      <c r="D128" s="301">
        <v>635</v>
      </c>
      <c r="E128" s="301">
        <v>7620</v>
      </c>
      <c r="F128" s="301">
        <v>1140</v>
      </c>
      <c r="G128" s="301">
        <v>12</v>
      </c>
      <c r="H128" s="300" t="str">
        <v>SEMANA MARÇO!B139:I139</v>
      </c>
      <c r="I128" s="301">
        <v>600</v>
      </c>
    </row>
    <row r="129" spans="1:9" ht="18" customHeight="1" x14ac:dyDescent="0.3">
      <c r="A129" s="299">
        <v>46104</v>
      </c>
      <c r="B129" s="300" t="str">
        <v>MARÇO</v>
      </c>
      <c r="C129" s="300" t="str">
        <v>ADIMIX</v>
      </c>
      <c r="D129" s="301">
        <v>86</v>
      </c>
      <c r="E129" s="301">
        <v>1032</v>
      </c>
      <c r="F129" s="301">
        <v>665</v>
      </c>
      <c r="G129" s="301">
        <v>7</v>
      </c>
      <c r="H129" s="300" t="str">
        <v>SEMANA MARÇO!B140:I140</v>
      </c>
      <c r="I129" s="301">
        <v>600</v>
      </c>
    </row>
    <row r="130" spans="1:9" ht="18" customHeight="1" x14ac:dyDescent="0.3">
      <c r="A130" s="299">
        <v>46105</v>
      </c>
      <c r="B130" s="300" t="str">
        <v>MARÇO</v>
      </c>
      <c r="C130" s="300" t="str">
        <v>ADIMIX</v>
      </c>
      <c r="D130" s="301">
        <v>466</v>
      </c>
      <c r="E130" s="301">
        <v>5592</v>
      </c>
      <c r="F130" s="301">
        <v>579</v>
      </c>
      <c r="G130" s="301">
        <v>7</v>
      </c>
      <c r="H130" s="300" t="str">
        <v>SEMANA MARÇO!B148:I148</v>
      </c>
      <c r="I130" s="301">
        <v>600</v>
      </c>
    </row>
    <row r="131" spans="1:9" ht="18" customHeight="1" x14ac:dyDescent="0.3">
      <c r="A131" s="299">
        <v>46106</v>
      </c>
      <c r="B131" s="300" t="str">
        <v>MARÇO</v>
      </c>
      <c r="C131" s="300" t="str">
        <v>ADIMIX</v>
      </c>
      <c r="D131" s="301">
        <v>120</v>
      </c>
      <c r="E131" s="301">
        <v>1440</v>
      </c>
      <c r="F131" s="301">
        <v>113</v>
      </c>
      <c r="G131" s="301">
        <v>2</v>
      </c>
      <c r="H131" s="300" t="str">
        <v>SEMANA MARÇO!B157:I157</v>
      </c>
      <c r="I131" s="301">
        <v>600</v>
      </c>
    </row>
    <row r="132" spans="1:9" ht="18" customHeight="1" x14ac:dyDescent="0.3">
      <c r="A132" s="299">
        <v>46106</v>
      </c>
      <c r="B132" s="300" t="str">
        <v>MARÇO</v>
      </c>
      <c r="C132" s="300" t="str">
        <v>ALLBREAD</v>
      </c>
      <c r="D132" s="301">
        <v>384</v>
      </c>
      <c r="E132" s="301">
        <v>4608</v>
      </c>
      <c r="F132" s="301">
        <v>384</v>
      </c>
      <c r="G132" s="301">
        <v>5</v>
      </c>
      <c r="H132" s="300" t="str">
        <v>SEMANA MARÇO!B158:I158</v>
      </c>
      <c r="I132" s="301">
        <v>600</v>
      </c>
    </row>
    <row r="133" spans="1:9" ht="18" customHeight="1" x14ac:dyDescent="0.3">
      <c r="A133" s="299">
        <v>46106</v>
      </c>
      <c r="B133" s="300" t="str">
        <v>MARÇO</v>
      </c>
      <c r="C133" s="300" t="str">
        <v>COPRA SEM SABOR</v>
      </c>
      <c r="D133" s="301">
        <v>251</v>
      </c>
      <c r="E133" s="301">
        <v>3012</v>
      </c>
      <c r="F133" s="301">
        <v>875</v>
      </c>
      <c r="G133" s="301">
        <v>4</v>
      </c>
      <c r="H133" s="300" t="str">
        <v>SEMANA MARÇO!B159:I159</v>
      </c>
      <c r="I133" s="301">
        <v>100</v>
      </c>
    </row>
    <row r="134" spans="1:9" ht="18" customHeight="1" x14ac:dyDescent="0.3">
      <c r="A134" s="299">
        <v>46107</v>
      </c>
      <c r="B134" s="300" t="str">
        <v>MARÇO</v>
      </c>
      <c r="C134" s="300" t="str">
        <v>COPRA SEM SABOR</v>
      </c>
      <c r="D134" s="301">
        <v>1488</v>
      </c>
      <c r="E134" s="301">
        <v>17856</v>
      </c>
      <c r="F134" s="301">
        <v>624</v>
      </c>
      <c r="G134" s="301">
        <v>3</v>
      </c>
      <c r="H134" s="300" t="str">
        <v>SEMANA MARÇO!B166:I166</v>
      </c>
      <c r="I134" s="301">
        <v>100</v>
      </c>
    </row>
    <row r="135" spans="1:9" ht="18" customHeight="1" x14ac:dyDescent="0.3">
      <c r="A135" s="299">
        <v>46108</v>
      </c>
      <c r="B135" s="300" t="str">
        <v>MARÇO</v>
      </c>
      <c r="C135" s="300" t="str">
        <v>COPRA SEM SABOR</v>
      </c>
      <c r="D135" s="301">
        <v>780</v>
      </c>
      <c r="E135" s="301">
        <v>9360</v>
      </c>
      <c r="F135" s="301">
        <v>546</v>
      </c>
      <c r="G135" s="301">
        <v>3</v>
      </c>
      <c r="H135" s="300" t="str">
        <v>SEMANA MARÇO!B175:I175</v>
      </c>
      <c r="I135" s="301">
        <v>100</v>
      </c>
    </row>
    <row r="136" spans="1:9" ht="18" customHeight="1" x14ac:dyDescent="0.3">
      <c r="A136" s="299">
        <v>46108</v>
      </c>
      <c r="B136" s="300" t="str">
        <v>MARÇO</v>
      </c>
      <c r="C136" s="300" t="str">
        <v>COPRA EXTRAVIRGEM</v>
      </c>
      <c r="D136" s="301">
        <v>255</v>
      </c>
      <c r="E136" s="301">
        <v>3060</v>
      </c>
      <c r="F136" s="301">
        <v>835</v>
      </c>
      <c r="G136" s="301">
        <v>4</v>
      </c>
      <c r="H136" s="300" t="str">
        <v>SEMANA MARÇO!B176:I176</v>
      </c>
      <c r="I136" s="301">
        <v>100</v>
      </c>
    </row>
    <row r="137" spans="1:9" ht="18" customHeight="1" x14ac:dyDescent="0.3">
      <c r="A137" s="299">
        <v>46111</v>
      </c>
      <c r="B137" s="300" t="str">
        <v>MARÇO</v>
      </c>
      <c r="C137" s="300" t="str">
        <v>COPRA EXTRAVIRGEM</v>
      </c>
      <c r="D137" s="301">
        <v>571</v>
      </c>
      <c r="E137" s="301">
        <v>6852</v>
      </c>
      <c r="F137" s="301">
        <v>580</v>
      </c>
      <c r="G137" s="301">
        <v>3</v>
      </c>
      <c r="H137" s="300" t="str">
        <v>SEMANA MARÇO!B184:I184</v>
      </c>
      <c r="I137" s="301">
        <v>100</v>
      </c>
    </row>
    <row r="138" spans="1:9" ht="18" customHeight="1" x14ac:dyDescent="0.3">
      <c r="A138" s="299">
        <v>46111</v>
      </c>
      <c r="B138" s="300" t="str">
        <v>MARÇO</v>
      </c>
      <c r="C138" s="300" t="str">
        <v>UNTA FACIL</v>
      </c>
      <c r="D138" s="301">
        <v>896</v>
      </c>
      <c r="E138" s="301">
        <v>10752</v>
      </c>
      <c r="F138" s="301">
        <v>1200</v>
      </c>
      <c r="G138" s="301">
        <v>5</v>
      </c>
      <c r="H138" s="300" t="str">
        <v>SEMANA MARÇO!B185:I185</v>
      </c>
      <c r="I138" s="301">
        <v>180</v>
      </c>
    </row>
    <row r="139" spans="1:9" ht="18" customHeight="1" x14ac:dyDescent="0.3">
      <c r="A139" s="299">
        <v>46112</v>
      </c>
      <c r="B139" s="300" t="str">
        <v>MARÇO</v>
      </c>
      <c r="C139" s="300" t="str">
        <v>UNTA FACIL</v>
      </c>
      <c r="D139" s="301">
        <v>306</v>
      </c>
      <c r="E139" s="301">
        <v>3672</v>
      </c>
      <c r="F139" s="301">
        <v>304</v>
      </c>
      <c r="G139" s="301">
        <v>2</v>
      </c>
      <c r="H139" s="300" t="str">
        <v>SEMANA MARÇO!B193:I193</v>
      </c>
      <c r="I139" s="301">
        <v>180</v>
      </c>
    </row>
    <row r="140" spans="1:9" ht="18" customHeight="1" x14ac:dyDescent="0.3">
      <c r="A140" s="299">
        <v>46112</v>
      </c>
      <c r="B140" s="300" t="str">
        <v>MARÇO</v>
      </c>
      <c r="C140" s="300" t="str">
        <v>ADKO</v>
      </c>
      <c r="D140" s="301">
        <v>480</v>
      </c>
      <c r="E140" s="301">
        <v>5760</v>
      </c>
      <c r="F140" s="301">
        <v>480</v>
      </c>
      <c r="G140" s="301">
        <v>2</v>
      </c>
      <c r="H140" s="300" t="str">
        <v>SEMANA MARÇO!B194:I194</v>
      </c>
      <c r="I140" s="301">
        <v>180</v>
      </c>
    </row>
    <row r="141" spans="1:9" ht="18" customHeight="1" x14ac:dyDescent="0.3">
      <c r="A141" s="299">
        <v>46112</v>
      </c>
      <c r="B141" s="300" t="str">
        <v>MARÇO</v>
      </c>
      <c r="C141" s="300" t="str">
        <v>CORANTE AMARELO IN LOCO</v>
      </c>
      <c r="D141" s="301">
        <v>243</v>
      </c>
      <c r="E141" s="301">
        <v>2916</v>
      </c>
      <c r="F141" s="301">
        <v>240</v>
      </c>
      <c r="G141" s="301">
        <v>1</v>
      </c>
      <c r="H141" s="300" t="str">
        <v>SEMANA MARÇO!B195:I195</v>
      </c>
      <c r="I141" s="301">
        <v>70</v>
      </c>
    </row>
    <row r="142" spans="1:9" ht="18" customHeight="1" x14ac:dyDescent="0.3">
      <c r="A142" s="299">
        <v>46112</v>
      </c>
      <c r="B142" s="300" t="str">
        <v>MARÇO</v>
      </c>
      <c r="C142" s="300" t="str">
        <v>CORANTE AMARELO REPETECO</v>
      </c>
      <c r="D142" s="301">
        <v>162</v>
      </c>
      <c r="E142" s="301">
        <v>1944</v>
      </c>
      <c r="F142" s="301">
        <v>240</v>
      </c>
      <c r="G142" s="301">
        <v>1</v>
      </c>
      <c r="H142" s="300" t="str">
        <v>SEMANA MARÇO!B196:I196</v>
      </c>
      <c r="I142" s="301">
        <v>70</v>
      </c>
    </row>
    <row r="143" spans="1:9" ht="18" customHeight="1" x14ac:dyDescent="0.3">
      <c r="A143" s="299" t="str">
        <v/>
      </c>
      <c r="B143" s="300" t="str">
        <v/>
      </c>
      <c r="C143" s="300" t="str">
        <v/>
      </c>
      <c r="D143" s="301" t="str">
        <v/>
      </c>
      <c r="E143" s="301" t="str">
        <v/>
      </c>
      <c r="F143" s="301" t="str">
        <v/>
      </c>
      <c r="G143" s="301" t="str">
        <v/>
      </c>
      <c r="H143" s="300" t="str">
        <v/>
      </c>
      <c r="I143" s="301" t="str">
        <v/>
      </c>
    </row>
    <row r="144" spans="1:9" ht="18" customHeight="1" x14ac:dyDescent="0.3">
      <c r="A144" s="299" t="str">
        <v/>
      </c>
      <c r="B144" s="300" t="str">
        <v/>
      </c>
      <c r="C144" s="300" t="str">
        <v/>
      </c>
      <c r="D144" s="301" t="str">
        <v/>
      </c>
      <c r="E144" s="301" t="str">
        <v/>
      </c>
      <c r="F144" s="301" t="str">
        <v/>
      </c>
      <c r="G144" s="301" t="str">
        <v/>
      </c>
      <c r="H144" s="300" t="str">
        <v/>
      </c>
      <c r="I144" s="301" t="str">
        <v/>
      </c>
    </row>
    <row r="145" spans="1:9" ht="18" customHeight="1" x14ac:dyDescent="0.3">
      <c r="A145" s="299">
        <v>46113</v>
      </c>
      <c r="B145" s="300" t="str">
        <v>ABRIL</v>
      </c>
      <c r="C145" s="300" t="str">
        <v>CORANTE AMARELO REPETECO</v>
      </c>
      <c r="D145" s="301">
        <v>71</v>
      </c>
      <c r="E145" s="301">
        <v>852</v>
      </c>
      <c r="F145" s="301">
        <v>78</v>
      </c>
      <c r="G145" s="301">
        <v>1</v>
      </c>
      <c r="H145" s="300" t="str">
        <v>SEMANA ABRIL!B4:I4</v>
      </c>
      <c r="I145" s="301">
        <v>70</v>
      </c>
    </row>
    <row r="146" spans="1:9" ht="18" customHeight="1" x14ac:dyDescent="0.3">
      <c r="A146" s="299">
        <v>46113</v>
      </c>
      <c r="B146" s="300" t="str">
        <v>ABRIL</v>
      </c>
      <c r="C146" s="300" t="str">
        <v>CORANTE AZUL CEU REPETECO</v>
      </c>
      <c r="D146" s="301">
        <v>122</v>
      </c>
      <c r="E146" s="301">
        <v>1464</v>
      </c>
      <c r="F146" s="301">
        <v>120</v>
      </c>
      <c r="G146" s="301">
        <v>1</v>
      </c>
      <c r="H146" s="300" t="str">
        <v>SEMANA ABRIL!B5:I5</v>
      </c>
      <c r="I146" s="301">
        <v>70</v>
      </c>
    </row>
    <row r="147" spans="1:9" ht="18" customHeight="1" x14ac:dyDescent="0.3">
      <c r="A147" s="299">
        <v>46113</v>
      </c>
      <c r="B147" s="300" t="str">
        <v>ABRIL</v>
      </c>
      <c r="C147" s="300" t="str">
        <v>CORANTE VERDE IN LOCO</v>
      </c>
      <c r="D147" s="301">
        <v>241</v>
      </c>
      <c r="E147" s="301">
        <v>2892</v>
      </c>
      <c r="F147" s="301">
        <v>240</v>
      </c>
      <c r="G147" s="301">
        <v>1</v>
      </c>
      <c r="H147" s="300" t="str">
        <v>SEMANA ABRIL!B6:I6</v>
      </c>
      <c r="I147" s="301">
        <v>70</v>
      </c>
    </row>
    <row r="148" spans="1:9" ht="18" customHeight="1" x14ac:dyDescent="0.3">
      <c r="A148" s="299">
        <v>46113</v>
      </c>
      <c r="B148" s="300" t="str">
        <v>ABRIL</v>
      </c>
      <c r="C148" s="300" t="str">
        <v>CORANTE ROSA IN LOCO</v>
      </c>
      <c r="D148" s="301">
        <v>240</v>
      </c>
      <c r="E148" s="301">
        <v>2880</v>
      </c>
      <c r="F148" s="301">
        <v>240</v>
      </c>
      <c r="G148" s="301">
        <v>1</v>
      </c>
      <c r="H148" s="300" t="str">
        <v>SEMANA ABRIL!B7:I7</v>
      </c>
      <c r="I148" s="301">
        <v>70</v>
      </c>
    </row>
    <row r="149" spans="1:9" ht="18" customHeight="1" x14ac:dyDescent="0.3">
      <c r="A149" s="299">
        <v>46113</v>
      </c>
      <c r="B149" s="300" t="str">
        <v>ABRIL</v>
      </c>
      <c r="C149" s="300" t="str">
        <v>CORANTE ROSA REPETECO</v>
      </c>
      <c r="D149" s="301">
        <v>227</v>
      </c>
      <c r="E149" s="301">
        <v>2724</v>
      </c>
      <c r="F149" s="301">
        <v>240</v>
      </c>
      <c r="G149" s="301">
        <v>1</v>
      </c>
      <c r="H149" s="300" t="str">
        <v>SEMANA ABRIL!B8:I8</v>
      </c>
      <c r="I149" s="301">
        <v>70</v>
      </c>
    </row>
    <row r="150" spans="1:9" ht="18" customHeight="1" x14ac:dyDescent="0.3">
      <c r="A150" s="299">
        <v>46113</v>
      </c>
      <c r="B150" s="300" t="str">
        <v>ABRIL</v>
      </c>
      <c r="C150" s="300" t="str">
        <v>CORANTE VERMELHO INLOCO</v>
      </c>
      <c r="D150" s="301">
        <v>219</v>
      </c>
      <c r="E150" s="301">
        <v>2628</v>
      </c>
      <c r="F150" s="301">
        <v>240</v>
      </c>
      <c r="G150" s="301">
        <v>1</v>
      </c>
      <c r="H150" s="300" t="str">
        <v>SEMANA ABRIL!B9:I9</v>
      </c>
      <c r="I150" s="301">
        <v>70</v>
      </c>
    </row>
    <row r="151" spans="1:9" ht="18" customHeight="1" x14ac:dyDescent="0.3">
      <c r="A151" s="299">
        <v>46113</v>
      </c>
      <c r="B151" s="300" t="str">
        <v>ABRIL</v>
      </c>
      <c r="C151" s="300" t="str">
        <v>CORANTE VIOLETA REPETECO</v>
      </c>
      <c r="D151" s="301">
        <v>36</v>
      </c>
      <c r="E151" s="301">
        <v>432</v>
      </c>
      <c r="F151" s="301">
        <v>80</v>
      </c>
      <c r="G151" s="301">
        <v>1</v>
      </c>
      <c r="H151" s="300" t="str">
        <v>SEMANA ABRIL!B10:I10</v>
      </c>
      <c r="I151" s="301">
        <v>70</v>
      </c>
    </row>
    <row r="152" spans="1:9" ht="18" customHeight="1" x14ac:dyDescent="0.3">
      <c r="A152" s="299">
        <v>46114</v>
      </c>
      <c r="B152" s="300" t="str">
        <v>ABRIL</v>
      </c>
      <c r="C152" s="300" t="str">
        <v>ESPUMA GENGIBRE IN LOCO</v>
      </c>
      <c r="D152" s="301">
        <v>1650</v>
      </c>
      <c r="E152" s="301">
        <v>9900</v>
      </c>
      <c r="F152" s="301">
        <v>1650</v>
      </c>
      <c r="G152" s="301">
        <v>5</v>
      </c>
      <c r="H152" s="300" t="str">
        <v>SEMANA ABRIL!B17:I17</v>
      </c>
      <c r="I152" s="301">
        <v>200</v>
      </c>
    </row>
    <row r="153" spans="1:9" ht="18" customHeight="1" x14ac:dyDescent="0.3">
      <c r="A153" s="299">
        <v>46114</v>
      </c>
      <c r="B153" s="300" t="str">
        <v>ABRIL</v>
      </c>
      <c r="C153" s="300" t="str">
        <v>ESPUMA GENGIBRE DILUTE</v>
      </c>
      <c r="D153" s="301">
        <v>450</v>
      </c>
      <c r="E153" s="301">
        <v>2700</v>
      </c>
      <c r="F153" s="301">
        <v>660</v>
      </c>
      <c r="G153" s="301">
        <v>2</v>
      </c>
      <c r="H153" s="300" t="str">
        <v>SEMANA ABRIL!B18:I18</v>
      </c>
      <c r="I153" s="301">
        <v>200</v>
      </c>
    </row>
    <row r="154" spans="1:9" ht="18" customHeight="1" x14ac:dyDescent="0.3">
      <c r="A154" s="299">
        <v>46118</v>
      </c>
      <c r="B154" s="300" t="str">
        <v>ABRIL</v>
      </c>
      <c r="C154" s="300" t="str">
        <v>ESPUMA GENGIBRE DILUTE</v>
      </c>
      <c r="D154" s="301">
        <v>210</v>
      </c>
      <c r="E154" s="301">
        <v>1260</v>
      </c>
      <c r="F154" s="301">
        <v>210</v>
      </c>
      <c r="G154" s="301">
        <v>1</v>
      </c>
      <c r="H154" s="300" t="str">
        <v>SEMANA ABRIL!B33:I33</v>
      </c>
      <c r="I154" s="301">
        <v>200</v>
      </c>
    </row>
    <row r="155" spans="1:9" ht="18" customHeight="1" x14ac:dyDescent="0.3">
      <c r="A155" s="299">
        <v>46118</v>
      </c>
      <c r="B155" s="300" t="str">
        <v>ABRIL</v>
      </c>
      <c r="C155" s="300" t="str">
        <v>ESPUMA GENGIBRE GIN SABORES</v>
      </c>
      <c r="D155" s="301">
        <v>279</v>
      </c>
      <c r="E155" s="301">
        <v>1674</v>
      </c>
      <c r="F155" s="301">
        <v>330</v>
      </c>
      <c r="G155" s="301">
        <v>1</v>
      </c>
      <c r="H155" s="300" t="str">
        <v>SEMANA ABRIL!B34:I34</v>
      </c>
      <c r="I155" s="301">
        <v>200</v>
      </c>
    </row>
    <row r="156" spans="1:9" ht="18" customHeight="1" x14ac:dyDescent="0.3">
      <c r="A156" s="299">
        <v>46118</v>
      </c>
      <c r="B156" s="300" t="str">
        <v>ABRIL</v>
      </c>
      <c r="C156" s="300" t="str">
        <v>ESPUMA MAÇA VERDE IN LOCO</v>
      </c>
      <c r="D156" s="301">
        <v>314</v>
      </c>
      <c r="E156" s="301">
        <v>1884</v>
      </c>
      <c r="F156" s="301">
        <v>330</v>
      </c>
      <c r="G156" s="301">
        <v>1</v>
      </c>
      <c r="H156" s="300" t="str">
        <v>SEMANA ABRIL!B35:I35</v>
      </c>
      <c r="I156" s="301">
        <v>200</v>
      </c>
    </row>
    <row r="157" spans="1:9" ht="18" customHeight="1" x14ac:dyDescent="0.3">
      <c r="A157" s="299">
        <v>46118</v>
      </c>
      <c r="B157" s="300" t="str">
        <v>ABRIL</v>
      </c>
      <c r="C157" s="300" t="str">
        <v>ESPUMA LIMÃO GIN SABORES</v>
      </c>
      <c r="D157" s="301">
        <v>329</v>
      </c>
      <c r="E157" s="301">
        <v>1974</v>
      </c>
      <c r="F157" s="301">
        <v>330</v>
      </c>
      <c r="G157" s="301">
        <v>1</v>
      </c>
      <c r="H157" s="300" t="str">
        <v>SEMANA ABRIL!B36:I36</v>
      </c>
      <c r="I157" s="301">
        <v>200</v>
      </c>
    </row>
    <row r="158" spans="1:9" ht="18" customHeight="1" x14ac:dyDescent="0.3">
      <c r="A158" s="299">
        <v>46118</v>
      </c>
      <c r="B158" s="300" t="str">
        <v>ABRIL</v>
      </c>
      <c r="C158" s="300" t="str">
        <v>ESPUMA LIMÃO SICILIANO IN LOCO</v>
      </c>
      <c r="D158" s="301">
        <v>321</v>
      </c>
      <c r="E158" s="301">
        <v>1926</v>
      </c>
      <c r="F158" s="301">
        <v>330</v>
      </c>
      <c r="G158" s="301">
        <v>1</v>
      </c>
      <c r="H158" s="300" t="str">
        <v>SEMANA ABRIL!B37:I37</v>
      </c>
      <c r="I158" s="301">
        <v>200</v>
      </c>
    </row>
    <row r="159" spans="1:9" ht="18" customHeight="1" x14ac:dyDescent="0.3">
      <c r="A159" s="299">
        <v>46118</v>
      </c>
      <c r="B159" s="300" t="str">
        <v>ABRIL</v>
      </c>
      <c r="C159" s="300" t="str">
        <v>ESPUMA BANANA GIN SABORES</v>
      </c>
      <c r="D159" s="301">
        <v>318</v>
      </c>
      <c r="E159" s="301">
        <v>1908</v>
      </c>
      <c r="F159" s="301">
        <v>330</v>
      </c>
      <c r="G159" s="301">
        <v>1</v>
      </c>
      <c r="H159" s="300" t="str">
        <v>SEMANA ABRIL!B38:I38</v>
      </c>
      <c r="I159" s="301">
        <v>200</v>
      </c>
    </row>
    <row r="160" spans="1:9" ht="18" customHeight="1" x14ac:dyDescent="0.3">
      <c r="A160" s="299">
        <v>46118</v>
      </c>
      <c r="B160" s="300" t="str">
        <v>ABRIL</v>
      </c>
      <c r="C160" s="300" t="str">
        <v>ESPUMA TANGERINA IN LOCO</v>
      </c>
      <c r="D160" s="301">
        <v>296</v>
      </c>
      <c r="E160" s="301">
        <v>1776</v>
      </c>
      <c r="F160" s="301">
        <v>330</v>
      </c>
      <c r="G160" s="301">
        <v>1</v>
      </c>
      <c r="H160" s="300" t="str">
        <v>SEMANA ABRIL!B39:I39</v>
      </c>
      <c r="I160" s="301">
        <v>200</v>
      </c>
    </row>
    <row r="161" spans="1:9" ht="18" customHeight="1" x14ac:dyDescent="0.3">
      <c r="A161" s="299">
        <v>46118</v>
      </c>
      <c r="B161" s="300" t="str">
        <v>ABRIL</v>
      </c>
      <c r="C161" s="300" t="str">
        <v>ESPUMA MORANGO IN LOCO</v>
      </c>
      <c r="D161" s="301">
        <v>63</v>
      </c>
      <c r="E161" s="301">
        <v>378</v>
      </c>
      <c r="F161" s="301">
        <v>330</v>
      </c>
      <c r="G161" s="301">
        <v>1</v>
      </c>
      <c r="H161" s="300" t="str">
        <v>SEMANA ABRIL!B40:I40</v>
      </c>
      <c r="I161" s="301">
        <v>200</v>
      </c>
    </row>
    <row r="162" spans="1:9" ht="18" customHeight="1" x14ac:dyDescent="0.3">
      <c r="A162" s="299">
        <v>46119</v>
      </c>
      <c r="B162" s="300" t="str">
        <v>ABRIL</v>
      </c>
      <c r="C162" s="300" t="str">
        <v>ESPUMA MORANGO IN LOCO</v>
      </c>
      <c r="D162" s="301">
        <v>267</v>
      </c>
      <c r="E162" s="301">
        <v>1602</v>
      </c>
      <c r="F162" s="301">
        <v>267</v>
      </c>
      <c r="G162" s="301">
        <v>1</v>
      </c>
      <c r="H162" s="300" t="str">
        <v>SEMANA ABRIL!B45:I45</v>
      </c>
      <c r="I162" s="301">
        <v>200</v>
      </c>
    </row>
    <row r="163" spans="1:9" ht="18" customHeight="1" x14ac:dyDescent="0.3">
      <c r="A163" s="299">
        <v>46119</v>
      </c>
      <c r="B163" s="300" t="str">
        <v>ABRIL</v>
      </c>
      <c r="C163" s="300" t="str">
        <v>ESPUMA MORANGO GIN SABORES</v>
      </c>
      <c r="D163" s="301">
        <v>315</v>
      </c>
      <c r="E163" s="301">
        <v>1890</v>
      </c>
      <c r="F163" s="301">
        <v>330</v>
      </c>
      <c r="G163" s="301">
        <v>1</v>
      </c>
      <c r="H163" s="300" t="str">
        <v>SEMANA ABRIL!B46:I46</v>
      </c>
      <c r="I163" s="301">
        <v>200</v>
      </c>
    </row>
    <row r="164" spans="1:9" ht="18" customHeight="1" x14ac:dyDescent="0.3">
      <c r="A164" s="299">
        <v>46119</v>
      </c>
      <c r="B164" s="300" t="str">
        <v>ABRIL</v>
      </c>
      <c r="C164" s="300" t="str">
        <v>ESPUMA FRUTAS VERMELHAS GIN SABORES</v>
      </c>
      <c r="D164" s="301">
        <v>329</v>
      </c>
      <c r="E164" s="301">
        <v>1974</v>
      </c>
      <c r="F164" s="301">
        <v>330</v>
      </c>
      <c r="G164" s="301">
        <v>1</v>
      </c>
      <c r="H164" s="300" t="str">
        <v>SEMANA ABRIL!B47:I47</v>
      </c>
      <c r="I164" s="301">
        <v>200</v>
      </c>
    </row>
    <row r="165" spans="1:9" ht="18" customHeight="1" x14ac:dyDescent="0.3">
      <c r="A165" s="299">
        <v>46119</v>
      </c>
      <c r="B165" s="300" t="str">
        <v>ABRIL</v>
      </c>
      <c r="C165" s="300" t="str">
        <v>ESPUMA FRUTAS VERMELHAS IN LOCO</v>
      </c>
      <c r="D165" s="301">
        <v>330</v>
      </c>
      <c r="E165" s="301">
        <v>1980</v>
      </c>
      <c r="F165" s="301">
        <v>330</v>
      </c>
      <c r="G165" s="301">
        <v>1</v>
      </c>
      <c r="H165" s="300" t="str">
        <v>SEMANA ABRIL!B48:I48</v>
      </c>
      <c r="I165" s="301">
        <v>200</v>
      </c>
    </row>
    <row r="166" spans="1:9" ht="18" customHeight="1" x14ac:dyDescent="0.3">
      <c r="A166" s="299">
        <v>46119</v>
      </c>
      <c r="B166" s="300" t="str">
        <v>ABRIL</v>
      </c>
      <c r="C166" s="300" t="str">
        <v>ANTIMOFO IN LOCO</v>
      </c>
      <c r="D166" s="301">
        <v>106</v>
      </c>
      <c r="E166" s="301">
        <v>1272</v>
      </c>
      <c r="F166" s="301">
        <v>106</v>
      </c>
      <c r="G166" s="301">
        <v>2</v>
      </c>
      <c r="H166" s="300" t="str">
        <v>SEMANA ABRIL!B49:I49</v>
      </c>
      <c r="I166" s="301">
        <v>600</v>
      </c>
    </row>
    <row r="167" spans="1:9" ht="18" customHeight="1" x14ac:dyDescent="0.3">
      <c r="A167" s="299">
        <v>46119</v>
      </c>
      <c r="B167" s="300" t="str">
        <v>ABRIL</v>
      </c>
      <c r="C167" s="300" t="str">
        <v>UNTA FACIL IN LOCO</v>
      </c>
      <c r="D167" s="301">
        <v>194</v>
      </c>
      <c r="E167" s="301">
        <v>2328</v>
      </c>
      <c r="F167" s="301">
        <v>2625</v>
      </c>
      <c r="G167" s="301">
        <v>21</v>
      </c>
      <c r="H167" s="300" t="str">
        <v>SEMANA ABRIL!B50:I50</v>
      </c>
      <c r="I167" s="301">
        <v>400</v>
      </c>
    </row>
    <row r="168" spans="1:9" ht="18" customHeight="1" x14ac:dyDescent="0.3">
      <c r="A168" s="299">
        <v>46120</v>
      </c>
      <c r="B168" s="300" t="str">
        <v>ABRIL</v>
      </c>
      <c r="C168" s="300" t="str">
        <v>UNTA FACIL IN LOCO</v>
      </c>
      <c r="D168" s="301">
        <v>1503</v>
      </c>
      <c r="E168" s="301">
        <v>18036</v>
      </c>
      <c r="F168" s="301">
        <v>2431</v>
      </c>
      <c r="G168" s="301">
        <v>20</v>
      </c>
      <c r="H168" s="300" t="str">
        <v>SEMANA ABRIL!B55:I55</v>
      </c>
      <c r="I168" s="301">
        <v>400</v>
      </c>
    </row>
    <row r="169" spans="1:9" ht="18" customHeight="1" x14ac:dyDescent="0.3">
      <c r="A169" s="299">
        <v>46121</v>
      </c>
      <c r="B169" s="300" t="str">
        <v>ABRIL</v>
      </c>
      <c r="C169" s="300" t="str">
        <v>UNTA FACIL IN LOCO</v>
      </c>
      <c r="D169" s="301">
        <v>1005</v>
      </c>
      <c r="E169" s="301">
        <v>12060</v>
      </c>
      <c r="F169" s="301">
        <v>928</v>
      </c>
      <c r="G169" s="301">
        <v>8</v>
      </c>
      <c r="H169" s="300" t="str">
        <v>SEMANA ABRIL!B63:I63</v>
      </c>
      <c r="I169" s="301">
        <v>400</v>
      </c>
    </row>
    <row r="170" spans="1:9" ht="18" customHeight="1" x14ac:dyDescent="0.3">
      <c r="A170" s="299">
        <v>46122</v>
      </c>
      <c r="B170" s="300" t="str">
        <v>ABRIL</v>
      </c>
      <c r="C170" s="300" t="str">
        <v>DESMOLDANTE CHEF ICEBERG</v>
      </c>
      <c r="D170" s="301">
        <v>560</v>
      </c>
      <c r="E170" s="301">
        <v>6720</v>
      </c>
      <c r="F170" s="301">
        <v>2310</v>
      </c>
      <c r="G170" s="301">
        <v>21</v>
      </c>
      <c r="H170" s="300" t="str">
        <v>SEMANA ABRIL!B71:I71</v>
      </c>
      <c r="I170" s="301">
        <v>400</v>
      </c>
    </row>
    <row r="171" spans="1:9" ht="18" customHeight="1" x14ac:dyDescent="0.3">
      <c r="A171" s="299">
        <v>46125</v>
      </c>
      <c r="B171" s="300" t="str">
        <v>ABRIL</v>
      </c>
      <c r="C171" s="300" t="str">
        <v>DESMOLDANTE CHEF ICEBERG</v>
      </c>
      <c r="D171" s="301">
        <v>993</v>
      </c>
      <c r="E171" s="301">
        <v>11916</v>
      </c>
      <c r="F171" s="301">
        <v>1750</v>
      </c>
      <c r="G171" s="301">
        <v>16</v>
      </c>
      <c r="H171" s="300" t="str">
        <v>SEMANA ABRIL!B79:I79</v>
      </c>
      <c r="I171" s="301">
        <v>400</v>
      </c>
    </row>
    <row r="172" spans="1:9" ht="18" customHeight="1" x14ac:dyDescent="0.3">
      <c r="A172" s="299">
        <v>46126</v>
      </c>
      <c r="B172" s="300" t="str">
        <v>ABRIL</v>
      </c>
      <c r="C172" s="300" t="str">
        <v>DESMOLDANTE CHEF ICEBERG</v>
      </c>
      <c r="D172" s="301">
        <v>427</v>
      </c>
      <c r="E172" s="301">
        <v>5124</v>
      </c>
      <c r="F172" s="301">
        <v>757</v>
      </c>
      <c r="G172" s="301">
        <v>7</v>
      </c>
      <c r="H172" s="300" t="str">
        <v>SEMANA ABRIL!B87:I87</v>
      </c>
      <c r="I172" s="301">
        <v>400</v>
      </c>
    </row>
    <row r="173" spans="1:9" ht="18" customHeight="1" x14ac:dyDescent="0.3">
      <c r="A173" s="299">
        <v>46126</v>
      </c>
      <c r="B173" s="300" t="str">
        <v>ABRIL</v>
      </c>
      <c r="C173" s="300" t="str">
        <v>PURATOS DESTAK</v>
      </c>
      <c r="D173" s="301">
        <v>853</v>
      </c>
      <c r="E173" s="301">
        <v>5118</v>
      </c>
      <c r="F173" s="301">
        <v>1900</v>
      </c>
      <c r="G173" s="301">
        <v>10</v>
      </c>
      <c r="H173" s="300" t="str">
        <v>SEMANA ABRIL!B88:I88</v>
      </c>
      <c r="I173" s="301">
        <v>600</v>
      </c>
    </row>
    <row r="174" spans="1:9" ht="18" customHeight="1" x14ac:dyDescent="0.3">
      <c r="A174" s="299">
        <v>46127</v>
      </c>
      <c r="B174" s="300" t="str">
        <v>ABRIL</v>
      </c>
      <c r="C174" s="300" t="str">
        <v>PURATOS DESTAK</v>
      </c>
      <c r="D174" s="301">
        <v>1166</v>
      </c>
      <c r="E174" s="301">
        <v>6996</v>
      </c>
      <c r="F174" s="301">
        <v>1047</v>
      </c>
      <c r="G174" s="301">
        <v>6</v>
      </c>
      <c r="H174" s="300" t="str">
        <v>SEMANA ABRIL!B95:I95</v>
      </c>
      <c r="I174" s="301">
        <v>600</v>
      </c>
    </row>
    <row r="175" spans="1:9" ht="18" customHeight="1" x14ac:dyDescent="0.3">
      <c r="A175" s="299">
        <v>46127</v>
      </c>
      <c r="B175" s="300" t="str">
        <v>ABRIL</v>
      </c>
      <c r="C175" s="300" t="str">
        <v>ITAIQUARA</v>
      </c>
      <c r="D175" s="301">
        <v>306</v>
      </c>
      <c r="E175" s="301">
        <v>3672</v>
      </c>
      <c r="F175" s="301">
        <v>380</v>
      </c>
      <c r="G175" s="301">
        <v>4</v>
      </c>
      <c r="H175" s="300" t="str">
        <v>SEMANA ABRIL!B96:I96</v>
      </c>
      <c r="I175" s="301">
        <v>600</v>
      </c>
    </row>
    <row r="176" spans="1:9" ht="18" customHeight="1" x14ac:dyDescent="0.3">
      <c r="A176" s="299">
        <v>46128</v>
      </c>
      <c r="B176" s="300" t="str">
        <v>ABRIL</v>
      </c>
      <c r="C176" s="300" t="str">
        <v>ITAIQUARA</v>
      </c>
      <c r="D176" s="301">
        <v>74</v>
      </c>
      <c r="E176" s="301">
        <v>888</v>
      </c>
      <c r="F176" s="301">
        <v>74</v>
      </c>
      <c r="G176" s="301">
        <v>1</v>
      </c>
      <c r="H176" s="300" t="str">
        <v>SEMANA ABRIL!B103:I103</v>
      </c>
      <c r="I176" s="301">
        <v>600</v>
      </c>
    </row>
    <row r="177" spans="1:9" ht="18" customHeight="1" x14ac:dyDescent="0.3">
      <c r="A177" s="299">
        <v>46128</v>
      </c>
      <c r="B177" s="300" t="str">
        <v>ABRIL</v>
      </c>
      <c r="C177" s="300" t="str">
        <v>OLEO DE COCO TAEQ</v>
      </c>
      <c r="D177" s="301">
        <v>469</v>
      </c>
      <c r="E177" s="301">
        <v>5628</v>
      </c>
      <c r="F177" s="301">
        <v>480</v>
      </c>
      <c r="G177" s="301">
        <v>2</v>
      </c>
      <c r="H177" s="300" t="str">
        <v>SEMANA ABRIL!B104:I104</v>
      </c>
      <c r="I177" s="301">
        <v>125</v>
      </c>
    </row>
    <row r="178" spans="1:9" ht="18" customHeight="1" x14ac:dyDescent="0.3">
      <c r="A178" s="299">
        <v>46128</v>
      </c>
      <c r="B178" s="300" t="str">
        <v>ABRIL</v>
      </c>
      <c r="C178" s="300" t="str">
        <v>OLEO DE COCO COPRA MANTEIGA</v>
      </c>
      <c r="D178" s="301">
        <v>454</v>
      </c>
      <c r="E178" s="301">
        <v>5448</v>
      </c>
      <c r="F178" s="301">
        <v>500</v>
      </c>
      <c r="G178" s="301">
        <v>3</v>
      </c>
      <c r="H178" s="300" t="str">
        <v>SEMANA ABRIL!B105:I105</v>
      </c>
      <c r="I178" s="301">
        <v>100</v>
      </c>
    </row>
    <row r="179" spans="1:9" ht="18" customHeight="1" x14ac:dyDescent="0.3">
      <c r="A179" s="299">
        <v>46130</v>
      </c>
      <c r="B179" s="300" t="str">
        <v>ABRIL</v>
      </c>
      <c r="C179" s="300" t="str">
        <v>ALL BREAD MANTEIGA</v>
      </c>
      <c r="D179" s="301">
        <v>51</v>
      </c>
      <c r="E179" s="301">
        <v>612</v>
      </c>
      <c r="F179" s="301">
        <v>50</v>
      </c>
      <c r="G179" s="301">
        <v>1</v>
      </c>
      <c r="H179" s="300" t="str">
        <v>SEMANA ABRIL!B119:I119</v>
      </c>
      <c r="I179" s="301">
        <v>600</v>
      </c>
    </row>
    <row r="180" spans="1:9" ht="18" customHeight="1" x14ac:dyDescent="0.3">
      <c r="A180" s="299">
        <v>46130</v>
      </c>
      <c r="B180" s="300" t="str">
        <v>ABRIL</v>
      </c>
      <c r="C180" s="300" t="str">
        <v>ALL BREAD</v>
      </c>
      <c r="D180" s="301">
        <v>605</v>
      </c>
      <c r="E180" s="301">
        <v>7260</v>
      </c>
      <c r="F180" s="301">
        <v>859</v>
      </c>
      <c r="G180" s="301">
        <v>10</v>
      </c>
      <c r="H180" s="300" t="str">
        <v>SEMANA ABRIL!B120:I120</v>
      </c>
      <c r="I180" s="301">
        <v>600</v>
      </c>
    </row>
    <row r="181" spans="1:9" ht="18" customHeight="1" x14ac:dyDescent="0.3">
      <c r="A181" s="299">
        <v>46132</v>
      </c>
      <c r="B181" s="300" t="str">
        <v>ABRIL</v>
      </c>
      <c r="C181" s="300" t="str">
        <v>ALL BREAD</v>
      </c>
      <c r="D181" s="301">
        <v>254</v>
      </c>
      <c r="E181" s="301">
        <v>3048</v>
      </c>
      <c r="F181" s="301">
        <v>254</v>
      </c>
      <c r="G181" s="301">
        <v>3</v>
      </c>
      <c r="H181" s="300" t="str">
        <v>SEMANA ABRIL!B127:I127</v>
      </c>
      <c r="I181" s="301">
        <v>600</v>
      </c>
    </row>
    <row r="182" spans="1:9" ht="18" customHeight="1" x14ac:dyDescent="0.3">
      <c r="A182" s="299">
        <v>46132</v>
      </c>
      <c r="B182" s="300" t="str">
        <v>ABRIL</v>
      </c>
      <c r="C182" s="300" t="str">
        <v>ADIMIX</v>
      </c>
      <c r="D182" s="301">
        <v>672</v>
      </c>
      <c r="E182" s="301">
        <v>8064</v>
      </c>
      <c r="F182" s="301">
        <v>665</v>
      </c>
      <c r="G182" s="301">
        <v>7</v>
      </c>
      <c r="H182" s="300" t="str">
        <v>SEMANA ABRIL!B128:I128</v>
      </c>
      <c r="I182" s="301">
        <v>600</v>
      </c>
    </row>
    <row r="183" spans="1:9" ht="18" customHeight="1" x14ac:dyDescent="0.3">
      <c r="A183" s="299">
        <v>46133</v>
      </c>
      <c r="B183" s="300" t="str">
        <v>ABRIL</v>
      </c>
      <c r="C183" s="300" t="str">
        <v>IN LOCO</v>
      </c>
      <c r="D183" s="301">
        <v>672</v>
      </c>
      <c r="E183" s="301">
        <v>8064</v>
      </c>
      <c r="F183" s="301">
        <v>665</v>
      </c>
      <c r="G183" s="301">
        <v>7</v>
      </c>
      <c r="H183" s="300" t="str">
        <v>SEMANA ABRIL!B135:I135</v>
      </c>
      <c r="I183" s="301">
        <v>600</v>
      </c>
    </row>
    <row r="184" spans="1:9" ht="18" customHeight="1" x14ac:dyDescent="0.3">
      <c r="A184" s="299">
        <v>46133</v>
      </c>
      <c r="B184" s="300" t="str">
        <v>ABRIL</v>
      </c>
      <c r="C184" s="300" t="str">
        <v>PURATOS DESTAK</v>
      </c>
      <c r="D184" s="301">
        <v>652</v>
      </c>
      <c r="E184" s="301">
        <v>3912</v>
      </c>
      <c r="F184" s="301">
        <v>2470</v>
      </c>
      <c r="G184" s="301">
        <v>13</v>
      </c>
      <c r="H184" s="300" t="str">
        <v>SEMANA ABRIL!B136:I136</v>
      </c>
      <c r="I184" s="301">
        <v>600</v>
      </c>
    </row>
    <row r="185" spans="1:9" ht="18" customHeight="1" x14ac:dyDescent="0.3">
      <c r="A185" s="299">
        <v>46134</v>
      </c>
      <c r="B185" s="300" t="str">
        <v>ABRIL</v>
      </c>
      <c r="C185" s="300" t="str">
        <v>PURATOS DESTAK</v>
      </c>
      <c r="D185" s="301">
        <v>1435</v>
      </c>
      <c r="E185" s="301">
        <v>8610</v>
      </c>
      <c r="F185" s="301">
        <v>1818</v>
      </c>
      <c r="G185" s="301">
        <v>10</v>
      </c>
      <c r="H185" s="300" t="str">
        <v>SEMANA ABRIL!B143:I143</v>
      </c>
      <c r="I185" s="301">
        <v>600</v>
      </c>
    </row>
    <row r="186" spans="1:9" ht="18" customHeight="1" x14ac:dyDescent="0.3">
      <c r="A186" s="299">
        <v>46135</v>
      </c>
      <c r="B186" s="300" t="str">
        <v>ABRIL</v>
      </c>
      <c r="C186" s="300" t="str">
        <v>PURATOS DESTAK</v>
      </c>
      <c r="D186" s="301">
        <v>383</v>
      </c>
      <c r="E186" s="301">
        <v>2298</v>
      </c>
      <c r="F186" s="301">
        <v>383</v>
      </c>
      <c r="G186" s="301">
        <v>3</v>
      </c>
      <c r="H186" s="300" t="str">
        <v>SEMANA ABRIL!B151:I151</v>
      </c>
      <c r="I186" s="301">
        <v>600</v>
      </c>
    </row>
    <row r="187" spans="1:9" ht="18" customHeight="1" x14ac:dyDescent="0.3">
      <c r="A187" s="299">
        <v>46135</v>
      </c>
      <c r="B187" s="300" t="str">
        <v>ABRIL</v>
      </c>
      <c r="C187" s="300" t="str">
        <v>PURATOS NORCAU</v>
      </c>
      <c r="D187" s="301">
        <v>506</v>
      </c>
      <c r="E187" s="301">
        <v>6072</v>
      </c>
      <c r="F187" s="301">
        <v>570</v>
      </c>
      <c r="G187" s="301">
        <v>6</v>
      </c>
      <c r="H187" s="300" t="str">
        <v>SEMANA ABRIL!B152:I152</v>
      </c>
      <c r="I187" s="301">
        <v>600</v>
      </c>
    </row>
    <row r="188" spans="1:9" ht="18" customHeight="1" x14ac:dyDescent="0.3">
      <c r="A188" s="299">
        <v>46136</v>
      </c>
      <c r="B188" s="300" t="str">
        <v>ABRIL</v>
      </c>
      <c r="C188" s="300" t="str">
        <v>PURATOS NORCAU</v>
      </c>
      <c r="D188" s="301">
        <v>64</v>
      </c>
      <c r="E188" s="301">
        <v>768</v>
      </c>
      <c r="F188" s="301">
        <v>64</v>
      </c>
      <c r="G188" s="301">
        <v>1</v>
      </c>
      <c r="H188" s="300" t="str">
        <v>SEMANA ABRIL!B160:I160</v>
      </c>
      <c r="I188" s="301">
        <v>600</v>
      </c>
    </row>
    <row r="189" spans="1:9" ht="18" customHeight="1" x14ac:dyDescent="0.3">
      <c r="A189" s="299">
        <v>46136</v>
      </c>
      <c r="B189" s="300" t="str">
        <v>ABRIL</v>
      </c>
      <c r="C189" s="300" t="str">
        <v>COPRA SEM SABOR</v>
      </c>
      <c r="D189" s="301">
        <v>783</v>
      </c>
      <c r="E189" s="301">
        <v>9396</v>
      </c>
      <c r="F189" s="301">
        <v>1920</v>
      </c>
      <c r="G189" s="301">
        <v>8</v>
      </c>
      <c r="H189" s="300" t="str">
        <v>SEMANA ABRIL!B161:I161</v>
      </c>
      <c r="I189" s="301">
        <v>100</v>
      </c>
    </row>
    <row r="190" spans="1:9" ht="18" customHeight="1" x14ac:dyDescent="0.3">
      <c r="A190" s="299">
        <v>46137</v>
      </c>
      <c r="B190" s="300" t="str">
        <v>ABRIL</v>
      </c>
      <c r="C190" s="300" t="str">
        <v>COPRA SEM SABOR</v>
      </c>
      <c r="D190" s="301">
        <v>1141</v>
      </c>
      <c r="E190" s="301">
        <v>13692</v>
      </c>
      <c r="F190" s="301">
        <v>1137</v>
      </c>
      <c r="G190" s="301">
        <v>5</v>
      </c>
      <c r="H190" s="300" t="str">
        <v>SEMANA ABRIL!B168:I168</v>
      </c>
      <c r="I190" s="301">
        <v>100</v>
      </c>
    </row>
    <row r="191" spans="1:9" ht="18" customHeight="1" x14ac:dyDescent="0.3">
      <c r="A191" s="299">
        <v>46139</v>
      </c>
      <c r="B191" s="300" t="str">
        <v>ABRIL</v>
      </c>
      <c r="C191" s="300" t="str">
        <v>COPRA EXTRAVIRGEM</v>
      </c>
      <c r="D191" s="301">
        <v>1683</v>
      </c>
      <c r="E191" s="301">
        <v>20196</v>
      </c>
      <c r="F191" s="301">
        <v>1670</v>
      </c>
      <c r="G191" s="301">
        <v>7</v>
      </c>
      <c r="H191" s="300" t="str">
        <v>SEMANA ABRIL!B176:I176</v>
      </c>
      <c r="I191" s="301">
        <v>180</v>
      </c>
    </row>
    <row r="192" spans="1:9" ht="18" customHeight="1" x14ac:dyDescent="0.3">
      <c r="A192" s="299">
        <v>46140</v>
      </c>
      <c r="B192" s="300" t="str">
        <v>ABRIL</v>
      </c>
      <c r="C192" s="300" t="str">
        <v>UNTA FACIL</v>
      </c>
      <c r="D192" s="301">
        <v>481</v>
      </c>
      <c r="E192" s="301">
        <v>5772</v>
      </c>
      <c r="F192" s="301">
        <v>480</v>
      </c>
      <c r="G192" s="301">
        <v>2</v>
      </c>
      <c r="H192" s="300" t="str">
        <v>SEMANA ABRIL!B185:I185</v>
      </c>
      <c r="I192" s="301">
        <v>180</v>
      </c>
    </row>
    <row r="193" spans="1:9" ht="18" customHeight="1" x14ac:dyDescent="0.3">
      <c r="A193" s="299">
        <v>46140</v>
      </c>
      <c r="B193" s="300" t="str">
        <v>ABRIL</v>
      </c>
      <c r="C193" s="300" t="str">
        <v>PURATOS DESTAK</v>
      </c>
      <c r="D193" s="301">
        <v>911</v>
      </c>
      <c r="E193" s="301">
        <v>5466</v>
      </c>
      <c r="F193" s="301">
        <v>3990</v>
      </c>
      <c r="G193" s="301">
        <v>21</v>
      </c>
      <c r="H193" s="300" t="str">
        <v>SEMANA ABRIL!B186:I186</v>
      </c>
      <c r="I193" s="301">
        <v>600</v>
      </c>
    </row>
    <row r="194" spans="1:9" ht="18" customHeight="1" x14ac:dyDescent="0.3">
      <c r="A194" s="299">
        <v>46141</v>
      </c>
      <c r="B194" s="300" t="str">
        <v>ABRIL</v>
      </c>
      <c r="C194" s="300" t="str">
        <v>PURATOS DESTAK</v>
      </c>
      <c r="D194" s="301">
        <v>1578</v>
      </c>
      <c r="E194" s="301">
        <v>9468</v>
      </c>
      <c r="F194" s="301">
        <v>3079</v>
      </c>
      <c r="G194" s="301">
        <v>17</v>
      </c>
      <c r="H194" s="300" t="str">
        <v>SEMANA ABRIL!B192:I192</v>
      </c>
      <c r="I194" s="301">
        <v>600</v>
      </c>
    </row>
    <row r="195" spans="1:9" ht="18" customHeight="1" x14ac:dyDescent="0.3">
      <c r="A195" s="299">
        <v>46142</v>
      </c>
      <c r="B195" s="300" t="str">
        <v>ABRIL</v>
      </c>
      <c r="C195" s="300" t="str">
        <v>PURATOS DESTAK</v>
      </c>
      <c r="D195" s="301">
        <v>1140</v>
      </c>
      <c r="E195" s="301">
        <v>6840</v>
      </c>
      <c r="F195" s="301">
        <v>1501</v>
      </c>
      <c r="G195" s="301">
        <v>8</v>
      </c>
      <c r="H195" s="300" t="str">
        <v>SEMANA ABRIL!B200:I200</v>
      </c>
      <c r="I195" s="301">
        <v>600</v>
      </c>
    </row>
    <row r="196" spans="1:9" ht="18" customHeight="1" x14ac:dyDescent="0.3">
      <c r="A196" s="299">
        <v>46142</v>
      </c>
      <c r="B196" s="300" t="str">
        <v>ABRIL</v>
      </c>
      <c r="C196" s="300" t="str">
        <v>ADIMIX LISSE</v>
      </c>
      <c r="D196" s="301">
        <v>420</v>
      </c>
      <c r="E196" s="301">
        <v>5040</v>
      </c>
      <c r="F196" s="301">
        <v>665</v>
      </c>
      <c r="G196" s="301">
        <v>7</v>
      </c>
      <c r="H196" s="300" t="str">
        <v>SEMANA ABRIL!B201:I201</v>
      </c>
      <c r="I196" s="301">
        <v>600</v>
      </c>
    </row>
    <row r="197" spans="1:9" ht="18" customHeight="1" x14ac:dyDescent="0.3">
      <c r="A197" s="299" t="str">
        <v/>
      </c>
      <c r="B197" s="300" t="str">
        <v/>
      </c>
      <c r="C197" s="300" t="str">
        <v/>
      </c>
      <c r="D197" s="301" t="str">
        <v/>
      </c>
      <c r="E197" s="301" t="str">
        <v/>
      </c>
      <c r="F197" s="301" t="str">
        <v/>
      </c>
      <c r="G197" s="301" t="str">
        <v/>
      </c>
      <c r="H197" s="300" t="str">
        <v/>
      </c>
      <c r="I197" s="301" t="str">
        <v/>
      </c>
    </row>
    <row r="198" spans="1:9" ht="18" customHeight="1" x14ac:dyDescent="0.3">
      <c r="A198" s="299" t="str">
        <v/>
      </c>
      <c r="B198" s="300" t="str">
        <v/>
      </c>
      <c r="C198" s="300" t="str">
        <v/>
      </c>
      <c r="D198" s="301" t="str">
        <v/>
      </c>
      <c r="E198" s="301" t="str">
        <v/>
      </c>
      <c r="F198" s="301" t="str">
        <v/>
      </c>
      <c r="G198" s="301" t="str">
        <v/>
      </c>
      <c r="H198" s="300" t="str">
        <v/>
      </c>
      <c r="I198" s="301" t="str">
        <v/>
      </c>
    </row>
    <row r="199" spans="1:9" ht="18" customHeight="1" x14ac:dyDescent="0.3">
      <c r="A199" s="299">
        <v>46143</v>
      </c>
      <c r="B199" s="300" t="str">
        <v>MAIO</v>
      </c>
      <c r="C199" s="300" t="str">
        <v>ADIMIX LISSE</v>
      </c>
      <c r="D199" s="301">
        <v>255</v>
      </c>
      <c r="E199" s="301">
        <v>3060</v>
      </c>
      <c r="F199" s="301">
        <v>245</v>
      </c>
      <c r="G199" s="301">
        <v>3</v>
      </c>
      <c r="H199" s="300" t="str">
        <v>SEMANA MAIO!B4:I4</v>
      </c>
      <c r="I199" s="301">
        <v>600</v>
      </c>
    </row>
    <row r="200" spans="1:9" ht="18" customHeight="1" x14ac:dyDescent="0.3">
      <c r="A200" s="299">
        <v>46143</v>
      </c>
      <c r="B200" s="300" t="str">
        <v>MAIO</v>
      </c>
      <c r="C200" s="300" t="str">
        <v>PURATOS DESTAK</v>
      </c>
      <c r="D200" s="301">
        <v>361</v>
      </c>
      <c r="E200" s="301">
        <v>2166</v>
      </c>
      <c r="F200" s="301">
        <v>361</v>
      </c>
      <c r="G200" s="301">
        <v>2</v>
      </c>
      <c r="H200" s="300" t="str">
        <v>SEMANA MAIO!B5:I5</v>
      </c>
      <c r="I200" s="301">
        <v>600</v>
      </c>
    </row>
    <row r="201" spans="1:9" ht="18" customHeight="1" x14ac:dyDescent="0.3">
      <c r="A201" s="299">
        <v>46143</v>
      </c>
      <c r="B201" s="300" t="str">
        <v>MAIO</v>
      </c>
      <c r="C201" s="300" t="str">
        <v>UNTA FACIL</v>
      </c>
      <c r="D201" s="301">
        <v>534</v>
      </c>
      <c r="E201" s="301">
        <v>6408</v>
      </c>
      <c r="F201" s="301">
        <v>875</v>
      </c>
      <c r="G201" s="301">
        <v>7</v>
      </c>
      <c r="H201" s="300" t="str">
        <v>SEMANA MAIO!B6:I6</v>
      </c>
      <c r="I201" s="301">
        <v>400</v>
      </c>
    </row>
    <row r="202" spans="1:9" ht="18" customHeight="1" x14ac:dyDescent="0.3">
      <c r="A202" s="299">
        <v>46144</v>
      </c>
      <c r="B202" s="300" t="str">
        <v>MAIO</v>
      </c>
      <c r="C202" s="300" t="str">
        <v>UNTA FACIL</v>
      </c>
      <c r="D202" s="301">
        <v>341</v>
      </c>
      <c r="E202" s="301">
        <v>4092</v>
      </c>
      <c r="F202" s="301">
        <v>341</v>
      </c>
      <c r="G202" s="301">
        <v>3</v>
      </c>
      <c r="H202" s="300" t="str">
        <v>SEMANA MAIO!B13:I13</v>
      </c>
      <c r="I202" s="301">
        <v>400</v>
      </c>
    </row>
    <row r="203" spans="1:9" ht="18" customHeight="1" x14ac:dyDescent="0.3">
      <c r="A203" s="299">
        <v>46144</v>
      </c>
      <c r="B203" s="300" t="str">
        <v>MAIO</v>
      </c>
      <c r="C203" s="300" t="str">
        <v>ICEBERG</v>
      </c>
      <c r="D203" s="301">
        <v>686</v>
      </c>
      <c r="E203" s="301">
        <v>8232</v>
      </c>
      <c r="F203" s="301">
        <v>2330</v>
      </c>
      <c r="G203" s="301">
        <v>22</v>
      </c>
      <c r="H203" s="300" t="str">
        <v>SEMANA MAIO!B14:I14</v>
      </c>
      <c r="I203" s="301">
        <v>400</v>
      </c>
    </row>
    <row r="204" spans="1:9" ht="18" customHeight="1" x14ac:dyDescent="0.3">
      <c r="A204" s="299">
        <v>46146</v>
      </c>
      <c r="B204" s="300" t="str">
        <v>MAIO</v>
      </c>
      <c r="C204" s="300" t="str">
        <v>ICEBERG</v>
      </c>
      <c r="D204" s="301">
        <v>1479</v>
      </c>
      <c r="E204" s="301">
        <v>17748</v>
      </c>
      <c r="F204" s="301">
        <v>1644</v>
      </c>
      <c r="G204" s="301">
        <v>15</v>
      </c>
      <c r="H204" s="300" t="str">
        <v>SEMANA MAIO!B21:I21</v>
      </c>
      <c r="I204" s="301">
        <v>400</v>
      </c>
    </row>
    <row r="205" spans="1:9" ht="18" customHeight="1" x14ac:dyDescent="0.3">
      <c r="A205" s="299">
        <v>46147</v>
      </c>
      <c r="B205" s="300" t="str">
        <v>MAIO</v>
      </c>
      <c r="C205" s="300" t="str">
        <v>REPETECO CHEF MASTER</v>
      </c>
      <c r="D205" s="301">
        <v>251</v>
      </c>
      <c r="E205" s="301">
        <v>3012</v>
      </c>
      <c r="F205" s="301">
        <v>250</v>
      </c>
      <c r="G205" s="301">
        <v>2</v>
      </c>
      <c r="H205" s="300" t="str">
        <v>SEMANA MAIO!B29:I29</v>
      </c>
      <c r="I205" s="301">
        <v>400</v>
      </c>
    </row>
    <row r="206" spans="1:9" ht="18" customHeight="1" x14ac:dyDescent="0.3">
      <c r="A206" s="299">
        <v>46147</v>
      </c>
      <c r="B206" s="300" t="str">
        <v>MAIO</v>
      </c>
      <c r="C206" s="300" t="str">
        <v>ROCHAPAN BONASSE</v>
      </c>
      <c r="D206" s="301">
        <v>50</v>
      </c>
      <c r="E206" s="301">
        <v>600</v>
      </c>
      <c r="F206" s="301">
        <v>250</v>
      </c>
      <c r="G206" s="301">
        <v>2</v>
      </c>
      <c r="H206" s="300" t="str">
        <v>SEMANA MAIO!B30:I30</v>
      </c>
      <c r="I206" s="301">
        <v>400</v>
      </c>
    </row>
    <row r="207" spans="1:9" ht="18" customHeight="1" x14ac:dyDescent="0.3">
      <c r="A207" s="299">
        <v>46147</v>
      </c>
      <c r="B207" s="300" t="str">
        <v>MAIO</v>
      </c>
      <c r="C207" s="300" t="str">
        <v>ESPUMA ABACAXI TM</v>
      </c>
      <c r="D207" s="301">
        <v>333</v>
      </c>
      <c r="E207" s="301">
        <v>1998</v>
      </c>
      <c r="F207" s="301">
        <v>330</v>
      </c>
      <c r="G207" s="301">
        <v>1</v>
      </c>
      <c r="H207" s="300" t="str">
        <v>SEMANA MAIO!B31:I31</v>
      </c>
      <c r="I207" s="301">
        <v>200</v>
      </c>
    </row>
    <row r="208" spans="1:9" ht="18" customHeight="1" x14ac:dyDescent="0.3">
      <c r="A208" s="299">
        <v>46147</v>
      </c>
      <c r="B208" s="300" t="str">
        <v>MAIO</v>
      </c>
      <c r="C208" s="300" t="str">
        <v>ESPUMA ABACAXI TM COPA</v>
      </c>
      <c r="D208" s="301">
        <v>331</v>
      </c>
      <c r="E208" s="301">
        <v>1986</v>
      </c>
      <c r="F208" s="301">
        <v>330</v>
      </c>
      <c r="G208" s="301">
        <v>1</v>
      </c>
      <c r="H208" s="300" t="str">
        <v>SEMANA MAIO!B32:I32</v>
      </c>
      <c r="I208" s="301">
        <v>200</v>
      </c>
    </row>
    <row r="209" spans="1:9" ht="18" customHeight="1" x14ac:dyDescent="0.3">
      <c r="A209" s="299">
        <v>46147</v>
      </c>
      <c r="B209" s="300" t="str">
        <v>MAIO</v>
      </c>
      <c r="C209" s="300" t="str">
        <v>ESPUMA T. FRUTTI TM COPA</v>
      </c>
      <c r="D209" s="301">
        <v>174</v>
      </c>
      <c r="E209" s="301">
        <v>1044</v>
      </c>
      <c r="F209" s="301">
        <v>330</v>
      </c>
      <c r="G209" s="301">
        <v>1</v>
      </c>
      <c r="H209" s="300" t="str">
        <v>SEMANA MAIO!B33:I33</v>
      </c>
      <c r="I209" s="301">
        <v>200</v>
      </c>
    </row>
    <row r="210" spans="1:9" ht="18" customHeight="1" x14ac:dyDescent="0.3">
      <c r="A210" s="299">
        <v>46148</v>
      </c>
      <c r="B210" s="300" t="str">
        <v>MAIO</v>
      </c>
      <c r="C210" s="300" t="str">
        <v>ESPUMA T. FRUTTI TM COPA</v>
      </c>
      <c r="D210" s="301">
        <v>156</v>
      </c>
      <c r="E210" s="301">
        <v>936</v>
      </c>
      <c r="F210" s="301">
        <v>156</v>
      </c>
      <c r="G210" s="301">
        <v>1</v>
      </c>
      <c r="H210" s="300" t="str">
        <v>SEMANA MAIO!B38:I38</v>
      </c>
      <c r="I210" s="301">
        <v>200</v>
      </c>
    </row>
    <row r="211" spans="1:9" ht="18" customHeight="1" x14ac:dyDescent="0.3">
      <c r="A211" s="299">
        <v>46148</v>
      </c>
      <c r="B211" s="300" t="str">
        <v>MAIO</v>
      </c>
      <c r="C211" s="300" t="str">
        <v>ESPUMA TUTTI FRUTTI TM</v>
      </c>
      <c r="D211" s="301">
        <v>334</v>
      </c>
      <c r="E211" s="301">
        <v>2004</v>
      </c>
      <c r="F211" s="301">
        <v>330</v>
      </c>
      <c r="G211" s="301">
        <v>1</v>
      </c>
      <c r="H211" s="300" t="str">
        <v>SEMANA MAIO!B39:I39</v>
      </c>
      <c r="I211" s="301">
        <v>200</v>
      </c>
    </row>
    <row r="212" spans="1:9" ht="18" customHeight="1" x14ac:dyDescent="0.3">
      <c r="A212" s="299">
        <v>46148</v>
      </c>
      <c r="B212" s="300" t="str">
        <v>MAIO</v>
      </c>
      <c r="C212" s="300" t="str">
        <v>ESPUMA MELANCIA TM</v>
      </c>
      <c r="D212" s="301">
        <v>333</v>
      </c>
      <c r="E212" s="301">
        <v>1998</v>
      </c>
      <c r="F212" s="301">
        <v>330</v>
      </c>
      <c r="G212" s="301">
        <v>1</v>
      </c>
      <c r="H212" s="300" t="str">
        <v>SEMANA MAIO!B40:I40</v>
      </c>
      <c r="I212" s="301">
        <v>200</v>
      </c>
    </row>
    <row r="213" spans="1:9" ht="18" customHeight="1" x14ac:dyDescent="0.3">
      <c r="A213" s="299">
        <v>46148</v>
      </c>
      <c r="B213" s="300" t="str">
        <v>MAIO</v>
      </c>
      <c r="C213" s="300" t="str">
        <v>ESPUMA MELANCIA TM COPA</v>
      </c>
      <c r="D213" s="301">
        <v>330</v>
      </c>
      <c r="E213" s="301">
        <v>1980</v>
      </c>
      <c r="F213" s="301">
        <v>330</v>
      </c>
      <c r="G213" s="301">
        <v>1</v>
      </c>
      <c r="H213" s="300" t="str">
        <v>SEMANA MAIO!B41:I41</v>
      </c>
      <c r="I213" s="301">
        <v>200</v>
      </c>
    </row>
    <row r="214" spans="1:9" ht="18" customHeight="1" x14ac:dyDescent="0.3">
      <c r="A214" s="299">
        <v>46148</v>
      </c>
      <c r="B214" s="300" t="str">
        <v>MAIO</v>
      </c>
      <c r="C214" s="300" t="str">
        <v>ESPUMA MORANGO TM</v>
      </c>
      <c r="D214" s="301">
        <v>332</v>
      </c>
      <c r="E214" s="301">
        <v>1992</v>
      </c>
      <c r="F214" s="301">
        <v>330</v>
      </c>
      <c r="G214" s="301">
        <v>1</v>
      </c>
      <c r="H214" s="300" t="str">
        <v>SEMANA MAIO!B42:I42</v>
      </c>
      <c r="I214" s="301">
        <v>200</v>
      </c>
    </row>
    <row r="215" spans="1:9" ht="18" customHeight="1" x14ac:dyDescent="0.3">
      <c r="A215" s="299">
        <v>46148</v>
      </c>
      <c r="B215" s="300" t="str">
        <v>MAIO</v>
      </c>
      <c r="C215" s="300" t="str">
        <v>ESPUMA MORANGO TM COPA</v>
      </c>
      <c r="D215" s="301">
        <v>336</v>
      </c>
      <c r="E215" s="301">
        <v>2016</v>
      </c>
      <c r="F215" s="301">
        <v>330</v>
      </c>
      <c r="G215" s="301">
        <v>1</v>
      </c>
      <c r="H215" s="300" t="str">
        <v>SEMANA MAIO!B43:I43</v>
      </c>
      <c r="I215" s="301">
        <v>200</v>
      </c>
    </row>
    <row r="216" spans="1:9" ht="18" customHeight="1" x14ac:dyDescent="0.3">
      <c r="A216" s="299">
        <v>46148</v>
      </c>
      <c r="B216" s="300" t="str">
        <v>MAIO</v>
      </c>
      <c r="C216" s="300" t="str">
        <v>ESPUMA UVA TM</v>
      </c>
      <c r="D216" s="301">
        <v>64</v>
      </c>
      <c r="E216" s="301">
        <v>384</v>
      </c>
      <c r="F216" s="301">
        <v>330</v>
      </c>
      <c r="G216" s="301">
        <v>1</v>
      </c>
      <c r="H216" s="300" t="str">
        <v>SEMANA MAIO!B44:I44</v>
      </c>
      <c r="I216" s="301">
        <v>200</v>
      </c>
    </row>
    <row r="217" spans="1:9" ht="18" customHeight="1" x14ac:dyDescent="0.3">
      <c r="A217" s="299">
        <v>46148</v>
      </c>
      <c r="B217" s="300" t="str">
        <v>MAIO</v>
      </c>
      <c r="C217" s="300" t="str">
        <v>ESPUMA UVA TM COPA</v>
      </c>
      <c r="D217" s="301">
        <v>208</v>
      </c>
      <c r="E217" s="301">
        <v>1248</v>
      </c>
      <c r="F217" s="301">
        <v>330</v>
      </c>
      <c r="G217" s="301">
        <v>1</v>
      </c>
      <c r="H217" s="300" t="str">
        <v>SEMANA MAIO!B45:I45</v>
      </c>
      <c r="I217" s="301">
        <v>200</v>
      </c>
    </row>
    <row r="218" spans="1:9" ht="18" customHeight="1" x14ac:dyDescent="0.3">
      <c r="A218" s="299">
        <v>46149</v>
      </c>
      <c r="B218" s="300" t="str">
        <v>MAIO</v>
      </c>
      <c r="C218" s="300" t="str">
        <v>ESPUMA UVA TM COPA</v>
      </c>
      <c r="D218" s="301">
        <v>123</v>
      </c>
      <c r="E218" s="301">
        <v>738</v>
      </c>
      <c r="F218" s="301">
        <v>122</v>
      </c>
      <c r="G218" s="301">
        <v>1</v>
      </c>
      <c r="H218" s="300" t="str">
        <v>SEMANA MAIO!B50:I50</v>
      </c>
      <c r="I218" s="301">
        <v>200</v>
      </c>
    </row>
    <row r="219" spans="1:9" ht="18" customHeight="1" x14ac:dyDescent="0.3">
      <c r="A219" s="299">
        <v>46149</v>
      </c>
      <c r="B219" s="300" t="str">
        <v>MAIO</v>
      </c>
      <c r="C219" s="300" t="str">
        <v>ESPUMA UVA TM</v>
      </c>
      <c r="D219" s="301">
        <v>269</v>
      </c>
      <c r="E219" s="301">
        <v>1614</v>
      </c>
      <c r="F219" s="301">
        <v>266</v>
      </c>
      <c r="G219" s="301">
        <v>1</v>
      </c>
      <c r="H219" s="300" t="str">
        <v>SEMANA MAIO!B51:I51</v>
      </c>
      <c r="I219" s="301">
        <v>200</v>
      </c>
    </row>
    <row r="220" spans="1:9" ht="18" customHeight="1" x14ac:dyDescent="0.3">
      <c r="A220" s="299">
        <v>46149</v>
      </c>
      <c r="B220" s="300" t="str">
        <v>MAIO</v>
      </c>
      <c r="C220" s="300" t="str">
        <v>ESPUMA DILUTE 3 LIMÕES</v>
      </c>
      <c r="D220" s="301">
        <v>668</v>
      </c>
      <c r="E220" s="301">
        <v>4008</v>
      </c>
      <c r="F220" s="301">
        <v>660</v>
      </c>
      <c r="G220" s="301">
        <v>2</v>
      </c>
      <c r="H220" s="300" t="str">
        <v>SEMANA MAIO!B52:I52</v>
      </c>
      <c r="I220" s="301">
        <v>200</v>
      </c>
    </row>
    <row r="221" spans="1:9" ht="18" customHeight="1" x14ac:dyDescent="0.3">
      <c r="A221" s="299">
        <v>46149</v>
      </c>
      <c r="B221" s="300" t="str">
        <v>MAIO</v>
      </c>
      <c r="C221" s="300" t="str">
        <v>ROCHAPAN BONASSE</v>
      </c>
      <c r="D221" s="301">
        <v>200</v>
      </c>
      <c r="E221" s="301">
        <v>2400</v>
      </c>
      <c r="F221" s="301">
        <v>200</v>
      </c>
      <c r="G221" s="301">
        <v>2</v>
      </c>
      <c r="H221" s="300" t="str">
        <v>SEMANA MAIO!B53:I53</v>
      </c>
      <c r="I221" s="301">
        <v>400</v>
      </c>
    </row>
    <row r="222" spans="1:9" ht="18" customHeight="1" x14ac:dyDescent="0.3">
      <c r="A222" s="299">
        <v>46149</v>
      </c>
      <c r="B222" s="300" t="str">
        <v>MAIO</v>
      </c>
      <c r="C222" s="300" t="str">
        <v>CELEBRATE</v>
      </c>
      <c r="D222" s="301">
        <v>252</v>
      </c>
      <c r="E222" s="301">
        <v>3024</v>
      </c>
      <c r="F222" s="301">
        <v>250</v>
      </c>
      <c r="G222" s="301">
        <v>2</v>
      </c>
      <c r="H222" s="300" t="str">
        <v>SEMANA MAIO!B54:I54</v>
      </c>
      <c r="I222" s="301">
        <v>400</v>
      </c>
    </row>
    <row r="223" spans="1:9" ht="18" customHeight="1" x14ac:dyDescent="0.3">
      <c r="A223" s="299">
        <v>46149</v>
      </c>
      <c r="B223" s="300" t="str">
        <v>MAIO</v>
      </c>
      <c r="C223" s="300" t="str">
        <v>UNTA FACIL</v>
      </c>
      <c r="D223" s="301">
        <v>105</v>
      </c>
      <c r="E223" s="301">
        <v>1260</v>
      </c>
      <c r="F223" s="301">
        <v>665</v>
      </c>
      <c r="G223" s="301">
        <v>7</v>
      </c>
      <c r="H223" s="300" t="str">
        <v>SEMANA MAIO!B55:I55</v>
      </c>
      <c r="I223" s="301">
        <v>600</v>
      </c>
    </row>
    <row r="224" spans="1:9" ht="18" customHeight="1" x14ac:dyDescent="0.3">
      <c r="A224" s="299">
        <v>46150</v>
      </c>
      <c r="B224" s="300" t="str">
        <v>MAIO</v>
      </c>
      <c r="C224" s="300" t="str">
        <v>UNTA FACIL</v>
      </c>
      <c r="D224" s="301">
        <v>531</v>
      </c>
      <c r="E224" s="301">
        <v>6372</v>
      </c>
      <c r="F224" s="301">
        <v>560</v>
      </c>
      <c r="G224" s="301">
        <v>6</v>
      </c>
      <c r="H224" s="300" t="str">
        <v>SEMANA MAIO!B60:I60</v>
      </c>
      <c r="I224" s="301">
        <v>600</v>
      </c>
    </row>
    <row r="225" spans="1:9" ht="18" customHeight="1" x14ac:dyDescent="0.3">
      <c r="A225" s="299">
        <v>46151</v>
      </c>
      <c r="B225" s="300" t="str">
        <v>MAIO</v>
      </c>
      <c r="C225" s="300" t="str">
        <v>UNTA FACIL</v>
      </c>
      <c r="D225" s="301">
        <v>37</v>
      </c>
      <c r="E225" s="301">
        <v>444</v>
      </c>
      <c r="F225" s="301">
        <v>29</v>
      </c>
      <c r="G225" s="301">
        <v>1</v>
      </c>
      <c r="H225" s="300" t="str">
        <v>SEMANA MAIO!B68:I68</v>
      </c>
      <c r="I225" s="301">
        <v>600</v>
      </c>
    </row>
    <row r="226" spans="1:9" ht="18" customHeight="1" x14ac:dyDescent="0.3">
      <c r="A226" s="299">
        <v>46151</v>
      </c>
      <c r="B226" s="300" t="str">
        <v>MAIO</v>
      </c>
      <c r="C226" s="300" t="str">
        <v>ADIMIX LISSE</v>
      </c>
      <c r="D226" s="301">
        <v>641</v>
      </c>
      <c r="E226" s="301">
        <v>7692</v>
      </c>
      <c r="F226" s="301">
        <v>650</v>
      </c>
      <c r="G226" s="301">
        <v>7</v>
      </c>
      <c r="H226" s="300" t="str">
        <v>SEMANA MAIO!B69:I69</v>
      </c>
      <c r="I226" s="301">
        <v>600</v>
      </c>
    </row>
    <row r="227" spans="1:9" ht="18" customHeight="1" x14ac:dyDescent="0.3">
      <c r="A227" s="299">
        <v>46153</v>
      </c>
      <c r="B227" s="300" t="str">
        <v>MAIO</v>
      </c>
      <c r="C227" s="300" t="str">
        <v>VIA PANE</v>
      </c>
      <c r="D227" s="301">
        <v>202</v>
      </c>
      <c r="E227" s="301">
        <v>2424</v>
      </c>
      <c r="F227" s="301">
        <v>200</v>
      </c>
      <c r="G227" s="301">
        <v>3</v>
      </c>
      <c r="H227" s="300" t="str">
        <v>SEMANA MAIO!B76:I76</v>
      </c>
      <c r="I227" s="301">
        <v>600</v>
      </c>
    </row>
    <row r="228" spans="1:9" ht="18" customHeight="1" x14ac:dyDescent="0.3">
      <c r="A228" s="299">
        <v>46153</v>
      </c>
      <c r="B228" s="300" t="str">
        <v>MAIO</v>
      </c>
      <c r="C228" s="300" t="str">
        <v>CLEIDE DOCES</v>
      </c>
      <c r="D228" s="301">
        <v>81</v>
      </c>
      <c r="E228" s="301">
        <v>972</v>
      </c>
      <c r="F228" s="301">
        <v>285</v>
      </c>
      <c r="G228" s="301">
        <v>3</v>
      </c>
      <c r="H228" s="300" t="str">
        <v>SEMANA MAIO!B77:I77</v>
      </c>
      <c r="I228" s="301">
        <v>600</v>
      </c>
    </row>
    <row r="229" spans="1:9" ht="18" customHeight="1" x14ac:dyDescent="0.3">
      <c r="A229" s="299">
        <v>46154</v>
      </c>
      <c r="B229" s="300" t="str">
        <v>MAIO</v>
      </c>
      <c r="C229" s="300" t="str">
        <v>CLEIDE DOCES</v>
      </c>
      <c r="D229" s="301">
        <v>205</v>
      </c>
      <c r="E229" s="301">
        <v>2460</v>
      </c>
      <c r="F229" s="301">
        <v>204</v>
      </c>
      <c r="G229" s="301">
        <v>3</v>
      </c>
      <c r="H229" s="300" t="str">
        <v>SEMANA MAIO!B85:I85</v>
      </c>
      <c r="I229" s="301">
        <v>600</v>
      </c>
    </row>
    <row r="230" spans="1:9" ht="18" customHeight="1" x14ac:dyDescent="0.3">
      <c r="A230" s="299">
        <v>46154</v>
      </c>
      <c r="B230" s="300" t="str">
        <v>MAIO</v>
      </c>
      <c r="C230" s="300" t="str">
        <v>PURATOS NORCAU</v>
      </c>
      <c r="D230" s="301">
        <v>700</v>
      </c>
      <c r="E230" s="301">
        <v>8400</v>
      </c>
      <c r="F230" s="301">
        <v>1045</v>
      </c>
      <c r="G230" s="301">
        <v>11</v>
      </c>
      <c r="H230" s="300" t="str">
        <v>SEMANA MAIO!B86:I86</v>
      </c>
      <c r="I230" s="301">
        <v>600</v>
      </c>
    </row>
    <row r="231" spans="1:9" ht="18" customHeight="1" x14ac:dyDescent="0.3">
      <c r="A231" s="299">
        <v>46155</v>
      </c>
      <c r="B231" s="300" t="str">
        <v>MAIO</v>
      </c>
      <c r="C231" s="300" t="str">
        <v>PURATOS NORCAU</v>
      </c>
      <c r="D231" s="301">
        <v>345</v>
      </c>
      <c r="E231" s="301">
        <v>4140</v>
      </c>
      <c r="F231" s="301">
        <v>345</v>
      </c>
      <c r="G231" s="301">
        <v>4</v>
      </c>
      <c r="H231" s="300" t="str">
        <v>SEMANA MAIO!B93:I93</v>
      </c>
      <c r="I231" s="301">
        <v>600</v>
      </c>
    </row>
    <row r="232" spans="1:9" ht="18" customHeight="1" x14ac:dyDescent="0.3">
      <c r="A232" s="299">
        <v>46155</v>
      </c>
      <c r="B232" s="300" t="str">
        <v>MAIO</v>
      </c>
      <c r="C232" s="300" t="str">
        <v>PURATOS DESTAK</v>
      </c>
      <c r="D232" s="301">
        <v>1127</v>
      </c>
      <c r="E232" s="301">
        <v>6762</v>
      </c>
      <c r="F232" s="301">
        <v>1900</v>
      </c>
      <c r="G232" s="301">
        <v>10</v>
      </c>
      <c r="H232" s="300" t="str">
        <v>SEMANA MAIO!B94:I94</v>
      </c>
      <c r="I232" s="301">
        <v>600</v>
      </c>
    </row>
    <row r="233" spans="1:9" ht="18" customHeight="1" x14ac:dyDescent="0.3">
      <c r="A233" s="299">
        <v>46156</v>
      </c>
      <c r="B233" s="300" t="str">
        <v>MAIO</v>
      </c>
      <c r="C233" s="300" t="str">
        <v>PURATOS DESTAK</v>
      </c>
      <c r="D233" s="301">
        <v>773</v>
      </c>
      <c r="E233" s="301">
        <v>4638</v>
      </c>
      <c r="F233" s="301">
        <v>773</v>
      </c>
      <c r="G233" s="301">
        <v>5</v>
      </c>
      <c r="H233" s="300" t="str">
        <v>SEMANA MAIO!B101:I101</v>
      </c>
      <c r="I233" s="301">
        <v>600</v>
      </c>
    </row>
    <row r="234" spans="1:9" ht="18" customHeight="1" x14ac:dyDescent="0.3">
      <c r="A234" s="299">
        <v>46156</v>
      </c>
      <c r="B234" s="300" t="str">
        <v>MAIO</v>
      </c>
      <c r="C234" s="300" t="str">
        <v>UNTA FACIL</v>
      </c>
      <c r="D234" s="301">
        <v>269</v>
      </c>
      <c r="E234" s="301">
        <v>3228</v>
      </c>
      <c r="F234" s="301">
        <v>1140</v>
      </c>
      <c r="G234" s="301">
        <v>12</v>
      </c>
      <c r="H234" s="300" t="str">
        <v>SEMANA MAIO!B102:I102</v>
      </c>
      <c r="I234" s="301">
        <v>600</v>
      </c>
    </row>
    <row r="235" spans="1:9" ht="18" customHeight="1" x14ac:dyDescent="0.3">
      <c r="A235" s="299">
        <v>46157</v>
      </c>
      <c r="B235" s="300" t="str">
        <v>MAIO</v>
      </c>
      <c r="C235" s="300" t="str">
        <v>UNTA FACIL</v>
      </c>
      <c r="D235" s="301">
        <v>449</v>
      </c>
      <c r="E235" s="301">
        <v>5388</v>
      </c>
      <c r="F235" s="301">
        <v>871</v>
      </c>
      <c r="G235" s="301">
        <v>10</v>
      </c>
      <c r="H235" s="300" t="str">
        <v>SEMANA MAIO!B109:I109</v>
      </c>
      <c r="I235" s="301">
        <v>600</v>
      </c>
    </row>
    <row r="236" spans="1:9" ht="18" customHeight="1" x14ac:dyDescent="0.3">
      <c r="A236" s="299">
        <v>46157</v>
      </c>
      <c r="B236" s="300" t="str">
        <v>MAIO</v>
      </c>
      <c r="C236" s="300" t="str">
        <v>ADIMIX</v>
      </c>
      <c r="D236" s="301">
        <v>39</v>
      </c>
      <c r="E236" s="301">
        <v>468</v>
      </c>
      <c r="F236" s="301">
        <v>665</v>
      </c>
      <c r="G236" s="301">
        <v>7</v>
      </c>
      <c r="H236" s="300" t="str">
        <v>SEMANA MAIO!B110:I110</v>
      </c>
      <c r="I236" s="301">
        <v>600</v>
      </c>
    </row>
    <row r="237" spans="1:9" ht="18" customHeight="1" x14ac:dyDescent="0.3">
      <c r="A237" s="299">
        <v>46158</v>
      </c>
      <c r="B237" s="300" t="str">
        <v>MAIO</v>
      </c>
      <c r="C237" s="300" t="str">
        <v>ADIMIX</v>
      </c>
      <c r="D237" s="301">
        <v>633</v>
      </c>
      <c r="E237" s="301">
        <v>7596</v>
      </c>
      <c r="F237" s="301">
        <v>626</v>
      </c>
      <c r="G237" s="301">
        <v>7</v>
      </c>
      <c r="H237" s="300" t="str">
        <v>SEMANA MAIO!B117:I117</v>
      </c>
      <c r="I237" s="301">
        <v>600</v>
      </c>
    </row>
    <row r="238" spans="1:9" ht="18" customHeight="1" x14ac:dyDescent="0.3">
      <c r="A238" s="299">
        <v>46160</v>
      </c>
      <c r="B238" s="300" t="str">
        <v>MAIO</v>
      </c>
      <c r="C238" s="300" t="str">
        <v>CORANTE REPETECO VERDE</v>
      </c>
      <c r="D238" s="301">
        <v>241</v>
      </c>
      <c r="E238" s="301">
        <v>2892</v>
      </c>
      <c r="F238" s="301">
        <v>240</v>
      </c>
      <c r="G238" s="301">
        <v>1</v>
      </c>
      <c r="H238" s="300" t="str">
        <v>SEMANA MAIO!B124:I124</v>
      </c>
      <c r="I238" s="301">
        <v>70</v>
      </c>
    </row>
    <row r="239" spans="1:9" ht="18" customHeight="1" x14ac:dyDescent="0.3">
      <c r="A239" s="299">
        <v>46160</v>
      </c>
      <c r="B239" s="300" t="str">
        <v>MAIO</v>
      </c>
      <c r="C239" s="300" t="str">
        <v>CORANTE REPETECO LARANJA</v>
      </c>
      <c r="D239" s="301">
        <v>243</v>
      </c>
      <c r="E239" s="301">
        <v>2916</v>
      </c>
      <c r="F239" s="301">
        <v>240</v>
      </c>
      <c r="G239" s="301">
        <v>1</v>
      </c>
      <c r="H239" s="300" t="str">
        <v>SEMANA MAIO!B125:I125</v>
      </c>
      <c r="I239" s="301">
        <v>70</v>
      </c>
    </row>
    <row r="240" spans="1:9" ht="18" customHeight="1" x14ac:dyDescent="0.3">
      <c r="A240" s="299">
        <v>46160</v>
      </c>
      <c r="B240" s="300" t="str">
        <v>MAIO</v>
      </c>
      <c r="C240" s="300" t="str">
        <v>CORANTE REPETECO VIOLETA</v>
      </c>
      <c r="D240" s="301">
        <v>242</v>
      </c>
      <c r="E240" s="301">
        <v>2904</v>
      </c>
      <c r="F240" s="301">
        <v>240</v>
      </c>
      <c r="G240" s="301">
        <v>1</v>
      </c>
      <c r="H240" s="300" t="str">
        <v>SEMANA MAIO!B126:I126</v>
      </c>
      <c r="I240" s="301">
        <v>70</v>
      </c>
    </row>
    <row r="241" spans="1:9" ht="18" customHeight="1" x14ac:dyDescent="0.3">
      <c r="A241" s="299">
        <v>46160</v>
      </c>
      <c r="B241" s="300" t="str">
        <v>MAIO</v>
      </c>
      <c r="C241" s="300" t="str">
        <v>CARREFOUR COCO</v>
      </c>
      <c r="D241" s="301">
        <v>239</v>
      </c>
      <c r="E241" s="301">
        <v>2868</v>
      </c>
      <c r="F241" s="301">
        <v>250</v>
      </c>
      <c r="G241" s="301">
        <v>2</v>
      </c>
      <c r="H241" s="300" t="str">
        <v>SEMANA MAIO!B127:I127</v>
      </c>
      <c r="I241" s="301">
        <v>100</v>
      </c>
    </row>
    <row r="242" spans="1:9" ht="18" customHeight="1" x14ac:dyDescent="0.3">
      <c r="A242" s="299">
        <v>46161</v>
      </c>
      <c r="B242" s="300" t="str">
        <v>MAIO</v>
      </c>
      <c r="C242" s="300" t="str">
        <v>GPA QUALITA</v>
      </c>
      <c r="D242" s="301">
        <v>240</v>
      </c>
      <c r="E242" s="301">
        <v>2880</v>
      </c>
      <c r="F242" s="301">
        <v>240</v>
      </c>
      <c r="G242" s="301">
        <v>1</v>
      </c>
      <c r="H242" s="300" t="str">
        <v>SEMANA MAIO!B134:I134</v>
      </c>
      <c r="I242" s="301">
        <v>180</v>
      </c>
    </row>
    <row r="243" spans="1:9" ht="18" customHeight="1" x14ac:dyDescent="0.3">
      <c r="A243" s="299">
        <v>46161</v>
      </c>
      <c r="B243" s="300" t="str">
        <v>MAIO</v>
      </c>
      <c r="C243" s="300" t="str">
        <v>UNTA FACIL</v>
      </c>
      <c r="D243" s="301">
        <v>551</v>
      </c>
      <c r="E243" s="301">
        <v>6612</v>
      </c>
      <c r="F243" s="301">
        <v>500</v>
      </c>
      <c r="G243" s="301">
        <v>3</v>
      </c>
      <c r="H243" s="300" t="str">
        <v>SEMANA MAIO!B135:I135</v>
      </c>
      <c r="I243" s="301">
        <v>180</v>
      </c>
    </row>
    <row r="244" spans="1:9" ht="18" customHeight="1" x14ac:dyDescent="0.3">
      <c r="A244" s="299">
        <v>46161</v>
      </c>
      <c r="B244" s="300" t="str">
        <v>MAIO</v>
      </c>
      <c r="C244" s="300" t="str">
        <v>UNTA FACIL</v>
      </c>
      <c r="D244" s="301">
        <v>464</v>
      </c>
      <c r="E244" s="301">
        <v>5568</v>
      </c>
      <c r="F244" s="301">
        <v>875</v>
      </c>
      <c r="G244" s="301">
        <v>7</v>
      </c>
      <c r="H244" s="300" t="str">
        <v>SEMANA MAIO!B136:I136</v>
      </c>
      <c r="I244" s="301">
        <v>400</v>
      </c>
    </row>
    <row r="245" spans="1:9" ht="18" customHeight="1" x14ac:dyDescent="0.3">
      <c r="A245" s="299">
        <v>46162</v>
      </c>
      <c r="B245" s="300" t="str">
        <v>MAIO</v>
      </c>
      <c r="C245" s="300" t="str">
        <v>UNTA FACIL</v>
      </c>
      <c r="D245" s="301">
        <v>536</v>
      </c>
      <c r="E245" s="301">
        <v>6432</v>
      </c>
      <c r="F245" s="301">
        <v>411</v>
      </c>
      <c r="G245" s="301">
        <v>4</v>
      </c>
      <c r="H245" s="300" t="str">
        <v>SEMANA MAIO!B142:I142</v>
      </c>
      <c r="I245" s="301">
        <v>400</v>
      </c>
    </row>
    <row r="246" spans="1:9" ht="18" customHeight="1" x14ac:dyDescent="0.3">
      <c r="A246" s="299">
        <v>46162</v>
      </c>
      <c r="B246" s="300" t="str">
        <v>MAIO</v>
      </c>
      <c r="C246" s="300" t="str">
        <v>EMBRAPAN MAGIC SPRAY</v>
      </c>
      <c r="D246" s="301">
        <v>251</v>
      </c>
      <c r="E246" s="301">
        <v>3012</v>
      </c>
      <c r="F246" s="301">
        <v>250</v>
      </c>
      <c r="G246" s="301">
        <v>2</v>
      </c>
      <c r="H246" s="300" t="str">
        <v>SEMANA MAIO!B143:I143</v>
      </c>
      <c r="I246" s="301">
        <v>400</v>
      </c>
    </row>
    <row r="247" spans="1:9" ht="18" customHeight="1" x14ac:dyDescent="0.3">
      <c r="A247" s="299">
        <v>46162</v>
      </c>
      <c r="B247" s="300" t="str">
        <v>MAIO</v>
      </c>
      <c r="C247" s="300" t="str">
        <v>DISPAN UNTA TUDO</v>
      </c>
      <c r="D247" s="301">
        <v>340</v>
      </c>
      <c r="E247" s="301">
        <v>4080</v>
      </c>
      <c r="F247" s="301">
        <v>375</v>
      </c>
      <c r="G247" s="301">
        <v>3</v>
      </c>
      <c r="H247" s="300" t="str">
        <v>SEMANA MAIO!B144:I144</v>
      </c>
      <c r="I247" s="301">
        <v>400</v>
      </c>
    </row>
    <row r="248" spans="1:9" ht="18" customHeight="1" x14ac:dyDescent="0.3">
      <c r="A248" s="299">
        <v>46163</v>
      </c>
      <c r="B248" s="300" t="str">
        <v>MAIO</v>
      </c>
      <c r="C248" s="300" t="str">
        <v>DISPAN UNTA TUDO</v>
      </c>
      <c r="D248" s="301">
        <v>37</v>
      </c>
      <c r="E248" s="301">
        <v>444</v>
      </c>
      <c r="F248" s="301">
        <v>35</v>
      </c>
      <c r="G248" s="301">
        <v>1</v>
      </c>
      <c r="H248" s="300" t="str">
        <v>SEMANA MAIO!B150:I150</v>
      </c>
      <c r="I248" s="301">
        <v>400</v>
      </c>
    </row>
    <row r="249" spans="1:9" ht="18" customHeight="1" x14ac:dyDescent="0.3">
      <c r="A249" s="299">
        <v>46163</v>
      </c>
      <c r="B249" s="300" t="str">
        <v>MAIO</v>
      </c>
      <c r="C249" s="300" t="str">
        <v>FESTPAN GRILL</v>
      </c>
      <c r="D249" s="301">
        <v>1534</v>
      </c>
      <c r="E249" s="301">
        <v>18408</v>
      </c>
      <c r="F249" s="301">
        <v>2060</v>
      </c>
      <c r="G249" s="301">
        <v>17</v>
      </c>
      <c r="H249" s="300" t="str">
        <v>SEMANA MAIO!B151:I151</v>
      </c>
      <c r="I249" s="301">
        <v>400</v>
      </c>
    </row>
    <row r="250" spans="1:9" ht="18" customHeight="1" x14ac:dyDescent="0.3">
      <c r="A250" s="299">
        <v>46164</v>
      </c>
      <c r="B250" s="300" t="str">
        <v>MAIO</v>
      </c>
      <c r="C250" s="300" t="str">
        <v>FESTPAN GRILL</v>
      </c>
      <c r="D250" s="301">
        <v>527</v>
      </c>
      <c r="E250" s="301">
        <v>6324</v>
      </c>
      <c r="F250" s="301">
        <v>526</v>
      </c>
      <c r="G250" s="301">
        <v>5</v>
      </c>
      <c r="H250" s="300" t="str">
        <v>SEMANA MAIO!B158:I158</v>
      </c>
      <c r="I250" s="301">
        <v>400</v>
      </c>
    </row>
    <row r="251" spans="1:9" ht="18" customHeight="1" x14ac:dyDescent="0.3">
      <c r="A251" s="299">
        <v>46165</v>
      </c>
      <c r="B251" s="300" t="str">
        <v>MAIO</v>
      </c>
      <c r="C251" s="300" t="str">
        <v>DONA LELLA</v>
      </c>
      <c r="D251" s="301">
        <v>875</v>
      </c>
      <c r="E251" s="301">
        <v>10500</v>
      </c>
      <c r="F251" s="301">
        <v>1650</v>
      </c>
      <c r="G251" s="301">
        <v>14</v>
      </c>
      <c r="H251" s="300" t="str">
        <v>SEMANA MAIO!B167:I167</v>
      </c>
      <c r="I251" s="301">
        <v>400</v>
      </c>
    </row>
    <row r="252" spans="1:9" ht="18" customHeight="1" x14ac:dyDescent="0.3">
      <c r="A252" s="299">
        <v>46167</v>
      </c>
      <c r="B252" s="300" t="str">
        <v>MAIO</v>
      </c>
      <c r="C252" s="300" t="str">
        <v>DONA LELLA</v>
      </c>
      <c r="D252" s="301">
        <v>775</v>
      </c>
      <c r="E252" s="301">
        <v>9300</v>
      </c>
      <c r="F252" s="301">
        <v>775</v>
      </c>
      <c r="G252" s="301">
        <v>7</v>
      </c>
      <c r="H252" s="300" t="str">
        <v>SEMANA MAIO!B175:I175</v>
      </c>
      <c r="I252" s="301">
        <v>400</v>
      </c>
    </row>
    <row r="253" spans="1:9" ht="18" customHeight="1" x14ac:dyDescent="0.3">
      <c r="A253" s="299">
        <v>46167</v>
      </c>
      <c r="B253" s="300" t="str">
        <v>MAIO</v>
      </c>
      <c r="C253" s="300" t="str">
        <v>ICEBERG</v>
      </c>
      <c r="D253" s="301">
        <v>261</v>
      </c>
      <c r="E253" s="301">
        <v>3132</v>
      </c>
      <c r="F253" s="301">
        <v>240</v>
      </c>
      <c r="G253" s="301">
        <v>3</v>
      </c>
      <c r="H253" s="300" t="str">
        <v>SEMANA MAIO!B176:I176</v>
      </c>
      <c r="I253" s="301">
        <v>400</v>
      </c>
    </row>
    <row r="254" spans="1:9" ht="18" customHeight="1" x14ac:dyDescent="0.3">
      <c r="A254" s="299">
        <v>46167</v>
      </c>
      <c r="B254" s="300" t="str">
        <v>MAIO</v>
      </c>
      <c r="C254" s="300" t="str">
        <v>UNTA FACIL MEL</v>
      </c>
      <c r="D254" s="301">
        <v>72</v>
      </c>
      <c r="E254" s="301">
        <v>864</v>
      </c>
      <c r="F254" s="301">
        <v>125</v>
      </c>
      <c r="G254" s="301">
        <v>1</v>
      </c>
      <c r="H254" s="300" t="str">
        <v>SEMANA MAIO!B177:I177</v>
      </c>
      <c r="I254" s="301">
        <v>400</v>
      </c>
    </row>
    <row r="255" spans="1:9" ht="18" customHeight="1" x14ac:dyDescent="0.3">
      <c r="A255" s="299">
        <v>46168</v>
      </c>
      <c r="B255" s="300" t="str">
        <v>MAIO</v>
      </c>
      <c r="C255" s="300" t="str">
        <v>UNTA FACIL MEL</v>
      </c>
      <c r="D255" s="301">
        <v>53</v>
      </c>
      <c r="E255" s="301">
        <v>636</v>
      </c>
      <c r="F255" s="301">
        <v>53</v>
      </c>
      <c r="G255" s="301">
        <v>1</v>
      </c>
      <c r="H255" s="300" t="str">
        <v>SEMANA MAIO!B183:I183</v>
      </c>
      <c r="I255" s="301">
        <v>400</v>
      </c>
    </row>
    <row r="256" spans="1:9" ht="18" customHeight="1" x14ac:dyDescent="0.3">
      <c r="A256" s="299">
        <v>46168</v>
      </c>
      <c r="B256" s="300" t="str">
        <v>MAIO</v>
      </c>
      <c r="C256" s="300" t="str">
        <v>UNTA FACIL MEL</v>
      </c>
      <c r="D256" s="301">
        <v>380</v>
      </c>
      <c r="E256" s="301">
        <v>4560</v>
      </c>
      <c r="F256" s="301">
        <v>380</v>
      </c>
      <c r="G256" s="301">
        <v>4</v>
      </c>
      <c r="H256" s="300" t="str">
        <v>SEMANA MAIO!B184:I184</v>
      </c>
      <c r="I256" s="301">
        <v>600</v>
      </c>
    </row>
    <row r="257" spans="1:9" ht="18" customHeight="1" x14ac:dyDescent="0.3">
      <c r="A257" s="299">
        <v>46168</v>
      </c>
      <c r="B257" s="300" t="str">
        <v>MAIO</v>
      </c>
      <c r="C257" s="300" t="str">
        <v>TTF MEL</v>
      </c>
      <c r="D257" s="301">
        <v>322</v>
      </c>
      <c r="E257" s="301">
        <v>3864</v>
      </c>
      <c r="F257" s="301">
        <v>285</v>
      </c>
      <c r="G257" s="301">
        <v>3</v>
      </c>
      <c r="H257" s="300" t="str">
        <v>SEMANA MAIO!B185:I185</v>
      </c>
      <c r="I257" s="301">
        <v>600</v>
      </c>
    </row>
    <row r="258" spans="1:9" ht="18" customHeight="1" x14ac:dyDescent="0.3">
      <c r="A258" s="299">
        <v>46169</v>
      </c>
      <c r="B258" s="300" t="str">
        <v>MAIO</v>
      </c>
      <c r="C258" s="300" t="str">
        <v>ADIMIX LISSE</v>
      </c>
      <c r="D258" s="301">
        <v>673</v>
      </c>
      <c r="E258" s="301">
        <v>8076</v>
      </c>
      <c r="F258" s="301">
        <v>665</v>
      </c>
      <c r="G258" s="301">
        <v>7</v>
      </c>
      <c r="H258" s="300" t="str">
        <v>SEMANA MAIO!B193:I193</v>
      </c>
      <c r="I258" s="301">
        <v>600</v>
      </c>
    </row>
    <row r="259" spans="1:9" ht="18" customHeight="1" x14ac:dyDescent="0.3">
      <c r="A259" s="299">
        <v>46169</v>
      </c>
      <c r="B259" s="300" t="str">
        <v>MAIO</v>
      </c>
      <c r="C259" s="300" t="str">
        <v>QUALICOCO EXTRA VIRGEM</v>
      </c>
      <c r="D259" s="301">
        <v>47</v>
      </c>
      <c r="E259" s="301">
        <v>564</v>
      </c>
      <c r="F259" s="301">
        <v>840</v>
      </c>
      <c r="G259" s="301">
        <v>4</v>
      </c>
      <c r="H259" s="300" t="str">
        <v>SEMANA MAIO!B194:I194</v>
      </c>
      <c r="I259" s="301">
        <v>100</v>
      </c>
    </row>
    <row r="260" spans="1:9" ht="18" customHeight="1" x14ac:dyDescent="0.3">
      <c r="A260" s="299">
        <v>46170</v>
      </c>
      <c r="B260" s="300" t="str">
        <v>MAIO</v>
      </c>
      <c r="C260" s="300" t="str">
        <v>QUALICOCO EXTRA VIRGEM</v>
      </c>
      <c r="D260" s="301">
        <v>747</v>
      </c>
      <c r="E260" s="301">
        <v>8964</v>
      </c>
      <c r="F260" s="301">
        <v>793</v>
      </c>
      <c r="G260" s="301">
        <v>4</v>
      </c>
      <c r="H260" s="300" t="str">
        <v>SEMANA MAIO!B202:I202</v>
      </c>
      <c r="I260" s="301">
        <v>100</v>
      </c>
    </row>
    <row r="261" spans="1:9" ht="18" customHeight="1" x14ac:dyDescent="0.3">
      <c r="A261" s="299">
        <v>46170</v>
      </c>
      <c r="B261" s="300" t="str">
        <v>MAIO</v>
      </c>
      <c r="C261" s="300" t="str">
        <v>QUALICOCO MANTEIGA</v>
      </c>
      <c r="D261" s="301">
        <v>690</v>
      </c>
      <c r="E261" s="301">
        <v>8280</v>
      </c>
      <c r="F261" s="301">
        <v>840</v>
      </c>
      <c r="G261" s="301">
        <v>4</v>
      </c>
      <c r="H261" s="300" t="str">
        <v>SEMANA MAIO!B203:I203</v>
      </c>
      <c r="I261" s="301">
        <v>100</v>
      </c>
    </row>
    <row r="262" spans="1:9" ht="18" customHeight="1" x14ac:dyDescent="0.3">
      <c r="A262" s="299">
        <v>46171</v>
      </c>
      <c r="B262" s="300" t="str">
        <v>MAIO</v>
      </c>
      <c r="C262" s="300" t="str">
        <v>QUALICOCO MANTEIGA</v>
      </c>
      <c r="D262" s="301">
        <v>147</v>
      </c>
      <c r="E262" s="301">
        <v>1764</v>
      </c>
      <c r="F262" s="301">
        <v>150</v>
      </c>
      <c r="G262" s="301">
        <v>1</v>
      </c>
      <c r="H262" s="300" t="str">
        <v>SEMANA MAIO!B210:I210</v>
      </c>
      <c r="I262" s="301">
        <v>100</v>
      </c>
    </row>
    <row r="263" spans="1:9" ht="18" customHeight="1" x14ac:dyDescent="0.3">
      <c r="A263" s="299">
        <v>46171</v>
      </c>
      <c r="B263" s="300" t="str">
        <v>MAIO</v>
      </c>
      <c r="C263" s="300" t="str">
        <v>COPRA MANTEIGA</v>
      </c>
      <c r="D263" s="301">
        <v>610</v>
      </c>
      <c r="E263" s="301">
        <v>7320</v>
      </c>
      <c r="F263" s="301">
        <v>500</v>
      </c>
      <c r="G263" s="301">
        <v>3</v>
      </c>
      <c r="H263" s="300" t="str">
        <v>SEMANA MAIO!B211:I211</v>
      </c>
      <c r="I263" s="301">
        <v>100</v>
      </c>
    </row>
    <row r="264" spans="1:9" ht="18" customHeight="1" x14ac:dyDescent="0.3">
      <c r="A264" s="299">
        <v>46172</v>
      </c>
      <c r="B264" s="300" t="str">
        <v>MAIO</v>
      </c>
      <c r="C264" s="300" t="str">
        <v>VIA PANE</v>
      </c>
      <c r="D264" s="301">
        <v>201</v>
      </c>
      <c r="E264" s="301">
        <v>2412</v>
      </c>
      <c r="F264" s="301">
        <v>200</v>
      </c>
      <c r="G264" s="301">
        <v>3</v>
      </c>
      <c r="H264" s="300" t="str">
        <v>SEMANA MAIO!B219:I219</v>
      </c>
      <c r="I264" s="301">
        <v>600</v>
      </c>
    </row>
    <row r="265" spans="1:9" ht="18" customHeight="1" x14ac:dyDescent="0.3">
      <c r="A265" s="299">
        <v>46172</v>
      </c>
      <c r="B265" s="300" t="str">
        <v>MAIO</v>
      </c>
      <c r="C265" s="300" t="str">
        <v>ITAIQUARA</v>
      </c>
      <c r="D265" s="301">
        <v>381</v>
      </c>
      <c r="E265" s="301">
        <v>4572</v>
      </c>
      <c r="F265" s="301">
        <v>380</v>
      </c>
      <c r="G265" s="301">
        <v>4</v>
      </c>
      <c r="H265" s="300" t="str">
        <v>SEMANA MAIO!B220:I220</v>
      </c>
      <c r="I265" s="301">
        <v>600</v>
      </c>
    </row>
    <row r="266" spans="1:9" ht="18" customHeight="1" x14ac:dyDescent="0.3">
      <c r="A266" s="299" t="str">
        <v/>
      </c>
      <c r="B266" s="300" t="str">
        <v/>
      </c>
      <c r="C266" s="300" t="str">
        <v/>
      </c>
      <c r="D266" s="301" t="str">
        <v/>
      </c>
      <c r="E266" s="301" t="str">
        <v/>
      </c>
      <c r="F266" s="301" t="str">
        <v/>
      </c>
      <c r="G266" s="301" t="str">
        <v/>
      </c>
      <c r="H266" s="300" t="str">
        <v/>
      </c>
      <c r="I266" s="301" t="str">
        <v/>
      </c>
    </row>
    <row r="267" spans="1:9" ht="18" customHeight="1" x14ac:dyDescent="0.3">
      <c r="A267" s="299" t="str">
        <v/>
      </c>
      <c r="B267" s="300" t="str">
        <v/>
      </c>
      <c r="C267" s="300" t="str">
        <v/>
      </c>
      <c r="D267" s="301" t="str">
        <v/>
      </c>
      <c r="E267" s="301" t="str">
        <v/>
      </c>
      <c r="F267" s="301" t="str">
        <v/>
      </c>
      <c r="G267" s="301" t="str">
        <v/>
      </c>
      <c r="H267" s="300" t="str">
        <v/>
      </c>
      <c r="I267" s="301" t="str">
        <v/>
      </c>
    </row>
    <row r="268" spans="1:9" ht="18" customHeight="1" x14ac:dyDescent="0.3">
      <c r="A268" s="299">
        <v>46174</v>
      </c>
      <c r="B268" s="300" t="str">
        <v>JUNHO</v>
      </c>
      <c r="C268" s="300" t="str">
        <v>PURATOS DESTAK</v>
      </c>
      <c r="D268" s="301">
        <v>1463</v>
      </c>
      <c r="E268" s="301">
        <v>8778</v>
      </c>
      <c r="F268" s="301">
        <v>3990</v>
      </c>
      <c r="G268" s="301">
        <v>21</v>
      </c>
      <c r="H268" s="300" t="str">
        <v>SEMANA JUNHO!B4:I4</v>
      </c>
      <c r="I268" s="301">
        <v>600</v>
      </c>
    </row>
    <row r="269" spans="1:9" ht="18" customHeight="1" x14ac:dyDescent="0.3">
      <c r="A269" s="299">
        <v>46175</v>
      </c>
      <c r="B269" s="300" t="str">
        <v>JUNHO</v>
      </c>
      <c r="C269" s="300" t="str">
        <v>PURATOS DESTAK</v>
      </c>
      <c r="D269" s="301">
        <v>1416</v>
      </c>
      <c r="E269" s="301">
        <v>8496</v>
      </c>
      <c r="F269" s="301">
        <v>2527</v>
      </c>
      <c r="G269" s="301">
        <v>14</v>
      </c>
      <c r="H269" s="300" t="str">
        <v>SEMANA JUNHO!B12:I12</v>
      </c>
      <c r="I269" s="301">
        <v>600</v>
      </c>
    </row>
    <row r="270" spans="1:9" ht="18" customHeight="1" x14ac:dyDescent="0.3">
      <c r="A270" s="299">
        <v>46176</v>
      </c>
      <c r="B270" s="300" t="str">
        <v>JUNHO</v>
      </c>
      <c r="C270" s="300" t="str">
        <v>PURATOS DESTAK</v>
      </c>
      <c r="D270" s="301">
        <v>1111</v>
      </c>
      <c r="E270" s="301">
        <v>6666</v>
      </c>
      <c r="F270" s="301">
        <v>1111</v>
      </c>
      <c r="G270" s="301">
        <v>6</v>
      </c>
      <c r="H270" s="300" t="str">
        <v>SEMANA JUNHO!B20:I20</v>
      </c>
      <c r="I270" s="301">
        <v>600</v>
      </c>
    </row>
    <row r="271" spans="1:9" ht="18" customHeight="1" x14ac:dyDescent="0.3">
      <c r="A271" s="299">
        <v>46176</v>
      </c>
      <c r="B271" s="300" t="str">
        <v>JUNHO</v>
      </c>
      <c r="C271" s="300" t="str">
        <v>PURATOS NORCAU</v>
      </c>
      <c r="D271" s="301">
        <v>330</v>
      </c>
      <c r="E271" s="301">
        <v>3960</v>
      </c>
      <c r="F271" s="301">
        <v>1995</v>
      </c>
      <c r="G271" s="301">
        <v>21</v>
      </c>
      <c r="H271" s="300" t="str">
        <v>SEMANA JUNHO!B21:I21</v>
      </c>
      <c r="I271" s="301">
        <v>600</v>
      </c>
    </row>
    <row r="272" spans="1:9" ht="18" customHeight="1" x14ac:dyDescent="0.3">
      <c r="A272" s="299">
        <v>46177</v>
      </c>
      <c r="B272" s="300" t="str">
        <v>JUNHO</v>
      </c>
      <c r="C272" s="300" t="str">
        <v>PURATOS NORCAU</v>
      </c>
      <c r="D272" s="301">
        <v>929</v>
      </c>
      <c r="E272" s="301">
        <v>11148</v>
      </c>
      <c r="F272" s="301">
        <v>1665</v>
      </c>
      <c r="G272" s="301">
        <v>18</v>
      </c>
      <c r="H272" s="300" t="str">
        <v>SEMANA JUNHO!B28:I28</v>
      </c>
      <c r="I272" s="301">
        <v>600</v>
      </c>
    </row>
    <row r="273" spans="1:9" ht="18" customHeight="1" x14ac:dyDescent="0.3">
      <c r="A273" s="299">
        <v>46181</v>
      </c>
      <c r="B273" s="300" t="str">
        <v>JUNHO</v>
      </c>
      <c r="C273" s="300" t="str">
        <v>PURATOS NORCAU</v>
      </c>
      <c r="D273" s="301">
        <v>619</v>
      </c>
      <c r="E273" s="301">
        <v>7428</v>
      </c>
      <c r="F273" s="301">
        <v>736</v>
      </c>
      <c r="G273" s="301">
        <v>8</v>
      </c>
      <c r="H273" s="300" t="str">
        <v>SEMANA JUNHO!B52:I52</v>
      </c>
      <c r="I273" s="301">
        <v>600</v>
      </c>
    </row>
    <row r="274" spans="1:9" ht="18" customHeight="1" x14ac:dyDescent="0.3">
      <c r="A274" s="299">
        <v>46182</v>
      </c>
      <c r="B274" s="300" t="str">
        <v>JUNHO</v>
      </c>
      <c r="C274" s="300" t="str">
        <v>PURATOS NORCAU</v>
      </c>
      <c r="D274" s="301">
        <v>117</v>
      </c>
      <c r="E274" s="301">
        <v>1404</v>
      </c>
      <c r="F274" s="301">
        <v>117</v>
      </c>
      <c r="G274" s="301">
        <v>2</v>
      </c>
      <c r="H274" s="300" t="str">
        <v>SEMANA JUNHO!B60:I60</v>
      </c>
      <c r="I274" s="301">
        <v>600</v>
      </c>
    </row>
    <row r="275" spans="1:9" ht="18" customHeight="1" x14ac:dyDescent="0.3">
      <c r="A275" s="299">
        <v>46182</v>
      </c>
      <c r="B275" s="300" t="str">
        <v>JUNHO</v>
      </c>
      <c r="C275" s="300" t="str">
        <v>ADIMIX LISSE</v>
      </c>
      <c r="D275" s="301">
        <v>598</v>
      </c>
      <c r="E275" s="301">
        <v>7176</v>
      </c>
      <c r="F275" s="301">
        <v>665</v>
      </c>
      <c r="G275" s="301">
        <v>7</v>
      </c>
      <c r="H275" s="300" t="str">
        <v>SEMANA JUNHO!B61:I61</v>
      </c>
      <c r="I275" s="301">
        <v>600</v>
      </c>
    </row>
    <row r="276" spans="1:9" ht="18" customHeight="1" x14ac:dyDescent="0.3">
      <c r="A276" s="299">
        <v>46183</v>
      </c>
      <c r="B276" s="300" t="str">
        <v>JUNHO</v>
      </c>
      <c r="C276" s="300" t="str">
        <v>ADIMIX LISSE</v>
      </c>
      <c r="D276" s="301">
        <v>74</v>
      </c>
      <c r="E276" s="301">
        <v>888</v>
      </c>
      <c r="F276" s="301">
        <v>67</v>
      </c>
      <c r="G276" s="301">
        <v>1</v>
      </c>
      <c r="H276" s="300" t="str">
        <v>SEMANA JUNHO!B69:I69</v>
      </c>
      <c r="I276" s="301">
        <v>600</v>
      </c>
    </row>
    <row r="277" spans="1:9" ht="18" customHeight="1" x14ac:dyDescent="0.3">
      <c r="A277" s="299">
        <v>46183</v>
      </c>
      <c r="B277" s="300" t="str">
        <v>JUNHO</v>
      </c>
      <c r="C277" s="300" t="str">
        <v>UNTA FACIL</v>
      </c>
      <c r="D277" s="301">
        <v>866</v>
      </c>
      <c r="E277" s="301">
        <v>10392</v>
      </c>
      <c r="F277" s="301">
        <v>1330</v>
      </c>
      <c r="G277" s="301">
        <v>14</v>
      </c>
      <c r="H277" s="300" t="str">
        <v>SEMANA JUNHO!B70:I70</v>
      </c>
      <c r="I277" s="301">
        <v>600</v>
      </c>
    </row>
    <row r="278" spans="1:9" ht="18" customHeight="1" x14ac:dyDescent="0.3">
      <c r="A278" s="299">
        <v>46184</v>
      </c>
      <c r="B278" s="300" t="str">
        <v>JUNHO</v>
      </c>
      <c r="C278" s="300" t="str">
        <v>UNTA FACIL</v>
      </c>
      <c r="D278" s="301">
        <v>480</v>
      </c>
      <c r="E278" s="301">
        <v>5760</v>
      </c>
      <c r="F278" s="301">
        <v>464</v>
      </c>
      <c r="G278" s="301">
        <v>5</v>
      </c>
      <c r="H278" s="300" t="str">
        <v>SEMANA JUNHO!B78:I78</v>
      </c>
      <c r="I278" s="301">
        <v>600</v>
      </c>
    </row>
    <row r="279" spans="1:9" ht="18" customHeight="1" x14ac:dyDescent="0.3">
      <c r="A279" s="299">
        <v>46184</v>
      </c>
      <c r="B279" s="300" t="str">
        <v>JUNHO</v>
      </c>
      <c r="C279" s="300" t="str">
        <v>ALLBREAD</v>
      </c>
      <c r="D279" s="301">
        <v>449</v>
      </c>
      <c r="E279" s="301">
        <v>5388</v>
      </c>
      <c r="F279" s="301">
        <v>768</v>
      </c>
      <c r="G279" s="301">
        <v>9</v>
      </c>
      <c r="H279" s="300" t="str">
        <v>SEMANA JUNHO!B79:I79</v>
      </c>
      <c r="I279" s="301">
        <v>600</v>
      </c>
    </row>
    <row r="280" spans="1:9" ht="18" customHeight="1" x14ac:dyDescent="0.3">
      <c r="A280" s="299">
        <v>46185</v>
      </c>
      <c r="B280" s="300" t="str">
        <v>JUNHO</v>
      </c>
      <c r="C280" s="300" t="str">
        <v>ALLBREAD</v>
      </c>
      <c r="D280" s="301">
        <v>319</v>
      </c>
      <c r="E280" s="301">
        <v>3828</v>
      </c>
      <c r="F280" s="301">
        <v>319</v>
      </c>
      <c r="G280" s="301">
        <v>4</v>
      </c>
      <c r="H280" s="300" t="str">
        <v>SEMANA JUNHO!B86:I86</v>
      </c>
      <c r="I280" s="301">
        <v>600</v>
      </c>
    </row>
    <row r="281" spans="1:9" ht="18" customHeight="1" x14ac:dyDescent="0.3">
      <c r="A281" s="299">
        <v>46185</v>
      </c>
      <c r="B281" s="300" t="str">
        <v>JUNHO</v>
      </c>
      <c r="C281" s="300" t="str">
        <v>ALLBREAD MANTEIGA</v>
      </c>
      <c r="D281" s="301">
        <v>221</v>
      </c>
      <c r="E281" s="301">
        <v>2652</v>
      </c>
      <c r="F281" s="301">
        <v>218</v>
      </c>
      <c r="G281" s="301">
        <v>3</v>
      </c>
      <c r="H281" s="300" t="str">
        <v>SEMANA JUNHO!B87:I87</v>
      </c>
      <c r="I281" s="301">
        <v>600</v>
      </c>
    </row>
    <row r="282" spans="1:9" ht="18" customHeight="1" x14ac:dyDescent="0.3">
      <c r="A282" s="299">
        <v>46185</v>
      </c>
      <c r="B282" s="300" t="str">
        <v>JUNHO</v>
      </c>
      <c r="C282" s="300" t="str">
        <v>UNTA FACIL ECO</v>
      </c>
      <c r="D282" s="301">
        <v>262</v>
      </c>
      <c r="E282" s="301">
        <v>3144</v>
      </c>
      <c r="F282" s="301">
        <v>475</v>
      </c>
      <c r="G282" s="301">
        <v>5</v>
      </c>
      <c r="H282" s="300" t="str">
        <v>SEMANA JUNHO!B88:I88</v>
      </c>
      <c r="I282" s="301">
        <v>600</v>
      </c>
    </row>
    <row r="283" spans="1:9" ht="18" customHeight="1" x14ac:dyDescent="0.3">
      <c r="A283" s="299">
        <v>46186</v>
      </c>
      <c r="B283" s="300" t="str">
        <v>JUNHO</v>
      </c>
      <c r="C283" s="300" t="str">
        <v>UNTA FACIL ECO</v>
      </c>
      <c r="D283" s="301">
        <v>213</v>
      </c>
      <c r="E283" s="301">
        <v>2556</v>
      </c>
      <c r="F283" s="301">
        <v>213</v>
      </c>
      <c r="G283" s="301">
        <v>3</v>
      </c>
      <c r="H283" s="300" t="str">
        <v>SEMANA JUNHO!B95:I95</v>
      </c>
      <c r="I283" s="301">
        <v>600</v>
      </c>
    </row>
    <row r="284" spans="1:9" ht="18" customHeight="1" x14ac:dyDescent="0.3">
      <c r="A284" s="299">
        <v>46186</v>
      </c>
      <c r="B284" s="300" t="str">
        <v>JUNHO</v>
      </c>
      <c r="C284" s="300" t="str">
        <v>TTF MEL</v>
      </c>
      <c r="D284" s="301">
        <v>285</v>
      </c>
      <c r="E284" s="301">
        <v>3420</v>
      </c>
      <c r="F284" s="301">
        <v>285</v>
      </c>
      <c r="G284" s="301">
        <v>3</v>
      </c>
      <c r="H284" s="300" t="str">
        <v>SEMANA JUNHO!B96:I96</v>
      </c>
      <c r="I284" s="301">
        <v>600</v>
      </c>
    </row>
    <row r="285" spans="1:9" ht="18" customHeight="1" x14ac:dyDescent="0.3">
      <c r="A285" s="299">
        <v>46186</v>
      </c>
      <c r="B285" s="300" t="str">
        <v>JUNHO</v>
      </c>
      <c r="C285" s="300" t="str">
        <v>ICE ICEBERG</v>
      </c>
      <c r="D285" s="301">
        <v>10</v>
      </c>
      <c r="E285" s="301">
        <v>1200</v>
      </c>
      <c r="F285" s="301">
        <v>17</v>
      </c>
      <c r="G285" s="301">
        <v>1</v>
      </c>
      <c r="H285" s="300" t="str">
        <v>SEMANA JUNHO!B97:I97</v>
      </c>
      <c r="I285" s="301">
        <v>210</v>
      </c>
    </row>
    <row r="286" spans="1:9" ht="18" customHeight="1" x14ac:dyDescent="0.3">
      <c r="A286" s="299">
        <v>46188</v>
      </c>
      <c r="B286" s="300" t="str">
        <v>JUNHO</v>
      </c>
      <c r="C286" s="300" t="str">
        <v>ICE ICEBERG</v>
      </c>
      <c r="D286" s="301">
        <v>10</v>
      </c>
      <c r="E286" s="301">
        <v>1216</v>
      </c>
      <c r="F286" s="301">
        <v>7</v>
      </c>
      <c r="G286" s="301">
        <v>1</v>
      </c>
      <c r="H286" s="300" t="str">
        <v>SEMANA JUNHO!B106:I106</v>
      </c>
      <c r="I286" s="301">
        <v>210</v>
      </c>
    </row>
    <row r="287" spans="1:9" ht="18" customHeight="1" x14ac:dyDescent="0.3">
      <c r="A287" s="299">
        <v>46188</v>
      </c>
      <c r="B287" s="300" t="str">
        <v>JUNHO</v>
      </c>
      <c r="C287" s="300" t="str">
        <v>UNTA FACIL ECO</v>
      </c>
      <c r="D287" s="301">
        <v>196</v>
      </c>
      <c r="E287" s="301">
        <v>2352</v>
      </c>
      <c r="F287" s="301">
        <v>195</v>
      </c>
      <c r="G287" s="301">
        <v>2</v>
      </c>
      <c r="H287" s="300" t="str">
        <v>SEMANA JUNHO!B107:I107</v>
      </c>
      <c r="I287" s="301">
        <v>400</v>
      </c>
    </row>
    <row r="288" spans="1:9" ht="18" customHeight="1" x14ac:dyDescent="0.3">
      <c r="A288" s="299">
        <v>46188</v>
      </c>
      <c r="B288" s="300" t="str">
        <v>JUNHO</v>
      </c>
      <c r="C288" s="300" t="str">
        <v>UNTA FACIL</v>
      </c>
      <c r="D288" s="301">
        <v>895</v>
      </c>
      <c r="E288" s="301">
        <v>10740</v>
      </c>
      <c r="F288" s="301">
        <v>1750</v>
      </c>
      <c r="G288" s="301">
        <v>14</v>
      </c>
      <c r="H288" s="300" t="str">
        <v>SEMANA JUNHO!B108:I108</v>
      </c>
      <c r="I288" s="301">
        <v>400</v>
      </c>
    </row>
    <row r="289" spans="1:9" ht="18" customHeight="1" x14ac:dyDescent="0.3">
      <c r="A289" s="299">
        <v>46189</v>
      </c>
      <c r="B289" s="300" t="str">
        <v>JUNHO</v>
      </c>
      <c r="C289" s="300" t="str">
        <v>UNTA FACIL</v>
      </c>
      <c r="D289" s="301">
        <v>844</v>
      </c>
      <c r="E289" s="301">
        <v>10128</v>
      </c>
      <c r="F289" s="301">
        <v>855</v>
      </c>
      <c r="G289" s="301">
        <v>7</v>
      </c>
      <c r="H289" s="300" t="str">
        <v>SEMANA JUNHO!B114:I114</v>
      </c>
      <c r="I289" s="301">
        <v>400</v>
      </c>
    </row>
    <row r="290" spans="1:9" ht="18" customHeight="1" x14ac:dyDescent="0.3">
      <c r="A290" s="299">
        <v>46189</v>
      </c>
      <c r="B290" s="300" t="str">
        <v>JUNHO</v>
      </c>
      <c r="C290" s="300" t="str">
        <v>CASA DO PANIFICADOR</v>
      </c>
      <c r="D290" s="301">
        <v>201</v>
      </c>
      <c r="E290" s="301">
        <v>2412</v>
      </c>
      <c r="F290" s="301">
        <v>200</v>
      </c>
      <c r="G290" s="301">
        <v>2</v>
      </c>
      <c r="H290" s="300" t="str">
        <v>SEMANA JUNHO!B115:I115</v>
      </c>
      <c r="I290" s="301">
        <v>400</v>
      </c>
    </row>
    <row r="291" spans="1:9" ht="18" customHeight="1" x14ac:dyDescent="0.3">
      <c r="A291" s="299">
        <v>46189</v>
      </c>
      <c r="B291" s="300" t="str">
        <v>JUNHO</v>
      </c>
      <c r="C291" s="300" t="str">
        <v>BONASSE</v>
      </c>
      <c r="D291" s="301">
        <v>250</v>
      </c>
      <c r="E291" s="301">
        <v>3000</v>
      </c>
      <c r="F291" s="301">
        <v>250</v>
      </c>
      <c r="G291" s="301">
        <v>2</v>
      </c>
      <c r="H291" s="300" t="str">
        <v>SEMANA JUNHO!B116:I116</v>
      </c>
      <c r="I291" s="301">
        <v>400</v>
      </c>
    </row>
    <row r="292" spans="1:9" ht="18" customHeight="1" x14ac:dyDescent="0.3">
      <c r="A292" s="299">
        <v>46189</v>
      </c>
      <c r="B292" s="300" t="str">
        <v>JUNHO</v>
      </c>
      <c r="C292" s="300" t="str">
        <v>TTF</v>
      </c>
      <c r="D292" s="301">
        <v>47</v>
      </c>
      <c r="E292" s="301">
        <v>564</v>
      </c>
      <c r="F292" s="301">
        <v>125</v>
      </c>
      <c r="G292" s="301">
        <v>1</v>
      </c>
      <c r="H292" s="300" t="str">
        <v>SEMANA JUNHO!B117:I117</v>
      </c>
      <c r="I292" s="301">
        <v>400</v>
      </c>
    </row>
    <row r="293" spans="1:9" ht="18" customHeight="1" x14ac:dyDescent="0.3">
      <c r="A293" s="299">
        <v>46190</v>
      </c>
      <c r="B293" s="300" t="str">
        <v>JUNHO</v>
      </c>
      <c r="C293" s="300" t="str">
        <v>TTF</v>
      </c>
      <c r="D293" s="301">
        <v>80</v>
      </c>
      <c r="E293" s="301">
        <v>960</v>
      </c>
      <c r="F293" s="301">
        <v>78</v>
      </c>
      <c r="G293" s="301">
        <v>1</v>
      </c>
      <c r="H293" s="300" t="str">
        <v>SEMANA JUNHO!B125:I125</v>
      </c>
      <c r="I293" s="301">
        <v>400</v>
      </c>
    </row>
    <row r="294" spans="1:9" ht="18" customHeight="1" x14ac:dyDescent="0.3">
      <c r="A294" s="299">
        <v>46190</v>
      </c>
      <c r="B294" s="300" t="str">
        <v>JUNHO</v>
      </c>
      <c r="C294" s="300" t="str">
        <v>ICEBERG</v>
      </c>
      <c r="D294" s="301">
        <v>1066</v>
      </c>
      <c r="E294" s="301">
        <v>12792</v>
      </c>
      <c r="F294" s="301">
        <v>1540</v>
      </c>
      <c r="G294" s="301">
        <v>14</v>
      </c>
      <c r="H294" s="300" t="str">
        <v>SEMANA JUNHO!B126:I126</v>
      </c>
      <c r="I294" s="301">
        <v>400</v>
      </c>
    </row>
    <row r="295" spans="1:9" ht="18" customHeight="1" x14ac:dyDescent="0.3">
      <c r="A295" s="299">
        <v>46191</v>
      </c>
      <c r="B295" s="300" t="str">
        <v>JUNHO</v>
      </c>
      <c r="C295" s="300" t="str">
        <v>ICEBERG</v>
      </c>
      <c r="D295" s="301">
        <v>478</v>
      </c>
      <c r="E295" s="301">
        <v>5736</v>
      </c>
      <c r="F295" s="301">
        <v>474</v>
      </c>
      <c r="G295" s="301">
        <v>5</v>
      </c>
      <c r="H295" s="300" t="str">
        <v>SEMANA JUNHO!B133:I133</v>
      </c>
      <c r="I295" s="301">
        <v>400</v>
      </c>
    </row>
    <row r="296" spans="1:9" ht="18" customHeight="1" x14ac:dyDescent="0.3">
      <c r="A296" s="299">
        <v>46191</v>
      </c>
      <c r="B296" s="300" t="str">
        <v>JUNHO</v>
      </c>
      <c r="C296" s="300" t="str">
        <v>DISPAN</v>
      </c>
      <c r="D296" s="301">
        <v>378</v>
      </c>
      <c r="E296" s="301">
        <v>4536</v>
      </c>
      <c r="F296" s="301">
        <v>377</v>
      </c>
      <c r="G296" s="301">
        <v>4</v>
      </c>
      <c r="H296" s="300" t="str">
        <v>SEMANA JUNHO!B134:I134</v>
      </c>
      <c r="I296" s="301">
        <v>400</v>
      </c>
    </row>
    <row r="297" spans="1:9" ht="18" customHeight="1" x14ac:dyDescent="0.3">
      <c r="A297" s="299">
        <v>46191</v>
      </c>
      <c r="B297" s="300" t="str">
        <v>JUNHO</v>
      </c>
      <c r="C297" s="300" t="str">
        <v>CELEBRATE</v>
      </c>
      <c r="D297" s="301">
        <v>251</v>
      </c>
      <c r="E297" s="301">
        <v>3012</v>
      </c>
      <c r="F297" s="301">
        <v>250</v>
      </c>
      <c r="G297" s="301">
        <v>2</v>
      </c>
      <c r="H297" s="300" t="str">
        <v>SEMANA JUNHO!B135:I135</v>
      </c>
      <c r="I297" s="301">
        <v>400</v>
      </c>
    </row>
    <row r="298" spans="1:9" ht="18" customHeight="1" x14ac:dyDescent="0.3">
      <c r="A298" s="299">
        <v>46191</v>
      </c>
      <c r="B298" s="300" t="str">
        <v>JUNHO</v>
      </c>
      <c r="C298" s="300" t="str">
        <v>PURATOS DESTAK</v>
      </c>
      <c r="D298" s="301">
        <v>40</v>
      </c>
      <c r="E298" s="301">
        <v>240</v>
      </c>
      <c r="F298" s="301">
        <v>1330</v>
      </c>
      <c r="G298" s="301">
        <v>7</v>
      </c>
      <c r="H298" s="300" t="str">
        <v>SEMANA JUNHO!B136:I136</v>
      </c>
      <c r="I298" s="301">
        <v>600</v>
      </c>
    </row>
    <row r="299" spans="1:9" ht="18" customHeight="1" x14ac:dyDescent="0.3">
      <c r="A299" s="299">
        <v>46192</v>
      </c>
      <c r="B299" s="300" t="str">
        <v>JUNHO</v>
      </c>
      <c r="C299" s="300" t="str">
        <v>PURATOS DESTAK</v>
      </c>
      <c r="D299" s="301">
        <v>1290</v>
      </c>
      <c r="E299" s="301">
        <v>7740</v>
      </c>
      <c r="F299" s="301">
        <v>1290</v>
      </c>
      <c r="G299" s="301">
        <v>7</v>
      </c>
      <c r="H299" s="300" t="str">
        <v>SEMANA JUNHO!B141:I141</v>
      </c>
      <c r="I299" s="301">
        <v>600</v>
      </c>
    </row>
    <row r="300" spans="1:9" ht="18" customHeight="1" x14ac:dyDescent="0.3">
      <c r="A300" s="299">
        <v>46192</v>
      </c>
      <c r="B300" s="300" t="str">
        <v>JUNHO</v>
      </c>
      <c r="C300" s="300" t="str">
        <v>PURATOS NORCAU</v>
      </c>
      <c r="D300" s="301">
        <v>185</v>
      </c>
      <c r="E300" s="301">
        <v>2220</v>
      </c>
      <c r="F300" s="301">
        <v>665</v>
      </c>
      <c r="G300" s="301">
        <v>7</v>
      </c>
      <c r="H300" s="300" t="str">
        <v>SEMANA JUNHO!B142:I142</v>
      </c>
      <c r="I300" s="301">
        <v>600</v>
      </c>
    </row>
    <row r="301" spans="1:9" ht="18" customHeight="1" x14ac:dyDescent="0.3">
      <c r="A301" s="299">
        <v>46193</v>
      </c>
      <c r="B301" s="300" t="str">
        <v>JUNHO</v>
      </c>
      <c r="C301" s="300" t="str">
        <v>PURATOS NORCAU</v>
      </c>
      <c r="D301" s="301">
        <v>480</v>
      </c>
      <c r="E301" s="301">
        <v>5760</v>
      </c>
      <c r="F301" s="301">
        <v>480</v>
      </c>
      <c r="G301" s="301">
        <v>6</v>
      </c>
      <c r="H301" s="300" t="str">
        <v>SEMANA JUNHO!B149:I149</v>
      </c>
      <c r="I301" s="301">
        <v>600</v>
      </c>
    </row>
    <row r="302" spans="1:9" ht="18" customHeight="1" x14ac:dyDescent="0.3">
      <c r="A302" s="299">
        <v>46193</v>
      </c>
      <c r="B302" s="300" t="str">
        <v>JUNHO</v>
      </c>
      <c r="C302" s="300" t="str">
        <v>ITAIQUARA</v>
      </c>
      <c r="D302" s="301">
        <v>137</v>
      </c>
      <c r="E302" s="301">
        <v>1644</v>
      </c>
      <c r="F302" s="301">
        <v>285</v>
      </c>
      <c r="G302" s="301">
        <v>3</v>
      </c>
      <c r="H302" s="300" t="str">
        <v>SEMANA JUNHO!B150:I150</v>
      </c>
      <c r="I302" s="301">
        <v>600</v>
      </c>
    </row>
    <row r="303" spans="1:9" ht="18" customHeight="1" x14ac:dyDescent="0.3">
      <c r="A303" s="299">
        <v>46195</v>
      </c>
      <c r="B303" s="300" t="str">
        <v>JUNHO</v>
      </c>
      <c r="C303" s="300" t="str">
        <v>ITAIQUARA</v>
      </c>
      <c r="D303" s="301">
        <v>149</v>
      </c>
      <c r="E303" s="301">
        <v>1788</v>
      </c>
      <c r="F303" s="301">
        <v>148</v>
      </c>
      <c r="G303" s="301">
        <v>2</v>
      </c>
      <c r="H303" s="300" t="str">
        <v>SEMANA JUNHO!B157:I157</v>
      </c>
      <c r="I303" s="301">
        <v>600</v>
      </c>
    </row>
    <row r="304" spans="1:9" ht="18" customHeight="1" x14ac:dyDescent="0.3">
      <c r="A304" s="299">
        <v>46195</v>
      </c>
      <c r="B304" s="300" t="str">
        <v>JUNHO</v>
      </c>
      <c r="C304" s="300" t="str">
        <v>UNTA FACIL</v>
      </c>
      <c r="D304" s="301">
        <v>673</v>
      </c>
      <c r="E304" s="301">
        <v>8076</v>
      </c>
      <c r="F304" s="301">
        <v>665</v>
      </c>
      <c r="G304" s="301">
        <v>7</v>
      </c>
      <c r="H304" s="300" t="str">
        <v>SEMANA JUNHO!B158:I158</v>
      </c>
      <c r="I304" s="301">
        <v>600</v>
      </c>
    </row>
    <row r="305" spans="1:9" ht="18" customHeight="1" x14ac:dyDescent="0.3">
      <c r="A305" s="299">
        <v>46195</v>
      </c>
      <c r="B305" s="300" t="str">
        <v>JUNHO</v>
      </c>
      <c r="C305" s="300" t="str">
        <v>ADIMIX</v>
      </c>
      <c r="D305" s="301">
        <v>103</v>
      </c>
      <c r="E305" s="301">
        <v>1236</v>
      </c>
      <c r="F305" s="301">
        <v>665</v>
      </c>
      <c r="G305" s="301">
        <v>7</v>
      </c>
      <c r="H305" s="300" t="str">
        <v>SEMANA JUNHO!B159:I159</v>
      </c>
      <c r="I305" s="301">
        <v>600</v>
      </c>
    </row>
    <row r="306" spans="1:9" ht="18" customHeight="1" x14ac:dyDescent="0.3">
      <c r="A306" s="299">
        <v>46196</v>
      </c>
      <c r="B306" s="300" t="str">
        <v>JUNHO</v>
      </c>
      <c r="C306" s="300" t="str">
        <v>ADIMIX</v>
      </c>
      <c r="D306" s="301">
        <v>513</v>
      </c>
      <c r="E306" s="301">
        <v>6156</v>
      </c>
      <c r="F306" s="301">
        <v>562</v>
      </c>
      <c r="G306" s="301">
        <v>6</v>
      </c>
      <c r="H306" s="300" t="str">
        <v>SEMANA JUNHO!B165:I165</v>
      </c>
      <c r="I306" s="301">
        <v>600</v>
      </c>
    </row>
    <row r="307" spans="1:9" ht="18" customHeight="1" x14ac:dyDescent="0.3">
      <c r="A307" s="299">
        <v>46197</v>
      </c>
      <c r="B307" s="300" t="str">
        <v>JUNHO</v>
      </c>
      <c r="C307" s="300" t="str">
        <v>ADIMIX</v>
      </c>
      <c r="D307" s="301">
        <v>57</v>
      </c>
      <c r="E307" s="301">
        <v>684</v>
      </c>
      <c r="F307" s="301">
        <v>49</v>
      </c>
      <c r="G307" s="301">
        <v>1</v>
      </c>
      <c r="H307" s="300" t="str">
        <v>SEMANA JUNHO!B173:I173</v>
      </c>
      <c r="I307" s="301">
        <v>600</v>
      </c>
    </row>
    <row r="308" spans="1:9" ht="18" customHeight="1" x14ac:dyDescent="0.3">
      <c r="A308" s="299">
        <v>46197</v>
      </c>
      <c r="B308" s="300" t="str">
        <v>JUNHO</v>
      </c>
      <c r="C308" s="300" t="str">
        <v>UNTA FACIL</v>
      </c>
      <c r="D308" s="301">
        <v>977</v>
      </c>
      <c r="E308" s="301">
        <v>11724</v>
      </c>
      <c r="F308" s="301">
        <v>1750</v>
      </c>
      <c r="G308" s="301">
        <v>14</v>
      </c>
      <c r="H308" s="300" t="str">
        <v>SEMANA JUNHO!B174:I174</v>
      </c>
      <c r="I308" s="301">
        <v>400</v>
      </c>
    </row>
    <row r="309" spans="1:9" ht="18" customHeight="1" x14ac:dyDescent="0.3">
      <c r="A309" s="299">
        <v>46198</v>
      </c>
      <c r="B309" s="300" t="str">
        <v>JUNHO</v>
      </c>
      <c r="C309" s="300" t="str">
        <v>UNTA FACIL</v>
      </c>
      <c r="D309" s="301">
        <v>757</v>
      </c>
      <c r="E309" s="301">
        <v>9084</v>
      </c>
      <c r="F309" s="301">
        <v>773</v>
      </c>
      <c r="G309" s="301">
        <v>7</v>
      </c>
      <c r="H309" s="300" t="str">
        <v>SEMANA JUNHO!B182:I182</v>
      </c>
      <c r="I309" s="301">
        <v>400</v>
      </c>
    </row>
    <row r="310" spans="1:9" ht="18" customHeight="1" x14ac:dyDescent="0.3">
      <c r="A310" s="299">
        <v>46198</v>
      </c>
      <c r="B310" s="300" t="str">
        <v>JUNHO</v>
      </c>
      <c r="C310" s="300" t="str">
        <v>ICEBERG</v>
      </c>
      <c r="D310" s="301">
        <v>590</v>
      </c>
      <c r="E310" s="301">
        <v>7080</v>
      </c>
      <c r="F310" s="301">
        <v>770</v>
      </c>
      <c r="G310" s="301">
        <v>7</v>
      </c>
      <c r="H310" s="300" t="str">
        <v>SEMANA JUNHO!B183:I183</v>
      </c>
      <c r="I310" s="301">
        <v>400</v>
      </c>
    </row>
    <row r="311" spans="1:9" ht="18" customHeight="1" x14ac:dyDescent="0.3">
      <c r="A311" s="299">
        <v>46199</v>
      </c>
      <c r="B311" s="300" t="str">
        <v>JUNHO</v>
      </c>
      <c r="C311" s="300" t="str">
        <v>ICEBERG</v>
      </c>
      <c r="D311" s="301">
        <v>180</v>
      </c>
      <c r="E311" s="301">
        <v>2160</v>
      </c>
      <c r="F311" s="301">
        <v>180</v>
      </c>
      <c r="G311" s="301">
        <v>2</v>
      </c>
      <c r="H311" s="300" t="str">
        <v>SEMANA JUNHO!B190:I190</v>
      </c>
      <c r="I311" s="301">
        <v>400</v>
      </c>
    </row>
    <row r="312" spans="1:9" ht="18" customHeight="1" x14ac:dyDescent="0.3">
      <c r="A312" s="299">
        <v>46199</v>
      </c>
      <c r="B312" s="300" t="str">
        <v>JUNHO</v>
      </c>
      <c r="C312" s="300" t="str">
        <v>BRICOFLEX</v>
      </c>
      <c r="D312" s="301">
        <v>250</v>
      </c>
      <c r="E312" s="301">
        <v>3000</v>
      </c>
      <c r="F312" s="301">
        <v>250</v>
      </c>
      <c r="G312" s="301">
        <v>2</v>
      </c>
      <c r="H312" s="300" t="str">
        <v>SEMANA JUNHO!B191:I191</v>
      </c>
      <c r="I312" s="301">
        <v>400</v>
      </c>
    </row>
    <row r="313" spans="1:9" ht="18" customHeight="1" x14ac:dyDescent="0.3">
      <c r="A313" s="299">
        <v>46199</v>
      </c>
      <c r="B313" s="300" t="str">
        <v>JUNHO</v>
      </c>
      <c r="C313" s="300" t="str">
        <v>ADKO UNTA FORMA</v>
      </c>
      <c r="D313" s="301">
        <v>481</v>
      </c>
      <c r="E313" s="301">
        <v>5772</v>
      </c>
      <c r="F313" s="301">
        <v>480</v>
      </c>
      <c r="G313" s="301">
        <v>2</v>
      </c>
      <c r="H313" s="300" t="str">
        <v>SEMANA JUNHO!B192:I192</v>
      </c>
      <c r="I313" s="301">
        <v>180</v>
      </c>
    </row>
    <row r="314" spans="1:9" ht="18" customHeight="1" x14ac:dyDescent="0.3">
      <c r="A314" s="299">
        <v>46199</v>
      </c>
      <c r="B314" s="300" t="str">
        <v>JUNHO</v>
      </c>
      <c r="C314" s="300" t="str">
        <v>UNTA FACIL</v>
      </c>
      <c r="D314" s="301">
        <v>273</v>
      </c>
      <c r="E314" s="301">
        <v>3276</v>
      </c>
      <c r="F314" s="301">
        <v>1200</v>
      </c>
      <c r="G314" s="301">
        <v>5</v>
      </c>
      <c r="H314" s="300" t="str">
        <v>SEMANA JUNHO!B193:I193</v>
      </c>
      <c r="I314" s="301">
        <v>180</v>
      </c>
    </row>
    <row r="315" spans="1:9" ht="18" customHeight="1" x14ac:dyDescent="0.3">
      <c r="A315" s="299">
        <v>46200</v>
      </c>
      <c r="B315" s="300" t="str">
        <v>JUNHO</v>
      </c>
      <c r="C315" s="300" t="str">
        <v>UNTA FACIL</v>
      </c>
      <c r="D315" s="301">
        <v>928</v>
      </c>
      <c r="E315" s="301">
        <v>11136</v>
      </c>
      <c r="F315" s="301">
        <v>927</v>
      </c>
      <c r="G315" s="301">
        <v>4</v>
      </c>
      <c r="H315" s="300" t="str">
        <v>SEMANA JUNHO!B199:I199</v>
      </c>
      <c r="I315" s="301">
        <v>180</v>
      </c>
    </row>
    <row r="316" spans="1:9" ht="18" customHeight="1" x14ac:dyDescent="0.3">
      <c r="A316" s="299">
        <v>46200</v>
      </c>
      <c r="B316" s="300" t="str">
        <v>JUNHO</v>
      </c>
      <c r="C316" s="300" t="str">
        <v>UNTA FACIL MANTEIGA</v>
      </c>
      <c r="D316" s="301">
        <v>242</v>
      </c>
      <c r="E316" s="301">
        <v>2904</v>
      </c>
      <c r="F316" s="301">
        <v>350</v>
      </c>
      <c r="G316" s="301">
        <v>2</v>
      </c>
      <c r="H316" s="300" t="str">
        <v>SEMANA JUNHO!B200:I200</v>
      </c>
      <c r="I316" s="301">
        <v>180</v>
      </c>
    </row>
    <row r="317" spans="1:9" ht="18" customHeight="1" x14ac:dyDescent="0.3">
      <c r="A317" s="299">
        <v>46202</v>
      </c>
      <c r="B317" s="300" t="str">
        <v>JUNHO</v>
      </c>
      <c r="C317" s="300" t="str">
        <v>UNTA FACIL MANTEIGA</v>
      </c>
      <c r="D317" s="301">
        <v>109</v>
      </c>
      <c r="E317" s="301">
        <v>1308</v>
      </c>
      <c r="F317" s="301">
        <v>108</v>
      </c>
      <c r="G317" s="301">
        <v>1</v>
      </c>
      <c r="H317" s="300" t="str">
        <v>SEMANA JUNHO!B207:I207</v>
      </c>
      <c r="I317" s="301">
        <v>180</v>
      </c>
    </row>
    <row r="318" spans="1:9" ht="18" customHeight="1" x14ac:dyDescent="0.3">
      <c r="A318" s="299">
        <v>46202</v>
      </c>
      <c r="B318" s="300" t="str">
        <v>JUNHO</v>
      </c>
      <c r="C318" s="300" t="str">
        <v>PURATOS DESTAK</v>
      </c>
      <c r="D318" s="301">
        <v>1565</v>
      </c>
      <c r="E318" s="301">
        <v>9390</v>
      </c>
      <c r="F318" s="301">
        <v>3990</v>
      </c>
      <c r="G318" s="301">
        <v>21</v>
      </c>
      <c r="H318" s="300" t="str">
        <v>SEMANA JUNHO!B208:I208</v>
      </c>
      <c r="I318" s="301">
        <v>600</v>
      </c>
    </row>
    <row r="319" spans="1:9" ht="18" customHeight="1" x14ac:dyDescent="0.3">
      <c r="A319" s="299">
        <v>46203</v>
      </c>
      <c r="B319" s="300" t="str">
        <v>JUNHO</v>
      </c>
      <c r="C319" s="300" t="str">
        <v>PURATOS DESTAK</v>
      </c>
      <c r="D319" s="301">
        <v>1324</v>
      </c>
      <c r="E319" s="301">
        <v>7944</v>
      </c>
      <c r="F319" s="301">
        <v>2425</v>
      </c>
      <c r="G319" s="301">
        <v>13</v>
      </c>
      <c r="H319" s="300" t="str">
        <v>SEMANA JUNHO!B215:I215</v>
      </c>
      <c r="I319" s="301">
        <v>600</v>
      </c>
    </row>
    <row r="320" spans="1:9" ht="18" customHeight="1" x14ac:dyDescent="0.3">
      <c r="A320" s="299" t="str">
        <v/>
      </c>
      <c r="B320" s="300" t="str">
        <v/>
      </c>
      <c r="C320" s="300" t="str">
        <v/>
      </c>
      <c r="D320" s="301" t="str">
        <v/>
      </c>
      <c r="E320" s="301" t="str">
        <v/>
      </c>
      <c r="F320" s="301" t="str">
        <v/>
      </c>
      <c r="G320" s="301" t="str">
        <v/>
      </c>
      <c r="H320" s="300" t="str">
        <v/>
      </c>
      <c r="I320" s="301" t="str">
        <v/>
      </c>
    </row>
    <row r="321" spans="1:9" ht="18" customHeight="1" x14ac:dyDescent="0.3">
      <c r="A321" s="299" t="str">
        <v/>
      </c>
      <c r="B321" s="300" t="str">
        <v/>
      </c>
      <c r="C321" s="300" t="str">
        <v/>
      </c>
      <c r="D321" s="301" t="str">
        <v/>
      </c>
      <c r="E321" s="301" t="str">
        <v/>
      </c>
      <c r="F321" s="301" t="str">
        <v/>
      </c>
      <c r="G321" s="301" t="str">
        <v/>
      </c>
      <c r="H321" s="300" t="str">
        <v/>
      </c>
      <c r="I321" s="301" t="str">
        <v/>
      </c>
    </row>
    <row r="322" spans="1:9" ht="18" customHeight="1" x14ac:dyDescent="0.3">
      <c r="A322" s="299">
        <v>46204</v>
      </c>
      <c r="B322" s="300" t="str">
        <v>JULHO</v>
      </c>
      <c r="C322" s="300" t="str">
        <v>PURATOS DESTAK</v>
      </c>
      <c r="D322" s="301">
        <v>1101</v>
      </c>
      <c r="E322" s="301">
        <v>6606</v>
      </c>
      <c r="F322" s="301">
        <v>1101</v>
      </c>
      <c r="G322" s="301">
        <v>6</v>
      </c>
      <c r="H322" s="300" t="str">
        <v>SEMANA JULHO!B4:I4</v>
      </c>
      <c r="I322" s="301">
        <v>600</v>
      </c>
    </row>
    <row r="323" spans="1:9" ht="18" customHeight="1" x14ac:dyDescent="0.3">
      <c r="A323" s="299">
        <v>46204</v>
      </c>
      <c r="B323" s="300" t="str">
        <v>JULHO</v>
      </c>
      <c r="C323" s="300" t="str">
        <v>PURATOS NORCAU</v>
      </c>
      <c r="D323" s="301">
        <v>335</v>
      </c>
      <c r="E323" s="301">
        <v>4020</v>
      </c>
      <c r="F323" s="301">
        <v>950</v>
      </c>
      <c r="G323" s="301">
        <v>10</v>
      </c>
      <c r="H323" s="300" t="str">
        <v>SEMANA JULHO!B5:I5</v>
      </c>
      <c r="I323" s="301">
        <v>600</v>
      </c>
    </row>
    <row r="324" spans="1:9" ht="18" customHeight="1" x14ac:dyDescent="0.3">
      <c r="A324" s="299">
        <v>46205</v>
      </c>
      <c r="B324" s="300" t="str">
        <v>JULHO</v>
      </c>
      <c r="C324" s="300" t="str">
        <v>PURATOS NORCAU</v>
      </c>
      <c r="D324" s="301">
        <v>615</v>
      </c>
      <c r="E324" s="301">
        <v>7380</v>
      </c>
      <c r="F324" s="301">
        <v>615</v>
      </c>
      <c r="G324" s="301">
        <v>7</v>
      </c>
      <c r="H324" s="300" t="str">
        <v>SEMANA JULHO!B12:I12</v>
      </c>
      <c r="I324" s="301">
        <v>600</v>
      </c>
    </row>
    <row r="325" spans="1:9" ht="18" customHeight="1" x14ac:dyDescent="0.3">
      <c r="A325" s="299">
        <v>46205</v>
      </c>
      <c r="B325" s="300" t="str">
        <v>JULHO</v>
      </c>
      <c r="C325" s="300" t="str">
        <v>ALLBREAD</v>
      </c>
      <c r="D325" s="301">
        <v>41</v>
      </c>
      <c r="E325" s="301">
        <v>492</v>
      </c>
      <c r="F325" s="301">
        <v>768</v>
      </c>
      <c r="G325" s="301">
        <v>9</v>
      </c>
      <c r="H325" s="300" t="str">
        <v>SEMANA JULHO!B13:I13</v>
      </c>
      <c r="I325" s="301">
        <v>600</v>
      </c>
    </row>
    <row r="326" spans="1:9" ht="18" customHeight="1" x14ac:dyDescent="0.3">
      <c r="A326" s="299">
        <v>46206</v>
      </c>
      <c r="B326" s="300" t="str">
        <v>JULHO</v>
      </c>
      <c r="C326" s="300" t="str">
        <v>ALLBREAD</v>
      </c>
      <c r="D326" s="301">
        <v>727</v>
      </c>
      <c r="E326" s="301">
        <v>8724</v>
      </c>
      <c r="F326" s="301">
        <v>727</v>
      </c>
      <c r="G326" s="301">
        <v>8</v>
      </c>
      <c r="H326" s="300" t="str">
        <v>SEMANA JULHO!B20:I20</v>
      </c>
      <c r="I326" s="301">
        <v>600</v>
      </c>
    </row>
    <row r="327" spans="1:9" ht="18" customHeight="1" x14ac:dyDescent="0.3">
      <c r="A327" s="299">
        <v>46206</v>
      </c>
      <c r="B327" s="300" t="str">
        <v>JULHO</v>
      </c>
      <c r="C327" s="300" t="str">
        <v>UNTA FACIL</v>
      </c>
      <c r="D327" s="301">
        <v>63</v>
      </c>
      <c r="E327" s="301">
        <v>756</v>
      </c>
      <c r="F327" s="301">
        <v>2625</v>
      </c>
      <c r="G327" s="301">
        <v>21</v>
      </c>
      <c r="H327" s="300" t="str">
        <v>SEMANA JULHO!B21:I21</v>
      </c>
      <c r="I327" s="301">
        <v>400</v>
      </c>
    </row>
    <row r="328" spans="1:9" ht="18" customHeight="1" x14ac:dyDescent="0.3">
      <c r="A328" s="299">
        <v>46207</v>
      </c>
      <c r="B328" s="300" t="str">
        <v>JULHO</v>
      </c>
      <c r="C328" s="300" t="str">
        <v>UNTA FACIL</v>
      </c>
      <c r="D328" s="301">
        <v>892</v>
      </c>
      <c r="E328" s="301">
        <v>10704</v>
      </c>
      <c r="F328" s="301">
        <v>2562</v>
      </c>
      <c r="G328" s="301">
        <v>21</v>
      </c>
      <c r="H328" s="300" t="str">
        <v>SEMANA JULHO!B28:I28</v>
      </c>
      <c r="I328" s="301">
        <v>400</v>
      </c>
    </row>
    <row r="329" spans="1:9" ht="18" customHeight="1" x14ac:dyDescent="0.3">
      <c r="A329" s="299">
        <v>46209</v>
      </c>
      <c r="B329" s="300" t="str">
        <v>JULHO</v>
      </c>
      <c r="C329" s="300" t="str">
        <v>UNTA FACIL</v>
      </c>
      <c r="D329" s="301">
        <v>1245</v>
      </c>
      <c r="E329" s="301">
        <v>14940</v>
      </c>
      <c r="F329" s="301">
        <v>1670</v>
      </c>
      <c r="G329" s="301">
        <v>14</v>
      </c>
      <c r="H329" s="300" t="str">
        <v>SEMANA JULHO!B36:I36</v>
      </c>
      <c r="I329" s="301">
        <v>400</v>
      </c>
    </row>
    <row r="330" spans="1:9" ht="18" customHeight="1" x14ac:dyDescent="0.3">
      <c r="A330" s="299">
        <v>46210</v>
      </c>
      <c r="B330" s="300" t="str">
        <v>JULHO</v>
      </c>
      <c r="C330" s="300" t="str">
        <v>UNTA FACIL</v>
      </c>
      <c r="D330" s="301">
        <v>425</v>
      </c>
      <c r="E330" s="301">
        <v>5100</v>
      </c>
      <c r="F330" s="301">
        <v>425</v>
      </c>
      <c r="G330" s="301">
        <v>4</v>
      </c>
      <c r="H330" s="300" t="str">
        <v>SEMANA JULHO!B44:I44</v>
      </c>
      <c r="I330" s="301">
        <v>400</v>
      </c>
    </row>
    <row r="331" spans="1:9" ht="18" customHeight="1" x14ac:dyDescent="0.3">
      <c r="A331" s="299">
        <v>46210</v>
      </c>
      <c r="B331" s="300" t="str">
        <v>JULHO</v>
      </c>
      <c r="C331" s="300" t="str">
        <v>CONSERVANTE INLOCO</v>
      </c>
      <c r="D331" s="301">
        <v>106</v>
      </c>
      <c r="E331" s="301">
        <v>1272</v>
      </c>
      <c r="F331" s="301">
        <v>106</v>
      </c>
      <c r="G331" s="301">
        <v>2</v>
      </c>
      <c r="H331" s="300" t="str">
        <v>SEMANA JULHO!B45:I45</v>
      </c>
      <c r="I331" s="301">
        <v>600</v>
      </c>
    </row>
    <row r="332" spans="1:9" ht="18" customHeight="1" x14ac:dyDescent="0.3">
      <c r="A332" s="299">
        <v>46210</v>
      </c>
      <c r="B332" s="300" t="str">
        <v>JULHO</v>
      </c>
      <c r="C332" s="300" t="str">
        <v>ESPUMA GENGIBRE GIN</v>
      </c>
      <c r="D332" s="301">
        <v>330</v>
      </c>
      <c r="E332" s="301">
        <v>1980</v>
      </c>
      <c r="F332" s="301">
        <v>330</v>
      </c>
      <c r="G332" s="301">
        <v>1</v>
      </c>
      <c r="H332" s="300" t="str">
        <v>SEMANA JULHO!B46:I46</v>
      </c>
      <c r="I332" s="301">
        <v>200</v>
      </c>
    </row>
    <row r="333" spans="1:9" ht="18" customHeight="1" x14ac:dyDescent="0.3">
      <c r="A333" s="299">
        <v>46211</v>
      </c>
      <c r="B333" s="300" t="str">
        <v>JULHO</v>
      </c>
      <c r="C333" s="300" t="str">
        <v>ESPUMA GENGIBRE INLOCO</v>
      </c>
      <c r="D333" s="301">
        <v>335</v>
      </c>
      <c r="E333" s="301">
        <v>2010</v>
      </c>
      <c r="F333" s="301">
        <v>330</v>
      </c>
      <c r="G333" s="301">
        <v>1</v>
      </c>
      <c r="H333" s="300" t="str">
        <v>SEMANA JULHO!B53:I53</v>
      </c>
      <c r="I333" s="301">
        <v>200</v>
      </c>
    </row>
    <row r="334" spans="1:9" ht="18" customHeight="1" x14ac:dyDescent="0.3">
      <c r="A334" s="299">
        <v>46211</v>
      </c>
      <c r="B334" s="300" t="str">
        <v>JULHO</v>
      </c>
      <c r="C334" s="300" t="str">
        <v>ESPUMA LIMÃO GIN</v>
      </c>
      <c r="D334" s="301">
        <v>330</v>
      </c>
      <c r="E334" s="301">
        <v>1980</v>
      </c>
      <c r="F334" s="301">
        <v>330</v>
      </c>
      <c r="G334" s="301">
        <v>1</v>
      </c>
      <c r="H334" s="300" t="str">
        <v>SEMANA JULHO!B54:I54</v>
      </c>
      <c r="I334" s="301">
        <v>200</v>
      </c>
    </row>
    <row r="335" spans="1:9" ht="18" customHeight="1" x14ac:dyDescent="0.3">
      <c r="A335" s="299">
        <v>46211</v>
      </c>
      <c r="B335" s="300" t="str">
        <v>JULHO</v>
      </c>
      <c r="C335" s="300" t="str">
        <v>ESPUMA LIMÃO SIL. INLOCO</v>
      </c>
      <c r="D335" s="301">
        <v>669</v>
      </c>
      <c r="E335" s="301">
        <v>4014</v>
      </c>
      <c r="F335" s="301">
        <v>660</v>
      </c>
      <c r="G335" s="301">
        <v>2</v>
      </c>
      <c r="H335" s="300" t="str">
        <v>SEMANA JULHO!B55:I55</v>
      </c>
      <c r="I335" s="301">
        <v>200</v>
      </c>
    </row>
    <row r="336" spans="1:9" ht="18" customHeight="1" x14ac:dyDescent="0.3">
      <c r="A336" s="299">
        <v>46211</v>
      </c>
      <c r="B336" s="300" t="str">
        <v>JULHO</v>
      </c>
      <c r="C336" s="300" t="str">
        <v>ESPUMA ABACAXI INLOCO</v>
      </c>
      <c r="D336" s="301">
        <v>338</v>
      </c>
      <c r="E336" s="301">
        <v>2028</v>
      </c>
      <c r="F336" s="301">
        <v>330</v>
      </c>
      <c r="G336" s="301">
        <v>1</v>
      </c>
      <c r="H336" s="300" t="str">
        <v>SEMANA JULHO!B56:I56</v>
      </c>
      <c r="I336" s="301">
        <v>200</v>
      </c>
    </row>
    <row r="337" spans="1:9" ht="18" customHeight="1" x14ac:dyDescent="0.3">
      <c r="A337" s="299">
        <v>46211</v>
      </c>
      <c r="B337" s="300" t="str">
        <v>JULHO</v>
      </c>
      <c r="C337" s="300" t="str">
        <v>ESPUMA MORANGO GIN</v>
      </c>
      <c r="D337" s="301">
        <v>339</v>
      </c>
      <c r="E337" s="301">
        <v>2034</v>
      </c>
      <c r="F337" s="301">
        <v>330</v>
      </c>
      <c r="G337" s="301">
        <v>1</v>
      </c>
      <c r="H337" s="300" t="str">
        <v>SEMANA JULHO!B57:I57</v>
      </c>
      <c r="I337" s="301">
        <v>200</v>
      </c>
    </row>
    <row r="338" spans="1:9" ht="18" customHeight="1" x14ac:dyDescent="0.3">
      <c r="A338" s="299">
        <v>46212</v>
      </c>
      <c r="B338" s="300" t="str">
        <v>JULHO</v>
      </c>
      <c r="C338" s="300" t="str">
        <v>CORANTE AZUL INLOCO</v>
      </c>
      <c r="D338" s="301">
        <v>242</v>
      </c>
      <c r="E338" s="301">
        <v>2904</v>
      </c>
      <c r="F338" s="301">
        <v>240</v>
      </c>
      <c r="G338" s="301">
        <v>1</v>
      </c>
      <c r="H338" s="300" t="str">
        <v>SEMANA JULHO!B62:I62</v>
      </c>
      <c r="I338" s="301">
        <v>70</v>
      </c>
    </row>
    <row r="339" spans="1:9" ht="18" customHeight="1" x14ac:dyDescent="0.3">
      <c r="A339" s="299">
        <v>46212</v>
      </c>
      <c r="B339" s="300" t="str">
        <v>JULHO</v>
      </c>
      <c r="C339" s="300" t="str">
        <v>CORANTE AZUL CEU REPETECO</v>
      </c>
      <c r="D339" s="301">
        <v>241</v>
      </c>
      <c r="E339" s="301">
        <v>2892</v>
      </c>
      <c r="F339" s="301">
        <v>240</v>
      </c>
      <c r="G339" s="301">
        <v>1</v>
      </c>
      <c r="H339" s="300" t="str">
        <v>SEMANA JULHO!B63:I63</v>
      </c>
      <c r="I339" s="301">
        <v>70</v>
      </c>
    </row>
    <row r="340" spans="1:9" ht="18" customHeight="1" x14ac:dyDescent="0.3">
      <c r="A340" s="299">
        <v>46212</v>
      </c>
      <c r="B340" s="300" t="str">
        <v>JULHO</v>
      </c>
      <c r="C340" s="300" t="str">
        <v>CORANTE AZUL TURQUESA REP</v>
      </c>
      <c r="D340" s="301">
        <v>175</v>
      </c>
      <c r="E340" s="301">
        <v>2100</v>
      </c>
      <c r="F340" s="301">
        <v>175</v>
      </c>
      <c r="G340" s="301">
        <v>1</v>
      </c>
      <c r="H340" s="300" t="str">
        <v>SEMANA JULHO!B64:I64</v>
      </c>
      <c r="I340" s="301">
        <v>70</v>
      </c>
    </row>
    <row r="341" spans="1:9" ht="18" customHeight="1" x14ac:dyDescent="0.3">
      <c r="A341" s="299">
        <v>46212</v>
      </c>
      <c r="B341" s="300" t="str">
        <v>JULHO</v>
      </c>
      <c r="C341" s="300" t="str">
        <v>COCO EXTRAVIRGEM COPRA</v>
      </c>
      <c r="D341" s="301">
        <v>776</v>
      </c>
      <c r="E341" s="301">
        <v>9312</v>
      </c>
      <c r="F341" s="301">
        <v>1680</v>
      </c>
      <c r="G341" s="301">
        <v>7</v>
      </c>
      <c r="H341" s="300" t="str">
        <v>SEMANA JULHO!B65:I65</v>
      </c>
      <c r="I341" s="301">
        <v>100</v>
      </c>
    </row>
    <row r="342" spans="1:9" ht="18" customHeight="1" x14ac:dyDescent="0.3">
      <c r="A342" s="299">
        <v>46213</v>
      </c>
      <c r="B342" s="300" t="str">
        <v>JULHO</v>
      </c>
      <c r="C342" s="300" t="str">
        <v>COCO EXTRAVIRGEM COPRA</v>
      </c>
      <c r="D342" s="301">
        <v>894</v>
      </c>
      <c r="E342" s="301">
        <v>10728</v>
      </c>
      <c r="F342" s="301">
        <v>904</v>
      </c>
      <c r="G342" s="301">
        <v>4</v>
      </c>
      <c r="H342" s="300" t="str">
        <v>SEMANA JULHO!B70:I70</v>
      </c>
      <c r="I342" s="301">
        <v>100</v>
      </c>
    </row>
    <row r="343" spans="1:9" ht="18" customHeight="1" x14ac:dyDescent="0.3">
      <c r="A343" s="299">
        <v>46213</v>
      </c>
      <c r="B343" s="300" t="str">
        <v>JULHO</v>
      </c>
      <c r="C343" s="300" t="str">
        <v>COCO SEM SABOR COPRA</v>
      </c>
      <c r="D343" s="301">
        <v>406</v>
      </c>
      <c r="E343" s="301">
        <v>4872</v>
      </c>
      <c r="F343" s="301">
        <v>2500</v>
      </c>
      <c r="G343" s="301">
        <v>11</v>
      </c>
      <c r="H343" s="300" t="str">
        <v>SEMANA JULHO!B71:I71</v>
      </c>
      <c r="I343" s="301">
        <v>100</v>
      </c>
    </row>
    <row r="344" spans="1:9" ht="18" customHeight="1" x14ac:dyDescent="0.3">
      <c r="A344" s="299">
        <v>46214</v>
      </c>
      <c r="B344" s="300" t="str">
        <v>JULHO</v>
      </c>
      <c r="C344" s="300" t="str">
        <v>COCO SEM SABOR COPRA</v>
      </c>
      <c r="D344" s="301">
        <v>1022</v>
      </c>
      <c r="E344" s="301">
        <v>12264</v>
      </c>
      <c r="F344" s="301">
        <v>2094</v>
      </c>
      <c r="G344" s="301">
        <v>9</v>
      </c>
      <c r="H344" s="300" t="str">
        <v>SEMANA JULHO!B78:I78</v>
      </c>
      <c r="I344" s="301">
        <v>100</v>
      </c>
    </row>
    <row r="345" spans="1:9" ht="18" customHeight="1" x14ac:dyDescent="0.3">
      <c r="A345" s="299">
        <v>46216</v>
      </c>
      <c r="B345" s="300" t="str">
        <v>JULHO</v>
      </c>
      <c r="C345" s="300" t="str">
        <v>COCO SEM SABOR COPRA</v>
      </c>
      <c r="D345" s="301">
        <v>1074</v>
      </c>
      <c r="E345" s="301">
        <v>12888</v>
      </c>
      <c r="F345" s="301">
        <v>1072</v>
      </c>
      <c r="G345" s="301">
        <v>5</v>
      </c>
      <c r="H345" s="300" t="str">
        <v>SEMANA JULHO!B86:I86</v>
      </c>
      <c r="I345" s="301">
        <v>100</v>
      </c>
    </row>
    <row r="346" spans="1:9" ht="18" customHeight="1" x14ac:dyDescent="0.3">
      <c r="A346" s="299">
        <v>46216</v>
      </c>
      <c r="B346" s="300" t="str">
        <v>JULHO</v>
      </c>
      <c r="C346" s="300" t="str">
        <v>AZEITE TURMA DA MONICA</v>
      </c>
      <c r="D346" s="301">
        <v>118</v>
      </c>
      <c r="E346" s="301">
        <v>1416</v>
      </c>
      <c r="F346" s="301">
        <v>120</v>
      </c>
      <c r="G346" s="301">
        <v>1</v>
      </c>
      <c r="H346" s="300" t="str">
        <v>SEMANA JULHO!B87:I87</v>
      </c>
      <c r="I346" s="301">
        <v>100</v>
      </c>
    </row>
    <row r="347" spans="1:9" ht="18" customHeight="1" x14ac:dyDescent="0.3">
      <c r="A347" s="299">
        <v>46216</v>
      </c>
      <c r="B347" s="300" t="str">
        <v>JULHO</v>
      </c>
      <c r="C347" s="300" t="str">
        <v>L. PEPPER TURMA DA MONICA</v>
      </c>
      <c r="D347" s="301">
        <v>118</v>
      </c>
      <c r="E347" s="301">
        <v>1416</v>
      </c>
      <c r="F347" s="301">
        <v>120</v>
      </c>
      <c r="G347" s="301">
        <v>1</v>
      </c>
      <c r="H347" s="300" t="str">
        <v>SEMANA JULHO!B88:I88</v>
      </c>
      <c r="I347" s="301">
        <v>100</v>
      </c>
    </row>
    <row r="348" spans="1:9" ht="18" customHeight="1" x14ac:dyDescent="0.3">
      <c r="A348" s="299">
        <v>46216</v>
      </c>
      <c r="B348" s="300" t="str">
        <v>JULHO</v>
      </c>
      <c r="C348" s="300" t="str">
        <v>MANTEIGA TURMA DA MONICA</v>
      </c>
      <c r="D348" s="301">
        <v>73</v>
      </c>
      <c r="E348" s="301">
        <v>876</v>
      </c>
      <c r="F348" s="301">
        <v>120</v>
      </c>
      <c r="G348" s="301">
        <v>1</v>
      </c>
      <c r="H348" s="300" t="str">
        <v>SEMANA JULHO!B89:I89</v>
      </c>
      <c r="I348" s="301">
        <v>100</v>
      </c>
    </row>
    <row r="349" spans="1:9" ht="18" customHeight="1" x14ac:dyDescent="0.3">
      <c r="A349" s="299">
        <v>46217</v>
      </c>
      <c r="B349" s="300" t="str">
        <v>JULHO</v>
      </c>
      <c r="C349" s="300" t="str">
        <v>MANTEIGA TURMA DA MONICA</v>
      </c>
      <c r="D349" s="301">
        <v>24</v>
      </c>
      <c r="E349" s="301">
        <v>288</v>
      </c>
      <c r="F349" s="301">
        <v>47</v>
      </c>
      <c r="G349" s="301">
        <v>1</v>
      </c>
      <c r="H349" s="300" t="str">
        <v>SEMANA JULHO!B95:I95</v>
      </c>
      <c r="I349" s="301">
        <v>100</v>
      </c>
    </row>
    <row r="350" spans="1:9" ht="18" customHeight="1" x14ac:dyDescent="0.3">
      <c r="A350" s="299">
        <v>46217</v>
      </c>
      <c r="B350" s="300" t="str">
        <v>JULHO</v>
      </c>
      <c r="C350" s="300" t="str">
        <v>DESMOLDANTE INLOCO 180</v>
      </c>
      <c r="D350" s="301">
        <v>1112</v>
      </c>
      <c r="E350" s="301">
        <v>13344</v>
      </c>
      <c r="F350" s="301">
        <v>1200</v>
      </c>
      <c r="G350" s="301">
        <v>5</v>
      </c>
      <c r="H350" s="300" t="str">
        <v>SEMANA JULHO!B96:I96</v>
      </c>
      <c r="I350" s="301">
        <v>180</v>
      </c>
    </row>
    <row r="351" spans="1:9" ht="18" customHeight="1" x14ac:dyDescent="0.3">
      <c r="A351" s="299">
        <v>46217</v>
      </c>
      <c r="B351" s="300" t="str">
        <v>JULHO</v>
      </c>
      <c r="C351" s="300" t="str">
        <v>ADIMIX</v>
      </c>
      <c r="D351" s="301">
        <v>66</v>
      </c>
      <c r="E351" s="301">
        <v>792</v>
      </c>
      <c r="F351" s="301">
        <v>665</v>
      </c>
      <c r="G351" s="301">
        <v>7</v>
      </c>
      <c r="H351" s="300" t="str">
        <v>SEMANA JULHO!B97:I97</v>
      </c>
      <c r="I351" s="301">
        <v>600</v>
      </c>
    </row>
    <row r="352" spans="1:9" ht="18" customHeight="1" x14ac:dyDescent="0.3">
      <c r="A352" s="299">
        <v>46218</v>
      </c>
      <c r="B352" s="300" t="str">
        <v>JULHO</v>
      </c>
      <c r="C352" s="300" t="str">
        <v>ADIMIX</v>
      </c>
      <c r="D352" s="301">
        <v>607</v>
      </c>
      <c r="E352" s="301">
        <v>7284</v>
      </c>
      <c r="F352" s="301">
        <v>599</v>
      </c>
      <c r="G352" s="301">
        <v>7</v>
      </c>
      <c r="H352" s="300" t="str">
        <v>SEMANA JULHO!B103:I103</v>
      </c>
      <c r="I352" s="301">
        <v>600</v>
      </c>
    </row>
    <row r="353" spans="1:9" ht="18" customHeight="1" x14ac:dyDescent="0.3">
      <c r="A353" s="299">
        <v>46218</v>
      </c>
      <c r="B353" s="300" t="str">
        <v>JULHO</v>
      </c>
      <c r="C353" s="300" t="str">
        <v>INLOCO</v>
      </c>
      <c r="D353" s="301">
        <v>291</v>
      </c>
      <c r="E353" s="301">
        <v>3492</v>
      </c>
      <c r="F353" s="301">
        <v>1330</v>
      </c>
      <c r="G353" s="301">
        <v>14</v>
      </c>
      <c r="H353" s="300" t="str">
        <v>SEMANA JULHO!B104:I104</v>
      </c>
      <c r="I353" s="301">
        <v>600</v>
      </c>
    </row>
    <row r="354" spans="1:9" ht="18" customHeight="1" x14ac:dyDescent="0.3">
      <c r="A354" s="299">
        <v>46219</v>
      </c>
      <c r="B354" s="300" t="str">
        <v>JULHO</v>
      </c>
      <c r="C354" s="300" t="str">
        <v>INLOCO</v>
      </c>
      <c r="D354" s="301">
        <v>961</v>
      </c>
      <c r="E354" s="301">
        <v>11532</v>
      </c>
      <c r="F354" s="301">
        <v>1039</v>
      </c>
      <c r="G354" s="301">
        <v>11</v>
      </c>
      <c r="H354" s="300" t="str">
        <v>SEMANA JULHO!B111:I111</v>
      </c>
      <c r="I354" s="301">
        <v>600</v>
      </c>
    </row>
    <row r="355" spans="1:9" ht="18" customHeight="1" x14ac:dyDescent="0.3">
      <c r="A355" s="299">
        <v>46220</v>
      </c>
      <c r="B355" s="300" t="str">
        <v>JULHO</v>
      </c>
      <c r="C355" s="300" t="str">
        <v>INLOCO</v>
      </c>
      <c r="D355" s="301">
        <v>94</v>
      </c>
      <c r="E355" s="301">
        <v>1128</v>
      </c>
      <c r="F355" s="301">
        <v>78</v>
      </c>
      <c r="G355" s="301">
        <v>1</v>
      </c>
      <c r="H355" s="300" t="str">
        <v>SEMANA JULHO!B119:I119</v>
      </c>
      <c r="I355" s="301">
        <v>600</v>
      </c>
    </row>
    <row r="356" spans="1:9" ht="18" customHeight="1" x14ac:dyDescent="0.3">
      <c r="A356" s="299">
        <v>46220</v>
      </c>
      <c r="B356" s="300" t="str">
        <v>JULHO</v>
      </c>
      <c r="C356" s="300" t="str">
        <v>ITAIQUARA</v>
      </c>
      <c r="D356" s="301">
        <v>380</v>
      </c>
      <c r="E356" s="301">
        <v>4560</v>
      </c>
      <c r="F356" s="301">
        <v>380</v>
      </c>
      <c r="G356" s="301">
        <v>4</v>
      </c>
      <c r="H356" s="300" t="str">
        <v>SEMANA JULHO!B120:I120</v>
      </c>
      <c r="I356" s="301">
        <v>600</v>
      </c>
    </row>
    <row r="357" spans="1:9" ht="18" customHeight="1" x14ac:dyDescent="0.3">
      <c r="A357" s="299">
        <v>46220</v>
      </c>
      <c r="B357" s="300" t="str">
        <v>JULHO</v>
      </c>
      <c r="C357" s="300" t="str">
        <v>VIA PANE</v>
      </c>
      <c r="D357" s="301">
        <v>124</v>
      </c>
      <c r="E357" s="301">
        <v>1488</v>
      </c>
      <c r="F357" s="301">
        <v>400</v>
      </c>
      <c r="G357" s="301">
        <v>5</v>
      </c>
      <c r="H357" s="300" t="str">
        <v>SEMANA JULHO!B121:I121</v>
      </c>
      <c r="I357" s="301">
        <v>600</v>
      </c>
    </row>
    <row r="358" spans="1:9" ht="18" customHeight="1" x14ac:dyDescent="0.3">
      <c r="A358" s="299">
        <v>46221</v>
      </c>
      <c r="B358" s="300" t="str">
        <v>JULHO</v>
      </c>
      <c r="C358" s="300" t="str">
        <v>VIA PANE</v>
      </c>
      <c r="D358" s="301">
        <v>279</v>
      </c>
      <c r="E358" s="301">
        <v>3348</v>
      </c>
      <c r="F358" s="301">
        <v>276</v>
      </c>
      <c r="G358" s="301">
        <v>3</v>
      </c>
      <c r="H358" s="300" t="str">
        <v>SEMANA JULHO!B128:I128</v>
      </c>
      <c r="I358" s="301">
        <v>600</v>
      </c>
    </row>
    <row r="359" spans="1:9" ht="18" customHeight="1" x14ac:dyDescent="0.3">
      <c r="A359" s="299">
        <v>46221</v>
      </c>
      <c r="B359" s="300" t="str">
        <v>JULHO</v>
      </c>
      <c r="C359" s="300" t="str">
        <v>ADIMIX</v>
      </c>
      <c r="D359" s="301">
        <v>429</v>
      </c>
      <c r="E359" s="301">
        <v>5148</v>
      </c>
      <c r="F359" s="301">
        <v>665</v>
      </c>
      <c r="G359" s="301">
        <v>7</v>
      </c>
      <c r="H359" s="300" t="str">
        <v>SEMANA JULHO!B129:I129</v>
      </c>
      <c r="I359" s="301">
        <v>600</v>
      </c>
    </row>
    <row r="360" spans="1:9" ht="18" customHeight="1" x14ac:dyDescent="0.3">
      <c r="A360" s="299">
        <v>46223</v>
      </c>
      <c r="B360" s="300" t="str">
        <v>JULHO</v>
      </c>
      <c r="C360" s="300" t="str">
        <v>ADIMIX</v>
      </c>
      <c r="D360" s="301">
        <v>244</v>
      </c>
      <c r="E360" s="301">
        <v>2928</v>
      </c>
      <c r="F360" s="301">
        <v>236</v>
      </c>
      <c r="G360" s="301">
        <v>3</v>
      </c>
      <c r="H360" s="300" t="str">
        <v>SEMANA JULHO!B136:I136</v>
      </c>
      <c r="I360" s="301">
        <v>600</v>
      </c>
    </row>
    <row r="361" spans="1:9" ht="18" customHeight="1" x14ac:dyDescent="0.3">
      <c r="A361" s="299">
        <v>46223</v>
      </c>
      <c r="B361" s="300" t="str">
        <v>JULHO</v>
      </c>
      <c r="C361" s="300" t="str">
        <v>MEL TTF</v>
      </c>
      <c r="D361" s="301">
        <v>195</v>
      </c>
      <c r="E361" s="301">
        <v>2340</v>
      </c>
      <c r="F361" s="301">
        <v>190</v>
      </c>
      <c r="G361" s="301">
        <v>2</v>
      </c>
      <c r="H361" s="300" t="str">
        <v>SEMANA JULHO!B137:I137</v>
      </c>
      <c r="I361" s="301">
        <v>600</v>
      </c>
    </row>
    <row r="362" spans="1:9" ht="18" customHeight="1" x14ac:dyDescent="0.3">
      <c r="A362" s="305">
        <v>46223</v>
      </c>
      <c r="B362" s="306" t="str">
        <v>JULHO</v>
      </c>
      <c r="C362" s="306" t="str">
        <v>INLOCO MEL</v>
      </c>
      <c r="D362" s="307">
        <v>465</v>
      </c>
      <c r="E362" s="307">
        <v>5580</v>
      </c>
      <c r="F362" s="307">
        <v>475</v>
      </c>
      <c r="G362" s="307">
        <v>5</v>
      </c>
      <c r="H362" s="306" t="str">
        <v>SEMANA JULHO!B138:I138</v>
      </c>
      <c r="I362" s="307">
        <v>600</v>
      </c>
    </row>
    <row r="363" spans="1:9" ht="18" customHeight="1" x14ac:dyDescent="0.3">
      <c r="A363" s="305">
        <v>46224</v>
      </c>
      <c r="B363" s="306" t="str">
        <v>JULHO</v>
      </c>
      <c r="C363" s="306" t="str">
        <v>BONASSE</v>
      </c>
      <c r="D363" s="307">
        <v>750</v>
      </c>
      <c r="E363" s="307">
        <v>9000</v>
      </c>
      <c r="F363" s="307">
        <v>750</v>
      </c>
      <c r="G363" s="307">
        <v>6</v>
      </c>
      <c r="H363" s="306" t="str">
        <v>SEMANA JULHO!B145:I145</v>
      </c>
      <c r="I363" s="307">
        <v>400</v>
      </c>
    </row>
    <row r="364" spans="1:9" ht="18" customHeight="1" x14ac:dyDescent="0.3">
      <c r="A364" s="305">
        <v>46224</v>
      </c>
      <c r="B364" s="306" t="str">
        <v>JULHO</v>
      </c>
      <c r="C364" s="306" t="str">
        <v>REPETECO</v>
      </c>
      <c r="D364" s="307">
        <v>250</v>
      </c>
      <c r="E364" s="307">
        <v>3000</v>
      </c>
      <c r="F364" s="307">
        <v>250</v>
      </c>
      <c r="G364" s="307">
        <v>2</v>
      </c>
      <c r="H364" s="306" t="str">
        <v>SEMANA JULHO!B146:I146</v>
      </c>
      <c r="I364" s="307">
        <v>400</v>
      </c>
    </row>
    <row r="365" spans="1:9" ht="18" customHeight="1" x14ac:dyDescent="0.3">
      <c r="A365" s="305">
        <v>46224</v>
      </c>
      <c r="B365" s="306" t="str">
        <v>JULHO</v>
      </c>
      <c r="C365" s="306" t="str">
        <v>ICEBERG CHEF</v>
      </c>
      <c r="D365" s="307">
        <v>277</v>
      </c>
      <c r="E365" s="307">
        <v>3324</v>
      </c>
      <c r="F365" s="307">
        <v>2310</v>
      </c>
      <c r="G365" s="307">
        <v>21</v>
      </c>
      <c r="H365" s="306" t="str">
        <v>SEMANA JULHO!B147:I147</v>
      </c>
      <c r="I365" s="307">
        <v>400</v>
      </c>
    </row>
    <row r="366" spans="1:9" ht="18" customHeight="1" x14ac:dyDescent="0.3">
      <c r="A366" s="305">
        <v>46225</v>
      </c>
      <c r="B366" s="306" t="str">
        <v>JULHO</v>
      </c>
      <c r="C366" s="306" t="str">
        <v>ICEBERG CHEF</v>
      </c>
      <c r="D366" s="307">
        <v>1673</v>
      </c>
      <c r="E366" s="307">
        <v>20076</v>
      </c>
      <c r="F366" s="307">
        <v>2033</v>
      </c>
      <c r="G366" s="307">
        <v>19</v>
      </c>
      <c r="H366" s="306" t="str">
        <v>SEMANA JULHO!B153:I153</v>
      </c>
      <c r="I366" s="307">
        <v>400</v>
      </c>
    </row>
    <row r="367" spans="1:9" ht="18" customHeight="1" x14ac:dyDescent="0.3">
      <c r="A367" s="305">
        <v>46226</v>
      </c>
      <c r="B367" s="306" t="str">
        <v>JULHO</v>
      </c>
      <c r="C367" s="306" t="str">
        <v>ICEBERG CHEF</v>
      </c>
      <c r="D367" s="307">
        <v>360</v>
      </c>
      <c r="E367" s="307">
        <v>4320</v>
      </c>
      <c r="F367" s="307">
        <v>360</v>
      </c>
      <c r="G367" s="307">
        <v>4</v>
      </c>
      <c r="H367" s="306" t="str">
        <v>SEMANA JULHO!B163:I163</v>
      </c>
      <c r="I367" s="307">
        <v>400</v>
      </c>
    </row>
    <row r="368" spans="1:9" ht="18" customHeight="1" x14ac:dyDescent="0.3">
      <c r="A368" s="305">
        <v>46226</v>
      </c>
      <c r="B368" s="306" t="str">
        <v>JULHO</v>
      </c>
      <c r="C368" s="306" t="str">
        <v>CASA DO PANIFICADOR</v>
      </c>
      <c r="D368" s="307">
        <v>200</v>
      </c>
      <c r="E368" s="307">
        <v>2400</v>
      </c>
      <c r="F368" s="307">
        <v>200</v>
      </c>
      <c r="G368" s="307">
        <v>2</v>
      </c>
      <c r="H368" s="306" t="str">
        <v>SEMANA JULHO!B164:I164</v>
      </c>
      <c r="I368" s="307">
        <v>400</v>
      </c>
    </row>
    <row r="369" spans="1:9" ht="18" customHeight="1" x14ac:dyDescent="0.3">
      <c r="A369" s="305"/>
      <c r="B369" s="306"/>
      <c r="C369" s="306"/>
      <c r="D369" s="307"/>
      <c r="E369" s="307"/>
      <c r="F369" s="307"/>
      <c r="G369" s="307"/>
      <c r="H369" s="306"/>
      <c r="I369" s="307"/>
    </row>
    <row r="370" spans="1:9" ht="18" customHeight="1" x14ac:dyDescent="0.3">
      <c r="A370" s="305"/>
      <c r="B370" s="306"/>
      <c r="C370" s="306"/>
      <c r="D370" s="307"/>
      <c r="E370" s="307"/>
      <c r="F370" s="307"/>
      <c r="G370" s="307"/>
      <c r="H370" s="306"/>
      <c r="I370" s="307"/>
    </row>
    <row r="371" spans="1:9" ht="18" customHeight="1" x14ac:dyDescent="0.3">
      <c r="A371" s="305"/>
      <c r="B371" s="306"/>
      <c r="C371" s="306"/>
      <c r="D371" s="307"/>
      <c r="E371" s="307"/>
      <c r="F371" s="307"/>
      <c r="G371" s="307"/>
      <c r="H371" s="306"/>
      <c r="I371" s="307"/>
    </row>
    <row r="372" spans="1:9" ht="18" customHeight="1" x14ac:dyDescent="0.3">
      <c r="A372" s="305"/>
      <c r="B372" s="306"/>
      <c r="C372" s="306"/>
      <c r="D372" s="307"/>
      <c r="E372" s="307"/>
      <c r="F372" s="307"/>
      <c r="G372" s="307"/>
      <c r="H372" s="306"/>
      <c r="I372" s="307"/>
    </row>
    <row r="373" spans="1:9" ht="18" customHeight="1" x14ac:dyDescent="0.3">
      <c r="A373" s="305"/>
      <c r="B373" s="306"/>
      <c r="C373" s="306"/>
      <c r="D373" s="307"/>
      <c r="E373" s="307"/>
      <c r="F373" s="307"/>
      <c r="G373" s="307"/>
      <c r="H373" s="306"/>
      <c r="I373" s="307"/>
    </row>
    <row r="374" spans="1:9" ht="18" customHeight="1" x14ac:dyDescent="0.3">
      <c r="A374" s="305"/>
      <c r="B374" s="306"/>
      <c r="C374" s="306"/>
      <c r="D374" s="307"/>
      <c r="E374" s="307"/>
      <c r="F374" s="307"/>
      <c r="G374" s="307"/>
      <c r="H374" s="306"/>
      <c r="I374" s="307"/>
    </row>
    <row r="375" spans="1:9" ht="18" customHeight="1" x14ac:dyDescent="0.3">
      <c r="A375" s="305"/>
      <c r="B375" s="306"/>
      <c r="C375" s="306"/>
      <c r="D375" s="307"/>
      <c r="E375" s="307"/>
      <c r="F375" s="307"/>
      <c r="G375" s="307"/>
      <c r="H375" s="306"/>
      <c r="I375" s="307"/>
    </row>
    <row r="376" spans="1:9" ht="18" customHeight="1" x14ac:dyDescent="0.3">
      <c r="A376" s="305"/>
      <c r="B376" s="306"/>
      <c r="C376" s="306"/>
      <c r="D376" s="307"/>
      <c r="E376" s="307"/>
      <c r="F376" s="307"/>
      <c r="G376" s="307"/>
      <c r="H376" s="306"/>
      <c r="I376" s="307"/>
    </row>
    <row r="377" spans="1:9" ht="18" customHeight="1" x14ac:dyDescent="0.3">
      <c r="A377" s="305"/>
      <c r="B377" s="306"/>
      <c r="C377" s="306"/>
      <c r="D377" s="307"/>
      <c r="E377" s="307"/>
      <c r="F377" s="307"/>
      <c r="G377" s="307"/>
      <c r="H377" s="306"/>
      <c r="I377" s="307"/>
    </row>
    <row r="378" spans="1:9" ht="18" customHeight="1" x14ac:dyDescent="0.3">
      <c r="A378" s="305"/>
      <c r="B378" s="306"/>
      <c r="C378" s="306"/>
      <c r="D378" s="307"/>
      <c r="E378" s="307"/>
      <c r="F378" s="307"/>
      <c r="G378" s="307"/>
      <c r="H378" s="306"/>
      <c r="I378" s="307"/>
    </row>
    <row r="379" spans="1:9" ht="18" customHeight="1" x14ac:dyDescent="0.3">
      <c r="A379" s="305"/>
      <c r="B379" s="306"/>
      <c r="C379" s="306"/>
      <c r="D379" s="307"/>
      <c r="E379" s="307"/>
      <c r="F379" s="307"/>
      <c r="G379" s="307"/>
      <c r="H379" s="306"/>
      <c r="I379" s="307"/>
    </row>
    <row r="380" spans="1:9" ht="18" customHeight="1" x14ac:dyDescent="0.3">
      <c r="A380" s="305"/>
      <c r="B380" s="306"/>
      <c r="C380" s="306"/>
      <c r="D380" s="307"/>
      <c r="E380" s="307"/>
      <c r="F380" s="307"/>
      <c r="G380" s="307"/>
      <c r="H380" s="306"/>
      <c r="I380" s="307"/>
    </row>
    <row r="381" spans="1:9" ht="18" customHeight="1" x14ac:dyDescent="0.3">
      <c r="A381" s="305"/>
      <c r="B381" s="306"/>
      <c r="C381" s="306"/>
      <c r="D381" s="307"/>
      <c r="E381" s="307"/>
      <c r="F381" s="307"/>
      <c r="G381" s="307"/>
      <c r="H381" s="306"/>
      <c r="I381" s="307"/>
    </row>
    <row r="382" spans="1:9" ht="18" customHeight="1" x14ac:dyDescent="0.3">
      <c r="A382" s="305"/>
      <c r="B382" s="306"/>
      <c r="C382" s="306"/>
      <c r="D382" s="307"/>
      <c r="E382" s="307"/>
      <c r="F382" s="307"/>
      <c r="G382" s="307"/>
      <c r="H382" s="306"/>
      <c r="I382" s="307"/>
    </row>
    <row r="383" spans="1:9" ht="18" customHeight="1" x14ac:dyDescent="0.3">
      <c r="A383" s="305"/>
      <c r="B383" s="306"/>
      <c r="C383" s="306"/>
      <c r="D383" s="307"/>
      <c r="E383" s="307"/>
      <c r="F383" s="307"/>
      <c r="G383" s="307"/>
      <c r="H383" s="306"/>
      <c r="I383" s="307"/>
    </row>
    <row r="384" spans="1:9" ht="18" customHeight="1" x14ac:dyDescent="0.3">
      <c r="A384" s="305"/>
      <c r="B384" s="306"/>
      <c r="C384" s="306"/>
      <c r="D384" s="307"/>
      <c r="E384" s="307"/>
      <c r="F384" s="307"/>
      <c r="G384" s="307"/>
      <c r="H384" s="306"/>
      <c r="I384" s="307"/>
    </row>
    <row r="385" spans="1:9" ht="18" customHeight="1" x14ac:dyDescent="0.3">
      <c r="A385" s="305"/>
      <c r="B385" s="306"/>
      <c r="C385" s="306"/>
      <c r="D385" s="307"/>
      <c r="E385" s="307"/>
      <c r="F385" s="307"/>
      <c r="G385" s="307"/>
      <c r="H385" s="306"/>
      <c r="I385" s="307"/>
    </row>
    <row r="386" spans="1:9" ht="18" customHeight="1" x14ac:dyDescent="0.3">
      <c r="A386" s="305"/>
      <c r="B386" s="306"/>
      <c r="C386" s="306"/>
      <c r="D386" s="307"/>
      <c r="E386" s="307"/>
      <c r="F386" s="307"/>
      <c r="G386" s="307"/>
      <c r="H386" s="306"/>
      <c r="I386" s="307"/>
    </row>
    <row r="387" spans="1:9" ht="18" customHeight="1" x14ac:dyDescent="0.3">
      <c r="A387" s="305"/>
      <c r="B387" s="306"/>
      <c r="C387" s="306"/>
      <c r="D387" s="307"/>
      <c r="E387" s="307"/>
      <c r="F387" s="307"/>
      <c r="G387" s="307"/>
      <c r="H387" s="306"/>
      <c r="I387" s="307"/>
    </row>
    <row r="388" spans="1:9" ht="18" customHeight="1" x14ac:dyDescent="0.3">
      <c r="A388" s="305"/>
      <c r="B388" s="306"/>
      <c r="C388" s="306"/>
      <c r="D388" s="307"/>
      <c r="E388" s="307"/>
      <c r="F388" s="307"/>
      <c r="G388" s="307"/>
      <c r="H388" s="306"/>
      <c r="I388" s="307"/>
    </row>
    <row r="389" spans="1:9" ht="18" customHeight="1" x14ac:dyDescent="0.3">
      <c r="A389" s="305"/>
      <c r="B389" s="306"/>
      <c r="C389" s="306"/>
      <c r="D389" s="307"/>
      <c r="E389" s="307"/>
      <c r="F389" s="307"/>
      <c r="G389" s="307"/>
      <c r="H389" s="306"/>
      <c r="I389" s="307"/>
    </row>
    <row r="390" spans="1:9" ht="18" customHeight="1" x14ac:dyDescent="0.3">
      <c r="A390" s="305"/>
      <c r="B390" s="306"/>
      <c r="C390" s="306"/>
      <c r="D390" s="307"/>
      <c r="E390" s="307"/>
      <c r="F390" s="307"/>
      <c r="G390" s="307"/>
      <c r="H390" s="306"/>
      <c r="I390" s="307"/>
    </row>
    <row r="391" spans="1:9" ht="18" customHeight="1" x14ac:dyDescent="0.3">
      <c r="A391" s="305"/>
      <c r="B391" s="306"/>
      <c r="C391" s="306"/>
      <c r="D391" s="307"/>
      <c r="E391" s="307"/>
      <c r="F391" s="307"/>
      <c r="G391" s="307"/>
      <c r="H391" s="306"/>
      <c r="I391" s="307"/>
    </row>
    <row r="392" spans="1:9" ht="18" customHeight="1" x14ac:dyDescent="0.3">
      <c r="A392" s="305"/>
      <c r="B392" s="306"/>
      <c r="C392" s="306"/>
      <c r="D392" s="307"/>
      <c r="E392" s="307"/>
      <c r="F392" s="307"/>
      <c r="G392" s="307"/>
      <c r="H392" s="306"/>
      <c r="I392" s="307"/>
    </row>
    <row r="393" spans="1:9" ht="18" customHeight="1" x14ac:dyDescent="0.3">
      <c r="A393" s="305"/>
      <c r="B393" s="306"/>
      <c r="C393" s="306"/>
      <c r="D393" s="307"/>
      <c r="E393" s="307"/>
      <c r="F393" s="307"/>
      <c r="G393" s="307"/>
      <c r="H393" s="306"/>
      <c r="I393" s="307"/>
    </row>
    <row r="394" spans="1:9" ht="18" customHeight="1" x14ac:dyDescent="0.3">
      <c r="A394" s="305"/>
      <c r="B394" s="306"/>
      <c r="C394" s="306"/>
      <c r="D394" s="307"/>
      <c r="E394" s="307"/>
      <c r="F394" s="307"/>
      <c r="G394" s="307"/>
      <c r="H394" s="306"/>
      <c r="I394" s="307"/>
    </row>
    <row r="395" spans="1:9" ht="18" customHeight="1" x14ac:dyDescent="0.3">
      <c r="A395" s="305"/>
      <c r="B395" s="306"/>
      <c r="C395" s="306"/>
      <c r="D395" s="307"/>
      <c r="E395" s="307"/>
      <c r="F395" s="307"/>
      <c r="G395" s="307"/>
      <c r="H395" s="306"/>
      <c r="I395" s="307"/>
    </row>
    <row r="396" spans="1:9" ht="18" customHeight="1" x14ac:dyDescent="0.3">
      <c r="A396" s="305"/>
      <c r="B396" s="306"/>
      <c r="C396" s="306"/>
      <c r="D396" s="307"/>
      <c r="E396" s="307"/>
      <c r="F396" s="307"/>
      <c r="G396" s="307"/>
      <c r="H396" s="306"/>
      <c r="I396" s="307"/>
    </row>
    <row r="397" spans="1:9" ht="18" customHeight="1" x14ac:dyDescent="0.3">
      <c r="A397" s="305"/>
      <c r="B397" s="306"/>
      <c r="C397" s="306"/>
      <c r="D397" s="307"/>
      <c r="E397" s="307"/>
      <c r="F397" s="307"/>
      <c r="G397" s="307"/>
      <c r="H397" s="306"/>
      <c r="I397" s="307"/>
    </row>
    <row r="398" spans="1:9" ht="18" customHeight="1" x14ac:dyDescent="0.3">
      <c r="A398" s="305"/>
      <c r="B398" s="306"/>
      <c r="C398" s="306"/>
      <c r="D398" s="307"/>
      <c r="E398" s="307"/>
      <c r="F398" s="307"/>
      <c r="G398" s="307"/>
      <c r="H398" s="306"/>
      <c r="I398" s="307"/>
    </row>
    <row r="399" spans="1:9" ht="18" customHeight="1" x14ac:dyDescent="0.3">
      <c r="A399" s="305"/>
      <c r="B399" s="306"/>
      <c r="C399" s="306"/>
      <c r="D399" s="307"/>
      <c r="E399" s="307"/>
      <c r="F399" s="307"/>
      <c r="G399" s="307"/>
      <c r="H399" s="306"/>
      <c r="I399" s="307"/>
    </row>
    <row r="400" spans="1:9" ht="18" customHeight="1" x14ac:dyDescent="0.3">
      <c r="A400" s="305"/>
      <c r="B400" s="306"/>
      <c r="C400" s="306"/>
      <c r="D400" s="307"/>
      <c r="E400" s="307"/>
      <c r="F400" s="307"/>
      <c r="G400" s="307"/>
      <c r="H400" s="306"/>
      <c r="I400" s="307"/>
    </row>
    <row r="401" spans="1:9" ht="18" customHeight="1" x14ac:dyDescent="0.3">
      <c r="A401" s="305"/>
      <c r="B401" s="306"/>
      <c r="C401" s="306"/>
      <c r="D401" s="307"/>
      <c r="E401" s="307"/>
      <c r="F401" s="307"/>
      <c r="G401" s="307"/>
      <c r="H401" s="306"/>
      <c r="I401" s="307"/>
    </row>
    <row r="402" spans="1:9" ht="18" customHeight="1" x14ac:dyDescent="0.3">
      <c r="A402" s="305"/>
      <c r="B402" s="306"/>
      <c r="C402" s="306"/>
      <c r="D402" s="307"/>
      <c r="E402" s="307"/>
      <c r="F402" s="307"/>
      <c r="G402" s="307"/>
      <c r="H402" s="306"/>
      <c r="I402" s="307"/>
    </row>
    <row r="403" spans="1:9" ht="18" customHeight="1" x14ac:dyDescent="0.3">
      <c r="A403" s="305"/>
      <c r="B403" s="306"/>
      <c r="C403" s="306"/>
      <c r="D403" s="307"/>
      <c r="E403" s="307"/>
      <c r="F403" s="307"/>
      <c r="G403" s="307"/>
      <c r="H403" s="306"/>
      <c r="I403" s="307"/>
    </row>
    <row r="404" spans="1:9" ht="18" customHeight="1" x14ac:dyDescent="0.3">
      <c r="A404" s="305"/>
      <c r="B404" s="306"/>
      <c r="C404" s="306"/>
      <c r="D404" s="307"/>
      <c r="E404" s="307"/>
      <c r="F404" s="307"/>
      <c r="G404" s="307"/>
      <c r="H404" s="306"/>
      <c r="I404" s="307"/>
    </row>
    <row r="405" spans="1:9" ht="18" customHeight="1" x14ac:dyDescent="0.3">
      <c r="A405" s="305"/>
      <c r="B405" s="306"/>
      <c r="C405" s="306"/>
      <c r="D405" s="307"/>
      <c r="E405" s="307"/>
      <c r="F405" s="307"/>
      <c r="G405" s="307"/>
      <c r="H405" s="306"/>
      <c r="I405" s="307"/>
    </row>
    <row r="406" spans="1:9" ht="18" customHeight="1" x14ac:dyDescent="0.3">
      <c r="A406" s="305"/>
      <c r="B406" s="306"/>
      <c r="C406" s="306"/>
      <c r="D406" s="307"/>
      <c r="E406" s="307"/>
      <c r="F406" s="307"/>
      <c r="G406" s="307"/>
      <c r="H406" s="306"/>
      <c r="I406" s="307"/>
    </row>
    <row r="407" spans="1:9" ht="18" customHeight="1" x14ac:dyDescent="0.3">
      <c r="A407" s="305"/>
      <c r="B407" s="306"/>
      <c r="C407" s="306"/>
      <c r="D407" s="307"/>
      <c r="E407" s="307"/>
      <c r="F407" s="307"/>
      <c r="G407" s="307"/>
      <c r="H407" s="306"/>
      <c r="I407" s="307"/>
    </row>
    <row r="408" spans="1:9" ht="18" customHeight="1" x14ac:dyDescent="0.3">
      <c r="A408" s="305"/>
      <c r="B408" s="306"/>
      <c r="C408" s="306"/>
      <c r="D408" s="307"/>
      <c r="E408" s="307"/>
      <c r="F408" s="307"/>
      <c r="G408" s="307"/>
      <c r="H408" s="306"/>
      <c r="I408" s="307"/>
    </row>
    <row r="409" spans="1:9" ht="18" customHeight="1" x14ac:dyDescent="0.3">
      <c r="A409" s="305"/>
      <c r="B409" s="306"/>
      <c r="C409" s="306"/>
      <c r="D409" s="307"/>
      <c r="E409" s="307"/>
      <c r="F409" s="307"/>
      <c r="G409" s="307"/>
      <c r="H409" s="306"/>
      <c r="I409" s="307"/>
    </row>
    <row r="410" spans="1:9" ht="18" customHeight="1" x14ac:dyDescent="0.3">
      <c r="A410" s="305"/>
      <c r="B410" s="306"/>
      <c r="C410" s="306"/>
      <c r="D410" s="307"/>
      <c r="E410" s="307"/>
      <c r="F410" s="307"/>
      <c r="G410" s="307"/>
      <c r="H410" s="306"/>
      <c r="I410" s="307"/>
    </row>
    <row r="411" spans="1:9" ht="18" customHeight="1" x14ac:dyDescent="0.3">
      <c r="A411" s="305"/>
      <c r="B411" s="306"/>
      <c r="C411" s="306"/>
      <c r="D411" s="307"/>
      <c r="E411" s="307"/>
      <c r="F411" s="307"/>
      <c r="G411" s="307"/>
      <c r="H411" s="306"/>
      <c r="I411" s="307"/>
    </row>
    <row r="412" spans="1:9" ht="18" customHeight="1" x14ac:dyDescent="0.3">
      <c r="A412" s="305"/>
      <c r="B412" s="306"/>
      <c r="C412" s="306"/>
      <c r="D412" s="307"/>
      <c r="E412" s="307"/>
      <c r="F412" s="307"/>
      <c r="G412" s="307"/>
      <c r="H412" s="306"/>
      <c r="I412" s="307"/>
    </row>
    <row r="413" spans="1:9" ht="18" customHeight="1" x14ac:dyDescent="0.3">
      <c r="A413" s="305"/>
      <c r="B413" s="306"/>
      <c r="C413" s="306"/>
      <c r="D413" s="307"/>
      <c r="E413" s="307"/>
      <c r="F413" s="307"/>
      <c r="G413" s="307"/>
      <c r="H413" s="306"/>
      <c r="I413" s="307"/>
    </row>
    <row r="414" spans="1:9" ht="18" customHeight="1" x14ac:dyDescent="0.3">
      <c r="A414" s="305"/>
      <c r="B414" s="306"/>
      <c r="C414" s="306"/>
      <c r="D414" s="307"/>
      <c r="E414" s="307"/>
      <c r="F414" s="307"/>
      <c r="G414" s="307"/>
      <c r="H414" s="306"/>
      <c r="I414" s="307"/>
    </row>
    <row r="415" spans="1:9" ht="18" customHeight="1" x14ac:dyDescent="0.3">
      <c r="A415" s="305"/>
      <c r="B415" s="306"/>
      <c r="C415" s="306"/>
      <c r="D415" s="307"/>
      <c r="E415" s="307"/>
      <c r="F415" s="307"/>
      <c r="G415" s="307"/>
      <c r="H415" s="306"/>
      <c r="I415" s="307"/>
    </row>
    <row r="416" spans="1:9" ht="18" customHeight="1" x14ac:dyDescent="0.3">
      <c r="A416" s="305"/>
      <c r="B416" s="306"/>
      <c r="C416" s="306"/>
      <c r="D416" s="307"/>
      <c r="E416" s="307"/>
      <c r="F416" s="307"/>
      <c r="G416" s="307"/>
      <c r="H416" s="306"/>
      <c r="I416" s="307"/>
    </row>
    <row r="417" spans="1:9" ht="18" customHeight="1" x14ac:dyDescent="0.3">
      <c r="A417" s="305"/>
      <c r="B417" s="306"/>
      <c r="C417" s="306"/>
      <c r="D417" s="307"/>
      <c r="E417" s="307"/>
      <c r="F417" s="307"/>
      <c r="G417" s="307"/>
      <c r="H417" s="306"/>
      <c r="I417" s="307"/>
    </row>
    <row r="418" spans="1:9" ht="18" customHeight="1" x14ac:dyDescent="0.3">
      <c r="A418" s="305"/>
      <c r="B418" s="306"/>
      <c r="C418" s="306"/>
      <c r="D418" s="307"/>
      <c r="E418" s="307"/>
      <c r="F418" s="307"/>
      <c r="G418" s="307"/>
      <c r="H418" s="306"/>
      <c r="I418" s="307"/>
    </row>
    <row r="419" spans="1:9" ht="18" customHeight="1" x14ac:dyDescent="0.3">
      <c r="A419" s="305"/>
      <c r="B419" s="306"/>
      <c r="C419" s="306"/>
      <c r="D419" s="307"/>
      <c r="E419" s="307"/>
      <c r="F419" s="307"/>
      <c r="G419" s="307"/>
      <c r="H419" s="306"/>
      <c r="I419" s="307"/>
    </row>
    <row r="420" spans="1:9" ht="18" customHeight="1" x14ac:dyDescent="0.3">
      <c r="A420" s="305"/>
      <c r="B420" s="306"/>
      <c r="C420" s="306"/>
      <c r="D420" s="307"/>
      <c r="E420" s="307"/>
      <c r="F420" s="307"/>
      <c r="G420" s="307"/>
      <c r="H420" s="306"/>
      <c r="I420" s="307"/>
    </row>
    <row r="421" spans="1:9" ht="18" customHeight="1" x14ac:dyDescent="0.3">
      <c r="A421" s="305"/>
      <c r="B421" s="306"/>
      <c r="C421" s="306"/>
      <c r="D421" s="307"/>
      <c r="E421" s="307"/>
      <c r="F421" s="307"/>
      <c r="G421" s="307"/>
      <c r="H421" s="306"/>
      <c r="I421" s="307"/>
    </row>
    <row r="422" spans="1:9" ht="18" customHeight="1" x14ac:dyDescent="0.3">
      <c r="A422" s="305"/>
      <c r="B422" s="306"/>
      <c r="C422" s="306"/>
      <c r="D422" s="307"/>
      <c r="E422" s="307"/>
      <c r="F422" s="307"/>
      <c r="G422" s="307"/>
      <c r="H422" s="306"/>
      <c r="I422" s="307"/>
    </row>
    <row r="423" spans="1:9" ht="18" customHeight="1" x14ac:dyDescent="0.3">
      <c r="A423" s="305"/>
      <c r="B423" s="306"/>
      <c r="C423" s="306"/>
      <c r="D423" s="307"/>
      <c r="E423" s="307"/>
      <c r="F423" s="307"/>
      <c r="G423" s="307"/>
      <c r="H423" s="306"/>
      <c r="I423" s="307"/>
    </row>
    <row r="424" spans="1:9" ht="18" customHeight="1" x14ac:dyDescent="0.3">
      <c r="A424" s="305"/>
      <c r="B424" s="306"/>
      <c r="C424" s="306"/>
      <c r="D424" s="307"/>
      <c r="E424" s="307"/>
      <c r="F424" s="307"/>
      <c r="G424" s="307"/>
      <c r="H424" s="306"/>
      <c r="I424" s="307"/>
    </row>
    <row r="425" spans="1:9" ht="18" customHeight="1" x14ac:dyDescent="0.3">
      <c r="A425" s="305"/>
      <c r="B425" s="306"/>
      <c r="C425" s="306"/>
      <c r="D425" s="307"/>
      <c r="E425" s="307"/>
      <c r="F425" s="307"/>
      <c r="G425" s="307"/>
      <c r="H425" s="306"/>
      <c r="I425" s="307"/>
    </row>
    <row r="426" spans="1:9" ht="18" customHeight="1" x14ac:dyDescent="0.3">
      <c r="A426" s="305"/>
      <c r="B426" s="306"/>
      <c r="C426" s="306"/>
      <c r="D426" s="307"/>
      <c r="E426" s="307"/>
      <c r="F426" s="307"/>
      <c r="G426" s="307"/>
      <c r="H426" s="306"/>
      <c r="I426" s="307"/>
    </row>
    <row r="427" spans="1:9" ht="18" customHeight="1" x14ac:dyDescent="0.3">
      <c r="A427" s="305"/>
      <c r="B427" s="306"/>
      <c r="C427" s="306"/>
      <c r="D427" s="307"/>
      <c r="E427" s="307"/>
      <c r="F427" s="307"/>
      <c r="G427" s="307"/>
      <c r="H427" s="306"/>
      <c r="I427" s="307"/>
    </row>
    <row r="428" spans="1:9" ht="18" customHeight="1" x14ac:dyDescent="0.3">
      <c r="A428" s="305"/>
      <c r="B428" s="306"/>
      <c r="C428" s="306"/>
      <c r="D428" s="307"/>
      <c r="E428" s="307"/>
      <c r="F428" s="307"/>
      <c r="G428" s="307"/>
      <c r="H428" s="306"/>
      <c r="I428" s="307"/>
    </row>
    <row r="429" spans="1:9" ht="18" customHeight="1" x14ac:dyDescent="0.3">
      <c r="A429" s="305"/>
      <c r="B429" s="306"/>
      <c r="C429" s="306"/>
      <c r="D429" s="307"/>
      <c r="E429" s="307"/>
      <c r="F429" s="307"/>
      <c r="G429" s="307"/>
      <c r="H429" s="306"/>
      <c r="I429" s="307"/>
    </row>
    <row r="430" spans="1:9" ht="18" customHeight="1" x14ac:dyDescent="0.3">
      <c r="A430" s="305"/>
      <c r="B430" s="306"/>
      <c r="C430" s="306"/>
      <c r="D430" s="307"/>
      <c r="E430" s="307"/>
      <c r="F430" s="307"/>
      <c r="G430" s="307"/>
      <c r="H430" s="306"/>
      <c r="I430" s="307"/>
    </row>
    <row r="431" spans="1:9" ht="18" customHeight="1" x14ac:dyDescent="0.3">
      <c r="A431" s="305"/>
      <c r="B431" s="306"/>
      <c r="C431" s="306"/>
      <c r="D431" s="307"/>
      <c r="E431" s="307"/>
      <c r="F431" s="307"/>
      <c r="G431" s="307"/>
      <c r="H431" s="306"/>
      <c r="I431" s="307"/>
    </row>
    <row r="432" spans="1:9" ht="18" customHeight="1" x14ac:dyDescent="0.3">
      <c r="A432" s="305"/>
      <c r="B432" s="306"/>
      <c r="C432" s="306"/>
      <c r="D432" s="307"/>
      <c r="E432" s="307"/>
      <c r="F432" s="307"/>
      <c r="G432" s="307"/>
      <c r="H432" s="306"/>
      <c r="I432" s="307"/>
    </row>
    <row r="433" spans="1:9" ht="18" customHeight="1" x14ac:dyDescent="0.3">
      <c r="A433" s="305"/>
      <c r="B433" s="306"/>
      <c r="C433" s="306"/>
      <c r="D433" s="307"/>
      <c r="E433" s="307"/>
      <c r="F433" s="307"/>
      <c r="G433" s="307"/>
      <c r="H433" s="306"/>
      <c r="I433" s="307"/>
    </row>
    <row r="434" spans="1:9" ht="18" customHeight="1" x14ac:dyDescent="0.3">
      <c r="A434" s="305"/>
      <c r="B434" s="306"/>
      <c r="C434" s="306"/>
      <c r="D434" s="307"/>
      <c r="E434" s="307"/>
      <c r="F434" s="307"/>
      <c r="G434" s="307"/>
      <c r="H434" s="306"/>
      <c r="I434" s="307"/>
    </row>
    <row r="435" spans="1:9" ht="18" customHeight="1" x14ac:dyDescent="0.3">
      <c r="A435" s="305"/>
      <c r="B435" s="306"/>
      <c r="C435" s="306"/>
      <c r="D435" s="307"/>
      <c r="E435" s="307"/>
      <c r="F435" s="307"/>
      <c r="G435" s="307"/>
      <c r="H435" s="306"/>
      <c r="I435" s="307"/>
    </row>
    <row r="436" spans="1:9" ht="18" customHeight="1" x14ac:dyDescent="0.3">
      <c r="A436" s="305"/>
      <c r="B436" s="306"/>
      <c r="C436" s="306"/>
      <c r="D436" s="307"/>
      <c r="E436" s="307"/>
      <c r="F436" s="307"/>
      <c r="G436" s="307"/>
      <c r="H436" s="306"/>
      <c r="I436" s="307"/>
    </row>
    <row r="437" spans="1:9" ht="18" customHeight="1" x14ac:dyDescent="0.3">
      <c r="A437" s="305"/>
      <c r="B437" s="306"/>
      <c r="C437" s="306"/>
      <c r="D437" s="307"/>
      <c r="E437" s="307"/>
      <c r="F437" s="307"/>
      <c r="G437" s="307"/>
      <c r="H437" s="306"/>
      <c r="I437" s="307"/>
    </row>
    <row r="438" spans="1:9" ht="18" customHeight="1" x14ac:dyDescent="0.3">
      <c r="A438" s="305"/>
      <c r="B438" s="306"/>
      <c r="C438" s="306"/>
      <c r="D438" s="307"/>
      <c r="E438" s="307"/>
      <c r="F438" s="307"/>
      <c r="G438" s="307"/>
      <c r="H438" s="306"/>
      <c r="I438" s="307"/>
    </row>
    <row r="439" spans="1:9" ht="18" customHeight="1" x14ac:dyDescent="0.3">
      <c r="A439" s="305"/>
      <c r="B439" s="306"/>
      <c r="C439" s="306"/>
      <c r="D439" s="307"/>
      <c r="E439" s="307"/>
      <c r="F439" s="307"/>
      <c r="G439" s="307"/>
      <c r="H439" s="306"/>
      <c r="I439" s="307"/>
    </row>
    <row r="440" spans="1:9" ht="18" customHeight="1" x14ac:dyDescent="0.3">
      <c r="A440" s="305"/>
      <c r="B440" s="306"/>
      <c r="C440" s="306"/>
      <c r="D440" s="307"/>
      <c r="E440" s="307"/>
      <c r="F440" s="307"/>
      <c r="G440" s="307"/>
      <c r="H440" s="306"/>
      <c r="I440" s="307"/>
    </row>
    <row r="441" spans="1:9" ht="18" customHeight="1" x14ac:dyDescent="0.3">
      <c r="A441" s="305"/>
      <c r="B441" s="306"/>
      <c r="C441" s="306"/>
      <c r="D441" s="307"/>
      <c r="E441" s="307"/>
      <c r="F441" s="307"/>
      <c r="G441" s="307"/>
      <c r="H441" s="306"/>
      <c r="I441" s="307"/>
    </row>
    <row r="442" spans="1:9" ht="18" customHeight="1" x14ac:dyDescent="0.3">
      <c r="A442" s="305"/>
      <c r="B442" s="306"/>
      <c r="C442" s="306"/>
      <c r="D442" s="307"/>
      <c r="E442" s="307"/>
      <c r="F442" s="307"/>
      <c r="G442" s="307"/>
      <c r="H442" s="306"/>
      <c r="I442" s="307"/>
    </row>
    <row r="443" spans="1:9" ht="18" customHeight="1" x14ac:dyDescent="0.3">
      <c r="A443" s="305"/>
      <c r="B443" s="306"/>
      <c r="C443" s="306"/>
      <c r="D443" s="307"/>
      <c r="E443" s="307"/>
      <c r="F443" s="307"/>
      <c r="G443" s="307"/>
      <c r="H443" s="306"/>
      <c r="I443" s="307"/>
    </row>
    <row r="444" spans="1:9" ht="18" customHeight="1" x14ac:dyDescent="0.3">
      <c r="A444" s="305"/>
      <c r="B444" s="306"/>
      <c r="C444" s="306"/>
      <c r="D444" s="307"/>
      <c r="E444" s="307"/>
      <c r="F444" s="307"/>
      <c r="G444" s="307"/>
      <c r="H444" s="306"/>
      <c r="I444" s="307"/>
    </row>
    <row r="445" spans="1:9" ht="18" customHeight="1" x14ac:dyDescent="0.3">
      <c r="A445" s="305"/>
      <c r="B445" s="306"/>
      <c r="C445" s="306"/>
      <c r="D445" s="307"/>
      <c r="E445" s="307"/>
      <c r="F445" s="307"/>
      <c r="G445" s="307"/>
      <c r="H445" s="306"/>
      <c r="I445" s="307"/>
    </row>
    <row r="446" spans="1:9" ht="18" customHeight="1" x14ac:dyDescent="0.3">
      <c r="A446" s="305"/>
      <c r="B446" s="306"/>
      <c r="C446" s="306"/>
      <c r="D446" s="307"/>
      <c r="E446" s="307"/>
      <c r="F446" s="307"/>
      <c r="G446" s="307"/>
      <c r="H446" s="306"/>
      <c r="I446" s="307"/>
    </row>
    <row r="447" spans="1:9" ht="18" customHeight="1" x14ac:dyDescent="0.3">
      <c r="A447" s="305"/>
      <c r="B447" s="306"/>
      <c r="C447" s="306"/>
      <c r="D447" s="307"/>
      <c r="E447" s="307"/>
      <c r="F447" s="307"/>
      <c r="G447" s="307"/>
      <c r="H447" s="306"/>
      <c r="I447" s="307"/>
    </row>
    <row r="448" spans="1:9" ht="18" customHeight="1" x14ac:dyDescent="0.3">
      <c r="A448" s="305"/>
      <c r="B448" s="306"/>
      <c r="C448" s="306"/>
      <c r="D448" s="307"/>
      <c r="E448" s="307"/>
      <c r="F448" s="307"/>
      <c r="G448" s="307"/>
      <c r="H448" s="306"/>
      <c r="I448" s="307"/>
    </row>
    <row r="449" spans="1:9" ht="18" customHeight="1" x14ac:dyDescent="0.3">
      <c r="A449" s="305"/>
      <c r="B449" s="306"/>
      <c r="C449" s="306"/>
      <c r="D449" s="307"/>
      <c r="E449" s="307"/>
      <c r="F449" s="307"/>
      <c r="G449" s="307"/>
      <c r="H449" s="306"/>
      <c r="I449" s="307"/>
    </row>
    <row r="450" spans="1:9" ht="18" customHeight="1" x14ac:dyDescent="0.3">
      <c r="A450" s="305"/>
      <c r="B450" s="306"/>
      <c r="C450" s="306"/>
      <c r="D450" s="307"/>
      <c r="E450" s="307"/>
      <c r="F450" s="307"/>
      <c r="G450" s="307"/>
      <c r="H450" s="306"/>
      <c r="I450" s="307"/>
    </row>
    <row r="451" spans="1:9" ht="18" customHeight="1" x14ac:dyDescent="0.3">
      <c r="A451" s="305"/>
      <c r="B451" s="306"/>
      <c r="C451" s="306"/>
      <c r="D451" s="307"/>
      <c r="E451" s="307"/>
      <c r="F451" s="307"/>
      <c r="G451" s="307"/>
      <c r="H451" s="306"/>
      <c r="I451" s="307"/>
    </row>
    <row r="452" spans="1:9" ht="18" customHeight="1" x14ac:dyDescent="0.3">
      <c r="A452" s="305"/>
      <c r="B452" s="306"/>
      <c r="C452" s="306"/>
      <c r="D452" s="307"/>
      <c r="E452" s="307"/>
      <c r="F452" s="307"/>
      <c r="G452" s="307"/>
      <c r="H452" s="306"/>
      <c r="I452" s="307"/>
    </row>
    <row r="453" spans="1:9" ht="18" customHeight="1" x14ac:dyDescent="0.3">
      <c r="A453" s="305"/>
      <c r="B453" s="306"/>
      <c r="C453" s="306"/>
      <c r="D453" s="307"/>
      <c r="E453" s="307"/>
      <c r="F453" s="307"/>
      <c r="G453" s="307"/>
      <c r="H453" s="306"/>
      <c r="I453" s="307"/>
    </row>
    <row r="454" spans="1:9" ht="18" customHeight="1" x14ac:dyDescent="0.3">
      <c r="A454" s="305"/>
      <c r="B454" s="306"/>
      <c r="C454" s="306"/>
      <c r="D454" s="307"/>
      <c r="E454" s="307"/>
      <c r="F454" s="307"/>
      <c r="G454" s="307"/>
      <c r="H454" s="306"/>
      <c r="I454" s="307"/>
    </row>
    <row r="455" spans="1:9" ht="18" customHeight="1" x14ac:dyDescent="0.3">
      <c r="A455" s="305"/>
      <c r="B455" s="306"/>
      <c r="C455" s="306"/>
      <c r="D455" s="307"/>
      <c r="E455" s="307"/>
      <c r="F455" s="307"/>
      <c r="G455" s="307"/>
      <c r="H455" s="306"/>
      <c r="I455" s="307"/>
    </row>
    <row r="456" spans="1:9" ht="18" customHeight="1" x14ac:dyDescent="0.3">
      <c r="A456" s="305"/>
      <c r="B456" s="306"/>
      <c r="C456" s="306"/>
      <c r="D456" s="307"/>
      <c r="E456" s="307"/>
      <c r="F456" s="307"/>
      <c r="G456" s="307"/>
      <c r="H456" s="306"/>
      <c r="I456" s="307"/>
    </row>
    <row r="457" spans="1:9" ht="18" customHeight="1" x14ac:dyDescent="0.3">
      <c r="A457" s="305"/>
      <c r="B457" s="306"/>
      <c r="C457" s="306"/>
      <c r="D457" s="307"/>
      <c r="E457" s="307"/>
      <c r="F457" s="307"/>
      <c r="G457" s="307"/>
      <c r="H457" s="306"/>
      <c r="I457" s="307"/>
    </row>
    <row r="458" spans="1:9" ht="18" customHeight="1" x14ac:dyDescent="0.3">
      <c r="A458" s="305"/>
      <c r="B458" s="306"/>
      <c r="C458" s="306"/>
      <c r="D458" s="307"/>
      <c r="E458" s="307"/>
      <c r="F458" s="307"/>
      <c r="G458" s="307"/>
      <c r="H458" s="306"/>
      <c r="I458" s="307"/>
    </row>
    <row r="459" spans="1:9" ht="18" customHeight="1" x14ac:dyDescent="0.3">
      <c r="A459" s="305"/>
      <c r="B459" s="306"/>
      <c r="C459" s="306"/>
      <c r="D459" s="307"/>
      <c r="E459" s="307"/>
      <c r="F459" s="307"/>
      <c r="G459" s="307"/>
      <c r="H459" s="306"/>
      <c r="I459" s="307"/>
    </row>
    <row r="460" spans="1:9" ht="18" customHeight="1" x14ac:dyDescent="0.3">
      <c r="A460" s="305"/>
      <c r="B460" s="306"/>
      <c r="C460" s="306"/>
      <c r="D460" s="307"/>
      <c r="E460" s="307"/>
      <c r="F460" s="307"/>
      <c r="G460" s="307"/>
      <c r="H460" s="306"/>
      <c r="I460" s="307"/>
    </row>
    <row r="461" spans="1:9" ht="18" customHeight="1" x14ac:dyDescent="0.3">
      <c r="A461" s="305"/>
      <c r="B461" s="306"/>
      <c r="C461" s="306"/>
      <c r="D461" s="307"/>
      <c r="E461" s="307"/>
      <c r="F461" s="307"/>
      <c r="G461" s="307"/>
      <c r="H461" s="306"/>
      <c r="I461" s="307"/>
    </row>
    <row r="462" spans="1:9" ht="18" customHeight="1" x14ac:dyDescent="0.3">
      <c r="A462" s="305"/>
      <c r="B462" s="306"/>
      <c r="C462" s="306"/>
      <c r="D462" s="307"/>
      <c r="E462" s="307"/>
      <c r="F462" s="307"/>
      <c r="G462" s="307"/>
      <c r="H462" s="306"/>
      <c r="I462" s="307"/>
    </row>
    <row r="463" spans="1:9" ht="18" customHeight="1" x14ac:dyDescent="0.3">
      <c r="A463" s="305"/>
      <c r="B463" s="306"/>
      <c r="C463" s="306"/>
      <c r="D463" s="307"/>
      <c r="E463" s="307"/>
      <c r="F463" s="307"/>
      <c r="G463" s="307"/>
      <c r="H463" s="306"/>
      <c r="I463" s="307"/>
    </row>
    <row r="464" spans="1:9" ht="18" customHeight="1" x14ac:dyDescent="0.3">
      <c r="A464" s="305"/>
      <c r="B464" s="306"/>
      <c r="C464" s="306"/>
      <c r="D464" s="307"/>
      <c r="E464" s="307"/>
      <c r="F464" s="307"/>
      <c r="G464" s="307"/>
      <c r="H464" s="306"/>
      <c r="I464" s="307"/>
    </row>
    <row r="465" spans="1:9" ht="18" customHeight="1" x14ac:dyDescent="0.3">
      <c r="A465" s="305"/>
      <c r="B465" s="306"/>
      <c r="C465" s="306"/>
      <c r="D465" s="307"/>
      <c r="E465" s="307"/>
      <c r="F465" s="307"/>
      <c r="G465" s="307"/>
      <c r="H465" s="306"/>
      <c r="I465" s="307"/>
    </row>
    <row r="466" spans="1:9" ht="18" customHeight="1" x14ac:dyDescent="0.3">
      <c r="A466" s="305"/>
      <c r="B466" s="306"/>
      <c r="C466" s="306"/>
      <c r="D466" s="307"/>
      <c r="E466" s="307"/>
      <c r="F466" s="307"/>
      <c r="G466" s="307"/>
      <c r="H466" s="306"/>
      <c r="I466" s="307"/>
    </row>
    <row r="467" spans="1:9" ht="18" customHeight="1" x14ac:dyDescent="0.3">
      <c r="A467" s="305"/>
      <c r="B467" s="306"/>
      <c r="C467" s="306"/>
      <c r="D467" s="307"/>
      <c r="E467" s="307"/>
      <c r="F467" s="307"/>
      <c r="G467" s="307"/>
      <c r="H467" s="306"/>
      <c r="I467" s="307"/>
    </row>
    <row r="468" spans="1:9" ht="18" customHeight="1" x14ac:dyDescent="0.3">
      <c r="A468" s="305"/>
      <c r="B468" s="306"/>
      <c r="C468" s="306"/>
      <c r="D468" s="307"/>
      <c r="E468" s="307"/>
      <c r="F468" s="307"/>
      <c r="G468" s="307"/>
      <c r="H468" s="306"/>
      <c r="I468" s="307"/>
    </row>
    <row r="469" spans="1:9" ht="18" customHeight="1" x14ac:dyDescent="0.3">
      <c r="A469" s="305"/>
      <c r="B469" s="306"/>
      <c r="C469" s="306"/>
      <c r="D469" s="307"/>
      <c r="E469" s="307"/>
      <c r="F469" s="307"/>
      <c r="G469" s="307"/>
      <c r="H469" s="306"/>
      <c r="I469" s="307"/>
    </row>
    <row r="470" spans="1:9" ht="18" customHeight="1" x14ac:dyDescent="0.3">
      <c r="A470" s="305"/>
      <c r="B470" s="306"/>
      <c r="C470" s="306"/>
      <c r="D470" s="307"/>
      <c r="E470" s="307"/>
      <c r="F470" s="307"/>
      <c r="G470" s="307"/>
      <c r="H470" s="306"/>
      <c r="I470" s="307"/>
    </row>
    <row r="471" spans="1:9" ht="18" customHeight="1" x14ac:dyDescent="0.3">
      <c r="A471" s="305"/>
      <c r="B471" s="306"/>
      <c r="C471" s="306"/>
      <c r="D471" s="307"/>
      <c r="E471" s="307"/>
      <c r="F471" s="307"/>
      <c r="G471" s="307"/>
      <c r="H471" s="306"/>
      <c r="I471" s="307"/>
    </row>
    <row r="472" spans="1:9" ht="18" customHeight="1" x14ac:dyDescent="0.3">
      <c r="A472" s="305"/>
      <c r="B472" s="306"/>
      <c r="C472" s="306"/>
      <c r="D472" s="307"/>
      <c r="E472" s="307"/>
      <c r="F472" s="307"/>
      <c r="G472" s="307"/>
      <c r="H472" s="306"/>
      <c r="I472" s="307"/>
    </row>
    <row r="473" spans="1:9" ht="18" customHeight="1" x14ac:dyDescent="0.3">
      <c r="A473" s="305"/>
      <c r="B473" s="306"/>
      <c r="C473" s="306"/>
      <c r="D473" s="307"/>
      <c r="E473" s="307"/>
      <c r="F473" s="307"/>
      <c r="G473" s="307"/>
      <c r="H473" s="306"/>
      <c r="I473" s="307"/>
    </row>
    <row r="474" spans="1:9" ht="18" customHeight="1" x14ac:dyDescent="0.3">
      <c r="A474" s="305"/>
      <c r="B474" s="306"/>
      <c r="C474" s="306"/>
      <c r="D474" s="307"/>
      <c r="E474" s="307"/>
      <c r="F474" s="307"/>
      <c r="G474" s="307"/>
      <c r="H474" s="306"/>
      <c r="I474" s="307"/>
    </row>
    <row r="475" spans="1:9" ht="18" customHeight="1" x14ac:dyDescent="0.3">
      <c r="A475" s="305"/>
      <c r="B475" s="306"/>
      <c r="C475" s="306"/>
      <c r="D475" s="307"/>
      <c r="E475" s="307"/>
      <c r="F475" s="307"/>
      <c r="G475" s="307"/>
      <c r="H475" s="306"/>
      <c r="I475" s="307"/>
    </row>
    <row r="476" spans="1:9" ht="18" customHeight="1" x14ac:dyDescent="0.3">
      <c r="A476" s="305"/>
      <c r="B476" s="306"/>
      <c r="C476" s="306"/>
      <c r="D476" s="307"/>
      <c r="E476" s="307"/>
      <c r="F476" s="307"/>
      <c r="G476" s="307"/>
      <c r="H476" s="306"/>
      <c r="I476" s="307"/>
    </row>
    <row r="477" spans="1:9" ht="18" customHeight="1" x14ac:dyDescent="0.3">
      <c r="A477" s="305"/>
      <c r="B477" s="306"/>
      <c r="C477" s="306"/>
      <c r="D477" s="307"/>
      <c r="E477" s="307"/>
      <c r="F477" s="307"/>
      <c r="G477" s="307"/>
      <c r="H477" s="306"/>
      <c r="I477" s="307"/>
    </row>
    <row r="478" spans="1:9" ht="18" customHeight="1" x14ac:dyDescent="0.3">
      <c r="A478" s="305"/>
      <c r="B478" s="306"/>
      <c r="C478" s="306"/>
      <c r="D478" s="307"/>
      <c r="E478" s="307"/>
      <c r="F478" s="307"/>
      <c r="G478" s="307"/>
      <c r="H478" s="306"/>
      <c r="I478" s="307"/>
    </row>
    <row r="479" spans="1:9" ht="18" customHeight="1" x14ac:dyDescent="0.3">
      <c r="A479" s="305"/>
      <c r="B479" s="306"/>
      <c r="C479" s="306"/>
      <c r="D479" s="307"/>
      <c r="E479" s="307"/>
      <c r="F479" s="307"/>
      <c r="G479" s="307"/>
      <c r="H479" s="306"/>
      <c r="I479" s="307"/>
    </row>
    <row r="480" spans="1:9" ht="18" customHeight="1" x14ac:dyDescent="0.3">
      <c r="A480" s="305"/>
      <c r="B480" s="306"/>
      <c r="C480" s="306"/>
      <c r="D480" s="307"/>
      <c r="E480" s="307"/>
      <c r="F480" s="307"/>
      <c r="G480" s="307"/>
      <c r="H480" s="306"/>
      <c r="I480" s="307"/>
    </row>
    <row r="481" spans="1:9" ht="18" customHeight="1" x14ac:dyDescent="0.3">
      <c r="A481" s="305"/>
      <c r="B481" s="306"/>
      <c r="C481" s="306"/>
      <c r="D481" s="307"/>
      <c r="E481" s="307"/>
      <c r="F481" s="307"/>
      <c r="G481" s="307"/>
      <c r="H481" s="306"/>
      <c r="I481" s="307"/>
    </row>
    <row r="482" spans="1:9" ht="18" customHeight="1" x14ac:dyDescent="0.3">
      <c r="A482" s="305"/>
      <c r="B482" s="306"/>
      <c r="C482" s="306"/>
      <c r="D482" s="307"/>
      <c r="E482" s="307"/>
      <c r="F482" s="307"/>
      <c r="G482" s="307"/>
      <c r="H482" s="306"/>
      <c r="I482" s="307"/>
    </row>
    <row r="483" spans="1:9" ht="18" customHeight="1" x14ac:dyDescent="0.3">
      <c r="A483" s="305"/>
      <c r="B483" s="306"/>
      <c r="C483" s="306"/>
      <c r="D483" s="307"/>
      <c r="E483" s="307"/>
      <c r="F483" s="307"/>
      <c r="G483" s="307"/>
      <c r="H483" s="306"/>
      <c r="I483" s="307"/>
    </row>
    <row r="484" spans="1:9" ht="18" customHeight="1" x14ac:dyDescent="0.3">
      <c r="A484" s="305"/>
      <c r="B484" s="306"/>
      <c r="C484" s="306"/>
      <c r="D484" s="307"/>
      <c r="E484" s="307"/>
      <c r="F484" s="307"/>
      <c r="G484" s="307"/>
      <c r="H484" s="306"/>
      <c r="I484" s="307"/>
    </row>
    <row r="485" spans="1:9" ht="18" customHeight="1" x14ac:dyDescent="0.3">
      <c r="A485" s="305"/>
      <c r="B485" s="306"/>
      <c r="C485" s="306"/>
      <c r="D485" s="307"/>
      <c r="E485" s="307"/>
      <c r="F485" s="307"/>
      <c r="G485" s="307"/>
      <c r="H485" s="306"/>
      <c r="I485" s="307"/>
    </row>
    <row r="486" spans="1:9" ht="18" customHeight="1" x14ac:dyDescent="0.3">
      <c r="A486" s="305"/>
      <c r="B486" s="306"/>
      <c r="C486" s="306"/>
      <c r="D486" s="307"/>
      <c r="E486" s="307"/>
      <c r="F486" s="307"/>
      <c r="G486" s="307"/>
      <c r="H486" s="306"/>
      <c r="I486" s="307"/>
    </row>
    <row r="487" spans="1:9" ht="18" customHeight="1" x14ac:dyDescent="0.3">
      <c r="A487" s="305"/>
      <c r="B487" s="306"/>
      <c r="C487" s="306"/>
      <c r="D487" s="307"/>
      <c r="E487" s="307"/>
      <c r="F487" s="307"/>
      <c r="G487" s="307"/>
      <c r="H487" s="306"/>
      <c r="I487" s="307"/>
    </row>
    <row r="488" spans="1:9" ht="18" customHeight="1" x14ac:dyDescent="0.3">
      <c r="A488" s="305"/>
      <c r="B488" s="306"/>
      <c r="C488" s="306"/>
      <c r="D488" s="307"/>
      <c r="E488" s="307"/>
      <c r="F488" s="307"/>
      <c r="G488" s="307"/>
      <c r="H488" s="306"/>
      <c r="I488" s="307"/>
    </row>
    <row r="489" spans="1:9" ht="18" customHeight="1" x14ac:dyDescent="0.3">
      <c r="A489" s="305"/>
      <c r="B489" s="306"/>
      <c r="C489" s="306"/>
      <c r="D489" s="307"/>
      <c r="E489" s="307"/>
      <c r="F489" s="307"/>
      <c r="G489" s="307"/>
      <c r="H489" s="306"/>
      <c r="I489" s="307"/>
    </row>
    <row r="490" spans="1:9" ht="18" customHeight="1" x14ac:dyDescent="0.3">
      <c r="A490" s="305"/>
      <c r="B490" s="306"/>
      <c r="C490" s="306"/>
      <c r="D490" s="307"/>
      <c r="E490" s="307"/>
      <c r="F490" s="307"/>
      <c r="G490" s="307"/>
      <c r="H490" s="306"/>
      <c r="I490" s="307"/>
    </row>
    <row r="491" spans="1:9" ht="18" customHeight="1" x14ac:dyDescent="0.3">
      <c r="A491" s="305"/>
      <c r="B491" s="306"/>
      <c r="C491" s="306"/>
      <c r="D491" s="307"/>
      <c r="E491" s="307"/>
      <c r="F491" s="307"/>
      <c r="G491" s="307"/>
      <c r="H491" s="306"/>
      <c r="I491" s="307"/>
    </row>
    <row r="492" spans="1:9" ht="18" customHeight="1" x14ac:dyDescent="0.3">
      <c r="A492" s="305"/>
      <c r="B492" s="306"/>
      <c r="C492" s="306"/>
      <c r="D492" s="307"/>
      <c r="E492" s="307"/>
      <c r="F492" s="307"/>
      <c r="G492" s="307"/>
      <c r="H492" s="306"/>
      <c r="I492" s="307"/>
    </row>
    <row r="493" spans="1:9" ht="18" customHeight="1" x14ac:dyDescent="0.3">
      <c r="A493" s="305"/>
      <c r="B493" s="306"/>
      <c r="C493" s="306"/>
      <c r="D493" s="307"/>
      <c r="E493" s="307"/>
      <c r="F493" s="307"/>
      <c r="G493" s="307"/>
      <c r="H493" s="306"/>
      <c r="I493" s="307"/>
    </row>
    <row r="494" spans="1:9" ht="18" customHeight="1" x14ac:dyDescent="0.3">
      <c r="A494" s="305"/>
      <c r="B494" s="306"/>
      <c r="C494" s="306"/>
      <c r="D494" s="307"/>
      <c r="E494" s="307"/>
      <c r="F494" s="307"/>
      <c r="G494" s="307"/>
      <c r="H494" s="306"/>
      <c r="I494" s="307"/>
    </row>
    <row r="495" spans="1:9" ht="18" customHeight="1" x14ac:dyDescent="0.3">
      <c r="A495" s="305"/>
      <c r="B495" s="306"/>
      <c r="C495" s="306"/>
      <c r="D495" s="307"/>
      <c r="E495" s="307"/>
      <c r="F495" s="307"/>
      <c r="G495" s="307"/>
      <c r="H495" s="306"/>
      <c r="I495" s="307"/>
    </row>
    <row r="496" spans="1:9" ht="18" customHeight="1" x14ac:dyDescent="0.3">
      <c r="A496" s="305"/>
      <c r="B496" s="306"/>
      <c r="C496" s="306"/>
      <c r="D496" s="307"/>
      <c r="E496" s="307"/>
      <c r="F496" s="307"/>
      <c r="G496" s="307"/>
      <c r="H496" s="306"/>
      <c r="I496" s="307"/>
    </row>
    <row r="497" spans="1:9" ht="18" customHeight="1" x14ac:dyDescent="0.3">
      <c r="A497" s="305"/>
      <c r="B497" s="306"/>
      <c r="C497" s="306"/>
      <c r="D497" s="307"/>
      <c r="E497" s="307"/>
      <c r="F497" s="307"/>
      <c r="G497" s="307"/>
      <c r="H497" s="306"/>
      <c r="I497" s="307"/>
    </row>
    <row r="498" spans="1:9" ht="18" customHeight="1" x14ac:dyDescent="0.3">
      <c r="A498" s="305"/>
      <c r="B498" s="306"/>
      <c r="C498" s="306"/>
      <c r="D498" s="307"/>
      <c r="E498" s="307"/>
      <c r="F498" s="307"/>
      <c r="G498" s="307"/>
      <c r="H498" s="306"/>
      <c r="I498" s="307"/>
    </row>
    <row r="499" spans="1:9" ht="18" customHeight="1" x14ac:dyDescent="0.3">
      <c r="A499" s="305"/>
      <c r="B499" s="306"/>
      <c r="C499" s="306"/>
      <c r="D499" s="307"/>
      <c r="E499" s="307"/>
      <c r="F499" s="307"/>
      <c r="G499" s="307"/>
      <c r="H499" s="306"/>
      <c r="I499" s="307"/>
    </row>
    <row r="500" spans="1:9" ht="18" customHeight="1" x14ac:dyDescent="0.3">
      <c r="A500" s="305"/>
      <c r="B500" s="306"/>
      <c r="C500" s="306"/>
      <c r="D500" s="307"/>
      <c r="E500" s="307"/>
      <c r="F500" s="307"/>
      <c r="G500" s="307"/>
      <c r="H500" s="306"/>
      <c r="I500" s="307"/>
    </row>
    <row r="501" spans="1:9" x14ac:dyDescent="0.3">
      <c r="A501" s="302"/>
      <c r="B501" s="303"/>
      <c r="C501" s="303"/>
      <c r="D501" s="304"/>
      <c r="E501" s="304"/>
      <c r="F501" s="304"/>
      <c r="G501" s="304"/>
      <c r="H501" s="303"/>
      <c r="I501" s="304"/>
    </row>
    <row r="502" spans="1:9" x14ac:dyDescent="0.3">
      <c r="A502" s="302"/>
      <c r="B502" s="303"/>
      <c r="C502" s="303"/>
      <c r="D502" s="304"/>
      <c r="E502" s="304"/>
      <c r="F502" s="304"/>
      <c r="G502" s="304"/>
      <c r="H502" s="303"/>
      <c r="I502" s="304"/>
    </row>
    <row r="503" spans="1:9" x14ac:dyDescent="0.3">
      <c r="A503" s="302"/>
      <c r="B503" s="303"/>
      <c r="C503" s="303"/>
      <c r="D503" s="304"/>
      <c r="E503" s="304"/>
      <c r="F503" s="304"/>
      <c r="G503" s="304"/>
      <c r="H503" s="303"/>
      <c r="I503" s="304"/>
    </row>
    <row r="504" spans="1:9" x14ac:dyDescent="0.3">
      <c r="A504" s="302"/>
      <c r="B504" s="303"/>
      <c r="C504" s="303"/>
      <c r="D504" s="304"/>
      <c r="E504" s="304"/>
      <c r="F504" s="304"/>
      <c r="G504" s="304"/>
      <c r="H504" s="303"/>
      <c r="I504" s="304"/>
    </row>
    <row r="505" spans="1:9" x14ac:dyDescent="0.3">
      <c r="A505" s="302"/>
      <c r="B505" s="303"/>
      <c r="C505" s="303"/>
      <c r="D505" s="304"/>
      <c r="E505" s="304"/>
      <c r="F505" s="304"/>
      <c r="G505" s="304"/>
      <c r="H505" s="303"/>
      <c r="I505" s="304"/>
    </row>
    <row r="506" spans="1:9" x14ac:dyDescent="0.3">
      <c r="A506" s="302"/>
      <c r="B506" s="303"/>
      <c r="C506" s="303"/>
      <c r="D506" s="304"/>
      <c r="E506" s="304"/>
      <c r="F506" s="304"/>
      <c r="G506" s="304"/>
      <c r="H506" s="303"/>
      <c r="I506" s="304"/>
    </row>
    <row r="507" spans="1:9" x14ac:dyDescent="0.3">
      <c r="A507" s="302"/>
      <c r="B507" s="303"/>
      <c r="C507" s="303"/>
      <c r="D507" s="304"/>
      <c r="E507" s="304"/>
      <c r="F507" s="304"/>
      <c r="G507" s="304"/>
      <c r="H507" s="303"/>
      <c r="I507" s="304"/>
    </row>
    <row r="508" spans="1:9" x14ac:dyDescent="0.3">
      <c r="A508" s="302"/>
      <c r="B508" s="303"/>
      <c r="C508" s="303"/>
      <c r="D508" s="304"/>
      <c r="E508" s="304"/>
      <c r="F508" s="304"/>
      <c r="G508" s="304"/>
      <c r="H508" s="303"/>
      <c r="I508" s="304"/>
    </row>
    <row r="509" spans="1:9" x14ac:dyDescent="0.3">
      <c r="A509" s="302"/>
      <c r="B509" s="303"/>
      <c r="C509" s="303"/>
      <c r="D509" s="304"/>
      <c r="E509" s="304"/>
      <c r="F509" s="304"/>
      <c r="G509" s="304"/>
      <c r="H509" s="303"/>
      <c r="I509" s="304"/>
    </row>
    <row r="510" spans="1:9" x14ac:dyDescent="0.3">
      <c r="A510" s="302"/>
      <c r="B510" s="303"/>
      <c r="C510" s="303"/>
      <c r="D510" s="304"/>
      <c r="E510" s="304"/>
      <c r="F510" s="304"/>
      <c r="G510" s="304"/>
      <c r="H510" s="303"/>
      <c r="I510" s="304"/>
    </row>
    <row r="511" spans="1:9" x14ac:dyDescent="0.3">
      <c r="A511" s="302"/>
      <c r="B511" s="303"/>
      <c r="C511" s="303"/>
      <c r="D511" s="304"/>
      <c r="E511" s="304"/>
      <c r="F511" s="304"/>
      <c r="G511" s="304"/>
      <c r="H511" s="303"/>
      <c r="I511" s="304"/>
    </row>
    <row r="512" spans="1:9" x14ac:dyDescent="0.3">
      <c r="A512" s="302"/>
      <c r="B512" s="303"/>
      <c r="C512" s="303"/>
      <c r="D512" s="304"/>
      <c r="E512" s="304"/>
      <c r="F512" s="304"/>
      <c r="G512" s="304"/>
      <c r="H512" s="303"/>
      <c r="I512" s="304"/>
    </row>
    <row r="513" spans="1:9" x14ac:dyDescent="0.3">
      <c r="A513" s="302"/>
      <c r="B513" s="303"/>
      <c r="C513" s="303"/>
      <c r="D513" s="304"/>
      <c r="E513" s="304"/>
      <c r="F513" s="304"/>
      <c r="G513" s="304"/>
      <c r="H513" s="303"/>
      <c r="I513" s="304"/>
    </row>
    <row r="514" spans="1:9" x14ac:dyDescent="0.3">
      <c r="A514" s="302"/>
      <c r="B514" s="303"/>
      <c r="C514" s="303"/>
      <c r="D514" s="304"/>
      <c r="E514" s="304"/>
      <c r="F514" s="304"/>
      <c r="G514" s="304"/>
      <c r="H514" s="303"/>
      <c r="I514" s="304"/>
    </row>
    <row r="515" spans="1:9" x14ac:dyDescent="0.3">
      <c r="A515" s="302"/>
      <c r="B515" s="303"/>
      <c r="C515" s="303"/>
      <c r="D515" s="304"/>
      <c r="E515" s="304"/>
      <c r="F515" s="304"/>
      <c r="G515" s="304"/>
      <c r="H515" s="303"/>
      <c r="I515" s="304"/>
    </row>
    <row r="516" spans="1:9" x14ac:dyDescent="0.3">
      <c r="A516" s="302"/>
      <c r="B516" s="303"/>
      <c r="C516" s="303"/>
      <c r="D516" s="304"/>
      <c r="E516" s="304"/>
      <c r="F516" s="304"/>
      <c r="G516" s="304"/>
      <c r="H516" s="303"/>
      <c r="I516" s="304"/>
    </row>
    <row r="517" spans="1:9" x14ac:dyDescent="0.3">
      <c r="A517" s="302"/>
      <c r="B517" s="303"/>
      <c r="C517" s="303"/>
      <c r="D517" s="304"/>
      <c r="E517" s="304"/>
      <c r="F517" s="304"/>
      <c r="G517" s="304"/>
      <c r="H517" s="303"/>
      <c r="I517" s="304"/>
    </row>
    <row r="518" spans="1:9" x14ac:dyDescent="0.3">
      <c r="A518" s="302"/>
      <c r="B518" s="303"/>
      <c r="C518" s="303"/>
      <c r="D518" s="304"/>
      <c r="E518" s="304"/>
      <c r="F518" s="304"/>
      <c r="G518" s="304"/>
      <c r="H518" s="303"/>
      <c r="I518" s="304"/>
    </row>
    <row r="519" spans="1:9" x14ac:dyDescent="0.3">
      <c r="A519" s="302"/>
      <c r="B519" s="303"/>
      <c r="C519" s="303"/>
      <c r="D519" s="304"/>
      <c r="E519" s="304"/>
      <c r="F519" s="304"/>
      <c r="G519" s="304"/>
      <c r="H519" s="303"/>
      <c r="I519" s="304"/>
    </row>
    <row r="520" spans="1:9" x14ac:dyDescent="0.3">
      <c r="A520" s="302"/>
      <c r="B520" s="303"/>
      <c r="C520" s="303"/>
      <c r="D520" s="304"/>
      <c r="E520" s="304"/>
      <c r="F520" s="304"/>
      <c r="G520" s="304"/>
      <c r="H520" s="303"/>
      <c r="I520" s="304"/>
    </row>
    <row r="521" spans="1:9" x14ac:dyDescent="0.3">
      <c r="A521" s="302"/>
      <c r="B521" s="303"/>
      <c r="C521" s="303"/>
      <c r="D521" s="304"/>
      <c r="E521" s="304"/>
      <c r="F521" s="304"/>
      <c r="G521" s="304"/>
      <c r="H521" s="303"/>
      <c r="I521" s="304"/>
    </row>
    <row r="522" spans="1:9" x14ac:dyDescent="0.3">
      <c r="A522" s="302"/>
      <c r="B522" s="303"/>
      <c r="C522" s="303"/>
      <c r="D522" s="304"/>
      <c r="E522" s="304"/>
      <c r="F522" s="304"/>
      <c r="G522" s="304"/>
      <c r="H522" s="303"/>
      <c r="I522" s="304"/>
    </row>
    <row r="523" spans="1:9" x14ac:dyDescent="0.3">
      <c r="A523" s="302"/>
      <c r="B523" s="303"/>
      <c r="C523" s="303"/>
      <c r="D523" s="304"/>
      <c r="E523" s="304"/>
      <c r="F523" s="304"/>
      <c r="G523" s="304"/>
      <c r="H523" s="303"/>
      <c r="I523" s="304"/>
    </row>
    <row r="524" spans="1:9" x14ac:dyDescent="0.3">
      <c r="A524" s="302"/>
      <c r="B524" s="303"/>
      <c r="C524" s="303"/>
      <c r="D524" s="304"/>
      <c r="E524" s="304"/>
      <c r="F524" s="304"/>
      <c r="G524" s="304"/>
      <c r="H524" s="303"/>
      <c r="I524" s="304"/>
    </row>
    <row r="525" spans="1:9" x14ac:dyDescent="0.3">
      <c r="A525" s="302"/>
      <c r="B525" s="303"/>
      <c r="C525" s="303"/>
      <c r="D525" s="304"/>
      <c r="E525" s="304"/>
      <c r="F525" s="304"/>
      <c r="G525" s="304"/>
      <c r="H525" s="303"/>
      <c r="I525" s="304"/>
    </row>
    <row r="526" spans="1:9" x14ac:dyDescent="0.3">
      <c r="A526" s="302"/>
      <c r="B526" s="303"/>
      <c r="C526" s="303"/>
      <c r="D526" s="304"/>
      <c r="E526" s="304"/>
      <c r="F526" s="304"/>
      <c r="G526" s="304"/>
      <c r="H526" s="303"/>
      <c r="I526" s="304"/>
    </row>
    <row r="527" spans="1:9" x14ac:dyDescent="0.3">
      <c r="A527" s="302"/>
      <c r="B527" s="303"/>
      <c r="C527" s="303"/>
      <c r="D527" s="304"/>
      <c r="E527" s="304"/>
      <c r="F527" s="304"/>
      <c r="G527" s="304"/>
      <c r="H527" s="303"/>
      <c r="I527" s="304"/>
    </row>
    <row r="528" spans="1:9" x14ac:dyDescent="0.3">
      <c r="A528" s="302"/>
      <c r="B528" s="303"/>
      <c r="C528" s="303"/>
      <c r="D528" s="304"/>
      <c r="E528" s="304"/>
      <c r="F528" s="304"/>
      <c r="G528" s="304"/>
      <c r="H528" s="303"/>
      <c r="I528" s="304"/>
    </row>
    <row r="529" spans="1:9" x14ac:dyDescent="0.3">
      <c r="A529" s="302"/>
      <c r="B529" s="303"/>
      <c r="C529" s="303"/>
      <c r="D529" s="304"/>
      <c r="E529" s="304"/>
      <c r="F529" s="304"/>
      <c r="G529" s="304"/>
      <c r="H529" s="303"/>
      <c r="I529" s="304"/>
    </row>
    <row r="530" spans="1:9" x14ac:dyDescent="0.3">
      <c r="A530" s="302"/>
      <c r="B530" s="303"/>
      <c r="C530" s="303"/>
      <c r="D530" s="304"/>
      <c r="E530" s="304"/>
      <c r="F530" s="304"/>
      <c r="G530" s="304"/>
      <c r="H530" s="303"/>
      <c r="I530" s="304"/>
    </row>
    <row r="531" spans="1:9" x14ac:dyDescent="0.3">
      <c r="A531" s="302"/>
      <c r="B531" s="303"/>
      <c r="C531" s="303"/>
      <c r="D531" s="304"/>
      <c r="E531" s="304"/>
      <c r="F531" s="304"/>
      <c r="G531" s="304"/>
      <c r="H531" s="303"/>
      <c r="I531" s="304"/>
    </row>
    <row r="532" spans="1:9" x14ac:dyDescent="0.3">
      <c r="A532" s="302"/>
      <c r="B532" s="303"/>
      <c r="C532" s="303"/>
      <c r="D532" s="304"/>
      <c r="E532" s="304"/>
      <c r="F532" s="304"/>
      <c r="G532" s="304"/>
      <c r="H532" s="303"/>
      <c r="I532" s="304"/>
    </row>
    <row r="533" spans="1:9" x14ac:dyDescent="0.3">
      <c r="A533" s="302"/>
      <c r="B533" s="303"/>
      <c r="C533" s="303"/>
      <c r="D533" s="304"/>
      <c r="E533" s="304"/>
      <c r="F533" s="304"/>
      <c r="G533" s="304"/>
      <c r="H533" s="303"/>
      <c r="I533" s="304"/>
    </row>
    <row r="534" spans="1:9" x14ac:dyDescent="0.3">
      <c r="A534" s="302"/>
      <c r="B534" s="303"/>
      <c r="C534" s="303"/>
      <c r="D534" s="304"/>
      <c r="E534" s="304"/>
      <c r="F534" s="304"/>
      <c r="G534" s="304"/>
      <c r="H534" s="303"/>
      <c r="I534" s="304"/>
    </row>
    <row r="535" spans="1:9" x14ac:dyDescent="0.3">
      <c r="A535" s="302"/>
      <c r="B535" s="303"/>
      <c r="C535" s="303"/>
      <c r="D535" s="304"/>
      <c r="E535" s="304"/>
      <c r="F535" s="304"/>
      <c r="G535" s="304"/>
      <c r="H535" s="303"/>
      <c r="I535" s="304"/>
    </row>
    <row r="536" spans="1:9" x14ac:dyDescent="0.3">
      <c r="A536" s="302"/>
      <c r="B536" s="303"/>
      <c r="C536" s="303"/>
      <c r="D536" s="304"/>
      <c r="E536" s="304"/>
      <c r="F536" s="304"/>
      <c r="G536" s="304"/>
      <c r="H536" s="303"/>
      <c r="I536" s="304"/>
    </row>
    <row r="537" spans="1:9" x14ac:dyDescent="0.3">
      <c r="A537" s="302"/>
      <c r="B537" s="303"/>
      <c r="C537" s="303"/>
      <c r="D537" s="304"/>
      <c r="E537" s="304"/>
      <c r="F537" s="304"/>
      <c r="G537" s="304"/>
      <c r="H537" s="303"/>
      <c r="I537" s="304"/>
    </row>
    <row r="538" spans="1:9" x14ac:dyDescent="0.3">
      <c r="A538" s="302"/>
      <c r="B538" s="303"/>
      <c r="C538" s="303"/>
      <c r="D538" s="304"/>
      <c r="E538" s="304"/>
      <c r="F538" s="304"/>
      <c r="G538" s="304"/>
      <c r="H538" s="303"/>
      <c r="I538" s="304"/>
    </row>
    <row r="539" spans="1:9" x14ac:dyDescent="0.3">
      <c r="A539" s="302"/>
      <c r="B539" s="303"/>
      <c r="C539" s="303"/>
      <c r="D539" s="304"/>
      <c r="E539" s="304"/>
      <c r="F539" s="304"/>
      <c r="G539" s="304"/>
      <c r="H539" s="303"/>
      <c r="I539" s="304"/>
    </row>
    <row r="540" spans="1:9" x14ac:dyDescent="0.3">
      <c r="A540" s="302"/>
      <c r="B540" s="303"/>
      <c r="C540" s="303"/>
      <c r="D540" s="304"/>
      <c r="E540" s="304"/>
      <c r="F540" s="304"/>
      <c r="G540" s="304"/>
      <c r="H540" s="303"/>
      <c r="I540" s="304"/>
    </row>
    <row r="541" spans="1:9" x14ac:dyDescent="0.3">
      <c r="A541" s="302"/>
      <c r="B541" s="303"/>
      <c r="C541" s="303"/>
      <c r="D541" s="304"/>
      <c r="E541" s="304"/>
      <c r="F541" s="304"/>
      <c r="G541" s="304"/>
      <c r="H541" s="303"/>
      <c r="I541" s="304"/>
    </row>
    <row r="542" spans="1:9" x14ac:dyDescent="0.3">
      <c r="A542" s="302"/>
      <c r="B542" s="303"/>
      <c r="C542" s="303"/>
      <c r="D542" s="304"/>
      <c r="E542" s="304"/>
      <c r="F542" s="304"/>
      <c r="G542" s="304"/>
      <c r="H542" s="303"/>
      <c r="I542" s="304"/>
    </row>
    <row r="543" spans="1:9" x14ac:dyDescent="0.3">
      <c r="A543" s="302"/>
      <c r="B543" s="303"/>
      <c r="C543" s="303"/>
      <c r="D543" s="304"/>
      <c r="E543" s="304"/>
      <c r="F543" s="304"/>
      <c r="G543" s="304"/>
      <c r="H543" s="303"/>
      <c r="I543" s="304"/>
    </row>
    <row r="544" spans="1:9" x14ac:dyDescent="0.3">
      <c r="A544" s="302"/>
      <c r="B544" s="303"/>
      <c r="C544" s="303"/>
      <c r="D544" s="304"/>
      <c r="E544" s="304"/>
      <c r="F544" s="304"/>
      <c r="G544" s="304"/>
      <c r="H544" s="303"/>
      <c r="I544" s="304"/>
    </row>
    <row r="545" spans="1:9" x14ac:dyDescent="0.3">
      <c r="A545" s="302"/>
      <c r="B545" s="303"/>
      <c r="C545" s="303"/>
      <c r="D545" s="304"/>
      <c r="E545" s="304"/>
      <c r="F545" s="304"/>
      <c r="G545" s="304"/>
      <c r="H545" s="303"/>
      <c r="I545" s="304"/>
    </row>
    <row r="546" spans="1:9" x14ac:dyDescent="0.3">
      <c r="A546" s="302"/>
      <c r="B546" s="303"/>
      <c r="C546" s="303"/>
      <c r="D546" s="304"/>
      <c r="E546" s="304"/>
      <c r="F546" s="304"/>
      <c r="G546" s="304"/>
      <c r="H546" s="303"/>
      <c r="I546" s="304"/>
    </row>
    <row r="547" spans="1:9" x14ac:dyDescent="0.3">
      <c r="A547" s="302"/>
      <c r="B547" s="303"/>
      <c r="C547" s="303"/>
      <c r="D547" s="304"/>
      <c r="E547" s="304"/>
      <c r="F547" s="304"/>
      <c r="G547" s="304"/>
      <c r="H547" s="303"/>
      <c r="I547" s="304"/>
    </row>
    <row r="548" spans="1:9" x14ac:dyDescent="0.3">
      <c r="A548" s="302"/>
      <c r="B548" s="303"/>
      <c r="C548" s="303"/>
      <c r="D548" s="304"/>
      <c r="E548" s="304"/>
      <c r="F548" s="304"/>
      <c r="G548" s="304"/>
      <c r="H548" s="303"/>
      <c r="I548" s="304"/>
    </row>
    <row r="549" spans="1:9" x14ac:dyDescent="0.3">
      <c r="A549" s="302"/>
      <c r="B549" s="303"/>
      <c r="C549" s="303"/>
      <c r="D549" s="304"/>
      <c r="E549" s="304"/>
      <c r="F549" s="304"/>
      <c r="G549" s="304"/>
      <c r="H549" s="303"/>
      <c r="I549" s="304"/>
    </row>
    <row r="550" spans="1:9" x14ac:dyDescent="0.3">
      <c r="A550" s="302"/>
      <c r="B550" s="303"/>
      <c r="C550" s="303"/>
      <c r="D550" s="304"/>
      <c r="E550" s="304"/>
      <c r="F550" s="304"/>
      <c r="G550" s="304"/>
      <c r="H550" s="303"/>
      <c r="I550" s="304"/>
    </row>
    <row r="551" spans="1:9" x14ac:dyDescent="0.3">
      <c r="A551" s="302"/>
      <c r="B551" s="303"/>
      <c r="C551" s="303"/>
      <c r="D551" s="304"/>
      <c r="E551" s="304"/>
      <c r="F551" s="304"/>
      <c r="G551" s="304"/>
      <c r="H551" s="303"/>
      <c r="I551" s="304"/>
    </row>
    <row r="552" spans="1:9" x14ac:dyDescent="0.3">
      <c r="A552" s="302"/>
      <c r="B552" s="303"/>
      <c r="C552" s="303"/>
      <c r="D552" s="304"/>
      <c r="E552" s="304"/>
      <c r="F552" s="304"/>
      <c r="G552" s="304"/>
      <c r="H552" s="303"/>
      <c r="I552" s="304"/>
    </row>
    <row r="553" spans="1:9" x14ac:dyDescent="0.3">
      <c r="A553" s="302"/>
      <c r="B553" s="303"/>
      <c r="C553" s="303"/>
      <c r="D553" s="304"/>
      <c r="E553" s="304"/>
      <c r="F553" s="304"/>
      <c r="G553" s="304"/>
      <c r="H553" s="303"/>
      <c r="I553" s="304"/>
    </row>
    <row r="554" spans="1:9" x14ac:dyDescent="0.3">
      <c r="A554" s="302"/>
      <c r="B554" s="303"/>
      <c r="C554" s="303"/>
      <c r="D554" s="304"/>
      <c r="E554" s="304"/>
      <c r="F554" s="304"/>
      <c r="G554" s="304"/>
      <c r="H554" s="303"/>
      <c r="I554" s="304"/>
    </row>
    <row r="555" spans="1:9" x14ac:dyDescent="0.3">
      <c r="A555" s="302"/>
      <c r="B555" s="303"/>
      <c r="C555" s="303"/>
      <c r="D555" s="304"/>
      <c r="E555" s="304"/>
      <c r="F555" s="304"/>
      <c r="G555" s="304"/>
      <c r="H555" s="303"/>
      <c r="I555" s="304"/>
    </row>
    <row r="556" spans="1:9" x14ac:dyDescent="0.3">
      <c r="A556" s="302"/>
      <c r="B556" s="303"/>
      <c r="C556" s="303"/>
      <c r="D556" s="304"/>
      <c r="E556" s="304"/>
      <c r="F556" s="304"/>
      <c r="G556" s="304"/>
      <c r="H556" s="303"/>
      <c r="I556" s="304"/>
    </row>
    <row r="557" spans="1:9" x14ac:dyDescent="0.3">
      <c r="A557" s="302"/>
      <c r="B557" s="303"/>
      <c r="C557" s="303"/>
      <c r="D557" s="304"/>
      <c r="E557" s="304"/>
      <c r="F557" s="304"/>
      <c r="G557" s="304"/>
      <c r="H557" s="303"/>
      <c r="I557" s="304"/>
    </row>
    <row r="558" spans="1:9" x14ac:dyDescent="0.3">
      <c r="A558" s="302"/>
      <c r="B558" s="303"/>
      <c r="C558" s="303"/>
      <c r="D558" s="304"/>
      <c r="E558" s="304"/>
      <c r="F558" s="304"/>
      <c r="G558" s="304"/>
      <c r="H558" s="303"/>
      <c r="I558" s="304"/>
    </row>
    <row r="559" spans="1:9" x14ac:dyDescent="0.3">
      <c r="A559" s="302"/>
      <c r="B559" s="303"/>
      <c r="C559" s="303"/>
      <c r="D559" s="304"/>
      <c r="E559" s="304"/>
      <c r="F559" s="304"/>
      <c r="G559" s="304"/>
      <c r="H559" s="303"/>
      <c r="I559" s="304"/>
    </row>
    <row r="560" spans="1:9" x14ac:dyDescent="0.3">
      <c r="A560" s="302"/>
      <c r="B560" s="303"/>
      <c r="C560" s="303"/>
      <c r="D560" s="304"/>
      <c r="E560" s="304"/>
      <c r="F560" s="304"/>
      <c r="G560" s="304"/>
      <c r="H560" s="303"/>
      <c r="I560" s="304"/>
    </row>
    <row r="561" spans="1:9" x14ac:dyDescent="0.3">
      <c r="A561" s="302"/>
      <c r="B561" s="303"/>
      <c r="C561" s="303"/>
      <c r="D561" s="304"/>
      <c r="E561" s="304"/>
      <c r="F561" s="304"/>
      <c r="G561" s="304"/>
      <c r="H561" s="303"/>
      <c r="I561" s="304"/>
    </row>
    <row r="562" spans="1:9" x14ac:dyDescent="0.3">
      <c r="A562" s="302"/>
      <c r="B562" s="303"/>
      <c r="C562" s="303"/>
      <c r="D562" s="304"/>
      <c r="E562" s="304"/>
      <c r="F562" s="304"/>
      <c r="G562" s="304"/>
      <c r="H562" s="303"/>
      <c r="I562" s="304"/>
    </row>
    <row r="563" spans="1:9" x14ac:dyDescent="0.3">
      <c r="A563" s="302"/>
      <c r="B563" s="303"/>
      <c r="C563" s="303"/>
      <c r="D563" s="304"/>
      <c r="E563" s="304"/>
      <c r="F563" s="304"/>
      <c r="G563" s="304"/>
      <c r="H563" s="303"/>
      <c r="I563" s="304"/>
    </row>
    <row r="564" spans="1:9" x14ac:dyDescent="0.3">
      <c r="A564" s="302"/>
      <c r="B564" s="303"/>
      <c r="C564" s="303"/>
      <c r="D564" s="304"/>
      <c r="E564" s="304"/>
      <c r="F564" s="304"/>
      <c r="G564" s="304"/>
      <c r="H564" s="303"/>
      <c r="I564" s="304"/>
    </row>
    <row r="565" spans="1:9" x14ac:dyDescent="0.3">
      <c r="A565" s="302"/>
      <c r="B565" s="303"/>
      <c r="C565" s="303"/>
      <c r="D565" s="304"/>
      <c r="E565" s="304"/>
      <c r="F565" s="304"/>
      <c r="G565" s="304"/>
      <c r="H565" s="303"/>
      <c r="I565" s="304"/>
    </row>
    <row r="566" spans="1:9" x14ac:dyDescent="0.3">
      <c r="A566" s="302"/>
      <c r="B566" s="303"/>
      <c r="C566" s="303"/>
      <c r="D566" s="304"/>
      <c r="E566" s="304"/>
      <c r="F566" s="304"/>
      <c r="G566" s="304"/>
      <c r="H566" s="303"/>
      <c r="I566" s="304"/>
    </row>
    <row r="567" spans="1:9" x14ac:dyDescent="0.3">
      <c r="A567" s="302"/>
      <c r="B567" s="303"/>
      <c r="C567" s="303"/>
      <c r="D567" s="304"/>
      <c r="E567" s="304"/>
      <c r="F567" s="304"/>
      <c r="G567" s="304"/>
      <c r="H567" s="303"/>
      <c r="I567" s="304"/>
    </row>
    <row r="568" spans="1:9" x14ac:dyDescent="0.3">
      <c r="A568" s="302"/>
      <c r="B568" s="303"/>
      <c r="C568" s="303"/>
      <c r="D568" s="304"/>
      <c r="E568" s="304"/>
      <c r="F568" s="304"/>
      <c r="G568" s="304"/>
      <c r="H568" s="303"/>
      <c r="I568" s="304"/>
    </row>
    <row r="569" spans="1:9" x14ac:dyDescent="0.3">
      <c r="A569" s="302"/>
      <c r="B569" s="303"/>
      <c r="C569" s="303"/>
      <c r="D569" s="304"/>
      <c r="E569" s="304"/>
      <c r="F569" s="304"/>
      <c r="G569" s="304"/>
      <c r="H569" s="303"/>
      <c r="I569" s="304"/>
    </row>
    <row r="570" spans="1:9" x14ac:dyDescent="0.3">
      <c r="A570" s="302"/>
      <c r="B570" s="303"/>
      <c r="C570" s="303"/>
      <c r="D570" s="304"/>
      <c r="E570" s="304"/>
      <c r="F570" s="304"/>
      <c r="G570" s="304"/>
      <c r="H570" s="303"/>
      <c r="I570" s="304"/>
    </row>
    <row r="571" spans="1:9" x14ac:dyDescent="0.3">
      <c r="A571" s="302"/>
      <c r="B571" s="303"/>
      <c r="C571" s="303"/>
      <c r="D571" s="304"/>
      <c r="E571" s="304"/>
      <c r="F571" s="304"/>
      <c r="G571" s="304"/>
      <c r="H571" s="303"/>
      <c r="I571" s="304"/>
    </row>
    <row r="572" spans="1:9" x14ac:dyDescent="0.3">
      <c r="A572" s="302"/>
      <c r="B572" s="303"/>
      <c r="C572" s="303"/>
      <c r="D572" s="304"/>
      <c r="E572" s="304"/>
      <c r="F572" s="304"/>
      <c r="G572" s="304"/>
      <c r="H572" s="303"/>
      <c r="I572" s="304"/>
    </row>
    <row r="573" spans="1:9" x14ac:dyDescent="0.3">
      <c r="A573" s="302"/>
      <c r="B573" s="303"/>
      <c r="C573" s="303"/>
      <c r="D573" s="304"/>
      <c r="E573" s="304"/>
      <c r="F573" s="304"/>
      <c r="G573" s="304"/>
      <c r="H573" s="303"/>
      <c r="I573" s="304"/>
    </row>
    <row r="574" spans="1:9" x14ac:dyDescent="0.3">
      <c r="A574" s="302"/>
      <c r="B574" s="303"/>
      <c r="C574" s="303"/>
      <c r="D574" s="304"/>
      <c r="E574" s="304"/>
      <c r="F574" s="304"/>
      <c r="G574" s="304"/>
      <c r="H574" s="303"/>
      <c r="I574" s="304"/>
    </row>
    <row r="575" spans="1:9" x14ac:dyDescent="0.3">
      <c r="A575" s="302"/>
      <c r="B575" s="303"/>
      <c r="C575" s="303"/>
      <c r="D575" s="304"/>
      <c r="E575" s="304"/>
      <c r="F575" s="304"/>
      <c r="G575" s="304"/>
      <c r="H575" s="303"/>
      <c r="I575" s="304"/>
    </row>
    <row r="576" spans="1:9" x14ac:dyDescent="0.3">
      <c r="A576" s="302"/>
      <c r="B576" s="303"/>
      <c r="C576" s="303"/>
      <c r="D576" s="304"/>
      <c r="E576" s="304"/>
      <c r="F576" s="304"/>
      <c r="G576" s="304"/>
      <c r="H576" s="303"/>
      <c r="I576" s="304"/>
    </row>
    <row r="577" spans="1:9" x14ac:dyDescent="0.3">
      <c r="A577" s="302"/>
      <c r="B577" s="303"/>
      <c r="C577" s="303"/>
      <c r="D577" s="304"/>
      <c r="E577" s="304"/>
      <c r="F577" s="304"/>
      <c r="G577" s="304"/>
      <c r="H577" s="303"/>
      <c r="I577" s="304"/>
    </row>
    <row r="578" spans="1:9" x14ac:dyDescent="0.3">
      <c r="A578" s="302"/>
      <c r="B578" s="303"/>
      <c r="C578" s="303"/>
      <c r="D578" s="304"/>
      <c r="E578" s="304"/>
      <c r="F578" s="304"/>
      <c r="G578" s="304"/>
      <c r="H578" s="303"/>
      <c r="I578" s="304"/>
    </row>
    <row r="579" spans="1:9" x14ac:dyDescent="0.3">
      <c r="A579" s="302"/>
      <c r="B579" s="303"/>
      <c r="C579" s="303"/>
      <c r="D579" s="304"/>
      <c r="E579" s="304"/>
      <c r="F579" s="304"/>
      <c r="G579" s="304"/>
      <c r="H579" s="303"/>
      <c r="I579" s="304"/>
    </row>
    <row r="580" spans="1:9" x14ac:dyDescent="0.3">
      <c r="A580" s="302"/>
      <c r="B580" s="303"/>
      <c r="C580" s="303"/>
      <c r="D580" s="304"/>
      <c r="E580" s="304"/>
      <c r="F580" s="304"/>
      <c r="G580" s="304"/>
      <c r="H580" s="303"/>
      <c r="I580" s="304"/>
    </row>
    <row r="581" spans="1:9" x14ac:dyDescent="0.3">
      <c r="A581" s="302"/>
      <c r="B581" s="303"/>
      <c r="C581" s="303"/>
      <c r="D581" s="304"/>
      <c r="E581" s="304"/>
      <c r="F581" s="304"/>
      <c r="G581" s="304"/>
      <c r="H581" s="303"/>
      <c r="I581" s="304"/>
    </row>
    <row r="582" spans="1:9" x14ac:dyDescent="0.3">
      <c r="A582" s="302"/>
      <c r="B582" s="303"/>
      <c r="C582" s="303"/>
      <c r="D582" s="304"/>
      <c r="E582" s="304"/>
      <c r="F582" s="304"/>
      <c r="G582" s="304"/>
      <c r="H582" s="303"/>
      <c r="I582" s="304"/>
    </row>
    <row r="583" spans="1:9" x14ac:dyDescent="0.3">
      <c r="A583" s="302"/>
      <c r="B583" s="303"/>
      <c r="C583" s="303"/>
      <c r="D583" s="304"/>
      <c r="E583" s="304"/>
      <c r="F583" s="304"/>
      <c r="G583" s="304"/>
      <c r="H583" s="303"/>
      <c r="I583" s="304"/>
    </row>
    <row r="584" spans="1:9" x14ac:dyDescent="0.3">
      <c r="A584" s="302"/>
      <c r="B584" s="303"/>
      <c r="C584" s="303"/>
      <c r="D584" s="304"/>
      <c r="E584" s="304"/>
      <c r="F584" s="304"/>
      <c r="G584" s="304"/>
      <c r="H584" s="303"/>
      <c r="I584" s="304"/>
    </row>
    <row r="585" spans="1:9" x14ac:dyDescent="0.3">
      <c r="A585" s="302"/>
      <c r="B585" s="303"/>
      <c r="C585" s="303"/>
      <c r="D585" s="304"/>
      <c r="E585" s="304"/>
      <c r="F585" s="304"/>
      <c r="G585" s="304"/>
      <c r="H585" s="303"/>
      <c r="I585" s="304"/>
    </row>
    <row r="586" spans="1:9" x14ac:dyDescent="0.3">
      <c r="A586" s="302"/>
      <c r="B586" s="303"/>
      <c r="C586" s="303"/>
      <c r="D586" s="304"/>
      <c r="E586" s="304"/>
      <c r="F586" s="304"/>
      <c r="G586" s="304"/>
      <c r="H586" s="303"/>
      <c r="I586" s="304"/>
    </row>
    <row r="587" spans="1:9" x14ac:dyDescent="0.3">
      <c r="A587" s="302"/>
      <c r="B587" s="303"/>
      <c r="C587" s="303"/>
      <c r="D587" s="304"/>
      <c r="E587" s="304"/>
      <c r="F587" s="304"/>
      <c r="G587" s="304"/>
      <c r="H587" s="303"/>
      <c r="I587" s="304"/>
    </row>
    <row r="588" spans="1:9" x14ac:dyDescent="0.3">
      <c r="A588" s="302"/>
      <c r="B588" s="303"/>
      <c r="C588" s="303"/>
      <c r="D588" s="304"/>
      <c r="E588" s="304"/>
      <c r="F588" s="304"/>
      <c r="G588" s="304"/>
      <c r="H588" s="303"/>
      <c r="I588" s="304"/>
    </row>
    <row r="589" spans="1:9" x14ac:dyDescent="0.3">
      <c r="A589" s="302"/>
      <c r="B589" s="303"/>
      <c r="C589" s="303"/>
      <c r="D589" s="304"/>
      <c r="E589" s="304"/>
      <c r="F589" s="304"/>
      <c r="G589" s="304"/>
      <c r="H589" s="303"/>
      <c r="I589" s="304"/>
    </row>
    <row r="590" spans="1:9" x14ac:dyDescent="0.3">
      <c r="A590" s="302"/>
      <c r="B590" s="303"/>
      <c r="C590" s="303"/>
      <c r="D590" s="304"/>
      <c r="E590" s="304"/>
      <c r="F590" s="304"/>
      <c r="G590" s="304"/>
      <c r="H590" s="303"/>
      <c r="I590" s="304"/>
    </row>
    <row r="591" spans="1:9" x14ac:dyDescent="0.3">
      <c r="A591" s="302"/>
      <c r="B591" s="303"/>
      <c r="C591" s="303"/>
      <c r="D591" s="304"/>
      <c r="E591" s="304"/>
      <c r="F591" s="304"/>
      <c r="G591" s="304"/>
      <c r="H591" s="303"/>
      <c r="I591" s="304"/>
    </row>
    <row r="592" spans="1:9" x14ac:dyDescent="0.3">
      <c r="A592" s="302"/>
      <c r="B592" s="303"/>
      <c r="C592" s="303"/>
      <c r="D592" s="304"/>
      <c r="E592" s="304"/>
      <c r="F592" s="304"/>
      <c r="G592" s="304"/>
      <c r="H592" s="303"/>
      <c r="I592" s="304"/>
    </row>
    <row r="593" spans="1:9" x14ac:dyDescent="0.3">
      <c r="A593" s="302"/>
      <c r="B593" s="303"/>
      <c r="C593" s="303"/>
      <c r="D593" s="304"/>
      <c r="E593" s="304"/>
      <c r="F593" s="304"/>
      <c r="G593" s="304"/>
      <c r="H593" s="303"/>
      <c r="I593" s="304"/>
    </row>
    <row r="594" spans="1:9" x14ac:dyDescent="0.3">
      <c r="A594" s="302"/>
      <c r="B594" s="303"/>
      <c r="C594" s="303"/>
      <c r="D594" s="304"/>
      <c r="E594" s="304"/>
      <c r="F594" s="304"/>
      <c r="G594" s="304"/>
      <c r="H594" s="303"/>
      <c r="I594" s="304"/>
    </row>
    <row r="595" spans="1:9" x14ac:dyDescent="0.3">
      <c r="A595" s="302"/>
      <c r="B595" s="303"/>
      <c r="C595" s="303"/>
      <c r="D595" s="304"/>
      <c r="E595" s="304"/>
      <c r="F595" s="304"/>
      <c r="G595" s="304"/>
      <c r="H595" s="303"/>
      <c r="I595" s="304"/>
    </row>
    <row r="596" spans="1:9" x14ac:dyDescent="0.3">
      <c r="A596" s="302"/>
      <c r="B596" s="303"/>
      <c r="C596" s="303"/>
      <c r="D596" s="304"/>
      <c r="E596" s="304"/>
      <c r="F596" s="304"/>
      <c r="G596" s="304"/>
      <c r="H596" s="303"/>
      <c r="I596" s="304"/>
    </row>
    <row r="597" spans="1:9" x14ac:dyDescent="0.3">
      <c r="A597" s="302"/>
      <c r="B597" s="303"/>
      <c r="C597" s="303"/>
      <c r="D597" s="304"/>
      <c r="E597" s="304"/>
      <c r="F597" s="304"/>
      <c r="G597" s="304"/>
      <c r="H597" s="303"/>
      <c r="I597" s="304"/>
    </row>
    <row r="598" spans="1:9" x14ac:dyDescent="0.3">
      <c r="A598" s="302"/>
      <c r="B598" s="303"/>
      <c r="C598" s="303"/>
      <c r="D598" s="304"/>
      <c r="E598" s="304"/>
      <c r="F598" s="304"/>
      <c r="G598" s="304"/>
      <c r="H598" s="303"/>
      <c r="I598" s="304"/>
    </row>
    <row r="599" spans="1:9" x14ac:dyDescent="0.3">
      <c r="A599" s="302"/>
      <c r="B599" s="303"/>
      <c r="C599" s="303"/>
      <c r="D599" s="304"/>
      <c r="E599" s="304"/>
      <c r="F599" s="304"/>
      <c r="G599" s="304"/>
      <c r="H599" s="303"/>
      <c r="I599" s="304"/>
    </row>
    <row r="600" spans="1:9" x14ac:dyDescent="0.3">
      <c r="A600" s="302"/>
      <c r="B600" s="303"/>
      <c r="C600" s="303"/>
      <c r="D600" s="304"/>
      <c r="E600" s="304"/>
      <c r="F600" s="304"/>
      <c r="G600" s="304"/>
      <c r="H600" s="303"/>
      <c r="I600" s="304"/>
    </row>
    <row r="601" spans="1:9" x14ac:dyDescent="0.3">
      <c r="A601" s="302"/>
      <c r="B601" s="303"/>
      <c r="C601" s="303"/>
      <c r="D601" s="304"/>
      <c r="E601" s="304"/>
      <c r="F601" s="304"/>
      <c r="G601" s="304"/>
      <c r="H601" s="303"/>
      <c r="I601" s="304"/>
    </row>
    <row r="602" spans="1:9" x14ac:dyDescent="0.3">
      <c r="A602" s="302"/>
      <c r="B602" s="303"/>
      <c r="C602" s="303"/>
      <c r="D602" s="304"/>
      <c r="E602" s="304"/>
      <c r="F602" s="304"/>
      <c r="G602" s="304"/>
      <c r="H602" s="303"/>
      <c r="I602" s="304"/>
    </row>
    <row r="603" spans="1:9" x14ac:dyDescent="0.3">
      <c r="A603" s="302"/>
      <c r="B603" s="303"/>
      <c r="C603" s="303"/>
      <c r="D603" s="304"/>
      <c r="E603" s="304"/>
      <c r="F603" s="304"/>
      <c r="G603" s="304"/>
      <c r="H603" s="303"/>
      <c r="I603" s="304"/>
    </row>
    <row r="604" spans="1:9" x14ac:dyDescent="0.3">
      <c r="A604" s="302"/>
      <c r="B604" s="303"/>
      <c r="C604" s="303"/>
      <c r="D604" s="304"/>
      <c r="E604" s="304"/>
      <c r="F604" s="304"/>
      <c r="G604" s="304"/>
      <c r="H604" s="303"/>
      <c r="I604" s="304"/>
    </row>
    <row r="605" spans="1:9" x14ac:dyDescent="0.3">
      <c r="A605" s="302"/>
      <c r="B605" s="303"/>
      <c r="C605" s="303"/>
      <c r="D605" s="304"/>
      <c r="E605" s="304"/>
      <c r="F605" s="304"/>
      <c r="G605" s="304"/>
      <c r="H605" s="303"/>
      <c r="I605" s="304"/>
    </row>
    <row r="606" spans="1:9" x14ac:dyDescent="0.3">
      <c r="A606" s="302"/>
      <c r="B606" s="303"/>
      <c r="C606" s="303"/>
      <c r="D606" s="304"/>
      <c r="E606" s="304"/>
      <c r="F606" s="304"/>
      <c r="G606" s="304"/>
      <c r="H606" s="303"/>
      <c r="I606" s="304"/>
    </row>
    <row r="607" spans="1:9" x14ac:dyDescent="0.3">
      <c r="A607" s="302"/>
      <c r="B607" s="303"/>
      <c r="C607" s="303"/>
      <c r="D607" s="304"/>
      <c r="E607" s="304"/>
      <c r="F607" s="304"/>
      <c r="G607" s="304"/>
      <c r="H607" s="303"/>
      <c r="I607" s="304"/>
    </row>
    <row r="608" spans="1:9" x14ac:dyDescent="0.3">
      <c r="A608" s="302"/>
      <c r="B608" s="303"/>
      <c r="C608" s="303"/>
      <c r="D608" s="304"/>
      <c r="E608" s="304"/>
      <c r="F608" s="304"/>
      <c r="G608" s="304"/>
      <c r="H608" s="303"/>
      <c r="I608" s="304"/>
    </row>
    <row r="609" spans="1:9" x14ac:dyDescent="0.3">
      <c r="A609" s="302"/>
      <c r="B609" s="303"/>
      <c r="C609" s="303"/>
      <c r="D609" s="304"/>
      <c r="E609" s="304"/>
      <c r="F609" s="304"/>
      <c r="G609" s="304"/>
      <c r="H609" s="303"/>
      <c r="I609" s="304"/>
    </row>
    <row r="610" spans="1:9" x14ac:dyDescent="0.3">
      <c r="A610" s="302"/>
      <c r="B610" s="303"/>
      <c r="C610" s="303"/>
      <c r="D610" s="304"/>
      <c r="E610" s="304"/>
      <c r="F610" s="304"/>
      <c r="G610" s="304"/>
      <c r="H610" s="303"/>
      <c r="I610" s="304"/>
    </row>
    <row r="611" spans="1:9" x14ac:dyDescent="0.3">
      <c r="A611" s="302"/>
      <c r="B611" s="303"/>
      <c r="C611" s="303"/>
      <c r="D611" s="304"/>
      <c r="E611" s="304"/>
      <c r="F611" s="304"/>
      <c r="G611" s="304"/>
      <c r="H611" s="303"/>
      <c r="I611" s="304"/>
    </row>
    <row r="612" spans="1:9" x14ac:dyDescent="0.3">
      <c r="A612" s="302"/>
      <c r="B612" s="303"/>
      <c r="C612" s="303"/>
      <c r="D612" s="304"/>
      <c r="E612" s="304"/>
      <c r="F612" s="304"/>
      <c r="G612" s="304"/>
      <c r="H612" s="303"/>
      <c r="I612" s="304"/>
    </row>
    <row r="613" spans="1:9" x14ac:dyDescent="0.3">
      <c r="A613" s="302"/>
      <c r="B613" s="303"/>
      <c r="C613" s="303"/>
      <c r="D613" s="304"/>
      <c r="E613" s="304"/>
      <c r="F613" s="304"/>
      <c r="G613" s="304"/>
      <c r="H613" s="303"/>
      <c r="I613" s="304"/>
    </row>
    <row r="614" spans="1:9" x14ac:dyDescent="0.3">
      <c r="A614" s="302"/>
      <c r="B614" s="303"/>
      <c r="C614" s="303"/>
      <c r="D614" s="304"/>
      <c r="E614" s="304"/>
      <c r="F614" s="304"/>
      <c r="G614" s="304"/>
      <c r="H614" s="303"/>
      <c r="I614" s="304"/>
    </row>
    <row r="615" spans="1:9" x14ac:dyDescent="0.3">
      <c r="A615" s="302"/>
      <c r="B615" s="303"/>
      <c r="C615" s="303"/>
      <c r="D615" s="304"/>
      <c r="E615" s="304"/>
      <c r="F615" s="304"/>
      <c r="G615" s="304"/>
      <c r="H615" s="303"/>
      <c r="I615" s="304"/>
    </row>
    <row r="616" spans="1:9" x14ac:dyDescent="0.3">
      <c r="A616" s="302"/>
      <c r="B616" s="303"/>
      <c r="C616" s="303"/>
      <c r="D616" s="304"/>
      <c r="E616" s="304"/>
      <c r="F616" s="304"/>
      <c r="G616" s="304"/>
      <c r="H616" s="303"/>
      <c r="I616" s="304"/>
    </row>
    <row r="617" spans="1:9" x14ac:dyDescent="0.3">
      <c r="A617" s="302"/>
      <c r="B617" s="303"/>
      <c r="C617" s="303"/>
      <c r="D617" s="304"/>
      <c r="E617" s="304"/>
      <c r="F617" s="304"/>
      <c r="G617" s="304"/>
      <c r="H617" s="303"/>
      <c r="I617" s="304"/>
    </row>
    <row r="618" spans="1:9" x14ac:dyDescent="0.3">
      <c r="A618" s="302"/>
      <c r="B618" s="303"/>
      <c r="C618" s="303"/>
      <c r="D618" s="304"/>
      <c r="E618" s="304"/>
      <c r="F618" s="304"/>
      <c r="G618" s="304"/>
      <c r="H618" s="303"/>
      <c r="I618" s="304"/>
    </row>
    <row r="619" spans="1:9" x14ac:dyDescent="0.3">
      <c r="A619" s="302"/>
      <c r="B619" s="303"/>
      <c r="C619" s="303"/>
      <c r="D619" s="304"/>
      <c r="E619" s="304"/>
      <c r="F619" s="304"/>
      <c r="G619" s="304"/>
      <c r="H619" s="303"/>
      <c r="I619" s="304"/>
    </row>
    <row r="620" spans="1:9" x14ac:dyDescent="0.3">
      <c r="A620" s="302"/>
      <c r="B620" s="303"/>
      <c r="C620" s="303"/>
      <c r="D620" s="304"/>
      <c r="E620" s="304"/>
      <c r="F620" s="304"/>
      <c r="G620" s="304"/>
      <c r="H620" s="303"/>
      <c r="I620" s="304"/>
    </row>
    <row r="621" spans="1:9" x14ac:dyDescent="0.3">
      <c r="A621" s="302"/>
      <c r="B621" s="303"/>
      <c r="C621" s="303"/>
      <c r="D621" s="304"/>
      <c r="E621" s="304"/>
      <c r="F621" s="304"/>
      <c r="G621" s="304"/>
      <c r="H621" s="303"/>
      <c r="I621" s="304"/>
    </row>
    <row r="622" spans="1:9" x14ac:dyDescent="0.3">
      <c r="A622" s="302"/>
      <c r="B622" s="303"/>
      <c r="C622" s="303"/>
      <c r="D622" s="304"/>
      <c r="E622" s="304"/>
      <c r="F622" s="304"/>
      <c r="G622" s="304"/>
      <c r="H622" s="303"/>
      <c r="I622" s="304"/>
    </row>
    <row r="623" spans="1:9" x14ac:dyDescent="0.3">
      <c r="A623" s="302"/>
      <c r="B623" s="303"/>
      <c r="C623" s="303"/>
      <c r="D623" s="304"/>
      <c r="E623" s="304"/>
      <c r="F623" s="304"/>
      <c r="G623" s="304"/>
      <c r="H623" s="303"/>
      <c r="I623" s="304"/>
    </row>
    <row r="624" spans="1:9" x14ac:dyDescent="0.3">
      <c r="A624" s="302"/>
      <c r="B624" s="303"/>
      <c r="C624" s="303"/>
      <c r="D624" s="304"/>
      <c r="E624" s="304"/>
      <c r="F624" s="304"/>
      <c r="G624" s="304"/>
      <c r="H624" s="303"/>
      <c r="I624" s="304"/>
    </row>
    <row r="625" spans="1:9" x14ac:dyDescent="0.3">
      <c r="A625" s="302"/>
      <c r="B625" s="303"/>
      <c r="C625" s="303"/>
      <c r="D625" s="304"/>
      <c r="E625" s="304"/>
      <c r="F625" s="304"/>
      <c r="G625" s="304"/>
      <c r="H625" s="303"/>
      <c r="I625" s="304"/>
    </row>
    <row r="626" spans="1:9" x14ac:dyDescent="0.3">
      <c r="A626" s="302"/>
      <c r="B626" s="303"/>
      <c r="C626" s="303"/>
      <c r="D626" s="304"/>
      <c r="E626" s="304"/>
      <c r="F626" s="304"/>
      <c r="G626" s="304"/>
      <c r="H626" s="303"/>
      <c r="I626" s="304"/>
    </row>
    <row r="627" spans="1:9" x14ac:dyDescent="0.3">
      <c r="A627" s="302"/>
      <c r="B627" s="303"/>
      <c r="C627" s="303"/>
      <c r="D627" s="304"/>
      <c r="E627" s="304"/>
      <c r="F627" s="304"/>
      <c r="G627" s="304"/>
      <c r="H627" s="303"/>
      <c r="I627" s="304"/>
    </row>
    <row r="628" spans="1:9" x14ac:dyDescent="0.3">
      <c r="A628" s="302"/>
      <c r="B628" s="303"/>
      <c r="C628" s="303"/>
      <c r="D628" s="304"/>
      <c r="E628" s="304"/>
      <c r="F628" s="304"/>
      <c r="G628" s="304"/>
      <c r="H628" s="303"/>
      <c r="I628" s="304"/>
    </row>
    <row r="629" spans="1:9" x14ac:dyDescent="0.3">
      <c r="A629" s="302"/>
      <c r="B629" s="303"/>
      <c r="C629" s="303"/>
      <c r="D629" s="304"/>
      <c r="E629" s="304"/>
      <c r="F629" s="304"/>
      <c r="G629" s="304"/>
      <c r="H629" s="303"/>
      <c r="I629" s="304"/>
    </row>
    <row r="630" spans="1:9" x14ac:dyDescent="0.3">
      <c r="A630" s="302"/>
      <c r="B630" s="303"/>
      <c r="C630" s="303"/>
      <c r="D630" s="304"/>
      <c r="E630" s="304"/>
      <c r="F630" s="304"/>
      <c r="G630" s="304"/>
      <c r="H630" s="303"/>
      <c r="I630" s="304"/>
    </row>
    <row r="631" spans="1:9" x14ac:dyDescent="0.3">
      <c r="A631" s="302"/>
      <c r="B631" s="303"/>
      <c r="C631" s="303"/>
      <c r="D631" s="304"/>
      <c r="E631" s="304"/>
      <c r="F631" s="304"/>
      <c r="G631" s="304"/>
      <c r="H631" s="303"/>
      <c r="I631" s="304"/>
    </row>
    <row r="632" spans="1:9" x14ac:dyDescent="0.3">
      <c r="A632" s="302"/>
      <c r="B632" s="303"/>
      <c r="C632" s="303"/>
      <c r="D632" s="304"/>
      <c r="E632" s="304"/>
      <c r="F632" s="304"/>
      <c r="G632" s="304"/>
      <c r="H632" s="303"/>
      <c r="I632" s="304"/>
    </row>
    <row r="633" spans="1:9" x14ac:dyDescent="0.3">
      <c r="A633" s="302"/>
      <c r="B633" s="303"/>
      <c r="C633" s="303"/>
      <c r="D633" s="304"/>
      <c r="E633" s="304"/>
      <c r="F633" s="304"/>
      <c r="G633" s="304"/>
      <c r="H633" s="303"/>
      <c r="I633" s="304"/>
    </row>
    <row r="634" spans="1:9" x14ac:dyDescent="0.3">
      <c r="A634" s="302"/>
      <c r="B634" s="303"/>
      <c r="C634" s="303"/>
      <c r="D634" s="304"/>
      <c r="E634" s="304"/>
      <c r="F634" s="304"/>
      <c r="G634" s="304"/>
      <c r="H634" s="303"/>
      <c r="I634" s="304"/>
    </row>
    <row r="635" spans="1:9" x14ac:dyDescent="0.3">
      <c r="A635" s="302"/>
      <c r="B635" s="303"/>
      <c r="C635" s="303"/>
      <c r="D635" s="304"/>
      <c r="E635" s="304"/>
      <c r="F635" s="304"/>
      <c r="G635" s="304"/>
      <c r="H635" s="303"/>
      <c r="I635" s="304"/>
    </row>
    <row r="636" spans="1:9" x14ac:dyDescent="0.3">
      <c r="A636" s="302"/>
      <c r="B636" s="303"/>
      <c r="C636" s="303"/>
      <c r="D636" s="304"/>
      <c r="E636" s="304"/>
      <c r="F636" s="304"/>
      <c r="G636" s="304"/>
      <c r="H636" s="303"/>
      <c r="I636" s="304"/>
    </row>
    <row r="637" spans="1:9" x14ac:dyDescent="0.3">
      <c r="A637" s="302"/>
      <c r="B637" s="303"/>
      <c r="C637" s="303"/>
      <c r="D637" s="304"/>
      <c r="E637" s="304"/>
      <c r="F637" s="304"/>
      <c r="G637" s="304"/>
      <c r="H637" s="303"/>
      <c r="I637" s="304"/>
    </row>
    <row r="638" spans="1:9" x14ac:dyDescent="0.3">
      <c r="A638" s="302"/>
      <c r="B638" s="303"/>
      <c r="C638" s="303"/>
      <c r="D638" s="304"/>
      <c r="E638" s="304"/>
      <c r="F638" s="304"/>
      <c r="G638" s="304"/>
      <c r="H638" s="303"/>
      <c r="I638" s="304"/>
    </row>
    <row r="639" spans="1:9" x14ac:dyDescent="0.3">
      <c r="A639" s="302"/>
      <c r="B639" s="303"/>
      <c r="C639" s="303"/>
      <c r="D639" s="304"/>
      <c r="E639" s="304"/>
      <c r="F639" s="304"/>
      <c r="G639" s="304"/>
      <c r="H639" s="303"/>
      <c r="I639" s="304"/>
    </row>
    <row r="640" spans="1:9" x14ac:dyDescent="0.3">
      <c r="A640" s="302"/>
      <c r="B640" s="303"/>
      <c r="C640" s="303"/>
      <c r="D640" s="304"/>
      <c r="E640" s="304"/>
      <c r="F640" s="304"/>
      <c r="G640" s="304"/>
      <c r="H640" s="303"/>
      <c r="I640" s="304"/>
    </row>
    <row r="641" spans="1:9" x14ac:dyDescent="0.3">
      <c r="A641" s="302"/>
      <c r="B641" s="303"/>
      <c r="C641" s="303"/>
      <c r="D641" s="304"/>
      <c r="E641" s="304"/>
      <c r="F641" s="304"/>
      <c r="G641" s="304"/>
      <c r="H641" s="303"/>
      <c r="I641" s="304"/>
    </row>
    <row r="642" spans="1:9" x14ac:dyDescent="0.3">
      <c r="A642" s="302"/>
      <c r="B642" s="303"/>
      <c r="C642" s="303"/>
      <c r="D642" s="304"/>
      <c r="E642" s="304"/>
      <c r="F642" s="304"/>
      <c r="G642" s="304"/>
      <c r="H642" s="303"/>
      <c r="I642" s="304"/>
    </row>
    <row r="643" spans="1:9" x14ac:dyDescent="0.3">
      <c r="A643" s="302"/>
      <c r="B643" s="303"/>
      <c r="C643" s="303"/>
      <c r="D643" s="304"/>
      <c r="E643" s="304"/>
      <c r="F643" s="304"/>
      <c r="G643" s="304"/>
      <c r="H643" s="303"/>
      <c r="I643" s="304"/>
    </row>
    <row r="644" spans="1:9" x14ac:dyDescent="0.3">
      <c r="A644" s="302"/>
      <c r="B644" s="303"/>
      <c r="C644" s="303"/>
      <c r="D644" s="304"/>
      <c r="E644" s="304"/>
      <c r="F644" s="304"/>
      <c r="G644" s="304"/>
      <c r="H644" s="303"/>
      <c r="I644" s="304"/>
    </row>
    <row r="645" spans="1:9" x14ac:dyDescent="0.3">
      <c r="A645" s="302"/>
      <c r="B645" s="303"/>
      <c r="C645" s="303"/>
      <c r="D645" s="304"/>
      <c r="E645" s="304"/>
      <c r="F645" s="304"/>
      <c r="G645" s="304"/>
      <c r="H645" s="303"/>
      <c r="I645" s="304"/>
    </row>
    <row r="646" spans="1:9" x14ac:dyDescent="0.3">
      <c r="A646" s="302"/>
      <c r="B646" s="303"/>
      <c r="C646" s="303"/>
      <c r="D646" s="304"/>
      <c r="E646" s="304"/>
      <c r="F646" s="304"/>
      <c r="G646" s="304"/>
      <c r="H646" s="303"/>
      <c r="I646" s="304"/>
    </row>
    <row r="647" spans="1:9" x14ac:dyDescent="0.3">
      <c r="A647" s="302"/>
      <c r="B647" s="303"/>
      <c r="C647" s="303"/>
      <c r="D647" s="304"/>
      <c r="E647" s="304"/>
      <c r="F647" s="304"/>
      <c r="G647" s="304"/>
      <c r="H647" s="303"/>
      <c r="I647" s="304"/>
    </row>
    <row r="648" spans="1:9" x14ac:dyDescent="0.3">
      <c r="A648" s="302"/>
      <c r="B648" s="303"/>
      <c r="C648" s="303"/>
      <c r="D648" s="304"/>
      <c r="E648" s="304"/>
      <c r="F648" s="304"/>
      <c r="G648" s="304"/>
      <c r="H648" s="303"/>
      <c r="I648" s="304"/>
    </row>
    <row r="649" spans="1:9" x14ac:dyDescent="0.3">
      <c r="A649" s="302"/>
      <c r="B649" s="303"/>
      <c r="C649" s="303"/>
      <c r="D649" s="304"/>
      <c r="E649" s="304"/>
      <c r="F649" s="304"/>
      <c r="G649" s="304"/>
      <c r="H649" s="303"/>
      <c r="I649" s="304"/>
    </row>
    <row r="650" spans="1:9" x14ac:dyDescent="0.3">
      <c r="A650" s="302"/>
      <c r="B650" s="303"/>
      <c r="C650" s="303"/>
      <c r="D650" s="304"/>
      <c r="E650" s="304"/>
      <c r="F650" s="304"/>
      <c r="G650" s="304"/>
      <c r="H650" s="303"/>
      <c r="I650" s="304"/>
    </row>
    <row r="651" spans="1:9" x14ac:dyDescent="0.3">
      <c r="A651" s="302"/>
      <c r="B651" s="303"/>
      <c r="C651" s="303"/>
      <c r="D651" s="304"/>
      <c r="E651" s="304"/>
      <c r="F651" s="304"/>
      <c r="G651" s="304"/>
      <c r="H651" s="303"/>
      <c r="I651" s="304"/>
    </row>
    <row r="652" spans="1:9" x14ac:dyDescent="0.3">
      <c r="A652" s="302"/>
      <c r="B652" s="303"/>
      <c r="C652" s="303"/>
      <c r="D652" s="304"/>
      <c r="E652" s="304"/>
      <c r="F652" s="304"/>
      <c r="G652" s="304"/>
      <c r="H652" s="303"/>
      <c r="I652" s="304"/>
    </row>
    <row r="653" spans="1:9" x14ac:dyDescent="0.3">
      <c r="A653" s="302"/>
      <c r="B653" s="303"/>
      <c r="C653" s="303"/>
      <c r="D653" s="304"/>
      <c r="E653" s="304"/>
      <c r="F653" s="304"/>
      <c r="G653" s="304"/>
      <c r="H653" s="303"/>
      <c r="I653" s="304"/>
    </row>
    <row r="654" spans="1:9" x14ac:dyDescent="0.3">
      <c r="A654" s="302"/>
      <c r="B654" s="303"/>
      <c r="C654" s="303"/>
      <c r="D654" s="304"/>
      <c r="E654" s="304"/>
      <c r="F654" s="304"/>
      <c r="G654" s="304"/>
      <c r="H654" s="303"/>
      <c r="I654" s="304"/>
    </row>
    <row r="655" spans="1:9" x14ac:dyDescent="0.3">
      <c r="A655" s="302"/>
      <c r="B655" s="303"/>
      <c r="C655" s="303"/>
      <c r="D655" s="304"/>
      <c r="E655" s="304"/>
      <c r="F655" s="304"/>
      <c r="G655" s="304"/>
      <c r="H655" s="303"/>
      <c r="I655" s="304"/>
    </row>
    <row r="656" spans="1:9" x14ac:dyDescent="0.3">
      <c r="A656" s="302"/>
      <c r="B656" s="303"/>
      <c r="C656" s="303"/>
      <c r="D656" s="304"/>
      <c r="E656" s="304"/>
      <c r="F656" s="304"/>
      <c r="G656" s="304"/>
      <c r="H656" s="303"/>
      <c r="I656" s="304"/>
    </row>
    <row r="657" spans="1:9" x14ac:dyDescent="0.3">
      <c r="A657" s="302"/>
      <c r="B657" s="303"/>
      <c r="C657" s="303"/>
      <c r="D657" s="304"/>
      <c r="E657" s="304"/>
      <c r="F657" s="304"/>
      <c r="G657" s="304"/>
      <c r="H657" s="303"/>
      <c r="I657" s="304"/>
    </row>
    <row r="658" spans="1:9" x14ac:dyDescent="0.3">
      <c r="A658" s="302"/>
      <c r="B658" s="303"/>
      <c r="C658" s="303"/>
      <c r="D658" s="304"/>
      <c r="E658" s="304"/>
      <c r="F658" s="304"/>
      <c r="G658" s="304"/>
      <c r="H658" s="303"/>
      <c r="I658" s="304"/>
    </row>
    <row r="659" spans="1:9" x14ac:dyDescent="0.3">
      <c r="A659" s="302"/>
      <c r="B659" s="303"/>
      <c r="C659" s="303"/>
      <c r="D659" s="304"/>
      <c r="E659" s="304"/>
      <c r="F659" s="304"/>
      <c r="G659" s="304"/>
      <c r="H659" s="303"/>
      <c r="I659" s="304"/>
    </row>
    <row r="660" spans="1:9" x14ac:dyDescent="0.3">
      <c r="A660" s="302"/>
      <c r="B660" s="303"/>
      <c r="C660" s="303"/>
      <c r="D660" s="304"/>
      <c r="E660" s="304"/>
      <c r="F660" s="304"/>
      <c r="G660" s="304"/>
      <c r="H660" s="303"/>
      <c r="I660" s="304"/>
    </row>
    <row r="661" spans="1:9" x14ac:dyDescent="0.3">
      <c r="A661" s="302"/>
      <c r="B661" s="303"/>
      <c r="C661" s="303"/>
      <c r="D661" s="304"/>
      <c r="E661" s="304"/>
      <c r="F661" s="304"/>
      <c r="G661" s="304"/>
      <c r="H661" s="303"/>
      <c r="I661" s="304"/>
    </row>
    <row r="662" spans="1:9" x14ac:dyDescent="0.3">
      <c r="A662" s="302"/>
      <c r="B662" s="303"/>
      <c r="C662" s="303"/>
      <c r="D662" s="304"/>
      <c r="E662" s="304"/>
      <c r="F662" s="304"/>
      <c r="G662" s="304"/>
      <c r="H662" s="303"/>
      <c r="I662" s="304"/>
    </row>
    <row r="663" spans="1:9" x14ac:dyDescent="0.3">
      <c r="A663" s="302"/>
      <c r="B663" s="303"/>
      <c r="C663" s="303"/>
      <c r="D663" s="304"/>
      <c r="E663" s="304"/>
      <c r="F663" s="304"/>
      <c r="G663" s="304"/>
      <c r="H663" s="303"/>
      <c r="I663" s="304"/>
    </row>
    <row r="664" spans="1:9" x14ac:dyDescent="0.3">
      <c r="A664" s="302"/>
      <c r="B664" s="303"/>
      <c r="C664" s="303"/>
      <c r="D664" s="304"/>
      <c r="E664" s="304"/>
      <c r="F664" s="304"/>
      <c r="G664" s="304"/>
      <c r="H664" s="303"/>
      <c r="I664" s="304"/>
    </row>
    <row r="665" spans="1:9" x14ac:dyDescent="0.3">
      <c r="A665" s="302"/>
      <c r="B665" s="303"/>
      <c r="C665" s="303"/>
      <c r="D665" s="304"/>
      <c r="E665" s="304"/>
      <c r="F665" s="304"/>
      <c r="G665" s="304"/>
      <c r="H665" s="303"/>
      <c r="I665" s="304"/>
    </row>
    <row r="666" spans="1:9" x14ac:dyDescent="0.3">
      <c r="A666" s="302"/>
      <c r="B666" s="303"/>
      <c r="C666" s="303"/>
      <c r="D666" s="304"/>
      <c r="E666" s="304"/>
      <c r="F666" s="304"/>
      <c r="G666" s="304"/>
      <c r="H666" s="303"/>
      <c r="I666" s="304"/>
    </row>
    <row r="667" spans="1:9" x14ac:dyDescent="0.3">
      <c r="A667" s="302"/>
      <c r="B667" s="303"/>
      <c r="C667" s="303"/>
      <c r="D667" s="304"/>
      <c r="E667" s="304"/>
      <c r="F667" s="304"/>
      <c r="G667" s="304"/>
      <c r="H667" s="303"/>
      <c r="I667" s="304"/>
    </row>
    <row r="668" spans="1:9" x14ac:dyDescent="0.3">
      <c r="A668" s="302"/>
      <c r="B668" s="303"/>
      <c r="C668" s="303"/>
      <c r="D668" s="304"/>
      <c r="E668" s="304"/>
      <c r="F668" s="304"/>
      <c r="G668" s="304"/>
      <c r="H668" s="303"/>
      <c r="I668" s="304"/>
    </row>
    <row r="669" spans="1:9" x14ac:dyDescent="0.3">
      <c r="A669" s="302"/>
      <c r="B669" s="303"/>
      <c r="C669" s="303"/>
      <c r="D669" s="304"/>
      <c r="E669" s="304"/>
      <c r="F669" s="304"/>
      <c r="G669" s="304"/>
      <c r="H669" s="303"/>
      <c r="I669" s="304"/>
    </row>
    <row r="670" spans="1:9" x14ac:dyDescent="0.3">
      <c r="A670" s="302"/>
      <c r="B670" s="303"/>
      <c r="C670" s="303"/>
      <c r="D670" s="304"/>
      <c r="E670" s="304"/>
      <c r="F670" s="304"/>
      <c r="G670" s="304"/>
      <c r="H670" s="303"/>
      <c r="I670" s="304"/>
    </row>
    <row r="671" spans="1:9" x14ac:dyDescent="0.3">
      <c r="A671" s="302"/>
      <c r="B671" s="303"/>
      <c r="C671" s="303"/>
      <c r="D671" s="304"/>
      <c r="E671" s="304"/>
      <c r="F671" s="304"/>
      <c r="G671" s="304"/>
      <c r="H671" s="303"/>
      <c r="I671" s="304"/>
    </row>
    <row r="672" spans="1:9" x14ac:dyDescent="0.3">
      <c r="A672" s="302"/>
      <c r="B672" s="303"/>
      <c r="C672" s="303"/>
      <c r="D672" s="304"/>
      <c r="E672" s="304"/>
      <c r="F672" s="304"/>
      <c r="G672" s="304"/>
      <c r="H672" s="303"/>
      <c r="I672" s="304"/>
    </row>
    <row r="673" spans="1:9" x14ac:dyDescent="0.3">
      <c r="A673" s="302"/>
      <c r="B673" s="303"/>
      <c r="C673" s="303"/>
      <c r="D673" s="304"/>
      <c r="E673" s="304"/>
      <c r="F673" s="304"/>
      <c r="G673" s="304"/>
      <c r="H673" s="303"/>
      <c r="I673" s="304"/>
    </row>
    <row r="674" spans="1:9" x14ac:dyDescent="0.3">
      <c r="A674" s="302"/>
      <c r="B674" s="303"/>
      <c r="C674" s="303"/>
      <c r="D674" s="304"/>
      <c r="E674" s="304"/>
      <c r="F674" s="304"/>
      <c r="G674" s="304"/>
      <c r="H674" s="303"/>
      <c r="I674" s="304"/>
    </row>
    <row r="675" spans="1:9" x14ac:dyDescent="0.3">
      <c r="A675" s="302"/>
      <c r="B675" s="303"/>
      <c r="C675" s="303"/>
      <c r="D675" s="304"/>
      <c r="E675" s="304"/>
      <c r="F675" s="304"/>
      <c r="G675" s="304"/>
      <c r="H675" s="303"/>
      <c r="I675" s="304"/>
    </row>
    <row r="676" spans="1:9" x14ac:dyDescent="0.3">
      <c r="A676" s="302"/>
      <c r="B676" s="303"/>
      <c r="C676" s="303"/>
      <c r="D676" s="304"/>
      <c r="E676" s="304"/>
      <c r="F676" s="304"/>
      <c r="G676" s="304"/>
      <c r="H676" s="303"/>
      <c r="I676" s="304"/>
    </row>
    <row r="677" spans="1:9" x14ac:dyDescent="0.3">
      <c r="A677" s="302"/>
      <c r="B677" s="303"/>
      <c r="C677" s="303"/>
      <c r="D677" s="304"/>
      <c r="E677" s="304"/>
      <c r="F677" s="304"/>
      <c r="G677" s="304"/>
      <c r="H677" s="303"/>
      <c r="I677" s="304"/>
    </row>
    <row r="678" spans="1:9" x14ac:dyDescent="0.3">
      <c r="A678" s="302"/>
      <c r="B678" s="303"/>
      <c r="C678" s="303"/>
      <c r="D678" s="304"/>
      <c r="E678" s="304"/>
      <c r="F678" s="304"/>
      <c r="G678" s="304"/>
      <c r="H678" s="303"/>
      <c r="I678" s="304"/>
    </row>
    <row r="679" spans="1:9" x14ac:dyDescent="0.3">
      <c r="A679" s="302"/>
      <c r="B679" s="303"/>
      <c r="C679" s="303"/>
      <c r="D679" s="304"/>
      <c r="E679" s="304"/>
      <c r="F679" s="304"/>
      <c r="G679" s="304"/>
      <c r="H679" s="303"/>
      <c r="I679" s="304"/>
    </row>
    <row r="680" spans="1:9" x14ac:dyDescent="0.3">
      <c r="A680" s="302"/>
      <c r="B680" s="303"/>
      <c r="C680" s="303"/>
      <c r="D680" s="304"/>
      <c r="E680" s="304"/>
      <c r="F680" s="304"/>
      <c r="G680" s="304"/>
      <c r="H680" s="303"/>
      <c r="I680" s="304"/>
    </row>
    <row r="681" spans="1:9" x14ac:dyDescent="0.3">
      <c r="A681" s="302"/>
      <c r="B681" s="303"/>
      <c r="C681" s="303"/>
      <c r="D681" s="304"/>
      <c r="E681" s="304"/>
      <c r="F681" s="304"/>
      <c r="G681" s="304"/>
      <c r="H681" s="303"/>
      <c r="I681" s="304"/>
    </row>
    <row r="682" spans="1:9" x14ac:dyDescent="0.3">
      <c r="A682" s="302"/>
      <c r="B682" s="303"/>
      <c r="C682" s="303"/>
      <c r="D682" s="304"/>
      <c r="E682" s="304"/>
      <c r="F682" s="304"/>
      <c r="G682" s="304"/>
      <c r="H682" s="303"/>
      <c r="I682" s="304"/>
    </row>
    <row r="683" spans="1:9" x14ac:dyDescent="0.3">
      <c r="A683" s="302"/>
      <c r="B683" s="303"/>
      <c r="C683" s="303"/>
      <c r="D683" s="304"/>
      <c r="E683" s="304"/>
      <c r="F683" s="304"/>
      <c r="G683" s="304"/>
      <c r="H683" s="303"/>
      <c r="I683" s="304"/>
    </row>
    <row r="684" spans="1:9" x14ac:dyDescent="0.3">
      <c r="A684" s="302"/>
      <c r="B684" s="303"/>
      <c r="C684" s="303"/>
      <c r="D684" s="304"/>
      <c r="E684" s="304"/>
      <c r="F684" s="304"/>
      <c r="G684" s="304"/>
      <c r="H684" s="303"/>
      <c r="I684" s="304"/>
    </row>
    <row r="685" spans="1:9" x14ac:dyDescent="0.3">
      <c r="A685" s="302"/>
      <c r="B685" s="303"/>
      <c r="C685" s="303"/>
      <c r="D685" s="304"/>
      <c r="E685" s="304"/>
      <c r="F685" s="304"/>
      <c r="G685" s="304"/>
      <c r="H685" s="303"/>
      <c r="I685" s="304"/>
    </row>
    <row r="686" spans="1:9" x14ac:dyDescent="0.3">
      <c r="A686" s="302"/>
      <c r="B686" s="303"/>
      <c r="C686" s="303"/>
      <c r="D686" s="304"/>
      <c r="E686" s="304"/>
      <c r="F686" s="304"/>
      <c r="G686" s="304"/>
      <c r="H686" s="303"/>
      <c r="I686" s="304"/>
    </row>
    <row r="687" spans="1:9" x14ac:dyDescent="0.3">
      <c r="A687" s="302"/>
      <c r="B687" s="303"/>
      <c r="C687" s="303"/>
      <c r="D687" s="304"/>
      <c r="E687" s="304"/>
      <c r="F687" s="304"/>
      <c r="G687" s="304"/>
      <c r="H687" s="303"/>
      <c r="I687" s="304"/>
    </row>
    <row r="688" spans="1:9" x14ac:dyDescent="0.3">
      <c r="A688" s="302"/>
      <c r="B688" s="303"/>
      <c r="C688" s="303"/>
      <c r="D688" s="304"/>
      <c r="E688" s="304"/>
      <c r="F688" s="304"/>
      <c r="G688" s="304"/>
      <c r="H688" s="303"/>
      <c r="I688" s="304"/>
    </row>
    <row r="689" spans="1:9" x14ac:dyDescent="0.3">
      <c r="A689" s="302"/>
      <c r="B689" s="303"/>
      <c r="C689" s="303"/>
      <c r="D689" s="304"/>
      <c r="E689" s="304"/>
      <c r="F689" s="304"/>
      <c r="G689" s="304"/>
      <c r="H689" s="303"/>
      <c r="I689" s="304"/>
    </row>
    <row r="690" spans="1:9" x14ac:dyDescent="0.3">
      <c r="A690" s="302"/>
      <c r="B690" s="303"/>
      <c r="C690" s="303"/>
      <c r="D690" s="304"/>
      <c r="E690" s="304"/>
      <c r="F690" s="304"/>
      <c r="G690" s="304"/>
      <c r="H690" s="303"/>
      <c r="I690" s="304"/>
    </row>
    <row r="691" spans="1:9" x14ac:dyDescent="0.3">
      <c r="A691" s="302"/>
      <c r="B691" s="303"/>
      <c r="C691" s="303"/>
      <c r="D691" s="304"/>
      <c r="E691" s="304"/>
      <c r="F691" s="304"/>
      <c r="G691" s="304"/>
      <c r="H691" s="303"/>
      <c r="I691" s="304"/>
    </row>
    <row r="692" spans="1:9" x14ac:dyDescent="0.3">
      <c r="A692" s="302"/>
      <c r="B692" s="303"/>
      <c r="C692" s="303"/>
      <c r="D692" s="304"/>
      <c r="E692" s="304"/>
      <c r="F692" s="304"/>
      <c r="G692" s="304"/>
      <c r="H692" s="303"/>
      <c r="I692" s="304"/>
    </row>
    <row r="693" spans="1:9" x14ac:dyDescent="0.3">
      <c r="A693" s="302"/>
      <c r="B693" s="303"/>
      <c r="C693" s="303"/>
      <c r="D693" s="304"/>
      <c r="E693" s="304"/>
      <c r="F693" s="304"/>
      <c r="G693" s="304"/>
      <c r="H693" s="303"/>
      <c r="I693" s="304"/>
    </row>
    <row r="694" spans="1:9" x14ac:dyDescent="0.3">
      <c r="A694" s="302"/>
      <c r="B694" s="303"/>
      <c r="C694" s="303"/>
      <c r="D694" s="304"/>
      <c r="E694" s="304"/>
      <c r="F694" s="304"/>
      <c r="G694" s="304"/>
      <c r="H694" s="303"/>
      <c r="I694" s="304"/>
    </row>
    <row r="695" spans="1:9" x14ac:dyDescent="0.3">
      <c r="A695" s="302"/>
      <c r="B695" s="303"/>
      <c r="C695" s="303"/>
      <c r="D695" s="304"/>
      <c r="E695" s="304"/>
      <c r="F695" s="304"/>
      <c r="G695" s="304"/>
      <c r="H695" s="303"/>
      <c r="I695" s="304"/>
    </row>
    <row r="696" spans="1:9" x14ac:dyDescent="0.3">
      <c r="A696" s="302"/>
      <c r="B696" s="303"/>
      <c r="C696" s="303"/>
      <c r="D696" s="304"/>
      <c r="E696" s="304"/>
      <c r="F696" s="304"/>
      <c r="G696" s="304"/>
      <c r="H696" s="303"/>
      <c r="I696" s="304"/>
    </row>
    <row r="697" spans="1:9" x14ac:dyDescent="0.3">
      <c r="A697" s="302"/>
      <c r="B697" s="303"/>
      <c r="C697" s="303"/>
      <c r="D697" s="304"/>
      <c r="E697" s="304"/>
      <c r="F697" s="304"/>
      <c r="G697" s="304"/>
      <c r="H697" s="303"/>
      <c r="I697" s="304"/>
    </row>
    <row r="698" spans="1:9" x14ac:dyDescent="0.3">
      <c r="A698" s="302"/>
      <c r="B698" s="303"/>
      <c r="C698" s="303"/>
      <c r="D698" s="304"/>
      <c r="E698" s="304"/>
      <c r="F698" s="304"/>
      <c r="G698" s="304"/>
      <c r="H698" s="303"/>
      <c r="I698" s="304"/>
    </row>
    <row r="699" spans="1:9" x14ac:dyDescent="0.3">
      <c r="A699" s="302"/>
      <c r="B699" s="303"/>
      <c r="C699" s="303"/>
      <c r="D699" s="304"/>
      <c r="E699" s="304"/>
      <c r="F699" s="304"/>
      <c r="G699" s="304"/>
      <c r="H699" s="303"/>
      <c r="I699" s="304"/>
    </row>
    <row r="700" spans="1:9" x14ac:dyDescent="0.3">
      <c r="A700" s="302"/>
      <c r="B700" s="303"/>
      <c r="C700" s="303"/>
      <c r="D700" s="304"/>
      <c r="E700" s="304"/>
      <c r="F700" s="304"/>
      <c r="G700" s="304"/>
      <c r="H700" s="303"/>
      <c r="I700" s="304"/>
    </row>
    <row r="701" spans="1:9" x14ac:dyDescent="0.3">
      <c r="A701" s="302"/>
      <c r="B701" s="303"/>
      <c r="C701" s="303"/>
      <c r="D701" s="304"/>
      <c r="E701" s="304"/>
      <c r="F701" s="304"/>
      <c r="G701" s="304"/>
      <c r="H701" s="303"/>
      <c r="I701" s="304"/>
    </row>
    <row r="702" spans="1:9" x14ac:dyDescent="0.3">
      <c r="A702" s="302"/>
      <c r="B702" s="303"/>
      <c r="C702" s="303"/>
      <c r="D702" s="304"/>
      <c r="E702" s="304"/>
      <c r="F702" s="304"/>
      <c r="G702" s="304"/>
      <c r="H702" s="303"/>
      <c r="I702" s="304"/>
    </row>
    <row r="703" spans="1:9" x14ac:dyDescent="0.3">
      <c r="A703" s="302"/>
      <c r="B703" s="303"/>
      <c r="C703" s="303"/>
      <c r="D703" s="304"/>
      <c r="E703" s="304"/>
      <c r="F703" s="304"/>
      <c r="G703" s="304"/>
      <c r="H703" s="303"/>
      <c r="I703" s="304"/>
    </row>
    <row r="704" spans="1:9" x14ac:dyDescent="0.3">
      <c r="A704" s="302"/>
      <c r="B704" s="303"/>
      <c r="C704" s="303"/>
      <c r="D704" s="304"/>
      <c r="E704" s="304"/>
      <c r="F704" s="304"/>
      <c r="G704" s="304"/>
      <c r="H704" s="303"/>
      <c r="I704" s="304"/>
    </row>
    <row r="705" spans="1:9" x14ac:dyDescent="0.3">
      <c r="A705" s="302"/>
      <c r="B705" s="303"/>
      <c r="C705" s="303"/>
      <c r="D705" s="304"/>
      <c r="E705" s="304"/>
      <c r="F705" s="304"/>
      <c r="G705" s="304"/>
      <c r="H705" s="303"/>
      <c r="I705" s="304"/>
    </row>
    <row r="706" spans="1:9" x14ac:dyDescent="0.3">
      <c r="A706" s="302"/>
      <c r="B706" s="303"/>
      <c r="C706" s="303"/>
      <c r="D706" s="304"/>
      <c r="E706" s="304"/>
      <c r="F706" s="304"/>
      <c r="G706" s="304"/>
      <c r="H706" s="303"/>
      <c r="I706" s="304"/>
    </row>
    <row r="707" spans="1:9" x14ac:dyDescent="0.3">
      <c r="A707" s="302"/>
      <c r="B707" s="303"/>
      <c r="C707" s="303"/>
      <c r="D707" s="304"/>
      <c r="E707" s="304"/>
      <c r="F707" s="304"/>
      <c r="G707" s="304"/>
      <c r="H707" s="303"/>
      <c r="I707" s="304"/>
    </row>
    <row r="708" spans="1:9" x14ac:dyDescent="0.3">
      <c r="A708" s="302"/>
      <c r="B708" s="303"/>
      <c r="C708" s="303"/>
      <c r="D708" s="304"/>
      <c r="E708" s="304"/>
      <c r="F708" s="304"/>
      <c r="G708" s="304"/>
      <c r="H708" s="303"/>
      <c r="I708" s="304"/>
    </row>
    <row r="709" spans="1:9" x14ac:dyDescent="0.3">
      <c r="A709" s="302"/>
      <c r="B709" s="303"/>
      <c r="C709" s="303"/>
      <c r="D709" s="304"/>
      <c r="E709" s="304"/>
      <c r="F709" s="304"/>
      <c r="G709" s="304"/>
      <c r="H709" s="303"/>
      <c r="I709" s="304"/>
    </row>
    <row r="710" spans="1:9" x14ac:dyDescent="0.3">
      <c r="A710" s="302"/>
      <c r="B710" s="303"/>
      <c r="C710" s="303"/>
      <c r="D710" s="304"/>
      <c r="E710" s="304"/>
      <c r="F710" s="304"/>
      <c r="G710" s="304"/>
      <c r="H710" s="303"/>
      <c r="I710" s="304"/>
    </row>
    <row r="711" spans="1:9" x14ac:dyDescent="0.3">
      <c r="A711" s="302"/>
      <c r="B711" s="303"/>
      <c r="C711" s="303"/>
      <c r="D711" s="304"/>
      <c r="E711" s="304"/>
      <c r="F711" s="304"/>
      <c r="G711" s="304"/>
      <c r="H711" s="303"/>
      <c r="I711" s="304"/>
    </row>
    <row r="712" spans="1:9" x14ac:dyDescent="0.3">
      <c r="A712" s="302"/>
      <c r="B712" s="303"/>
      <c r="C712" s="303"/>
      <c r="D712" s="304"/>
      <c r="E712" s="304"/>
      <c r="F712" s="304"/>
      <c r="G712" s="304"/>
      <c r="H712" s="303"/>
      <c r="I712" s="304"/>
    </row>
    <row r="713" spans="1:9" x14ac:dyDescent="0.3">
      <c r="A713" s="302"/>
      <c r="B713" s="303"/>
      <c r="C713" s="303"/>
      <c r="D713" s="304"/>
      <c r="E713" s="304"/>
      <c r="F713" s="304"/>
      <c r="G713" s="304"/>
      <c r="H713" s="303"/>
      <c r="I713" s="304"/>
    </row>
    <row r="714" spans="1:9" x14ac:dyDescent="0.3">
      <c r="A714" s="302"/>
      <c r="B714" s="303"/>
      <c r="C714" s="303"/>
      <c r="D714" s="304"/>
      <c r="E714" s="304"/>
      <c r="F714" s="304"/>
      <c r="G714" s="304"/>
      <c r="H714" s="303"/>
      <c r="I714" s="304"/>
    </row>
    <row r="715" spans="1:9" x14ac:dyDescent="0.3">
      <c r="A715" s="302"/>
      <c r="B715" s="303"/>
      <c r="C715" s="303"/>
      <c r="D715" s="304"/>
      <c r="E715" s="304"/>
      <c r="F715" s="304"/>
      <c r="G715" s="304"/>
      <c r="H715" s="303"/>
      <c r="I715" s="304"/>
    </row>
    <row r="716" spans="1:9" x14ac:dyDescent="0.3">
      <c r="A716" s="302"/>
      <c r="B716" s="303"/>
      <c r="C716" s="303"/>
      <c r="D716" s="304"/>
      <c r="E716" s="304"/>
      <c r="F716" s="304"/>
      <c r="G716" s="304"/>
      <c r="H716" s="303"/>
      <c r="I716" s="304"/>
    </row>
    <row r="717" spans="1:9" x14ac:dyDescent="0.3">
      <c r="A717" s="302"/>
      <c r="B717" s="303"/>
      <c r="C717" s="303"/>
      <c r="D717" s="304"/>
      <c r="E717" s="304"/>
      <c r="F717" s="304"/>
      <c r="G717" s="304"/>
      <c r="H717" s="303"/>
      <c r="I717" s="304"/>
    </row>
    <row r="718" spans="1:9" x14ac:dyDescent="0.3">
      <c r="A718" s="302"/>
      <c r="B718" s="303"/>
      <c r="C718" s="303"/>
      <c r="D718" s="304"/>
      <c r="E718" s="304"/>
      <c r="F718" s="304"/>
      <c r="G718" s="304"/>
      <c r="H718" s="303"/>
      <c r="I718" s="304"/>
    </row>
    <row r="719" spans="1:9" x14ac:dyDescent="0.3">
      <c r="A719" s="302"/>
      <c r="B719" s="303"/>
      <c r="C719" s="303"/>
      <c r="D719" s="304"/>
      <c r="E719" s="304"/>
      <c r="F719" s="304"/>
      <c r="G719" s="304"/>
      <c r="H719" s="303"/>
      <c r="I719" s="304"/>
    </row>
    <row r="720" spans="1:9" x14ac:dyDescent="0.3">
      <c r="A720" s="302"/>
      <c r="B720" s="303"/>
      <c r="C720" s="303"/>
      <c r="D720" s="304"/>
      <c r="E720" s="304"/>
      <c r="F720" s="304"/>
      <c r="G720" s="304"/>
      <c r="H720" s="303"/>
      <c r="I720" s="304"/>
    </row>
    <row r="721" spans="1:9" x14ac:dyDescent="0.3">
      <c r="A721" s="302"/>
      <c r="B721" s="303"/>
      <c r="C721" s="303"/>
      <c r="D721" s="304"/>
      <c r="E721" s="304"/>
      <c r="F721" s="304"/>
      <c r="G721" s="304"/>
      <c r="H721" s="303"/>
      <c r="I721" s="304"/>
    </row>
    <row r="722" spans="1:9" x14ac:dyDescent="0.3">
      <c r="A722" s="302"/>
      <c r="B722" s="303"/>
      <c r="C722" s="303"/>
      <c r="D722" s="304"/>
      <c r="E722" s="304"/>
      <c r="F722" s="304"/>
      <c r="G722" s="304"/>
      <c r="H722" s="303"/>
      <c r="I722" s="304"/>
    </row>
    <row r="723" spans="1:9" x14ac:dyDescent="0.3">
      <c r="A723" s="302"/>
      <c r="B723" s="303"/>
      <c r="C723" s="303"/>
      <c r="D723" s="304"/>
      <c r="E723" s="304"/>
      <c r="F723" s="304"/>
      <c r="G723" s="304"/>
      <c r="H723" s="303"/>
      <c r="I723" s="304"/>
    </row>
    <row r="724" spans="1:9" x14ac:dyDescent="0.3">
      <c r="A724" s="302"/>
      <c r="B724" s="303"/>
      <c r="C724" s="303"/>
      <c r="D724" s="304"/>
      <c r="E724" s="304"/>
      <c r="F724" s="304"/>
      <c r="G724" s="304"/>
      <c r="H724" s="303"/>
      <c r="I724" s="304"/>
    </row>
    <row r="725" spans="1:9" x14ac:dyDescent="0.3">
      <c r="A725" s="302"/>
      <c r="B725" s="303"/>
      <c r="C725" s="303"/>
      <c r="D725" s="304"/>
      <c r="E725" s="304"/>
      <c r="F725" s="304"/>
      <c r="G725" s="304"/>
      <c r="H725" s="303"/>
      <c r="I725" s="304"/>
    </row>
    <row r="726" spans="1:9" x14ac:dyDescent="0.3">
      <c r="A726" s="302"/>
      <c r="B726" s="303"/>
      <c r="C726" s="303"/>
      <c r="D726" s="304"/>
      <c r="E726" s="304"/>
      <c r="F726" s="304"/>
      <c r="G726" s="304"/>
      <c r="H726" s="303"/>
      <c r="I726" s="304"/>
    </row>
    <row r="727" spans="1:9" x14ac:dyDescent="0.3">
      <c r="A727" s="302"/>
      <c r="B727" s="303"/>
      <c r="C727" s="303"/>
      <c r="D727" s="304"/>
      <c r="E727" s="304"/>
      <c r="F727" s="304"/>
      <c r="G727" s="304"/>
      <c r="H727" s="303"/>
      <c r="I727" s="304"/>
    </row>
    <row r="728" spans="1:9" x14ac:dyDescent="0.3">
      <c r="A728" s="302"/>
      <c r="B728" s="303"/>
      <c r="C728" s="303"/>
      <c r="D728" s="304"/>
      <c r="E728" s="304"/>
      <c r="F728" s="304"/>
      <c r="G728" s="304"/>
      <c r="H728" s="303"/>
      <c r="I728" s="304"/>
    </row>
    <row r="729" spans="1:9" x14ac:dyDescent="0.3">
      <c r="A729" s="302"/>
      <c r="B729" s="303"/>
      <c r="C729" s="303"/>
      <c r="D729" s="304"/>
      <c r="E729" s="304"/>
      <c r="F729" s="304"/>
      <c r="G729" s="304"/>
      <c r="H729" s="303"/>
      <c r="I729" s="304"/>
    </row>
    <row r="730" spans="1:9" x14ac:dyDescent="0.3">
      <c r="A730" s="302"/>
      <c r="B730" s="303"/>
      <c r="C730" s="303"/>
      <c r="D730" s="304"/>
      <c r="E730" s="304"/>
      <c r="F730" s="304"/>
      <c r="G730" s="304"/>
      <c r="H730" s="303"/>
      <c r="I730" s="304"/>
    </row>
    <row r="731" spans="1:9" x14ac:dyDescent="0.3">
      <c r="A731" s="302"/>
      <c r="B731" s="303"/>
      <c r="C731" s="303"/>
      <c r="D731" s="304"/>
      <c r="E731" s="304"/>
      <c r="F731" s="304"/>
      <c r="G731" s="304"/>
      <c r="H731" s="303"/>
      <c r="I731" s="304"/>
    </row>
    <row r="732" spans="1:9" x14ac:dyDescent="0.3">
      <c r="A732" s="302"/>
      <c r="B732" s="303"/>
      <c r="C732" s="303"/>
      <c r="D732" s="304"/>
      <c r="E732" s="304"/>
      <c r="F732" s="304"/>
      <c r="G732" s="304"/>
      <c r="H732" s="303"/>
      <c r="I732" s="304"/>
    </row>
    <row r="733" spans="1:9" x14ac:dyDescent="0.3">
      <c r="A733" s="302"/>
      <c r="B733" s="303"/>
      <c r="C733" s="303"/>
      <c r="D733" s="304"/>
      <c r="E733" s="304"/>
      <c r="F733" s="304"/>
      <c r="G733" s="304"/>
      <c r="H733" s="303"/>
      <c r="I733" s="304"/>
    </row>
    <row r="734" spans="1:9" x14ac:dyDescent="0.3">
      <c r="A734" s="302"/>
      <c r="B734" s="303"/>
      <c r="C734" s="303"/>
      <c r="D734" s="304"/>
      <c r="E734" s="304"/>
      <c r="F734" s="304"/>
      <c r="G734" s="304"/>
      <c r="H734" s="303"/>
      <c r="I734" s="304"/>
    </row>
    <row r="735" spans="1:9" x14ac:dyDescent="0.3">
      <c r="A735" s="302"/>
      <c r="B735" s="303"/>
      <c r="C735" s="303"/>
      <c r="D735" s="304"/>
      <c r="E735" s="304"/>
      <c r="F735" s="304"/>
      <c r="G735" s="304"/>
      <c r="H735" s="303"/>
      <c r="I735" s="304"/>
    </row>
    <row r="736" spans="1:9" x14ac:dyDescent="0.3">
      <c r="A736" s="302"/>
      <c r="B736" s="303"/>
      <c r="C736" s="303"/>
      <c r="D736" s="304"/>
      <c r="E736" s="304"/>
      <c r="F736" s="304"/>
      <c r="G736" s="304"/>
      <c r="H736" s="303"/>
      <c r="I736" s="304"/>
    </row>
    <row r="737" spans="1:9" x14ac:dyDescent="0.3">
      <c r="A737" s="302"/>
      <c r="B737" s="303"/>
      <c r="C737" s="303"/>
      <c r="D737" s="304"/>
      <c r="E737" s="304"/>
      <c r="F737" s="304"/>
      <c r="G737" s="304"/>
      <c r="H737" s="303"/>
      <c r="I737" s="304"/>
    </row>
    <row r="738" spans="1:9" x14ac:dyDescent="0.3">
      <c r="A738" s="302"/>
      <c r="B738" s="303"/>
      <c r="C738" s="303"/>
      <c r="D738" s="304"/>
      <c r="E738" s="304"/>
      <c r="F738" s="304"/>
      <c r="G738" s="304"/>
      <c r="H738" s="303"/>
      <c r="I738" s="304"/>
    </row>
    <row r="739" spans="1:9" x14ac:dyDescent="0.3">
      <c r="A739" s="302"/>
      <c r="B739" s="303"/>
      <c r="C739" s="303"/>
      <c r="D739" s="304"/>
      <c r="E739" s="304"/>
      <c r="F739" s="304"/>
      <c r="G739" s="304"/>
      <c r="H739" s="303"/>
      <c r="I739" s="304"/>
    </row>
    <row r="740" spans="1:9" x14ac:dyDescent="0.3">
      <c r="A740" s="302"/>
      <c r="B740" s="303"/>
      <c r="C740" s="303"/>
      <c r="D740" s="304"/>
      <c r="E740" s="304"/>
      <c r="F740" s="304"/>
      <c r="G740" s="304"/>
      <c r="H740" s="303"/>
      <c r="I740" s="304"/>
    </row>
    <row r="741" spans="1:9" x14ac:dyDescent="0.3">
      <c r="A741" s="302"/>
      <c r="B741" s="303"/>
      <c r="C741" s="303"/>
      <c r="D741" s="304"/>
      <c r="E741" s="304"/>
      <c r="F741" s="304"/>
      <c r="G741" s="304"/>
      <c r="H741" s="303"/>
      <c r="I741" s="304"/>
    </row>
    <row r="742" spans="1:9" x14ac:dyDescent="0.3">
      <c r="A742" s="302"/>
      <c r="B742" s="303"/>
      <c r="C742" s="303"/>
      <c r="D742" s="304"/>
      <c r="E742" s="304"/>
      <c r="F742" s="304"/>
      <c r="G742" s="304"/>
      <c r="H742" s="303"/>
      <c r="I742" s="304"/>
    </row>
    <row r="743" spans="1:9" x14ac:dyDescent="0.3">
      <c r="A743" s="302"/>
      <c r="B743" s="303"/>
      <c r="C743" s="303"/>
      <c r="D743" s="304"/>
      <c r="E743" s="304"/>
      <c r="F743" s="304"/>
      <c r="G743" s="304"/>
      <c r="H743" s="303"/>
      <c r="I743" s="304"/>
    </row>
    <row r="744" spans="1:9" x14ac:dyDescent="0.3">
      <c r="A744" s="302"/>
      <c r="B744" s="303"/>
      <c r="C744" s="303"/>
      <c r="D744" s="304"/>
      <c r="E744" s="304"/>
      <c r="F744" s="304"/>
      <c r="G744" s="304"/>
      <c r="H744" s="303"/>
      <c r="I744" s="304"/>
    </row>
    <row r="745" spans="1:9" x14ac:dyDescent="0.3">
      <c r="A745" s="302"/>
      <c r="B745" s="303"/>
      <c r="C745" s="303"/>
      <c r="D745" s="304"/>
      <c r="E745" s="304"/>
      <c r="F745" s="304"/>
      <c r="G745" s="304"/>
      <c r="H745" s="303"/>
      <c r="I745" s="304"/>
    </row>
    <row r="746" spans="1:9" x14ac:dyDescent="0.3">
      <c r="A746" s="302"/>
      <c r="B746" s="303"/>
      <c r="C746" s="303"/>
      <c r="D746" s="304"/>
      <c r="E746" s="304"/>
      <c r="F746" s="304"/>
      <c r="G746" s="304"/>
      <c r="H746" s="303"/>
      <c r="I746" s="304"/>
    </row>
    <row r="747" spans="1:9" x14ac:dyDescent="0.3">
      <c r="A747" s="302"/>
      <c r="B747" s="303"/>
      <c r="C747" s="303"/>
      <c r="D747" s="304"/>
      <c r="E747" s="304"/>
      <c r="F747" s="304"/>
      <c r="G747" s="304"/>
      <c r="H747" s="303"/>
      <c r="I747" s="304"/>
    </row>
    <row r="748" spans="1:9" x14ac:dyDescent="0.3">
      <c r="A748" s="302"/>
      <c r="B748" s="303"/>
      <c r="C748" s="303"/>
      <c r="D748" s="304"/>
      <c r="E748" s="304"/>
      <c r="F748" s="304"/>
      <c r="G748" s="304"/>
      <c r="H748" s="303"/>
      <c r="I748" s="304"/>
    </row>
    <row r="749" spans="1:9" x14ac:dyDescent="0.3">
      <c r="A749" s="302"/>
      <c r="B749" s="303"/>
      <c r="C749" s="303"/>
      <c r="D749" s="304"/>
      <c r="E749" s="304"/>
      <c r="F749" s="304"/>
      <c r="G749" s="304"/>
      <c r="H749" s="303"/>
      <c r="I749" s="304"/>
    </row>
    <row r="750" spans="1:9" x14ac:dyDescent="0.3">
      <c r="A750" s="302"/>
      <c r="B750" s="303"/>
      <c r="C750" s="303"/>
      <c r="D750" s="304"/>
      <c r="E750" s="304"/>
      <c r="F750" s="304"/>
      <c r="G750" s="304"/>
      <c r="H750" s="303"/>
      <c r="I750" s="304"/>
    </row>
    <row r="751" spans="1:9" x14ac:dyDescent="0.3">
      <c r="A751" s="302"/>
      <c r="B751" s="303"/>
      <c r="C751" s="303"/>
      <c r="D751" s="304"/>
      <c r="E751" s="304"/>
      <c r="F751" s="304"/>
      <c r="G751" s="304"/>
      <c r="H751" s="303"/>
      <c r="I751" s="304"/>
    </row>
    <row r="752" spans="1:9" x14ac:dyDescent="0.3">
      <c r="A752" s="302"/>
      <c r="B752" s="303"/>
      <c r="C752" s="303"/>
      <c r="D752" s="304"/>
      <c r="E752" s="304"/>
      <c r="F752" s="304"/>
      <c r="G752" s="304"/>
      <c r="H752" s="303"/>
      <c r="I752" s="304"/>
    </row>
    <row r="753" spans="1:9" x14ac:dyDescent="0.3">
      <c r="A753" s="302"/>
      <c r="B753" s="303"/>
      <c r="C753" s="303"/>
      <c r="D753" s="304"/>
      <c r="E753" s="304"/>
      <c r="F753" s="304"/>
      <c r="G753" s="304"/>
      <c r="H753" s="303"/>
      <c r="I753" s="304"/>
    </row>
    <row r="754" spans="1:9" x14ac:dyDescent="0.3">
      <c r="A754" s="302"/>
      <c r="B754" s="303"/>
      <c r="C754" s="303"/>
      <c r="D754" s="304"/>
      <c r="E754" s="304"/>
      <c r="F754" s="304"/>
      <c r="G754" s="304"/>
      <c r="H754" s="303"/>
      <c r="I754" s="304"/>
    </row>
    <row r="755" spans="1:9" x14ac:dyDescent="0.3">
      <c r="A755" s="302"/>
      <c r="B755" s="303"/>
      <c r="C755" s="303"/>
      <c r="D755" s="304"/>
      <c r="E755" s="304"/>
      <c r="F755" s="304"/>
      <c r="G755" s="304"/>
      <c r="H755" s="303"/>
      <c r="I755" s="304"/>
    </row>
    <row r="756" spans="1:9" x14ac:dyDescent="0.3">
      <c r="A756" s="302"/>
      <c r="B756" s="303"/>
      <c r="C756" s="303"/>
      <c r="D756" s="304"/>
      <c r="E756" s="304"/>
      <c r="F756" s="304"/>
      <c r="G756" s="304"/>
      <c r="H756" s="303"/>
      <c r="I756" s="304"/>
    </row>
    <row r="757" spans="1:9" x14ac:dyDescent="0.3">
      <c r="A757" s="302"/>
      <c r="B757" s="303"/>
      <c r="C757" s="303"/>
      <c r="D757" s="304"/>
      <c r="E757" s="304"/>
      <c r="F757" s="304"/>
      <c r="G757" s="304"/>
      <c r="H757" s="303"/>
      <c r="I757" s="304"/>
    </row>
    <row r="758" spans="1:9" x14ac:dyDescent="0.3">
      <c r="A758" s="302"/>
      <c r="B758" s="303"/>
      <c r="C758" s="303"/>
      <c r="D758" s="304"/>
      <c r="E758" s="304"/>
      <c r="F758" s="304"/>
      <c r="G758" s="304"/>
      <c r="H758" s="303"/>
      <c r="I758" s="304"/>
    </row>
    <row r="759" spans="1:9" x14ac:dyDescent="0.3">
      <c r="A759" s="302"/>
      <c r="B759" s="303"/>
      <c r="C759" s="303"/>
      <c r="D759" s="304"/>
      <c r="E759" s="304"/>
      <c r="F759" s="304"/>
      <c r="G759" s="304"/>
      <c r="H759" s="303"/>
      <c r="I759" s="304"/>
    </row>
    <row r="760" spans="1:9" x14ac:dyDescent="0.3">
      <c r="A760" s="302"/>
      <c r="B760" s="303"/>
      <c r="C760" s="303"/>
      <c r="D760" s="304"/>
      <c r="E760" s="304"/>
      <c r="F760" s="304"/>
      <c r="G760" s="304"/>
      <c r="H760" s="303"/>
      <c r="I760" s="304"/>
    </row>
    <row r="761" spans="1:9" x14ac:dyDescent="0.3">
      <c r="A761" s="302"/>
      <c r="B761" s="303"/>
      <c r="C761" s="303"/>
      <c r="D761" s="304"/>
      <c r="E761" s="304"/>
      <c r="F761" s="304"/>
      <c r="G761" s="304"/>
      <c r="H761" s="303"/>
      <c r="I761" s="304"/>
    </row>
    <row r="762" spans="1:9" x14ac:dyDescent="0.3">
      <c r="A762" s="302"/>
      <c r="B762" s="303"/>
      <c r="C762" s="303"/>
      <c r="D762" s="304"/>
      <c r="E762" s="304"/>
      <c r="F762" s="304"/>
      <c r="G762" s="304"/>
      <c r="H762" s="303"/>
      <c r="I762" s="304"/>
    </row>
    <row r="763" spans="1:9" x14ac:dyDescent="0.3">
      <c r="A763" s="302"/>
      <c r="B763" s="303"/>
      <c r="C763" s="303"/>
      <c r="D763" s="304"/>
      <c r="E763" s="304"/>
      <c r="F763" s="304"/>
      <c r="G763" s="304"/>
      <c r="H763" s="303"/>
      <c r="I763" s="304"/>
    </row>
    <row r="764" spans="1:9" x14ac:dyDescent="0.3">
      <c r="A764" s="302"/>
      <c r="B764" s="303"/>
      <c r="C764" s="303"/>
      <c r="D764" s="304"/>
      <c r="E764" s="304"/>
      <c r="F764" s="304"/>
      <c r="G764" s="304"/>
      <c r="H764" s="303"/>
      <c r="I764" s="304"/>
    </row>
    <row r="765" spans="1:9" x14ac:dyDescent="0.3">
      <c r="A765" s="302"/>
      <c r="B765" s="303"/>
      <c r="C765" s="303"/>
      <c r="D765" s="304"/>
      <c r="E765" s="304"/>
      <c r="F765" s="304"/>
      <c r="G765" s="304"/>
      <c r="H765" s="303"/>
      <c r="I765" s="304"/>
    </row>
    <row r="766" spans="1:9" x14ac:dyDescent="0.3">
      <c r="A766" s="302"/>
      <c r="B766" s="303"/>
      <c r="C766" s="303"/>
      <c r="D766" s="304"/>
      <c r="E766" s="304"/>
      <c r="F766" s="304"/>
      <c r="G766" s="304"/>
      <c r="H766" s="303"/>
      <c r="I766" s="304"/>
    </row>
    <row r="767" spans="1:9" x14ac:dyDescent="0.3">
      <c r="A767" s="302"/>
      <c r="B767" s="303"/>
      <c r="C767" s="303"/>
      <c r="D767" s="304"/>
      <c r="E767" s="304"/>
      <c r="F767" s="304"/>
      <c r="G767" s="304"/>
      <c r="H767" s="303"/>
      <c r="I767" s="304"/>
    </row>
    <row r="768" spans="1:9" x14ac:dyDescent="0.3">
      <c r="A768" s="302"/>
      <c r="B768" s="303"/>
      <c r="C768" s="303"/>
      <c r="D768" s="304"/>
      <c r="E768" s="304"/>
      <c r="F768" s="304"/>
      <c r="G768" s="304"/>
      <c r="H768" s="303"/>
      <c r="I768" s="304"/>
    </row>
    <row r="769" spans="1:9" x14ac:dyDescent="0.3">
      <c r="A769" s="302"/>
      <c r="B769" s="303"/>
      <c r="C769" s="303"/>
      <c r="D769" s="304"/>
      <c r="E769" s="304"/>
      <c r="F769" s="304"/>
      <c r="G769" s="304"/>
      <c r="H769" s="303"/>
      <c r="I769" s="304"/>
    </row>
    <row r="770" spans="1:9" x14ac:dyDescent="0.3">
      <c r="A770" s="302"/>
      <c r="B770" s="303"/>
      <c r="C770" s="303"/>
      <c r="D770" s="304"/>
      <c r="E770" s="304"/>
      <c r="F770" s="304"/>
      <c r="G770" s="304"/>
      <c r="H770" s="303"/>
      <c r="I770" s="304"/>
    </row>
    <row r="771" spans="1:9" x14ac:dyDescent="0.3">
      <c r="A771" s="302"/>
      <c r="B771" s="303"/>
      <c r="C771" s="303"/>
      <c r="D771" s="304"/>
      <c r="E771" s="304"/>
      <c r="F771" s="304"/>
      <c r="G771" s="304"/>
      <c r="H771" s="303"/>
      <c r="I771" s="304"/>
    </row>
    <row r="772" spans="1:9" x14ac:dyDescent="0.3">
      <c r="A772" s="302"/>
      <c r="B772" s="303"/>
      <c r="C772" s="303"/>
      <c r="D772" s="304"/>
      <c r="E772" s="304"/>
      <c r="F772" s="304"/>
      <c r="G772" s="304"/>
      <c r="H772" s="303"/>
      <c r="I772" s="304"/>
    </row>
    <row r="773" spans="1:9" x14ac:dyDescent="0.3">
      <c r="A773" s="302"/>
      <c r="B773" s="303"/>
      <c r="C773" s="303"/>
      <c r="D773" s="304"/>
      <c r="E773" s="304"/>
      <c r="F773" s="304"/>
      <c r="G773" s="304"/>
      <c r="H773" s="303"/>
      <c r="I773" s="304"/>
    </row>
    <row r="774" spans="1:9" x14ac:dyDescent="0.3">
      <c r="A774" s="302"/>
      <c r="B774" s="303"/>
      <c r="C774" s="303"/>
      <c r="D774" s="304"/>
      <c r="E774" s="304"/>
      <c r="F774" s="304"/>
      <c r="G774" s="304"/>
      <c r="H774" s="303"/>
      <c r="I774" s="304"/>
    </row>
    <row r="775" spans="1:9" x14ac:dyDescent="0.3">
      <c r="A775" s="302"/>
      <c r="B775" s="303"/>
      <c r="C775" s="303"/>
      <c r="D775" s="304"/>
      <c r="E775" s="304"/>
      <c r="F775" s="304"/>
      <c r="G775" s="304"/>
      <c r="H775" s="303"/>
      <c r="I775" s="304"/>
    </row>
    <row r="776" spans="1:9" x14ac:dyDescent="0.3">
      <c r="A776" s="302"/>
      <c r="B776" s="303"/>
      <c r="C776" s="303"/>
      <c r="D776" s="304"/>
      <c r="E776" s="304"/>
      <c r="F776" s="304"/>
      <c r="G776" s="304"/>
      <c r="H776" s="303"/>
      <c r="I776" s="304"/>
    </row>
    <row r="777" spans="1:9" x14ac:dyDescent="0.3">
      <c r="A777" s="302"/>
      <c r="B777" s="303"/>
      <c r="C777" s="303"/>
      <c r="D777" s="304"/>
      <c r="E777" s="304"/>
      <c r="F777" s="304"/>
      <c r="G777" s="304"/>
      <c r="H777" s="303"/>
      <c r="I777" s="304"/>
    </row>
    <row r="778" spans="1:9" x14ac:dyDescent="0.3">
      <c r="A778" s="302"/>
      <c r="B778" s="303"/>
      <c r="C778" s="303"/>
      <c r="D778" s="304"/>
      <c r="E778" s="304"/>
      <c r="F778" s="304"/>
      <c r="G778" s="304"/>
      <c r="H778" s="303"/>
      <c r="I778" s="304"/>
    </row>
    <row r="779" spans="1:9" x14ac:dyDescent="0.3">
      <c r="A779" s="302"/>
      <c r="B779" s="303"/>
      <c r="C779" s="303"/>
      <c r="D779" s="304"/>
      <c r="E779" s="304"/>
      <c r="F779" s="304"/>
      <c r="G779" s="304"/>
      <c r="H779" s="303"/>
      <c r="I779" s="304"/>
    </row>
    <row r="780" spans="1:9" x14ac:dyDescent="0.3">
      <c r="A780" s="302"/>
      <c r="B780" s="303"/>
      <c r="C780" s="303"/>
      <c r="D780" s="304"/>
      <c r="E780" s="304"/>
      <c r="F780" s="304"/>
      <c r="G780" s="304"/>
      <c r="H780" s="303"/>
      <c r="I780" s="304"/>
    </row>
    <row r="781" spans="1:9" x14ac:dyDescent="0.3">
      <c r="A781" s="302"/>
      <c r="B781" s="303"/>
      <c r="C781" s="303"/>
      <c r="D781" s="304"/>
      <c r="E781" s="304"/>
      <c r="F781" s="304"/>
      <c r="G781" s="304"/>
      <c r="H781" s="303"/>
      <c r="I781" s="304"/>
    </row>
    <row r="782" spans="1:9" x14ac:dyDescent="0.3">
      <c r="A782" s="302"/>
      <c r="B782" s="303"/>
      <c r="C782" s="303"/>
      <c r="D782" s="304"/>
      <c r="E782" s="304"/>
      <c r="F782" s="304"/>
      <c r="G782" s="304"/>
      <c r="H782" s="303"/>
      <c r="I782" s="304"/>
    </row>
    <row r="783" spans="1:9" x14ac:dyDescent="0.3">
      <c r="A783" s="302"/>
      <c r="B783" s="303"/>
      <c r="C783" s="303"/>
      <c r="D783" s="304"/>
      <c r="E783" s="304"/>
      <c r="F783" s="304"/>
      <c r="G783" s="304"/>
      <c r="H783" s="303"/>
      <c r="I783" s="304"/>
    </row>
    <row r="784" spans="1:9" x14ac:dyDescent="0.3">
      <c r="A784" s="302"/>
      <c r="B784" s="303"/>
      <c r="C784" s="303"/>
      <c r="D784" s="304"/>
      <c r="E784" s="304"/>
      <c r="F784" s="304"/>
      <c r="G784" s="304"/>
      <c r="H784" s="303"/>
      <c r="I784" s="304"/>
    </row>
    <row r="785" spans="1:9" x14ac:dyDescent="0.3">
      <c r="A785" s="302"/>
      <c r="B785" s="303"/>
      <c r="C785" s="303"/>
      <c r="D785" s="304"/>
      <c r="E785" s="304"/>
      <c r="F785" s="304"/>
      <c r="G785" s="304"/>
      <c r="H785" s="303"/>
      <c r="I785" s="304"/>
    </row>
    <row r="786" spans="1:9" x14ac:dyDescent="0.3">
      <c r="A786" s="302"/>
      <c r="B786" s="303"/>
      <c r="C786" s="303"/>
      <c r="D786" s="304"/>
      <c r="E786" s="304"/>
      <c r="F786" s="304"/>
      <c r="G786" s="304"/>
      <c r="H786" s="303"/>
      <c r="I786" s="304"/>
    </row>
    <row r="787" spans="1:9" x14ac:dyDescent="0.3">
      <c r="A787" s="302"/>
      <c r="B787" s="303"/>
      <c r="C787" s="303"/>
      <c r="D787" s="304"/>
      <c r="E787" s="304"/>
      <c r="F787" s="304"/>
      <c r="G787" s="304"/>
      <c r="H787" s="303"/>
      <c r="I787" s="304"/>
    </row>
    <row r="788" spans="1:9" x14ac:dyDescent="0.3">
      <c r="A788" s="302"/>
      <c r="B788" s="303"/>
      <c r="C788" s="303"/>
      <c r="D788" s="304"/>
      <c r="E788" s="304"/>
      <c r="F788" s="304"/>
      <c r="G788" s="304"/>
      <c r="H788" s="303"/>
      <c r="I788" s="304"/>
    </row>
    <row r="789" spans="1:9" x14ac:dyDescent="0.3">
      <c r="A789" s="302"/>
      <c r="B789" s="303"/>
      <c r="C789" s="303"/>
      <c r="D789" s="304"/>
      <c r="E789" s="304"/>
      <c r="F789" s="304"/>
      <c r="G789" s="304"/>
      <c r="H789" s="303"/>
      <c r="I789" s="304"/>
    </row>
    <row r="790" spans="1:9" x14ac:dyDescent="0.3">
      <c r="A790" s="302"/>
      <c r="B790" s="303"/>
      <c r="C790" s="303"/>
      <c r="D790" s="304"/>
      <c r="E790" s="304"/>
      <c r="F790" s="304"/>
      <c r="G790" s="304"/>
      <c r="H790" s="303"/>
      <c r="I790" s="304"/>
    </row>
    <row r="791" spans="1:9" x14ac:dyDescent="0.3">
      <c r="A791" s="302"/>
      <c r="B791" s="303"/>
      <c r="C791" s="303"/>
      <c r="D791" s="304"/>
      <c r="E791" s="304"/>
      <c r="F791" s="304"/>
      <c r="G791" s="304"/>
      <c r="H791" s="303"/>
      <c r="I791" s="304"/>
    </row>
    <row r="792" spans="1:9" x14ac:dyDescent="0.3">
      <c r="A792" s="302"/>
      <c r="B792" s="303"/>
      <c r="C792" s="303"/>
      <c r="D792" s="304"/>
      <c r="E792" s="304"/>
      <c r="F792" s="304"/>
      <c r="G792" s="304"/>
      <c r="H792" s="303"/>
      <c r="I792" s="304"/>
    </row>
    <row r="793" spans="1:9" x14ac:dyDescent="0.3">
      <c r="A793" s="302"/>
      <c r="B793" s="303"/>
      <c r="C793" s="303"/>
      <c r="D793" s="304"/>
      <c r="E793" s="304"/>
      <c r="F793" s="304"/>
      <c r="G793" s="304"/>
      <c r="H793" s="303"/>
      <c r="I793" s="304"/>
    </row>
    <row r="794" spans="1:9" x14ac:dyDescent="0.3">
      <c r="A794" s="302"/>
      <c r="B794" s="303"/>
      <c r="C794" s="303"/>
      <c r="D794" s="304"/>
      <c r="E794" s="304"/>
      <c r="F794" s="304"/>
      <c r="G794" s="304"/>
      <c r="H794" s="303"/>
      <c r="I794" s="304"/>
    </row>
    <row r="795" spans="1:9" x14ac:dyDescent="0.3">
      <c r="A795" s="302"/>
      <c r="B795" s="303"/>
      <c r="C795" s="303"/>
      <c r="D795" s="304"/>
      <c r="E795" s="304"/>
      <c r="F795" s="304"/>
      <c r="G795" s="304"/>
      <c r="H795" s="303"/>
      <c r="I795" s="304"/>
    </row>
    <row r="796" spans="1:9" x14ac:dyDescent="0.3">
      <c r="A796" s="302"/>
      <c r="B796" s="303"/>
      <c r="C796" s="303"/>
      <c r="D796" s="304"/>
      <c r="E796" s="304"/>
      <c r="F796" s="304"/>
      <c r="G796" s="304"/>
      <c r="H796" s="303"/>
      <c r="I796" s="304"/>
    </row>
    <row r="797" spans="1:9" x14ac:dyDescent="0.3">
      <c r="A797" s="302"/>
      <c r="B797" s="303"/>
      <c r="C797" s="303"/>
      <c r="D797" s="304"/>
      <c r="E797" s="304"/>
      <c r="F797" s="304"/>
      <c r="G797" s="304"/>
      <c r="H797" s="303"/>
      <c r="I797" s="304"/>
    </row>
    <row r="798" spans="1:9" x14ac:dyDescent="0.3">
      <c r="A798" s="302"/>
      <c r="B798" s="303"/>
      <c r="C798" s="303"/>
      <c r="D798" s="304"/>
      <c r="E798" s="304"/>
      <c r="F798" s="304"/>
      <c r="G798" s="304"/>
      <c r="H798" s="303"/>
      <c r="I798" s="304"/>
    </row>
    <row r="799" spans="1:9" x14ac:dyDescent="0.3">
      <c r="A799" s="302"/>
      <c r="B799" s="303"/>
      <c r="C799" s="303"/>
      <c r="D799" s="304"/>
      <c r="E799" s="304"/>
      <c r="F799" s="304"/>
      <c r="G799" s="304"/>
      <c r="H799" s="303"/>
      <c r="I799" s="304"/>
    </row>
    <row r="800" spans="1:9" x14ac:dyDescent="0.3">
      <c r="A800" s="302"/>
      <c r="B800" s="303"/>
      <c r="C800" s="303"/>
      <c r="D800" s="304"/>
      <c r="E800" s="304"/>
      <c r="F800" s="304"/>
      <c r="G800" s="304"/>
      <c r="H800" s="303"/>
      <c r="I800" s="304"/>
    </row>
    <row r="801" spans="1:9" x14ac:dyDescent="0.3">
      <c r="A801" s="302"/>
      <c r="B801" s="303"/>
      <c r="C801" s="303"/>
      <c r="D801" s="304"/>
      <c r="E801" s="304"/>
      <c r="F801" s="304"/>
      <c r="G801" s="304"/>
      <c r="H801" s="303"/>
      <c r="I801" s="304"/>
    </row>
    <row r="802" spans="1:9" x14ac:dyDescent="0.3">
      <c r="A802" s="302"/>
      <c r="B802" s="303"/>
      <c r="C802" s="303"/>
      <c r="D802" s="304"/>
      <c r="E802" s="304"/>
      <c r="F802" s="304"/>
      <c r="G802" s="304"/>
      <c r="H802" s="303"/>
      <c r="I802" s="304"/>
    </row>
    <row r="803" spans="1:9" x14ac:dyDescent="0.3">
      <c r="A803" s="302"/>
      <c r="B803" s="303"/>
      <c r="C803" s="303"/>
      <c r="D803" s="304"/>
      <c r="E803" s="304"/>
      <c r="F803" s="304"/>
      <c r="G803" s="304"/>
      <c r="H803" s="303"/>
      <c r="I803" s="304"/>
    </row>
    <row r="804" spans="1:9" x14ac:dyDescent="0.3">
      <c r="A804" s="302"/>
      <c r="B804" s="303"/>
      <c r="C804" s="303"/>
      <c r="D804" s="304"/>
      <c r="E804" s="304"/>
      <c r="F804" s="304"/>
      <c r="G804" s="304"/>
      <c r="H804" s="303"/>
      <c r="I804" s="304"/>
    </row>
    <row r="805" spans="1:9" x14ac:dyDescent="0.3">
      <c r="A805" s="302"/>
      <c r="B805" s="303"/>
      <c r="C805" s="303"/>
      <c r="D805" s="304"/>
      <c r="E805" s="304"/>
      <c r="F805" s="304"/>
      <c r="G805" s="304"/>
      <c r="H805" s="303"/>
      <c r="I805" s="304"/>
    </row>
    <row r="806" spans="1:9" x14ac:dyDescent="0.3">
      <c r="A806" s="302"/>
      <c r="B806" s="303"/>
      <c r="C806" s="303"/>
      <c r="D806" s="304"/>
      <c r="E806" s="304"/>
      <c r="F806" s="304"/>
      <c r="G806" s="304"/>
      <c r="H806" s="303"/>
      <c r="I806" s="304"/>
    </row>
    <row r="807" spans="1:9" x14ac:dyDescent="0.3">
      <c r="A807" s="302"/>
      <c r="B807" s="303"/>
      <c r="C807" s="303"/>
      <c r="D807" s="304"/>
      <c r="E807" s="304"/>
      <c r="F807" s="304"/>
      <c r="G807" s="304"/>
      <c r="H807" s="303"/>
      <c r="I807" s="304"/>
    </row>
    <row r="808" spans="1:9" x14ac:dyDescent="0.3">
      <c r="A808" s="302"/>
      <c r="B808" s="303"/>
      <c r="C808" s="303"/>
      <c r="D808" s="304"/>
      <c r="E808" s="304"/>
      <c r="F808" s="304"/>
      <c r="G808" s="304"/>
      <c r="H808" s="303"/>
      <c r="I808" s="304"/>
    </row>
    <row r="809" spans="1:9" x14ac:dyDescent="0.3">
      <c r="A809" s="302"/>
      <c r="B809" s="303"/>
      <c r="C809" s="303"/>
      <c r="D809" s="304"/>
      <c r="E809" s="304"/>
      <c r="F809" s="304"/>
      <c r="G809" s="304"/>
      <c r="H809" s="303"/>
      <c r="I809" s="304"/>
    </row>
    <row r="810" spans="1:9" x14ac:dyDescent="0.3">
      <c r="A810" s="302"/>
      <c r="B810" s="303"/>
      <c r="C810" s="303"/>
      <c r="D810" s="304"/>
      <c r="E810" s="304"/>
      <c r="F810" s="304"/>
      <c r="G810" s="304"/>
      <c r="H810" s="303"/>
      <c r="I810" s="304"/>
    </row>
    <row r="811" spans="1:9" x14ac:dyDescent="0.3">
      <c r="A811" s="302"/>
      <c r="B811" s="303"/>
      <c r="C811" s="303"/>
      <c r="D811" s="304"/>
      <c r="E811" s="304"/>
      <c r="F811" s="304"/>
      <c r="G811" s="304"/>
      <c r="H811" s="303"/>
      <c r="I811" s="304"/>
    </row>
    <row r="812" spans="1:9" x14ac:dyDescent="0.3">
      <c r="A812" s="302"/>
      <c r="B812" s="303"/>
      <c r="C812" s="303"/>
      <c r="D812" s="304"/>
      <c r="E812" s="304"/>
      <c r="F812" s="304"/>
      <c r="G812" s="304"/>
      <c r="H812" s="303"/>
      <c r="I812" s="304"/>
    </row>
    <row r="813" spans="1:9" x14ac:dyDescent="0.3">
      <c r="A813" s="302"/>
      <c r="B813" s="303"/>
      <c r="C813" s="303"/>
      <c r="D813" s="304"/>
      <c r="E813" s="304"/>
      <c r="F813" s="304"/>
      <c r="G813" s="304"/>
      <c r="H813" s="303"/>
      <c r="I813" s="304"/>
    </row>
    <row r="814" spans="1:9" x14ac:dyDescent="0.3">
      <c r="A814" s="302"/>
      <c r="B814" s="303"/>
      <c r="C814" s="303"/>
      <c r="D814" s="304"/>
      <c r="E814" s="304"/>
      <c r="F814" s="304"/>
      <c r="G814" s="304"/>
      <c r="H814" s="303"/>
      <c r="I814" s="304"/>
    </row>
    <row r="815" spans="1:9" x14ac:dyDescent="0.3">
      <c r="A815" s="302"/>
      <c r="B815" s="303"/>
      <c r="C815" s="303"/>
      <c r="D815" s="304"/>
      <c r="E815" s="304"/>
      <c r="F815" s="304"/>
      <c r="G815" s="304"/>
      <c r="H815" s="303"/>
      <c r="I815" s="304"/>
    </row>
    <row r="816" spans="1:9" x14ac:dyDescent="0.3">
      <c r="A816" s="302"/>
      <c r="B816" s="303"/>
      <c r="C816" s="303"/>
      <c r="D816" s="304"/>
      <c r="E816" s="304"/>
      <c r="F816" s="304"/>
      <c r="G816" s="304"/>
      <c r="H816" s="303"/>
      <c r="I816" s="304"/>
    </row>
    <row r="817" spans="1:9" x14ac:dyDescent="0.3">
      <c r="A817" s="302"/>
      <c r="B817" s="303"/>
      <c r="C817" s="303"/>
      <c r="D817" s="304"/>
      <c r="E817" s="304"/>
      <c r="F817" s="304"/>
      <c r="G817" s="304"/>
      <c r="H817" s="303"/>
      <c r="I817" s="304"/>
    </row>
    <row r="818" spans="1:9" x14ac:dyDescent="0.3">
      <c r="A818" s="302"/>
      <c r="B818" s="303"/>
      <c r="C818" s="303"/>
      <c r="D818" s="304"/>
      <c r="E818" s="304"/>
      <c r="F818" s="304"/>
      <c r="G818" s="304"/>
      <c r="H818" s="303"/>
      <c r="I818" s="304"/>
    </row>
    <row r="819" spans="1:9" x14ac:dyDescent="0.3">
      <c r="A819" s="302"/>
      <c r="B819" s="303"/>
      <c r="C819" s="303"/>
      <c r="D819" s="304"/>
      <c r="E819" s="304"/>
      <c r="F819" s="304"/>
      <c r="G819" s="304"/>
      <c r="H819" s="303"/>
      <c r="I819" s="304"/>
    </row>
    <row r="820" spans="1:9" x14ac:dyDescent="0.3">
      <c r="A820" s="302"/>
      <c r="B820" s="303"/>
      <c r="C820" s="303"/>
      <c r="D820" s="304"/>
      <c r="E820" s="304"/>
      <c r="F820" s="304"/>
      <c r="G820" s="304"/>
      <c r="H820" s="303"/>
      <c r="I820" s="304"/>
    </row>
    <row r="821" spans="1:9" x14ac:dyDescent="0.3">
      <c r="A821" s="302"/>
      <c r="B821" s="303"/>
      <c r="C821" s="303"/>
      <c r="D821" s="304"/>
      <c r="E821" s="304"/>
      <c r="F821" s="304"/>
      <c r="G821" s="304"/>
      <c r="H821" s="303"/>
      <c r="I821" s="304"/>
    </row>
    <row r="822" spans="1:9" x14ac:dyDescent="0.3">
      <c r="A822" s="302"/>
      <c r="B822" s="303"/>
      <c r="C822" s="303"/>
      <c r="D822" s="304"/>
      <c r="E822" s="304"/>
      <c r="F822" s="304"/>
      <c r="G822" s="304"/>
      <c r="H822" s="303"/>
      <c r="I822" s="304"/>
    </row>
    <row r="823" spans="1:9" x14ac:dyDescent="0.3">
      <c r="A823" s="302"/>
      <c r="B823" s="303"/>
      <c r="C823" s="303"/>
      <c r="D823" s="304"/>
      <c r="E823" s="304"/>
      <c r="F823" s="304"/>
      <c r="G823" s="304"/>
      <c r="H823" s="303"/>
      <c r="I823" s="304"/>
    </row>
    <row r="824" spans="1:9" x14ac:dyDescent="0.3">
      <c r="A824" s="302"/>
      <c r="B824" s="303"/>
      <c r="C824" s="303"/>
      <c r="D824" s="304"/>
      <c r="E824" s="304"/>
      <c r="F824" s="304"/>
      <c r="G824" s="304"/>
      <c r="H824" s="303"/>
      <c r="I824" s="304"/>
    </row>
    <row r="825" spans="1:9" x14ac:dyDescent="0.3">
      <c r="A825" s="302"/>
      <c r="B825" s="303"/>
      <c r="C825" s="303"/>
      <c r="D825" s="304"/>
      <c r="E825" s="304"/>
      <c r="F825" s="304"/>
      <c r="G825" s="304"/>
      <c r="H825" s="303"/>
      <c r="I825" s="304"/>
    </row>
    <row r="826" spans="1:9" x14ac:dyDescent="0.3">
      <c r="A826" s="302"/>
      <c r="B826" s="303"/>
      <c r="C826" s="303"/>
      <c r="D826" s="304"/>
      <c r="E826" s="304"/>
      <c r="F826" s="304"/>
      <c r="G826" s="304"/>
      <c r="H826" s="303"/>
      <c r="I826" s="304"/>
    </row>
    <row r="827" spans="1:9" x14ac:dyDescent="0.3">
      <c r="A827" s="302"/>
      <c r="B827" s="303"/>
      <c r="C827" s="303"/>
      <c r="D827" s="304"/>
      <c r="E827" s="304"/>
      <c r="F827" s="304"/>
      <c r="G827" s="304"/>
      <c r="H827" s="303"/>
      <c r="I827" s="304"/>
    </row>
    <row r="828" spans="1:9" x14ac:dyDescent="0.3">
      <c r="A828" s="302"/>
      <c r="B828" s="303"/>
      <c r="C828" s="303"/>
      <c r="D828" s="304"/>
      <c r="E828" s="304"/>
      <c r="F828" s="304"/>
      <c r="G828" s="304"/>
      <c r="H828" s="303"/>
      <c r="I828" s="304"/>
    </row>
    <row r="829" spans="1:9" x14ac:dyDescent="0.3">
      <c r="A829" s="302"/>
      <c r="B829" s="303"/>
      <c r="C829" s="303"/>
      <c r="D829" s="304"/>
      <c r="E829" s="304"/>
      <c r="F829" s="304"/>
      <c r="G829" s="304"/>
      <c r="H829" s="303"/>
      <c r="I829" s="304"/>
    </row>
    <row r="830" spans="1:9" x14ac:dyDescent="0.3">
      <c r="A830" s="302"/>
      <c r="B830" s="303"/>
      <c r="C830" s="303"/>
      <c r="D830" s="304"/>
      <c r="E830" s="304"/>
      <c r="F830" s="304"/>
      <c r="G830" s="304"/>
      <c r="H830" s="303"/>
      <c r="I830" s="304"/>
    </row>
    <row r="831" spans="1:9" x14ac:dyDescent="0.3">
      <c r="A831" s="302"/>
      <c r="B831" s="303"/>
      <c r="C831" s="303"/>
      <c r="D831" s="304"/>
      <c r="E831" s="304"/>
      <c r="F831" s="304"/>
      <c r="G831" s="304"/>
      <c r="H831" s="303"/>
      <c r="I831" s="304"/>
    </row>
    <row r="832" spans="1:9" x14ac:dyDescent="0.3">
      <c r="A832" s="302"/>
      <c r="B832" s="303"/>
      <c r="C832" s="303"/>
      <c r="D832" s="304"/>
      <c r="E832" s="304"/>
      <c r="F832" s="304"/>
      <c r="G832" s="304"/>
      <c r="H832" s="303"/>
      <c r="I832" s="304"/>
    </row>
    <row r="833" spans="1:9" x14ac:dyDescent="0.3">
      <c r="A833" s="302"/>
      <c r="B833" s="303"/>
      <c r="C833" s="303"/>
      <c r="D833" s="304"/>
      <c r="E833" s="304"/>
      <c r="F833" s="304"/>
      <c r="G833" s="304"/>
      <c r="H833" s="303"/>
      <c r="I833" s="304"/>
    </row>
    <row r="834" spans="1:9" x14ac:dyDescent="0.3">
      <c r="A834" s="302"/>
      <c r="B834" s="303"/>
      <c r="C834" s="303"/>
      <c r="D834" s="304"/>
      <c r="E834" s="304"/>
      <c r="F834" s="304"/>
      <c r="G834" s="304"/>
      <c r="H834" s="303"/>
      <c r="I834" s="304"/>
    </row>
    <row r="835" spans="1:9" x14ac:dyDescent="0.3">
      <c r="A835" s="302"/>
      <c r="B835" s="303"/>
      <c r="C835" s="303"/>
      <c r="D835" s="304"/>
      <c r="E835" s="304"/>
      <c r="F835" s="304"/>
      <c r="G835" s="304"/>
      <c r="H835" s="303"/>
      <c r="I835" s="304"/>
    </row>
    <row r="836" spans="1:9" x14ac:dyDescent="0.3">
      <c r="A836" s="302"/>
      <c r="B836" s="303"/>
      <c r="C836" s="303"/>
      <c r="D836" s="304"/>
      <c r="E836" s="304"/>
      <c r="F836" s="304"/>
      <c r="G836" s="304"/>
      <c r="H836" s="303"/>
      <c r="I836" s="304"/>
    </row>
    <row r="837" spans="1:9" x14ac:dyDescent="0.3">
      <c r="A837" s="302"/>
      <c r="B837" s="303"/>
      <c r="C837" s="303"/>
      <c r="D837" s="304"/>
      <c r="E837" s="304"/>
      <c r="F837" s="304"/>
      <c r="G837" s="304"/>
      <c r="H837" s="303"/>
      <c r="I837" s="304"/>
    </row>
    <row r="838" spans="1:9" x14ac:dyDescent="0.3">
      <c r="A838" s="302"/>
      <c r="B838" s="303"/>
      <c r="C838" s="303"/>
      <c r="D838" s="304"/>
      <c r="E838" s="304"/>
      <c r="F838" s="304"/>
      <c r="G838" s="304"/>
      <c r="H838" s="303"/>
      <c r="I838" s="304"/>
    </row>
    <row r="839" spans="1:9" x14ac:dyDescent="0.3">
      <c r="A839" s="302"/>
      <c r="B839" s="303"/>
      <c r="C839" s="303"/>
      <c r="D839" s="304"/>
      <c r="E839" s="304"/>
      <c r="F839" s="304"/>
      <c r="G839" s="304"/>
      <c r="H839" s="303"/>
      <c r="I839" s="304"/>
    </row>
    <row r="840" spans="1:9" x14ac:dyDescent="0.3">
      <c r="A840" s="302"/>
      <c r="B840" s="303"/>
      <c r="C840" s="303"/>
      <c r="D840" s="304"/>
      <c r="E840" s="304"/>
      <c r="F840" s="304"/>
      <c r="G840" s="304"/>
      <c r="H840" s="303"/>
      <c r="I840" s="304"/>
    </row>
    <row r="841" spans="1:9" x14ac:dyDescent="0.3">
      <c r="A841" s="302"/>
      <c r="B841" s="303"/>
      <c r="C841" s="303"/>
      <c r="D841" s="304"/>
      <c r="E841" s="304"/>
      <c r="F841" s="304"/>
      <c r="G841" s="304"/>
      <c r="H841" s="303"/>
      <c r="I841" s="304"/>
    </row>
    <row r="842" spans="1:9" x14ac:dyDescent="0.3">
      <c r="A842" s="302"/>
      <c r="B842" s="303"/>
      <c r="C842" s="303"/>
      <c r="D842" s="304"/>
      <c r="E842" s="304"/>
      <c r="F842" s="304"/>
      <c r="G842" s="304"/>
      <c r="H842" s="303"/>
      <c r="I842" s="304"/>
    </row>
    <row r="843" spans="1:9" x14ac:dyDescent="0.3">
      <c r="A843" s="302"/>
      <c r="B843" s="303"/>
      <c r="C843" s="303"/>
      <c r="D843" s="304"/>
      <c r="E843" s="304"/>
      <c r="F843" s="304"/>
      <c r="G843" s="304"/>
      <c r="H843" s="303"/>
      <c r="I843" s="304"/>
    </row>
    <row r="844" spans="1:9" x14ac:dyDescent="0.3">
      <c r="A844" s="302"/>
      <c r="B844" s="303"/>
      <c r="C844" s="303"/>
      <c r="D844" s="304"/>
      <c r="E844" s="304"/>
      <c r="F844" s="304"/>
      <c r="G844" s="304"/>
      <c r="H844" s="303"/>
      <c r="I844" s="304"/>
    </row>
    <row r="845" spans="1:9" x14ac:dyDescent="0.3">
      <c r="A845" s="302"/>
      <c r="B845" s="303"/>
      <c r="C845" s="303"/>
      <c r="D845" s="304"/>
      <c r="E845" s="304"/>
      <c r="F845" s="304"/>
      <c r="G845" s="304"/>
      <c r="H845" s="303"/>
      <c r="I845" s="304"/>
    </row>
    <row r="846" spans="1:9" x14ac:dyDescent="0.3">
      <c r="A846" s="302"/>
      <c r="B846" s="303"/>
      <c r="C846" s="303"/>
      <c r="D846" s="304"/>
      <c r="E846" s="304"/>
      <c r="F846" s="304"/>
      <c r="G846" s="304"/>
      <c r="H846" s="303"/>
      <c r="I846" s="304"/>
    </row>
    <row r="847" spans="1:9" x14ac:dyDescent="0.3">
      <c r="A847" s="302"/>
      <c r="B847" s="303"/>
      <c r="C847" s="303"/>
      <c r="D847" s="304"/>
      <c r="E847" s="304"/>
      <c r="F847" s="304"/>
      <c r="G847" s="304"/>
      <c r="H847" s="303"/>
      <c r="I847" s="304"/>
    </row>
    <row r="848" spans="1:9" x14ac:dyDescent="0.3">
      <c r="A848" s="302"/>
      <c r="B848" s="303"/>
      <c r="C848" s="303"/>
      <c r="D848" s="304"/>
      <c r="E848" s="304"/>
      <c r="F848" s="304"/>
      <c r="G848" s="304"/>
      <c r="H848" s="303"/>
      <c r="I848" s="304"/>
    </row>
    <row r="849" spans="1:9" x14ac:dyDescent="0.3">
      <c r="A849" s="302"/>
      <c r="B849" s="303"/>
      <c r="C849" s="303"/>
      <c r="D849" s="304"/>
      <c r="E849" s="304"/>
      <c r="F849" s="304"/>
      <c r="G849" s="304"/>
      <c r="H849" s="303"/>
      <c r="I849" s="304"/>
    </row>
    <row r="850" spans="1:9" x14ac:dyDescent="0.3">
      <c r="A850" s="302"/>
      <c r="B850" s="303"/>
      <c r="C850" s="303"/>
      <c r="D850" s="304"/>
      <c r="E850" s="304"/>
      <c r="F850" s="304"/>
      <c r="G850" s="304"/>
      <c r="H850" s="303"/>
      <c r="I850" s="304"/>
    </row>
    <row r="851" spans="1:9" x14ac:dyDescent="0.3">
      <c r="A851" s="302"/>
      <c r="B851" s="303"/>
      <c r="C851" s="303"/>
      <c r="D851" s="304"/>
      <c r="E851" s="304"/>
      <c r="F851" s="304"/>
      <c r="G851" s="304"/>
      <c r="H851" s="303"/>
      <c r="I851" s="304"/>
    </row>
    <row r="852" spans="1:9" x14ac:dyDescent="0.3">
      <c r="A852" s="302"/>
      <c r="B852" s="303"/>
      <c r="C852" s="303"/>
      <c r="D852" s="304"/>
      <c r="E852" s="304"/>
      <c r="F852" s="304"/>
      <c r="G852" s="304"/>
      <c r="H852" s="303"/>
      <c r="I852" s="304"/>
    </row>
    <row r="853" spans="1:9" x14ac:dyDescent="0.3">
      <c r="A853" s="302"/>
      <c r="B853" s="303"/>
      <c r="C853" s="303"/>
      <c r="D853" s="304"/>
      <c r="E853" s="304"/>
      <c r="F853" s="304"/>
      <c r="G853" s="304"/>
      <c r="H853" s="303"/>
      <c r="I853" s="304"/>
    </row>
    <row r="854" spans="1:9" x14ac:dyDescent="0.3">
      <c r="A854" s="302"/>
      <c r="B854" s="303"/>
      <c r="C854" s="303"/>
      <c r="D854" s="304"/>
      <c r="E854" s="304"/>
      <c r="F854" s="304"/>
      <c r="G854" s="304"/>
      <c r="H854" s="303"/>
      <c r="I854" s="304"/>
    </row>
    <row r="855" spans="1:9" x14ac:dyDescent="0.3">
      <c r="A855" s="302"/>
      <c r="B855" s="303"/>
      <c r="C855" s="303"/>
      <c r="D855" s="304"/>
      <c r="E855" s="304"/>
      <c r="F855" s="304"/>
      <c r="G855" s="304"/>
      <c r="H855" s="303"/>
      <c r="I855" s="304"/>
    </row>
    <row r="856" spans="1:9" x14ac:dyDescent="0.3">
      <c r="A856" s="302"/>
      <c r="B856" s="303"/>
      <c r="C856" s="303"/>
      <c r="D856" s="304"/>
      <c r="E856" s="304"/>
      <c r="F856" s="304"/>
      <c r="G856" s="304"/>
      <c r="H856" s="303"/>
      <c r="I856" s="304"/>
    </row>
    <row r="857" spans="1:9" x14ac:dyDescent="0.3">
      <c r="A857" s="302"/>
      <c r="B857" s="303"/>
      <c r="C857" s="303"/>
      <c r="D857" s="304"/>
      <c r="E857" s="304"/>
      <c r="F857" s="304"/>
      <c r="G857" s="304"/>
      <c r="H857" s="303"/>
      <c r="I857" s="304"/>
    </row>
    <row r="858" spans="1:9" x14ac:dyDescent="0.3">
      <c r="A858" s="302"/>
      <c r="B858" s="303"/>
      <c r="C858" s="303"/>
      <c r="D858" s="304"/>
      <c r="E858" s="304"/>
      <c r="F858" s="304"/>
      <c r="G858" s="304"/>
      <c r="H858" s="303"/>
      <c r="I858" s="304"/>
    </row>
    <row r="859" spans="1:9" x14ac:dyDescent="0.3">
      <c r="A859" s="302"/>
      <c r="B859" s="303"/>
      <c r="C859" s="303"/>
      <c r="D859" s="304"/>
      <c r="E859" s="304"/>
      <c r="F859" s="304"/>
      <c r="G859" s="304"/>
      <c r="H859" s="303"/>
      <c r="I859" s="304"/>
    </row>
    <row r="860" spans="1:9" x14ac:dyDescent="0.3">
      <c r="A860" s="302"/>
      <c r="B860" s="303"/>
      <c r="C860" s="303"/>
      <c r="D860" s="304"/>
      <c r="E860" s="304"/>
      <c r="F860" s="304"/>
      <c r="G860" s="304"/>
      <c r="H860" s="303"/>
      <c r="I860" s="304"/>
    </row>
    <row r="861" spans="1:9" x14ac:dyDescent="0.3">
      <c r="A861" s="302"/>
      <c r="B861" s="303"/>
      <c r="C861" s="303"/>
      <c r="D861" s="304"/>
      <c r="E861" s="304"/>
      <c r="F861" s="304"/>
      <c r="G861" s="304"/>
      <c r="H861" s="303"/>
      <c r="I861" s="304"/>
    </row>
    <row r="862" spans="1:9" x14ac:dyDescent="0.3">
      <c r="A862" s="302"/>
      <c r="B862" s="303"/>
      <c r="C862" s="303"/>
      <c r="D862" s="304"/>
      <c r="E862" s="304"/>
      <c r="F862" s="304"/>
      <c r="G862" s="304"/>
      <c r="H862" s="303"/>
      <c r="I862" s="304"/>
    </row>
    <row r="863" spans="1:9" x14ac:dyDescent="0.3">
      <c r="A863" s="302"/>
      <c r="B863" s="303"/>
      <c r="C863" s="303"/>
      <c r="D863" s="304"/>
      <c r="E863" s="304"/>
      <c r="F863" s="304"/>
      <c r="G863" s="304"/>
      <c r="H863" s="303"/>
      <c r="I863" s="304"/>
    </row>
    <row r="864" spans="1:9" x14ac:dyDescent="0.3">
      <c r="A864" s="302"/>
      <c r="B864" s="303"/>
      <c r="C864" s="303"/>
      <c r="D864" s="304"/>
      <c r="E864" s="304"/>
      <c r="F864" s="304"/>
      <c r="G864" s="304"/>
      <c r="H864" s="303"/>
      <c r="I864" s="304"/>
    </row>
    <row r="865" spans="1:9" x14ac:dyDescent="0.3">
      <c r="A865" s="302"/>
      <c r="B865" s="303"/>
      <c r="C865" s="303"/>
      <c r="D865" s="304"/>
      <c r="E865" s="304"/>
      <c r="F865" s="304"/>
      <c r="G865" s="304"/>
      <c r="H865" s="303"/>
      <c r="I865" s="304"/>
    </row>
    <row r="866" spans="1:9" x14ac:dyDescent="0.3">
      <c r="A866" s="302"/>
      <c r="B866" s="303"/>
      <c r="C866" s="303"/>
      <c r="D866" s="304"/>
      <c r="E866" s="304"/>
      <c r="F866" s="304"/>
      <c r="G866" s="304"/>
      <c r="H866" s="303"/>
      <c r="I866" s="304"/>
    </row>
    <row r="867" spans="1:9" x14ac:dyDescent="0.3">
      <c r="A867" s="302"/>
      <c r="B867" s="303"/>
      <c r="C867" s="303"/>
      <c r="D867" s="304"/>
      <c r="E867" s="304"/>
      <c r="F867" s="304"/>
      <c r="G867" s="304"/>
      <c r="H867" s="303"/>
      <c r="I867" s="304"/>
    </row>
    <row r="868" spans="1:9" x14ac:dyDescent="0.3">
      <c r="A868" s="302"/>
      <c r="B868" s="303"/>
      <c r="C868" s="303"/>
      <c r="D868" s="304"/>
      <c r="E868" s="304"/>
      <c r="F868" s="304"/>
      <c r="G868" s="304"/>
      <c r="H868" s="303"/>
      <c r="I868" s="304"/>
    </row>
    <row r="869" spans="1:9" x14ac:dyDescent="0.3">
      <c r="A869" s="302"/>
      <c r="B869" s="303"/>
      <c r="C869" s="303"/>
      <c r="D869" s="304"/>
      <c r="E869" s="304"/>
      <c r="F869" s="304"/>
      <c r="G869" s="304"/>
      <c r="H869" s="303"/>
      <c r="I869" s="304"/>
    </row>
    <row r="870" spans="1:9" x14ac:dyDescent="0.3">
      <c r="A870" s="302"/>
      <c r="B870" s="303"/>
      <c r="C870" s="303"/>
      <c r="D870" s="304"/>
      <c r="E870" s="304"/>
      <c r="F870" s="304"/>
      <c r="G870" s="304"/>
      <c r="H870" s="303"/>
      <c r="I870" s="304"/>
    </row>
    <row r="871" spans="1:9" x14ac:dyDescent="0.3">
      <c r="A871" s="302"/>
      <c r="B871" s="303"/>
      <c r="C871" s="303"/>
      <c r="D871" s="304"/>
      <c r="E871" s="304"/>
      <c r="F871" s="304"/>
      <c r="G871" s="304"/>
      <c r="H871" s="303"/>
      <c r="I871" s="304"/>
    </row>
    <row r="872" spans="1:9" x14ac:dyDescent="0.3">
      <c r="A872" s="302"/>
      <c r="B872" s="303"/>
      <c r="C872" s="303"/>
      <c r="D872" s="304"/>
      <c r="E872" s="304"/>
      <c r="F872" s="304"/>
      <c r="G872" s="304"/>
      <c r="H872" s="303"/>
      <c r="I872" s="304"/>
    </row>
    <row r="873" spans="1:9" x14ac:dyDescent="0.3">
      <c r="A873" s="302"/>
      <c r="B873" s="303"/>
      <c r="C873" s="303"/>
      <c r="D873" s="304"/>
      <c r="E873" s="304"/>
      <c r="F873" s="304"/>
      <c r="G873" s="304"/>
      <c r="H873" s="303"/>
      <c r="I873" s="304"/>
    </row>
    <row r="874" spans="1:9" x14ac:dyDescent="0.3">
      <c r="A874" s="302"/>
      <c r="B874" s="303"/>
      <c r="C874" s="303"/>
      <c r="D874" s="304"/>
      <c r="E874" s="304"/>
      <c r="F874" s="304"/>
      <c r="G874" s="304"/>
      <c r="H874" s="303"/>
      <c r="I874" s="304"/>
    </row>
    <row r="875" spans="1:9" x14ac:dyDescent="0.3">
      <c r="A875" s="302"/>
      <c r="B875" s="303"/>
      <c r="C875" s="303"/>
      <c r="D875" s="304"/>
      <c r="E875" s="304"/>
      <c r="F875" s="304"/>
      <c r="G875" s="304"/>
      <c r="H875" s="303"/>
      <c r="I875" s="304"/>
    </row>
    <row r="876" spans="1:9" x14ac:dyDescent="0.3">
      <c r="A876" s="302"/>
      <c r="B876" s="303"/>
      <c r="C876" s="303"/>
      <c r="D876" s="304"/>
      <c r="E876" s="304"/>
      <c r="F876" s="304"/>
      <c r="G876" s="304"/>
      <c r="H876" s="303"/>
      <c r="I876" s="304"/>
    </row>
    <row r="877" spans="1:9" x14ac:dyDescent="0.3">
      <c r="A877" s="302"/>
      <c r="B877" s="303"/>
      <c r="C877" s="303"/>
      <c r="D877" s="304"/>
      <c r="E877" s="304"/>
      <c r="F877" s="304"/>
      <c r="G877" s="304"/>
      <c r="H877" s="303"/>
      <c r="I877" s="304"/>
    </row>
    <row r="878" spans="1:9" x14ac:dyDescent="0.3">
      <c r="A878" s="302"/>
      <c r="B878" s="303"/>
      <c r="C878" s="303"/>
      <c r="D878" s="304"/>
      <c r="E878" s="304"/>
      <c r="F878" s="304"/>
      <c r="G878" s="304"/>
      <c r="H878" s="303"/>
      <c r="I878" s="304"/>
    </row>
    <row r="879" spans="1:9" x14ac:dyDescent="0.3">
      <c r="A879" s="302"/>
      <c r="B879" s="303"/>
      <c r="C879" s="303"/>
      <c r="D879" s="304"/>
      <c r="E879" s="304"/>
      <c r="F879" s="304"/>
      <c r="G879" s="304"/>
      <c r="H879" s="303"/>
      <c r="I879" s="304"/>
    </row>
    <row r="880" spans="1:9" x14ac:dyDescent="0.3">
      <c r="A880" s="302"/>
      <c r="B880" s="303"/>
      <c r="C880" s="303"/>
      <c r="D880" s="304"/>
      <c r="E880" s="304"/>
      <c r="F880" s="304"/>
      <c r="G880" s="304"/>
      <c r="H880" s="303"/>
      <c r="I880" s="304"/>
    </row>
    <row r="881" spans="1:9" x14ac:dyDescent="0.3">
      <c r="A881" s="302"/>
      <c r="B881" s="303"/>
      <c r="C881" s="303"/>
      <c r="D881" s="304"/>
      <c r="E881" s="304"/>
      <c r="F881" s="304"/>
      <c r="G881" s="304"/>
      <c r="H881" s="303"/>
      <c r="I881" s="304"/>
    </row>
    <row r="882" spans="1:9" x14ac:dyDescent="0.3">
      <c r="A882" s="302"/>
      <c r="B882" s="303"/>
      <c r="C882" s="303"/>
      <c r="D882" s="304"/>
      <c r="E882" s="304"/>
      <c r="F882" s="304"/>
      <c r="G882" s="304"/>
      <c r="H882" s="303"/>
      <c r="I882" s="304"/>
    </row>
    <row r="883" spans="1:9" x14ac:dyDescent="0.3">
      <c r="A883" s="302"/>
      <c r="B883" s="303"/>
      <c r="C883" s="303"/>
      <c r="D883" s="304"/>
      <c r="E883" s="304"/>
      <c r="F883" s="304"/>
      <c r="G883" s="304"/>
      <c r="H883" s="303"/>
      <c r="I883" s="304"/>
    </row>
    <row r="884" spans="1:9" x14ac:dyDescent="0.3">
      <c r="A884" s="302"/>
      <c r="B884" s="303"/>
      <c r="C884" s="303"/>
      <c r="D884" s="304"/>
      <c r="E884" s="304"/>
      <c r="F884" s="304"/>
      <c r="G884" s="304"/>
      <c r="H884" s="303"/>
      <c r="I884" s="304"/>
    </row>
    <row r="885" spans="1:9" x14ac:dyDescent="0.3">
      <c r="A885" s="302"/>
      <c r="B885" s="303"/>
      <c r="C885" s="303"/>
      <c r="D885" s="304"/>
      <c r="E885" s="304"/>
      <c r="F885" s="304"/>
      <c r="G885" s="304"/>
      <c r="H885" s="303"/>
      <c r="I885" s="304"/>
    </row>
    <row r="886" spans="1:9" x14ac:dyDescent="0.3">
      <c r="A886" s="302"/>
      <c r="B886" s="303"/>
      <c r="C886" s="303"/>
      <c r="D886" s="304"/>
      <c r="E886" s="304"/>
      <c r="F886" s="304"/>
      <c r="G886" s="304"/>
      <c r="H886" s="303"/>
      <c r="I886" s="304"/>
    </row>
    <row r="887" spans="1:9" x14ac:dyDescent="0.3">
      <c r="A887" s="302"/>
      <c r="B887" s="303"/>
      <c r="C887" s="303"/>
      <c r="D887" s="304"/>
      <c r="E887" s="304"/>
      <c r="F887" s="304"/>
      <c r="G887" s="304"/>
      <c r="H887" s="303"/>
      <c r="I887" s="304"/>
    </row>
    <row r="888" spans="1:9" x14ac:dyDescent="0.3">
      <c r="A888" s="302"/>
      <c r="B888" s="303"/>
      <c r="C888" s="303"/>
      <c r="D888" s="304"/>
      <c r="E888" s="304"/>
      <c r="F888" s="304"/>
      <c r="G888" s="304"/>
      <c r="H888" s="303"/>
      <c r="I888" s="304"/>
    </row>
    <row r="889" spans="1:9" x14ac:dyDescent="0.3">
      <c r="A889" s="302"/>
      <c r="B889" s="303"/>
      <c r="C889" s="303"/>
      <c r="D889" s="304"/>
      <c r="E889" s="304"/>
      <c r="F889" s="304"/>
      <c r="G889" s="304"/>
      <c r="H889" s="303"/>
      <c r="I889" s="304"/>
    </row>
    <row r="890" spans="1:9" x14ac:dyDescent="0.3">
      <c r="A890" s="302"/>
      <c r="B890" s="303"/>
      <c r="C890" s="303"/>
      <c r="D890" s="304"/>
      <c r="E890" s="304"/>
      <c r="F890" s="304"/>
      <c r="G890" s="304"/>
      <c r="H890" s="303"/>
      <c r="I890" s="304"/>
    </row>
    <row r="891" spans="1:9" x14ac:dyDescent="0.3">
      <c r="A891" s="302"/>
      <c r="B891" s="303"/>
      <c r="C891" s="303"/>
      <c r="D891" s="304"/>
      <c r="E891" s="304"/>
      <c r="F891" s="304"/>
      <c r="G891" s="304"/>
      <c r="H891" s="303"/>
      <c r="I891" s="304"/>
    </row>
    <row r="892" spans="1:9" x14ac:dyDescent="0.3">
      <c r="A892" s="302"/>
      <c r="B892" s="303"/>
      <c r="C892" s="303"/>
      <c r="D892" s="304"/>
      <c r="E892" s="304"/>
      <c r="F892" s="304"/>
      <c r="G892" s="304"/>
      <c r="H892" s="303"/>
      <c r="I892" s="304"/>
    </row>
    <row r="893" spans="1:9" x14ac:dyDescent="0.3">
      <c r="A893" s="302"/>
      <c r="B893" s="303"/>
      <c r="C893" s="303"/>
      <c r="D893" s="304"/>
      <c r="E893" s="304"/>
      <c r="F893" s="304"/>
      <c r="G893" s="304"/>
      <c r="H893" s="303"/>
      <c r="I893" s="304"/>
    </row>
    <row r="894" spans="1:9" x14ac:dyDescent="0.3">
      <c r="A894" s="302"/>
      <c r="B894" s="303"/>
      <c r="C894" s="303"/>
      <c r="D894" s="304"/>
      <c r="E894" s="304"/>
      <c r="F894" s="304"/>
      <c r="G894" s="304"/>
      <c r="H894" s="303"/>
      <c r="I894" s="304"/>
    </row>
    <row r="895" spans="1:9" x14ac:dyDescent="0.3">
      <c r="A895" s="302"/>
      <c r="B895" s="303"/>
      <c r="C895" s="303"/>
      <c r="D895" s="304"/>
      <c r="E895" s="304"/>
      <c r="F895" s="304"/>
      <c r="G895" s="304"/>
      <c r="H895" s="303"/>
      <c r="I895" s="304"/>
    </row>
    <row r="896" spans="1:9" x14ac:dyDescent="0.3">
      <c r="A896" s="302"/>
      <c r="B896" s="303"/>
      <c r="C896" s="303"/>
      <c r="D896" s="304"/>
      <c r="E896" s="304"/>
      <c r="F896" s="304"/>
      <c r="G896" s="304"/>
      <c r="H896" s="303"/>
      <c r="I896" s="304"/>
    </row>
    <row r="897" spans="1:9" x14ac:dyDescent="0.3">
      <c r="A897" s="302"/>
      <c r="B897" s="303"/>
      <c r="C897" s="303"/>
      <c r="D897" s="304"/>
      <c r="E897" s="304"/>
      <c r="F897" s="304"/>
      <c r="G897" s="304"/>
      <c r="H897" s="303"/>
      <c r="I897" s="304"/>
    </row>
    <row r="898" spans="1:9" x14ac:dyDescent="0.3">
      <c r="A898" s="302"/>
      <c r="B898" s="303"/>
      <c r="C898" s="303"/>
      <c r="D898" s="304"/>
      <c r="E898" s="304"/>
      <c r="F898" s="304"/>
      <c r="G898" s="304"/>
      <c r="H898" s="303"/>
      <c r="I898" s="304"/>
    </row>
    <row r="899" spans="1:9" x14ac:dyDescent="0.3">
      <c r="A899" s="302"/>
      <c r="B899" s="303"/>
      <c r="C899" s="303"/>
      <c r="D899" s="304"/>
      <c r="E899" s="304"/>
      <c r="F899" s="304"/>
      <c r="G899" s="304"/>
      <c r="H899" s="303"/>
      <c r="I899" s="304"/>
    </row>
    <row r="900" spans="1:9" x14ac:dyDescent="0.3">
      <c r="A900" s="302"/>
      <c r="B900" s="303"/>
      <c r="C900" s="303"/>
      <c r="D900" s="304"/>
      <c r="E900" s="304"/>
      <c r="F900" s="304"/>
      <c r="G900" s="304"/>
      <c r="H900" s="303"/>
      <c r="I900" s="304"/>
    </row>
    <row r="901" spans="1:9" x14ac:dyDescent="0.3">
      <c r="A901" s="302"/>
      <c r="B901" s="303"/>
      <c r="C901" s="303"/>
      <c r="D901" s="304"/>
      <c r="E901" s="304"/>
      <c r="F901" s="304"/>
      <c r="G901" s="304"/>
      <c r="H901" s="303"/>
      <c r="I901" s="304"/>
    </row>
    <row r="902" spans="1:9" x14ac:dyDescent="0.3">
      <c r="A902" s="302"/>
      <c r="B902" s="303"/>
      <c r="C902" s="303"/>
      <c r="D902" s="304"/>
      <c r="E902" s="304"/>
      <c r="F902" s="304"/>
      <c r="G902" s="304"/>
      <c r="H902" s="303"/>
      <c r="I902" s="304"/>
    </row>
    <row r="903" spans="1:9" x14ac:dyDescent="0.3">
      <c r="A903" s="302"/>
      <c r="B903" s="303"/>
      <c r="C903" s="303"/>
      <c r="D903" s="304"/>
      <c r="E903" s="304"/>
      <c r="F903" s="304"/>
      <c r="G903" s="304"/>
      <c r="H903" s="303"/>
      <c r="I903" s="304"/>
    </row>
    <row r="904" spans="1:9" x14ac:dyDescent="0.3">
      <c r="A904" s="302"/>
      <c r="B904" s="303"/>
      <c r="C904" s="303"/>
      <c r="D904" s="304"/>
      <c r="E904" s="304"/>
      <c r="F904" s="304"/>
      <c r="G904" s="304"/>
      <c r="H904" s="303"/>
      <c r="I904" s="304"/>
    </row>
    <row r="905" spans="1:9" x14ac:dyDescent="0.3">
      <c r="A905" s="302"/>
      <c r="B905" s="303"/>
      <c r="C905" s="303"/>
      <c r="D905" s="304"/>
      <c r="E905" s="304"/>
      <c r="F905" s="304"/>
      <c r="G905" s="304"/>
      <c r="H905" s="303"/>
      <c r="I905" s="304"/>
    </row>
    <row r="906" spans="1:9" x14ac:dyDescent="0.3">
      <c r="A906" s="302"/>
      <c r="B906" s="303"/>
      <c r="C906" s="303"/>
      <c r="D906" s="304"/>
      <c r="E906" s="304"/>
      <c r="F906" s="304"/>
      <c r="G906" s="304"/>
      <c r="H906" s="303"/>
      <c r="I906" s="304"/>
    </row>
    <row r="907" spans="1:9" x14ac:dyDescent="0.3">
      <c r="A907" s="302"/>
      <c r="B907" s="303"/>
      <c r="C907" s="303"/>
      <c r="D907" s="304"/>
      <c r="E907" s="304"/>
      <c r="F907" s="304"/>
      <c r="G907" s="304"/>
      <c r="H907" s="303"/>
      <c r="I907" s="304"/>
    </row>
    <row r="908" spans="1:9" x14ac:dyDescent="0.3">
      <c r="A908" s="302"/>
      <c r="B908" s="303"/>
      <c r="C908" s="303"/>
      <c r="D908" s="304"/>
      <c r="E908" s="304"/>
      <c r="F908" s="304"/>
      <c r="G908" s="304"/>
      <c r="H908" s="303"/>
      <c r="I908" s="304"/>
    </row>
    <row r="909" spans="1:9" x14ac:dyDescent="0.3">
      <c r="A909" s="302"/>
      <c r="B909" s="303"/>
      <c r="C909" s="303"/>
      <c r="D909" s="304"/>
      <c r="E909" s="304"/>
      <c r="F909" s="304"/>
      <c r="G909" s="304"/>
      <c r="H909" s="303"/>
      <c r="I909" s="304"/>
    </row>
    <row r="910" spans="1:9" x14ac:dyDescent="0.3">
      <c r="A910" s="302"/>
      <c r="B910" s="303"/>
      <c r="C910" s="303"/>
      <c r="D910" s="304"/>
      <c r="E910" s="304"/>
      <c r="F910" s="304"/>
      <c r="G910" s="304"/>
      <c r="H910" s="303"/>
      <c r="I910" s="304"/>
    </row>
    <row r="911" spans="1:9" x14ac:dyDescent="0.3">
      <c r="A911" s="302"/>
      <c r="B911" s="303"/>
      <c r="C911" s="303"/>
      <c r="D911" s="304"/>
      <c r="E911" s="304"/>
      <c r="F911" s="304"/>
      <c r="G911" s="304"/>
      <c r="H911" s="303"/>
      <c r="I911" s="304"/>
    </row>
    <row r="912" spans="1:9" x14ac:dyDescent="0.3">
      <c r="A912" s="302"/>
      <c r="B912" s="303"/>
      <c r="C912" s="303"/>
      <c r="D912" s="304"/>
      <c r="E912" s="304"/>
      <c r="F912" s="304"/>
      <c r="G912" s="304"/>
      <c r="H912" s="303"/>
      <c r="I912" s="304"/>
    </row>
    <row r="913" spans="1:9" x14ac:dyDescent="0.3">
      <c r="A913" s="302"/>
      <c r="B913" s="303"/>
      <c r="C913" s="303"/>
      <c r="D913" s="304"/>
      <c r="E913" s="304"/>
      <c r="F913" s="304"/>
      <c r="G913" s="304"/>
      <c r="H913" s="303"/>
      <c r="I913" s="304"/>
    </row>
    <row r="914" spans="1:9" x14ac:dyDescent="0.3">
      <c r="A914" s="302"/>
      <c r="B914" s="303"/>
      <c r="C914" s="303"/>
      <c r="D914" s="304"/>
      <c r="E914" s="304"/>
      <c r="F914" s="304"/>
      <c r="G914" s="304"/>
      <c r="H914" s="303"/>
      <c r="I914" s="304"/>
    </row>
    <row r="915" spans="1:9" x14ac:dyDescent="0.3">
      <c r="A915" s="302"/>
      <c r="B915" s="303"/>
      <c r="C915" s="303"/>
      <c r="D915" s="304"/>
      <c r="E915" s="304"/>
      <c r="F915" s="304"/>
      <c r="G915" s="304"/>
      <c r="H915" s="303"/>
      <c r="I915" s="304"/>
    </row>
    <row r="916" spans="1:9" x14ac:dyDescent="0.3">
      <c r="A916" s="302"/>
      <c r="B916" s="303"/>
      <c r="C916" s="303"/>
      <c r="D916" s="304"/>
      <c r="E916" s="304"/>
      <c r="F916" s="304"/>
      <c r="G916" s="304"/>
      <c r="H916" s="303"/>
      <c r="I916" s="304"/>
    </row>
    <row r="917" spans="1:9" x14ac:dyDescent="0.3">
      <c r="A917" s="302"/>
      <c r="B917" s="303"/>
      <c r="C917" s="303"/>
      <c r="D917" s="304"/>
      <c r="E917" s="304"/>
      <c r="F917" s="304"/>
      <c r="G917" s="304"/>
      <c r="H917" s="303"/>
      <c r="I917" s="304"/>
    </row>
    <row r="918" spans="1:9" x14ac:dyDescent="0.3">
      <c r="A918" s="302"/>
      <c r="B918" s="303"/>
      <c r="C918" s="303"/>
      <c r="D918" s="304"/>
      <c r="E918" s="304"/>
      <c r="F918" s="304"/>
      <c r="G918" s="304"/>
      <c r="H918" s="303"/>
      <c r="I918" s="304"/>
    </row>
    <row r="919" spans="1:9" x14ac:dyDescent="0.3">
      <c r="A919" s="302"/>
      <c r="B919" s="303"/>
      <c r="C919" s="303"/>
      <c r="D919" s="304"/>
      <c r="E919" s="304"/>
      <c r="F919" s="304"/>
      <c r="G919" s="304"/>
      <c r="H919" s="303"/>
      <c r="I919" s="304"/>
    </row>
    <row r="920" spans="1:9" x14ac:dyDescent="0.3">
      <c r="A920" s="302"/>
      <c r="B920" s="303"/>
      <c r="C920" s="303"/>
      <c r="D920" s="304"/>
      <c r="E920" s="304"/>
      <c r="F920" s="304"/>
      <c r="G920" s="304"/>
      <c r="H920" s="303"/>
      <c r="I920" s="304"/>
    </row>
    <row r="921" spans="1:9" x14ac:dyDescent="0.3">
      <c r="A921" s="302"/>
      <c r="B921" s="303"/>
      <c r="C921" s="303"/>
      <c r="D921" s="304"/>
      <c r="E921" s="304"/>
      <c r="F921" s="304"/>
      <c r="G921" s="304"/>
      <c r="H921" s="303"/>
      <c r="I921" s="304"/>
    </row>
    <row r="922" spans="1:9" x14ac:dyDescent="0.3">
      <c r="A922" s="302"/>
      <c r="B922" s="303"/>
      <c r="C922" s="303"/>
      <c r="D922" s="304"/>
      <c r="E922" s="304"/>
      <c r="F922" s="304"/>
      <c r="G922" s="304"/>
      <c r="H922" s="303"/>
      <c r="I922" s="304"/>
    </row>
    <row r="923" spans="1:9" x14ac:dyDescent="0.3">
      <c r="A923" s="302"/>
      <c r="B923" s="303"/>
      <c r="C923" s="303"/>
      <c r="D923" s="304"/>
      <c r="E923" s="304"/>
      <c r="F923" s="304"/>
      <c r="G923" s="304"/>
      <c r="H923" s="303"/>
      <c r="I923" s="304"/>
    </row>
    <row r="924" spans="1:9" x14ac:dyDescent="0.3">
      <c r="A924" s="302"/>
      <c r="B924" s="303"/>
      <c r="C924" s="303"/>
      <c r="D924" s="304"/>
      <c r="E924" s="304"/>
      <c r="F924" s="304"/>
      <c r="G924" s="304"/>
      <c r="H924" s="303"/>
      <c r="I924" s="304"/>
    </row>
    <row r="925" spans="1:9" x14ac:dyDescent="0.3">
      <c r="A925" s="302"/>
      <c r="B925" s="303"/>
      <c r="C925" s="303"/>
      <c r="D925" s="304"/>
      <c r="E925" s="304"/>
      <c r="F925" s="304"/>
      <c r="G925" s="304"/>
      <c r="H925" s="303"/>
      <c r="I925" s="304"/>
    </row>
    <row r="926" spans="1:9" x14ac:dyDescent="0.3">
      <c r="A926" s="302"/>
      <c r="B926" s="303"/>
      <c r="C926" s="303"/>
      <c r="D926" s="304"/>
      <c r="E926" s="304"/>
      <c r="F926" s="304"/>
      <c r="G926" s="304"/>
      <c r="H926" s="303"/>
      <c r="I926" s="304"/>
    </row>
    <row r="927" spans="1:9" x14ac:dyDescent="0.3">
      <c r="A927" s="302"/>
      <c r="B927" s="303"/>
      <c r="C927" s="303"/>
      <c r="D927" s="304"/>
      <c r="E927" s="304"/>
      <c r="F927" s="304"/>
      <c r="G927" s="304"/>
      <c r="H927" s="303"/>
      <c r="I927" s="304"/>
    </row>
    <row r="928" spans="1:9" x14ac:dyDescent="0.3">
      <c r="A928" s="302"/>
      <c r="B928" s="303"/>
      <c r="C928" s="303"/>
      <c r="D928" s="304"/>
      <c r="E928" s="304"/>
      <c r="F928" s="304"/>
      <c r="G928" s="304"/>
      <c r="H928" s="303"/>
      <c r="I928" s="304"/>
    </row>
    <row r="929" spans="1:9" x14ac:dyDescent="0.3">
      <c r="A929" s="302"/>
      <c r="B929" s="303"/>
      <c r="C929" s="303"/>
      <c r="D929" s="304"/>
      <c r="E929" s="304"/>
      <c r="F929" s="304"/>
      <c r="G929" s="304"/>
      <c r="H929" s="303"/>
      <c r="I929" s="304"/>
    </row>
    <row r="930" spans="1:9" x14ac:dyDescent="0.3">
      <c r="A930" s="302"/>
      <c r="B930" s="303"/>
      <c r="C930" s="303"/>
      <c r="D930" s="304"/>
      <c r="E930" s="304"/>
      <c r="F930" s="304"/>
      <c r="G930" s="304"/>
      <c r="H930" s="303"/>
      <c r="I930" s="304"/>
    </row>
    <row r="931" spans="1:9" x14ac:dyDescent="0.3">
      <c r="A931" s="302"/>
      <c r="B931" s="303"/>
      <c r="C931" s="303"/>
      <c r="D931" s="304"/>
      <c r="E931" s="304"/>
      <c r="F931" s="304"/>
      <c r="G931" s="304"/>
      <c r="H931" s="303"/>
      <c r="I931" s="304"/>
    </row>
    <row r="932" spans="1:9" x14ac:dyDescent="0.3">
      <c r="A932" s="302"/>
      <c r="B932" s="303"/>
      <c r="C932" s="303"/>
      <c r="D932" s="304"/>
      <c r="E932" s="304"/>
      <c r="F932" s="304"/>
      <c r="G932" s="304"/>
      <c r="H932" s="303"/>
      <c r="I932" s="304"/>
    </row>
    <row r="933" spans="1:9" x14ac:dyDescent="0.3">
      <c r="A933" s="302"/>
      <c r="B933" s="303"/>
      <c r="C933" s="303"/>
      <c r="D933" s="304"/>
      <c r="E933" s="304"/>
      <c r="F933" s="304"/>
      <c r="G933" s="304"/>
      <c r="H933" s="303"/>
      <c r="I933" s="304"/>
    </row>
    <row r="934" spans="1:9" x14ac:dyDescent="0.3">
      <c r="A934" s="302"/>
      <c r="B934" s="303"/>
      <c r="C934" s="303"/>
      <c r="D934" s="304"/>
      <c r="E934" s="304"/>
      <c r="F934" s="304"/>
      <c r="G934" s="304"/>
      <c r="H934" s="303"/>
      <c r="I934" s="304"/>
    </row>
    <row r="935" spans="1:9" x14ac:dyDescent="0.3">
      <c r="A935" s="302"/>
      <c r="B935" s="303"/>
      <c r="C935" s="303"/>
      <c r="D935" s="304"/>
      <c r="E935" s="304"/>
      <c r="F935" s="304"/>
      <c r="G935" s="304"/>
      <c r="H935" s="303"/>
      <c r="I935" s="304"/>
    </row>
    <row r="936" spans="1:9" x14ac:dyDescent="0.3">
      <c r="A936" s="302"/>
      <c r="B936" s="303"/>
      <c r="C936" s="303"/>
      <c r="D936" s="304"/>
      <c r="E936" s="304"/>
      <c r="F936" s="304"/>
      <c r="G936" s="304"/>
      <c r="H936" s="303"/>
      <c r="I936" s="304"/>
    </row>
    <row r="937" spans="1:9" x14ac:dyDescent="0.3">
      <c r="A937" s="302"/>
      <c r="B937" s="303"/>
      <c r="C937" s="303"/>
      <c r="D937" s="304"/>
      <c r="E937" s="304"/>
      <c r="F937" s="304"/>
      <c r="G937" s="304"/>
      <c r="H937" s="303"/>
      <c r="I937" s="304"/>
    </row>
    <row r="938" spans="1:9" x14ac:dyDescent="0.3">
      <c r="A938" s="302"/>
      <c r="B938" s="303"/>
      <c r="C938" s="303"/>
      <c r="D938" s="304"/>
      <c r="E938" s="304"/>
      <c r="F938" s="304"/>
      <c r="G938" s="304"/>
      <c r="H938" s="303"/>
      <c r="I938" s="304"/>
    </row>
    <row r="939" spans="1:9" x14ac:dyDescent="0.3">
      <c r="A939" s="302"/>
      <c r="B939" s="303"/>
      <c r="C939" s="303"/>
      <c r="D939" s="304"/>
      <c r="E939" s="304"/>
      <c r="F939" s="304"/>
      <c r="G939" s="304"/>
      <c r="H939" s="303"/>
      <c r="I939" s="304"/>
    </row>
    <row r="940" spans="1:9" x14ac:dyDescent="0.3">
      <c r="A940" s="302"/>
      <c r="B940" s="303"/>
      <c r="C940" s="303"/>
      <c r="D940" s="304"/>
      <c r="E940" s="304"/>
      <c r="F940" s="304"/>
      <c r="G940" s="304"/>
      <c r="H940" s="303"/>
      <c r="I940" s="304"/>
    </row>
    <row r="941" spans="1:9" x14ac:dyDescent="0.3">
      <c r="A941" s="302"/>
      <c r="B941" s="303"/>
      <c r="C941" s="303"/>
      <c r="D941" s="304"/>
      <c r="E941" s="304"/>
      <c r="F941" s="304"/>
      <c r="G941" s="304"/>
      <c r="H941" s="303"/>
      <c r="I941" s="304"/>
    </row>
    <row r="942" spans="1:9" x14ac:dyDescent="0.3">
      <c r="A942" s="302"/>
      <c r="B942" s="303"/>
      <c r="C942" s="303"/>
      <c r="D942" s="304"/>
      <c r="E942" s="304"/>
      <c r="F942" s="304"/>
      <c r="G942" s="304"/>
      <c r="H942" s="303"/>
      <c r="I942" s="304"/>
    </row>
    <row r="943" spans="1:9" x14ac:dyDescent="0.3">
      <c r="A943" s="302"/>
      <c r="B943" s="303"/>
      <c r="C943" s="303"/>
      <c r="D943" s="304"/>
      <c r="E943" s="304"/>
      <c r="F943" s="304"/>
      <c r="G943" s="304"/>
      <c r="H943" s="303"/>
      <c r="I943" s="304"/>
    </row>
    <row r="944" spans="1:9" x14ac:dyDescent="0.3">
      <c r="A944" s="302"/>
      <c r="B944" s="303"/>
      <c r="C944" s="303"/>
      <c r="D944" s="304"/>
      <c r="E944" s="304"/>
      <c r="F944" s="304"/>
      <c r="G944" s="304"/>
      <c r="H944" s="303"/>
      <c r="I944" s="304"/>
    </row>
    <row r="945" spans="1:9" x14ac:dyDescent="0.3">
      <c r="A945" s="302"/>
      <c r="B945" s="303"/>
      <c r="C945" s="303"/>
      <c r="D945" s="304"/>
      <c r="E945" s="304"/>
      <c r="F945" s="304"/>
      <c r="G945" s="304"/>
      <c r="H945" s="303"/>
      <c r="I945" s="304"/>
    </row>
    <row r="946" spans="1:9" x14ac:dyDescent="0.3">
      <c r="A946" s="302"/>
      <c r="B946" s="303"/>
      <c r="C946" s="303"/>
      <c r="D946" s="304"/>
      <c r="E946" s="304"/>
      <c r="F946" s="304"/>
      <c r="G946" s="304"/>
      <c r="H946" s="303"/>
      <c r="I946" s="304"/>
    </row>
    <row r="947" spans="1:9" x14ac:dyDescent="0.3">
      <c r="A947" s="302"/>
      <c r="B947" s="303"/>
      <c r="C947" s="303"/>
      <c r="D947" s="304"/>
      <c r="E947" s="304"/>
      <c r="F947" s="304"/>
      <c r="G947" s="304"/>
      <c r="H947" s="303"/>
      <c r="I947" s="304"/>
    </row>
    <row r="948" spans="1:9" x14ac:dyDescent="0.3">
      <c r="A948" s="302"/>
      <c r="B948" s="303"/>
      <c r="C948" s="303"/>
      <c r="D948" s="304"/>
      <c r="E948" s="304"/>
      <c r="F948" s="304"/>
      <c r="G948" s="304"/>
      <c r="H948" s="303"/>
      <c r="I948" s="304"/>
    </row>
    <row r="949" spans="1:9" x14ac:dyDescent="0.3">
      <c r="A949" s="302"/>
      <c r="B949" s="303"/>
      <c r="C949" s="303"/>
      <c r="D949" s="304"/>
      <c r="E949" s="304"/>
      <c r="F949" s="304"/>
      <c r="G949" s="304"/>
      <c r="H949" s="303"/>
      <c r="I949" s="304"/>
    </row>
    <row r="950" spans="1:9" x14ac:dyDescent="0.3">
      <c r="A950" s="302"/>
      <c r="B950" s="303"/>
      <c r="C950" s="303"/>
      <c r="D950" s="304"/>
      <c r="E950" s="304"/>
      <c r="F950" s="304"/>
      <c r="G950" s="304"/>
      <c r="H950" s="303"/>
      <c r="I950" s="304"/>
    </row>
    <row r="951" spans="1:9" x14ac:dyDescent="0.3">
      <c r="A951" s="302"/>
      <c r="B951" s="303"/>
      <c r="C951" s="303"/>
      <c r="D951" s="304"/>
      <c r="E951" s="304"/>
      <c r="F951" s="304"/>
      <c r="G951" s="304"/>
      <c r="H951" s="303"/>
      <c r="I951" s="304"/>
    </row>
    <row r="952" spans="1:9" x14ac:dyDescent="0.3">
      <c r="A952" s="302"/>
      <c r="B952" s="303"/>
      <c r="C952" s="303"/>
      <c r="D952" s="304"/>
      <c r="E952" s="304"/>
      <c r="F952" s="304"/>
      <c r="G952" s="304"/>
      <c r="H952" s="303"/>
      <c r="I952" s="304"/>
    </row>
    <row r="953" spans="1:9" x14ac:dyDescent="0.3">
      <c r="A953" s="302"/>
      <c r="B953" s="303"/>
      <c r="C953" s="303"/>
      <c r="D953" s="304"/>
      <c r="E953" s="304"/>
      <c r="F953" s="304"/>
      <c r="G953" s="304"/>
      <c r="H953" s="303"/>
      <c r="I953" s="304"/>
    </row>
    <row r="954" spans="1:9" x14ac:dyDescent="0.3">
      <c r="A954" s="302"/>
      <c r="B954" s="303"/>
      <c r="C954" s="303"/>
      <c r="D954" s="304"/>
      <c r="E954" s="304"/>
      <c r="F954" s="304"/>
      <c r="G954" s="304"/>
      <c r="H954" s="303"/>
      <c r="I954" s="304"/>
    </row>
    <row r="955" spans="1:9" x14ac:dyDescent="0.3">
      <c r="A955" s="302"/>
      <c r="B955" s="303"/>
      <c r="C955" s="303"/>
      <c r="D955" s="304"/>
      <c r="E955" s="304"/>
      <c r="F955" s="304"/>
      <c r="G955" s="304"/>
      <c r="H955" s="303"/>
      <c r="I955" s="304"/>
    </row>
    <row r="956" spans="1:9" x14ac:dyDescent="0.3">
      <c r="A956" s="302"/>
      <c r="B956" s="303"/>
      <c r="C956" s="303"/>
      <c r="D956" s="304"/>
      <c r="E956" s="304"/>
      <c r="F956" s="304"/>
      <c r="G956" s="304"/>
      <c r="H956" s="303"/>
      <c r="I956" s="304"/>
    </row>
    <row r="957" spans="1:9" x14ac:dyDescent="0.3">
      <c r="A957" s="302"/>
      <c r="B957" s="303"/>
      <c r="C957" s="303"/>
      <c r="D957" s="304"/>
      <c r="E957" s="304"/>
      <c r="F957" s="304"/>
      <c r="G957" s="304"/>
      <c r="H957" s="303"/>
      <c r="I957" s="304"/>
    </row>
    <row r="958" spans="1:9" x14ac:dyDescent="0.3">
      <c r="A958" s="302"/>
      <c r="B958" s="303"/>
      <c r="C958" s="303"/>
      <c r="D958" s="304"/>
      <c r="E958" s="304"/>
      <c r="F958" s="304"/>
      <c r="G958" s="304"/>
      <c r="H958" s="303"/>
      <c r="I958" s="304"/>
    </row>
    <row r="959" spans="1:9" x14ac:dyDescent="0.3">
      <c r="A959" s="302"/>
      <c r="B959" s="303"/>
      <c r="C959" s="303"/>
      <c r="D959" s="304"/>
      <c r="E959" s="304"/>
      <c r="F959" s="304"/>
      <c r="G959" s="304"/>
      <c r="H959" s="303"/>
      <c r="I959" s="304"/>
    </row>
    <row r="960" spans="1:9" x14ac:dyDescent="0.3">
      <c r="A960" s="302"/>
      <c r="B960" s="303"/>
      <c r="C960" s="303"/>
      <c r="D960" s="304"/>
      <c r="E960" s="304"/>
      <c r="F960" s="304"/>
      <c r="G960" s="304"/>
      <c r="H960" s="303"/>
      <c r="I960" s="304"/>
    </row>
    <row r="961" spans="1:9" x14ac:dyDescent="0.3">
      <c r="A961" s="302"/>
      <c r="B961" s="303"/>
      <c r="C961" s="303"/>
      <c r="D961" s="304"/>
      <c r="E961" s="304"/>
      <c r="F961" s="304"/>
      <c r="G961" s="304"/>
      <c r="H961" s="303"/>
      <c r="I961" s="304"/>
    </row>
    <row r="962" spans="1:9" x14ac:dyDescent="0.3">
      <c r="A962" s="302"/>
      <c r="B962" s="303"/>
      <c r="C962" s="303"/>
      <c r="D962" s="304"/>
      <c r="E962" s="304"/>
      <c r="F962" s="304"/>
      <c r="G962" s="304"/>
      <c r="H962" s="303"/>
      <c r="I962" s="304"/>
    </row>
    <row r="963" spans="1:9" x14ac:dyDescent="0.3">
      <c r="A963" s="302"/>
      <c r="B963" s="303"/>
      <c r="C963" s="303"/>
      <c r="D963" s="304"/>
      <c r="E963" s="304"/>
      <c r="F963" s="304"/>
      <c r="G963" s="304"/>
      <c r="H963" s="303"/>
      <c r="I963" s="304"/>
    </row>
    <row r="964" spans="1:9" x14ac:dyDescent="0.3">
      <c r="A964" s="302"/>
      <c r="B964" s="303"/>
      <c r="C964" s="303"/>
      <c r="D964" s="304"/>
      <c r="E964" s="304"/>
      <c r="F964" s="304"/>
      <c r="G964" s="304"/>
      <c r="H964" s="303"/>
      <c r="I964" s="304"/>
    </row>
    <row r="965" spans="1:9" x14ac:dyDescent="0.3">
      <c r="A965" s="302"/>
      <c r="B965" s="303"/>
      <c r="C965" s="303"/>
      <c r="D965" s="304"/>
      <c r="E965" s="304"/>
      <c r="F965" s="304"/>
      <c r="G965" s="304"/>
      <c r="H965" s="303"/>
      <c r="I965" s="304"/>
    </row>
    <row r="966" spans="1:9" x14ac:dyDescent="0.3">
      <c r="A966" s="302"/>
      <c r="B966" s="303"/>
      <c r="C966" s="303"/>
      <c r="D966" s="304"/>
      <c r="E966" s="304"/>
      <c r="F966" s="304"/>
      <c r="G966" s="304"/>
      <c r="H966" s="303"/>
      <c r="I966" s="304"/>
    </row>
    <row r="967" spans="1:9" x14ac:dyDescent="0.3">
      <c r="A967" s="302"/>
      <c r="B967" s="303"/>
      <c r="C967" s="303"/>
      <c r="D967" s="304"/>
      <c r="E967" s="304"/>
      <c r="F967" s="304"/>
      <c r="G967" s="304"/>
      <c r="H967" s="303"/>
      <c r="I967" s="304"/>
    </row>
    <row r="968" spans="1:9" x14ac:dyDescent="0.3">
      <c r="A968" s="302"/>
      <c r="B968" s="303"/>
      <c r="C968" s="303"/>
      <c r="D968" s="304"/>
      <c r="E968" s="304"/>
      <c r="F968" s="304"/>
      <c r="G968" s="304"/>
      <c r="H968" s="303"/>
      <c r="I968" s="304"/>
    </row>
    <row r="969" spans="1:9" x14ac:dyDescent="0.3">
      <c r="A969" s="302"/>
      <c r="B969" s="303"/>
      <c r="C969" s="303"/>
      <c r="D969" s="304"/>
      <c r="E969" s="304"/>
      <c r="F969" s="304"/>
      <c r="G969" s="304"/>
      <c r="H969" s="303"/>
      <c r="I969" s="304"/>
    </row>
    <row r="970" spans="1:9" x14ac:dyDescent="0.3">
      <c r="A970" s="302"/>
      <c r="B970" s="303"/>
      <c r="C970" s="303"/>
      <c r="D970" s="304"/>
      <c r="E970" s="304"/>
      <c r="F970" s="304"/>
      <c r="G970" s="304"/>
      <c r="H970" s="303"/>
      <c r="I970" s="304"/>
    </row>
    <row r="971" spans="1:9" x14ac:dyDescent="0.3">
      <c r="A971" s="302"/>
      <c r="B971" s="303"/>
      <c r="C971" s="303"/>
      <c r="D971" s="304"/>
      <c r="E971" s="304"/>
      <c r="F971" s="304"/>
      <c r="G971" s="304"/>
      <c r="H971" s="303"/>
      <c r="I971" s="304"/>
    </row>
    <row r="972" spans="1:9" x14ac:dyDescent="0.3">
      <c r="A972" s="302"/>
      <c r="B972" s="303"/>
      <c r="C972" s="303"/>
      <c r="D972" s="304"/>
      <c r="E972" s="304"/>
      <c r="F972" s="304"/>
      <c r="G972" s="304"/>
      <c r="H972" s="303"/>
      <c r="I972" s="304"/>
    </row>
    <row r="973" spans="1:9" x14ac:dyDescent="0.3">
      <c r="A973" s="302"/>
      <c r="B973" s="303"/>
      <c r="C973" s="303"/>
      <c r="D973" s="304"/>
      <c r="E973" s="304"/>
      <c r="F973" s="304"/>
      <c r="G973" s="304"/>
      <c r="H973" s="303"/>
      <c r="I973" s="304"/>
    </row>
    <row r="974" spans="1:9" x14ac:dyDescent="0.3">
      <c r="A974" s="302"/>
      <c r="B974" s="303"/>
      <c r="C974" s="303"/>
      <c r="D974" s="304"/>
      <c r="E974" s="304"/>
      <c r="F974" s="304"/>
      <c r="G974" s="304"/>
      <c r="H974" s="303"/>
      <c r="I974" s="304"/>
    </row>
    <row r="975" spans="1:9" x14ac:dyDescent="0.3">
      <c r="A975" s="302"/>
      <c r="B975" s="303"/>
      <c r="C975" s="303"/>
      <c r="D975" s="304"/>
      <c r="E975" s="304"/>
      <c r="F975" s="304"/>
      <c r="G975" s="304"/>
      <c r="H975" s="303"/>
      <c r="I975" s="304"/>
    </row>
    <row r="976" spans="1:9" x14ac:dyDescent="0.3">
      <c r="A976" s="302"/>
      <c r="B976" s="303"/>
      <c r="C976" s="303"/>
      <c r="D976" s="304"/>
      <c r="E976" s="304"/>
      <c r="F976" s="304"/>
      <c r="G976" s="304"/>
      <c r="H976" s="303"/>
      <c r="I976" s="304"/>
    </row>
    <row r="977" spans="1:9" x14ac:dyDescent="0.3">
      <c r="A977" s="302"/>
      <c r="B977" s="303"/>
      <c r="C977" s="303"/>
      <c r="D977" s="304"/>
      <c r="E977" s="304"/>
      <c r="F977" s="304"/>
      <c r="G977" s="304"/>
      <c r="H977" s="303"/>
      <c r="I977" s="304"/>
    </row>
    <row r="978" spans="1:9" x14ac:dyDescent="0.3">
      <c r="A978" s="302"/>
      <c r="B978" s="303"/>
      <c r="C978" s="303"/>
      <c r="D978" s="304"/>
      <c r="E978" s="304"/>
      <c r="F978" s="304"/>
      <c r="G978" s="304"/>
      <c r="H978" s="303"/>
      <c r="I978" s="304"/>
    </row>
    <row r="979" spans="1:9" x14ac:dyDescent="0.3">
      <c r="A979" s="302"/>
      <c r="B979" s="303"/>
      <c r="C979" s="303"/>
      <c r="D979" s="304"/>
      <c r="E979" s="304"/>
      <c r="F979" s="304"/>
      <c r="G979" s="304"/>
      <c r="H979" s="303"/>
      <c r="I979" s="304"/>
    </row>
    <row r="980" spans="1:9" x14ac:dyDescent="0.3">
      <c r="A980" s="302"/>
      <c r="B980" s="303"/>
      <c r="C980" s="303"/>
      <c r="D980" s="304"/>
      <c r="E980" s="304"/>
      <c r="F980" s="304"/>
      <c r="G980" s="304"/>
      <c r="H980" s="303"/>
      <c r="I980" s="304"/>
    </row>
    <row r="981" spans="1:9" x14ac:dyDescent="0.3">
      <c r="A981" s="302"/>
      <c r="B981" s="303"/>
      <c r="C981" s="303"/>
      <c r="D981" s="304"/>
      <c r="E981" s="304"/>
      <c r="F981" s="304"/>
      <c r="G981" s="304"/>
      <c r="H981" s="303"/>
      <c r="I981" s="304"/>
    </row>
    <row r="982" spans="1:9" x14ac:dyDescent="0.3">
      <c r="A982" s="302"/>
      <c r="B982" s="303"/>
      <c r="C982" s="303"/>
      <c r="D982" s="304"/>
      <c r="E982" s="304"/>
      <c r="F982" s="304"/>
      <c r="G982" s="304"/>
      <c r="H982" s="303"/>
      <c r="I982" s="304"/>
    </row>
    <row r="983" spans="1:9" x14ac:dyDescent="0.3">
      <c r="A983" s="302"/>
      <c r="B983" s="303"/>
      <c r="C983" s="303"/>
      <c r="D983" s="304"/>
      <c r="E983" s="304"/>
      <c r="F983" s="304"/>
      <c r="G983" s="304"/>
      <c r="H983" s="303"/>
      <c r="I983" s="304"/>
    </row>
    <row r="984" spans="1:9" x14ac:dyDescent="0.3">
      <c r="A984" s="302"/>
      <c r="B984" s="303"/>
      <c r="C984" s="303"/>
      <c r="D984" s="304"/>
      <c r="E984" s="304"/>
      <c r="F984" s="304"/>
      <c r="G984" s="304"/>
      <c r="H984" s="303"/>
      <c r="I984" s="304"/>
    </row>
    <row r="985" spans="1:9" x14ac:dyDescent="0.3">
      <c r="A985" s="302"/>
      <c r="B985" s="303"/>
      <c r="C985" s="303"/>
      <c r="D985" s="304"/>
      <c r="E985" s="304"/>
      <c r="F985" s="304"/>
      <c r="G985" s="304"/>
      <c r="H985" s="303"/>
      <c r="I985" s="304"/>
    </row>
    <row r="986" spans="1:9" x14ac:dyDescent="0.3">
      <c r="A986" s="302"/>
      <c r="B986" s="303"/>
      <c r="C986" s="303"/>
      <c r="D986" s="304"/>
      <c r="E986" s="304"/>
      <c r="F986" s="304"/>
      <c r="G986" s="304"/>
      <c r="H986" s="303"/>
      <c r="I986" s="304"/>
    </row>
    <row r="987" spans="1:9" x14ac:dyDescent="0.3">
      <c r="A987" s="302"/>
      <c r="B987" s="303"/>
      <c r="C987" s="303"/>
      <c r="D987" s="304"/>
      <c r="E987" s="304"/>
      <c r="F987" s="304"/>
      <c r="G987" s="304"/>
      <c r="H987" s="303"/>
      <c r="I987" s="304"/>
    </row>
    <row r="988" spans="1:9" x14ac:dyDescent="0.3">
      <c r="A988" s="302"/>
      <c r="B988" s="303"/>
      <c r="C988" s="303"/>
      <c r="D988" s="304"/>
      <c r="E988" s="304"/>
      <c r="F988" s="304"/>
      <c r="G988" s="304"/>
      <c r="H988" s="303"/>
      <c r="I988" s="304"/>
    </row>
    <row r="989" spans="1:9" x14ac:dyDescent="0.3">
      <c r="A989" s="302"/>
      <c r="B989" s="303"/>
      <c r="C989" s="303"/>
      <c r="D989" s="304"/>
      <c r="E989" s="304"/>
      <c r="F989" s="304"/>
      <c r="G989" s="304"/>
      <c r="H989" s="303"/>
      <c r="I989" s="304"/>
    </row>
    <row r="990" spans="1:9" x14ac:dyDescent="0.3">
      <c r="A990" s="302"/>
      <c r="B990" s="303"/>
      <c r="C990" s="303"/>
      <c r="D990" s="304"/>
      <c r="E990" s="304"/>
      <c r="F990" s="304"/>
      <c r="G990" s="304"/>
      <c r="H990" s="303"/>
      <c r="I990" s="304"/>
    </row>
    <row r="991" spans="1:9" x14ac:dyDescent="0.3">
      <c r="A991" s="302"/>
      <c r="B991" s="303"/>
      <c r="C991" s="303"/>
      <c r="D991" s="304"/>
      <c r="E991" s="304"/>
      <c r="F991" s="304"/>
      <c r="G991" s="304"/>
      <c r="H991" s="303"/>
      <c r="I991" s="304"/>
    </row>
    <row r="992" spans="1:9" x14ac:dyDescent="0.3">
      <c r="A992" s="302"/>
      <c r="B992" s="303"/>
      <c r="C992" s="303"/>
      <c r="D992" s="304"/>
      <c r="E992" s="304"/>
      <c r="F992" s="304"/>
      <c r="G992" s="304"/>
      <c r="H992" s="303"/>
      <c r="I992" s="304"/>
    </row>
    <row r="993" spans="1:9" x14ac:dyDescent="0.3">
      <c r="A993" s="302"/>
      <c r="B993" s="303"/>
      <c r="C993" s="303"/>
      <c r="D993" s="304"/>
      <c r="E993" s="304"/>
      <c r="F993" s="304"/>
      <c r="G993" s="304"/>
      <c r="H993" s="303"/>
      <c r="I993" s="304"/>
    </row>
    <row r="994" spans="1:9" x14ac:dyDescent="0.3">
      <c r="A994" s="302"/>
      <c r="B994" s="303"/>
      <c r="C994" s="303"/>
      <c r="D994" s="304"/>
      <c r="E994" s="304"/>
      <c r="F994" s="304"/>
      <c r="G994" s="304"/>
      <c r="H994" s="303"/>
      <c r="I994" s="304"/>
    </row>
    <row r="995" spans="1:9" x14ac:dyDescent="0.3">
      <c r="A995" s="302"/>
      <c r="B995" s="303"/>
      <c r="C995" s="303"/>
      <c r="D995" s="304"/>
      <c r="E995" s="304"/>
      <c r="F995" s="304"/>
      <c r="G995" s="304"/>
      <c r="H995" s="303"/>
      <c r="I995" s="304"/>
    </row>
    <row r="996" spans="1:9" x14ac:dyDescent="0.3">
      <c r="A996" s="302"/>
      <c r="B996" s="303"/>
      <c r="C996" s="303"/>
      <c r="D996" s="304"/>
      <c r="E996" s="304"/>
      <c r="F996" s="304"/>
      <c r="G996" s="304"/>
      <c r="H996" s="303"/>
      <c r="I996" s="304"/>
    </row>
    <row r="997" spans="1:9" x14ac:dyDescent="0.3">
      <c r="A997" s="302"/>
      <c r="B997" s="303"/>
      <c r="C997" s="303"/>
      <c r="D997" s="304"/>
      <c r="E997" s="304"/>
      <c r="F997" s="304"/>
      <c r="G997" s="304"/>
      <c r="H997" s="303"/>
      <c r="I997" s="304"/>
    </row>
    <row r="998" spans="1:9" x14ac:dyDescent="0.3">
      <c r="A998" s="302"/>
      <c r="B998" s="303"/>
      <c r="C998" s="303"/>
      <c r="D998" s="304"/>
      <c r="E998" s="304"/>
      <c r="F998" s="304"/>
      <c r="G998" s="304"/>
      <c r="H998" s="303"/>
      <c r="I998" s="304"/>
    </row>
    <row r="999" spans="1:9" x14ac:dyDescent="0.3">
      <c r="A999" s="302"/>
      <c r="B999" s="303"/>
      <c r="C999" s="303"/>
      <c r="D999" s="304"/>
      <c r="E999" s="304"/>
      <c r="F999" s="304"/>
      <c r="G999" s="304"/>
      <c r="H999" s="303"/>
      <c r="I999" s="304"/>
    </row>
    <row r="1000" spans="1:9" x14ac:dyDescent="0.3">
      <c r="A1000" s="302"/>
      <c r="B1000" s="303"/>
      <c r="C1000" s="303"/>
      <c r="D1000" s="304"/>
      <c r="E1000" s="304"/>
      <c r="F1000" s="304"/>
      <c r="G1000" s="304"/>
      <c r="H1000" s="303"/>
      <c r="I1000" s="304"/>
    </row>
    <row r="1001" spans="1:9" x14ac:dyDescent="0.3">
      <c r="A1001" s="302"/>
      <c r="B1001" s="303"/>
      <c r="C1001" s="303"/>
      <c r="D1001" s="304"/>
      <c r="E1001" s="304"/>
      <c r="F1001" s="304"/>
      <c r="G1001" s="304"/>
      <c r="H1001" s="303"/>
      <c r="I1001" s="304"/>
    </row>
    <row r="1002" spans="1:9" x14ac:dyDescent="0.3">
      <c r="A1002" s="302"/>
      <c r="B1002" s="303"/>
      <c r="C1002" s="303"/>
      <c r="D1002" s="304"/>
      <c r="E1002" s="304"/>
      <c r="F1002" s="304"/>
      <c r="G1002" s="304"/>
      <c r="H1002" s="303"/>
      <c r="I1002" s="304"/>
    </row>
    <row r="1003" spans="1:9" x14ac:dyDescent="0.3">
      <c r="A1003" s="302"/>
      <c r="B1003" s="303"/>
      <c r="C1003" s="303"/>
      <c r="D1003" s="304"/>
      <c r="E1003" s="304"/>
      <c r="F1003" s="304"/>
      <c r="G1003" s="304"/>
      <c r="H1003" s="303"/>
      <c r="I1003" s="304"/>
    </row>
    <row r="1004" spans="1:9" x14ac:dyDescent="0.3">
      <c r="A1004" s="302"/>
      <c r="B1004" s="303"/>
      <c r="C1004" s="303"/>
      <c r="D1004" s="304"/>
      <c r="E1004" s="304"/>
      <c r="F1004" s="304"/>
      <c r="G1004" s="304"/>
      <c r="H1004" s="303"/>
      <c r="I1004" s="304"/>
    </row>
    <row r="1005" spans="1:9" x14ac:dyDescent="0.3">
      <c r="A1005" s="302"/>
      <c r="B1005" s="303"/>
      <c r="C1005" s="303"/>
      <c r="D1005" s="304"/>
      <c r="E1005" s="304"/>
      <c r="F1005" s="304"/>
      <c r="G1005" s="304"/>
      <c r="H1005" s="303"/>
      <c r="I1005" s="304"/>
    </row>
    <row r="1006" spans="1:9" x14ac:dyDescent="0.3">
      <c r="A1006" s="302"/>
      <c r="B1006" s="303"/>
      <c r="C1006" s="303"/>
      <c r="D1006" s="304"/>
      <c r="E1006" s="304"/>
      <c r="F1006" s="304"/>
      <c r="G1006" s="304"/>
      <c r="H1006" s="303"/>
      <c r="I1006" s="304"/>
    </row>
    <row r="1007" spans="1:9" x14ac:dyDescent="0.3">
      <c r="A1007" s="302"/>
      <c r="B1007" s="303"/>
      <c r="C1007" s="303"/>
      <c r="D1007" s="304"/>
      <c r="E1007" s="304"/>
      <c r="F1007" s="304"/>
      <c r="G1007" s="304"/>
      <c r="H1007" s="303"/>
      <c r="I1007" s="304"/>
    </row>
    <row r="1008" spans="1:9" x14ac:dyDescent="0.3">
      <c r="A1008" s="302"/>
      <c r="B1008" s="303"/>
      <c r="C1008" s="303"/>
      <c r="D1008" s="304"/>
      <c r="E1008" s="304"/>
      <c r="F1008" s="304"/>
      <c r="G1008" s="304"/>
      <c r="H1008" s="303"/>
      <c r="I1008" s="304"/>
    </row>
    <row r="1009" spans="1:9" x14ac:dyDescent="0.3">
      <c r="A1009" s="302"/>
      <c r="B1009" s="303"/>
      <c r="C1009" s="303"/>
      <c r="D1009" s="304"/>
      <c r="E1009" s="304"/>
      <c r="F1009" s="304"/>
      <c r="G1009" s="304"/>
      <c r="H1009" s="303"/>
      <c r="I1009" s="304"/>
    </row>
    <row r="1010" spans="1:9" x14ac:dyDescent="0.3">
      <c r="A1010" s="302"/>
      <c r="B1010" s="303"/>
      <c r="C1010" s="303"/>
      <c r="D1010" s="304"/>
      <c r="E1010" s="304"/>
      <c r="F1010" s="304"/>
      <c r="G1010" s="304"/>
      <c r="H1010" s="303"/>
      <c r="I1010" s="304"/>
    </row>
    <row r="1011" spans="1:9" x14ac:dyDescent="0.3">
      <c r="A1011" s="302"/>
      <c r="B1011" s="303"/>
      <c r="C1011" s="303"/>
      <c r="D1011" s="304"/>
      <c r="E1011" s="304"/>
      <c r="F1011" s="304"/>
      <c r="G1011" s="304"/>
      <c r="H1011" s="303"/>
      <c r="I1011" s="304"/>
    </row>
    <row r="1012" spans="1:9" x14ac:dyDescent="0.3">
      <c r="A1012" s="302"/>
      <c r="B1012" s="303"/>
      <c r="C1012" s="303"/>
      <c r="D1012" s="304"/>
      <c r="E1012" s="304"/>
      <c r="F1012" s="304"/>
      <c r="G1012" s="304"/>
      <c r="H1012" s="303"/>
      <c r="I1012" s="304"/>
    </row>
    <row r="1013" spans="1:9" x14ac:dyDescent="0.3">
      <c r="A1013" s="302"/>
      <c r="B1013" s="303"/>
      <c r="C1013" s="303"/>
      <c r="D1013" s="304"/>
      <c r="E1013" s="304"/>
      <c r="F1013" s="304"/>
      <c r="G1013" s="304"/>
      <c r="H1013" s="303"/>
      <c r="I1013" s="304"/>
    </row>
    <row r="1014" spans="1:9" x14ac:dyDescent="0.3">
      <c r="A1014" s="302"/>
      <c r="B1014" s="303"/>
      <c r="C1014" s="303"/>
      <c r="D1014" s="304"/>
      <c r="E1014" s="304"/>
      <c r="F1014" s="304"/>
      <c r="G1014" s="304"/>
      <c r="H1014" s="303"/>
      <c r="I1014" s="304"/>
    </row>
    <row r="1015" spans="1:9" x14ac:dyDescent="0.3">
      <c r="A1015" s="302"/>
      <c r="B1015" s="303"/>
      <c r="C1015" s="303"/>
      <c r="D1015" s="304"/>
      <c r="E1015" s="304"/>
      <c r="F1015" s="304"/>
      <c r="G1015" s="304"/>
      <c r="H1015" s="303"/>
      <c r="I1015" s="304"/>
    </row>
    <row r="1016" spans="1:9" x14ac:dyDescent="0.3">
      <c r="A1016" s="302"/>
      <c r="B1016" s="303"/>
      <c r="C1016" s="303"/>
      <c r="D1016" s="304"/>
      <c r="E1016" s="304"/>
      <c r="F1016" s="304"/>
      <c r="G1016" s="304"/>
      <c r="H1016" s="303"/>
      <c r="I1016" s="304"/>
    </row>
    <row r="1017" spans="1:9" x14ac:dyDescent="0.3">
      <c r="A1017" s="302"/>
      <c r="B1017" s="303"/>
      <c r="C1017" s="303"/>
      <c r="D1017" s="304"/>
      <c r="E1017" s="304"/>
      <c r="F1017" s="304"/>
      <c r="G1017" s="304"/>
      <c r="H1017" s="303"/>
      <c r="I1017" s="304"/>
    </row>
    <row r="1018" spans="1:9" x14ac:dyDescent="0.3">
      <c r="A1018" s="302"/>
      <c r="B1018" s="303"/>
      <c r="C1018" s="303"/>
      <c r="D1018" s="304"/>
      <c r="E1018" s="304"/>
      <c r="F1018" s="304"/>
      <c r="G1018" s="304"/>
      <c r="H1018" s="303"/>
      <c r="I1018" s="304"/>
    </row>
    <row r="1019" spans="1:9" x14ac:dyDescent="0.3">
      <c r="A1019" s="302"/>
      <c r="B1019" s="303"/>
      <c r="C1019" s="303"/>
      <c r="D1019" s="304"/>
      <c r="E1019" s="304"/>
      <c r="F1019" s="304"/>
      <c r="G1019" s="304"/>
      <c r="H1019" s="303"/>
      <c r="I1019" s="304"/>
    </row>
    <row r="1020" spans="1:9" x14ac:dyDescent="0.3">
      <c r="A1020" s="302"/>
      <c r="B1020" s="303"/>
      <c r="C1020" s="303"/>
      <c r="D1020" s="304"/>
      <c r="E1020" s="304"/>
      <c r="F1020" s="304"/>
      <c r="G1020" s="304"/>
      <c r="H1020" s="303"/>
      <c r="I1020" s="304"/>
    </row>
    <row r="1021" spans="1:9" x14ac:dyDescent="0.3">
      <c r="A1021" s="302"/>
      <c r="B1021" s="303"/>
      <c r="C1021" s="303"/>
      <c r="D1021" s="304"/>
      <c r="E1021" s="304"/>
      <c r="F1021" s="304"/>
      <c r="G1021" s="304"/>
      <c r="H1021" s="303"/>
      <c r="I1021" s="304"/>
    </row>
    <row r="1022" spans="1:9" x14ac:dyDescent="0.3">
      <c r="A1022" s="302"/>
      <c r="B1022" s="303"/>
      <c r="C1022" s="303"/>
      <c r="D1022" s="304"/>
      <c r="E1022" s="304"/>
      <c r="F1022" s="304"/>
      <c r="G1022" s="304"/>
      <c r="H1022" s="303"/>
      <c r="I1022" s="304"/>
    </row>
    <row r="1023" spans="1:9" x14ac:dyDescent="0.3">
      <c r="A1023" s="302"/>
      <c r="B1023" s="303"/>
      <c r="C1023" s="303"/>
      <c r="D1023" s="304"/>
      <c r="E1023" s="304"/>
      <c r="F1023" s="304"/>
      <c r="G1023" s="304"/>
      <c r="H1023" s="303"/>
      <c r="I1023" s="304"/>
    </row>
    <row r="1024" spans="1:9" x14ac:dyDescent="0.3">
      <c r="A1024" s="302"/>
      <c r="B1024" s="303"/>
      <c r="C1024" s="303"/>
      <c r="D1024" s="304"/>
      <c r="E1024" s="304"/>
      <c r="F1024" s="304"/>
      <c r="G1024" s="304"/>
      <c r="H1024" s="303"/>
      <c r="I1024" s="304"/>
    </row>
    <row r="1025" spans="1:9" x14ac:dyDescent="0.3">
      <c r="A1025" s="302"/>
      <c r="B1025" s="303"/>
      <c r="C1025" s="303"/>
      <c r="D1025" s="304"/>
      <c r="E1025" s="304"/>
      <c r="F1025" s="304"/>
      <c r="G1025" s="304"/>
      <c r="H1025" s="303"/>
      <c r="I1025" s="304"/>
    </row>
    <row r="1026" spans="1:9" x14ac:dyDescent="0.3">
      <c r="A1026" s="302"/>
      <c r="B1026" s="303"/>
      <c r="C1026" s="303"/>
      <c r="D1026" s="304"/>
      <c r="E1026" s="304"/>
      <c r="F1026" s="304"/>
      <c r="G1026" s="304"/>
      <c r="H1026" s="303"/>
      <c r="I1026" s="304"/>
    </row>
    <row r="1027" spans="1:9" x14ac:dyDescent="0.3">
      <c r="A1027" s="302"/>
      <c r="B1027" s="303"/>
      <c r="C1027" s="303"/>
      <c r="D1027" s="304"/>
      <c r="E1027" s="304"/>
      <c r="F1027" s="304"/>
      <c r="G1027" s="304"/>
      <c r="H1027" s="303"/>
      <c r="I1027" s="304"/>
    </row>
    <row r="1028" spans="1:9" x14ac:dyDescent="0.3">
      <c r="A1028" s="302"/>
      <c r="B1028" s="303"/>
      <c r="C1028" s="303"/>
      <c r="D1028" s="304"/>
      <c r="E1028" s="304"/>
      <c r="F1028" s="304"/>
      <c r="G1028" s="304"/>
      <c r="H1028" s="303"/>
      <c r="I1028" s="304"/>
    </row>
    <row r="1029" spans="1:9" x14ac:dyDescent="0.3">
      <c r="A1029" s="302"/>
      <c r="B1029" s="303"/>
      <c r="C1029" s="303"/>
      <c r="D1029" s="304"/>
      <c r="E1029" s="304"/>
      <c r="F1029" s="304"/>
      <c r="G1029" s="304"/>
      <c r="H1029" s="303"/>
      <c r="I1029" s="304"/>
    </row>
    <row r="1030" spans="1:9" x14ac:dyDescent="0.3">
      <c r="A1030" s="302"/>
      <c r="B1030" s="303"/>
      <c r="C1030" s="303"/>
      <c r="D1030" s="304"/>
      <c r="E1030" s="304"/>
      <c r="F1030" s="304"/>
      <c r="G1030" s="304"/>
      <c r="H1030" s="303"/>
      <c r="I1030" s="304"/>
    </row>
    <row r="1031" spans="1:9" x14ac:dyDescent="0.3">
      <c r="A1031" s="302"/>
      <c r="B1031" s="303"/>
      <c r="C1031" s="303"/>
      <c r="D1031" s="304"/>
      <c r="E1031" s="304"/>
      <c r="F1031" s="304"/>
      <c r="G1031" s="304"/>
      <c r="H1031" s="303"/>
      <c r="I1031" s="304"/>
    </row>
    <row r="1032" spans="1:9" x14ac:dyDescent="0.3">
      <c r="A1032" s="302"/>
      <c r="B1032" s="303"/>
      <c r="C1032" s="303"/>
      <c r="D1032" s="304"/>
      <c r="E1032" s="304"/>
      <c r="F1032" s="304"/>
      <c r="G1032" s="304"/>
      <c r="H1032" s="303"/>
      <c r="I1032" s="304"/>
    </row>
    <row r="1033" spans="1:9" x14ac:dyDescent="0.3">
      <c r="A1033" s="302"/>
      <c r="B1033" s="303"/>
      <c r="C1033" s="303"/>
      <c r="D1033" s="304"/>
      <c r="E1033" s="304"/>
      <c r="F1033" s="304"/>
      <c r="G1033" s="304"/>
      <c r="H1033" s="303"/>
      <c r="I1033" s="304"/>
    </row>
    <row r="1034" spans="1:9" x14ac:dyDescent="0.3">
      <c r="A1034" s="302"/>
      <c r="B1034" s="303"/>
      <c r="C1034" s="303"/>
      <c r="D1034" s="304"/>
      <c r="E1034" s="304"/>
      <c r="F1034" s="304"/>
      <c r="G1034" s="304"/>
      <c r="H1034" s="303"/>
      <c r="I1034" s="304"/>
    </row>
    <row r="1035" spans="1:9" x14ac:dyDescent="0.3">
      <c r="A1035" s="302"/>
      <c r="B1035" s="303"/>
      <c r="C1035" s="303"/>
      <c r="D1035" s="304"/>
      <c r="E1035" s="304"/>
      <c r="F1035" s="304"/>
      <c r="G1035" s="304"/>
      <c r="H1035" s="303"/>
      <c r="I1035" s="304"/>
    </row>
    <row r="1036" spans="1:9" x14ac:dyDescent="0.3">
      <c r="A1036" s="302"/>
      <c r="B1036" s="303"/>
      <c r="C1036" s="303"/>
      <c r="D1036" s="304"/>
      <c r="E1036" s="304"/>
      <c r="F1036" s="304"/>
      <c r="G1036" s="304"/>
      <c r="H1036" s="303"/>
      <c r="I1036" s="304"/>
    </row>
    <row r="1037" spans="1:9" x14ac:dyDescent="0.3">
      <c r="A1037" s="302"/>
      <c r="B1037" s="303"/>
      <c r="C1037" s="303"/>
      <c r="D1037" s="304"/>
      <c r="E1037" s="304"/>
      <c r="F1037" s="304"/>
      <c r="G1037" s="304"/>
      <c r="H1037" s="303"/>
      <c r="I1037" s="304"/>
    </row>
    <row r="1038" spans="1:9" x14ac:dyDescent="0.3">
      <c r="A1038" s="302"/>
      <c r="B1038" s="303"/>
      <c r="C1038" s="303"/>
      <c r="D1038" s="304"/>
      <c r="E1038" s="304"/>
      <c r="F1038" s="304"/>
      <c r="G1038" s="304"/>
      <c r="H1038" s="303"/>
      <c r="I1038" s="304"/>
    </row>
    <row r="1039" spans="1:9" x14ac:dyDescent="0.3">
      <c r="A1039" s="302"/>
      <c r="B1039" s="303"/>
      <c r="C1039" s="303"/>
      <c r="D1039" s="304"/>
      <c r="E1039" s="304"/>
      <c r="F1039" s="304"/>
      <c r="G1039" s="304"/>
      <c r="H1039" s="303"/>
      <c r="I1039" s="304"/>
    </row>
    <row r="1040" spans="1:9" x14ac:dyDescent="0.3">
      <c r="A1040" s="302"/>
      <c r="B1040" s="303"/>
      <c r="C1040" s="303"/>
      <c r="D1040" s="304"/>
      <c r="E1040" s="304"/>
      <c r="F1040" s="304"/>
      <c r="G1040" s="304"/>
      <c r="H1040" s="303"/>
      <c r="I1040" s="304"/>
    </row>
    <row r="1041" spans="1:9" x14ac:dyDescent="0.3">
      <c r="A1041" s="302"/>
      <c r="B1041" s="303"/>
      <c r="C1041" s="303"/>
      <c r="D1041" s="304"/>
      <c r="E1041" s="304"/>
      <c r="F1041" s="304"/>
      <c r="G1041" s="304"/>
      <c r="H1041" s="303"/>
      <c r="I1041" s="304"/>
    </row>
    <row r="1042" spans="1:9" x14ac:dyDescent="0.3">
      <c r="A1042" s="302"/>
      <c r="B1042" s="303"/>
      <c r="C1042" s="303"/>
      <c r="D1042" s="304"/>
      <c r="E1042" s="304"/>
      <c r="F1042" s="304"/>
      <c r="G1042" s="304"/>
      <c r="H1042" s="303"/>
      <c r="I1042" s="304"/>
    </row>
    <row r="1043" spans="1:9" x14ac:dyDescent="0.3">
      <c r="A1043" s="302"/>
      <c r="B1043" s="303"/>
      <c r="C1043" s="303"/>
      <c r="D1043" s="304"/>
      <c r="E1043" s="304"/>
      <c r="F1043" s="304"/>
      <c r="G1043" s="304"/>
      <c r="H1043" s="303"/>
      <c r="I1043" s="304"/>
    </row>
    <row r="1044" spans="1:9" x14ac:dyDescent="0.3">
      <c r="A1044" s="302"/>
      <c r="B1044" s="303"/>
      <c r="C1044" s="303"/>
      <c r="D1044" s="304"/>
      <c r="E1044" s="304"/>
      <c r="F1044" s="304"/>
      <c r="G1044" s="304"/>
      <c r="H1044" s="303"/>
      <c r="I1044" s="304"/>
    </row>
    <row r="1045" spans="1:9" x14ac:dyDescent="0.3">
      <c r="A1045" s="302"/>
      <c r="B1045" s="303"/>
      <c r="C1045" s="303"/>
      <c r="D1045" s="304"/>
      <c r="E1045" s="304"/>
      <c r="F1045" s="304"/>
      <c r="G1045" s="304"/>
      <c r="H1045" s="303"/>
      <c r="I1045" s="304"/>
    </row>
    <row r="1046" spans="1:9" x14ac:dyDescent="0.3">
      <c r="A1046" s="302"/>
      <c r="B1046" s="303"/>
      <c r="C1046" s="303"/>
      <c r="D1046" s="304"/>
      <c r="E1046" s="304"/>
      <c r="F1046" s="304"/>
      <c r="G1046" s="304"/>
      <c r="H1046" s="303"/>
      <c r="I1046" s="304"/>
    </row>
    <row r="1047" spans="1:9" x14ac:dyDescent="0.3">
      <c r="A1047" s="302"/>
      <c r="B1047" s="303"/>
      <c r="C1047" s="303"/>
      <c r="D1047" s="304"/>
      <c r="E1047" s="304"/>
      <c r="F1047" s="304"/>
      <c r="G1047" s="304"/>
      <c r="H1047" s="303"/>
      <c r="I1047" s="304"/>
    </row>
    <row r="1048" spans="1:9" x14ac:dyDescent="0.3">
      <c r="A1048" s="302"/>
      <c r="B1048" s="303"/>
      <c r="C1048" s="303"/>
      <c r="D1048" s="304"/>
      <c r="E1048" s="304"/>
      <c r="F1048" s="304"/>
      <c r="G1048" s="304"/>
      <c r="H1048" s="303"/>
      <c r="I1048" s="304"/>
    </row>
    <row r="1049" spans="1:9" x14ac:dyDescent="0.3">
      <c r="A1049" s="302"/>
      <c r="B1049" s="303"/>
      <c r="C1049" s="303"/>
      <c r="D1049" s="304"/>
      <c r="E1049" s="304"/>
      <c r="F1049" s="304"/>
      <c r="G1049" s="304"/>
      <c r="H1049" s="303"/>
      <c r="I1049" s="304"/>
    </row>
    <row r="1050" spans="1:9" x14ac:dyDescent="0.3">
      <c r="A1050" s="302"/>
      <c r="B1050" s="303"/>
      <c r="C1050" s="303"/>
      <c r="D1050" s="304"/>
      <c r="E1050" s="304"/>
      <c r="F1050" s="304"/>
      <c r="G1050" s="304"/>
      <c r="H1050" s="303"/>
      <c r="I1050" s="304"/>
    </row>
    <row r="1051" spans="1:9" x14ac:dyDescent="0.3">
      <c r="A1051" s="302"/>
      <c r="B1051" s="303"/>
      <c r="C1051" s="303"/>
      <c r="D1051" s="304"/>
      <c r="E1051" s="304"/>
      <c r="F1051" s="304"/>
      <c r="G1051" s="304"/>
      <c r="H1051" s="303"/>
      <c r="I1051" s="304"/>
    </row>
    <row r="1052" spans="1:9" x14ac:dyDescent="0.3">
      <c r="A1052" s="302"/>
      <c r="B1052" s="303"/>
      <c r="C1052" s="303"/>
      <c r="D1052" s="304"/>
      <c r="E1052" s="304"/>
      <c r="F1052" s="304"/>
      <c r="G1052" s="304"/>
      <c r="H1052" s="303"/>
      <c r="I1052" s="304"/>
    </row>
    <row r="1053" spans="1:9" x14ac:dyDescent="0.3">
      <c r="A1053" s="302"/>
      <c r="B1053" s="303"/>
      <c r="C1053" s="303"/>
      <c r="D1053" s="304"/>
      <c r="E1053" s="304"/>
      <c r="F1053" s="304"/>
      <c r="G1053" s="304"/>
      <c r="H1053" s="303"/>
      <c r="I1053" s="304"/>
    </row>
    <row r="1054" spans="1:9" x14ac:dyDescent="0.3">
      <c r="A1054" s="302"/>
      <c r="B1054" s="303"/>
      <c r="C1054" s="303"/>
      <c r="D1054" s="304"/>
      <c r="E1054" s="304"/>
      <c r="F1054" s="304"/>
      <c r="G1054" s="304"/>
      <c r="H1054" s="303"/>
      <c r="I1054" s="304"/>
    </row>
    <row r="1055" spans="1:9" x14ac:dyDescent="0.3">
      <c r="A1055" s="302"/>
      <c r="B1055" s="303"/>
      <c r="C1055" s="303"/>
      <c r="D1055" s="304"/>
      <c r="E1055" s="304"/>
      <c r="F1055" s="304"/>
      <c r="G1055" s="304"/>
      <c r="H1055" s="303"/>
      <c r="I1055" s="304"/>
    </row>
    <row r="1056" spans="1:9" x14ac:dyDescent="0.3">
      <c r="A1056" s="302"/>
      <c r="B1056" s="303"/>
      <c r="C1056" s="303"/>
      <c r="D1056" s="304"/>
      <c r="E1056" s="304"/>
      <c r="F1056" s="304"/>
      <c r="G1056" s="304"/>
      <c r="H1056" s="303"/>
      <c r="I1056" s="304"/>
    </row>
    <row r="1057" spans="1:9" x14ac:dyDescent="0.3">
      <c r="A1057" s="302"/>
      <c r="B1057" s="303"/>
      <c r="C1057" s="303"/>
      <c r="D1057" s="304"/>
      <c r="E1057" s="304"/>
      <c r="F1057" s="304"/>
      <c r="G1057" s="304"/>
      <c r="H1057" s="303"/>
      <c r="I1057" s="304"/>
    </row>
    <row r="1058" spans="1:9" x14ac:dyDescent="0.3">
      <c r="A1058" s="302"/>
      <c r="B1058" s="303"/>
      <c r="C1058" s="303"/>
      <c r="D1058" s="304"/>
      <c r="E1058" s="304"/>
      <c r="F1058" s="304"/>
      <c r="G1058" s="304"/>
      <c r="H1058" s="303"/>
      <c r="I1058" s="304"/>
    </row>
    <row r="1059" spans="1:9" x14ac:dyDescent="0.3">
      <c r="A1059" s="302"/>
      <c r="B1059" s="303"/>
      <c r="C1059" s="303"/>
      <c r="D1059" s="304"/>
      <c r="E1059" s="304"/>
      <c r="F1059" s="304"/>
      <c r="G1059" s="304"/>
      <c r="H1059" s="303"/>
      <c r="I1059" s="304"/>
    </row>
    <row r="1060" spans="1:9" x14ac:dyDescent="0.3">
      <c r="A1060" s="302"/>
      <c r="B1060" s="303"/>
      <c r="C1060" s="303"/>
      <c r="D1060" s="304"/>
      <c r="E1060" s="304"/>
      <c r="F1060" s="304"/>
      <c r="G1060" s="304"/>
      <c r="H1060" s="303"/>
      <c r="I1060" s="304"/>
    </row>
    <row r="1061" spans="1:9" x14ac:dyDescent="0.3">
      <c r="A1061" s="302"/>
      <c r="B1061" s="303"/>
      <c r="C1061" s="303"/>
      <c r="D1061" s="304"/>
      <c r="E1061" s="304"/>
      <c r="F1061" s="304"/>
      <c r="G1061" s="304"/>
      <c r="H1061" s="303"/>
      <c r="I1061" s="304"/>
    </row>
    <row r="1062" spans="1:9" x14ac:dyDescent="0.3">
      <c r="A1062" s="302"/>
      <c r="B1062" s="303"/>
      <c r="C1062" s="303"/>
      <c r="D1062" s="304"/>
      <c r="E1062" s="304"/>
      <c r="F1062" s="304"/>
      <c r="G1062" s="304"/>
      <c r="H1062" s="303"/>
      <c r="I1062" s="304"/>
    </row>
    <row r="1063" spans="1:9" x14ac:dyDescent="0.3">
      <c r="A1063" s="302"/>
      <c r="B1063" s="303"/>
      <c r="C1063" s="303"/>
      <c r="D1063" s="304"/>
      <c r="E1063" s="304"/>
      <c r="F1063" s="304"/>
      <c r="G1063" s="304"/>
      <c r="H1063" s="303"/>
      <c r="I1063" s="304"/>
    </row>
    <row r="1064" spans="1:9" x14ac:dyDescent="0.3">
      <c r="A1064" s="302"/>
      <c r="B1064" s="303"/>
      <c r="C1064" s="303"/>
      <c r="D1064" s="304"/>
      <c r="E1064" s="304"/>
      <c r="F1064" s="304"/>
      <c r="G1064" s="304"/>
      <c r="H1064" s="303"/>
      <c r="I1064" s="304"/>
    </row>
    <row r="1065" spans="1:9" x14ac:dyDescent="0.3">
      <c r="A1065" s="302"/>
      <c r="B1065" s="303"/>
      <c r="C1065" s="303"/>
      <c r="D1065" s="304"/>
      <c r="E1065" s="304"/>
      <c r="F1065" s="304"/>
      <c r="G1065" s="304"/>
      <c r="H1065" s="303"/>
      <c r="I1065" s="304"/>
    </row>
    <row r="1066" spans="1:9" x14ac:dyDescent="0.3">
      <c r="A1066" s="302"/>
      <c r="B1066" s="303"/>
      <c r="C1066" s="303"/>
      <c r="D1066" s="304"/>
      <c r="E1066" s="304"/>
      <c r="F1066" s="304"/>
      <c r="G1066" s="304"/>
      <c r="H1066" s="303"/>
      <c r="I1066" s="304"/>
    </row>
    <row r="1067" spans="1:9" x14ac:dyDescent="0.3">
      <c r="A1067" s="302"/>
      <c r="B1067" s="303"/>
      <c r="C1067" s="303"/>
      <c r="D1067" s="304"/>
      <c r="E1067" s="304"/>
      <c r="F1067" s="304"/>
      <c r="G1067" s="304"/>
      <c r="H1067" s="303"/>
      <c r="I1067" s="304"/>
    </row>
    <row r="1068" spans="1:9" x14ac:dyDescent="0.3">
      <c r="A1068" s="302"/>
      <c r="B1068" s="303"/>
      <c r="C1068" s="303"/>
      <c r="D1068" s="304"/>
      <c r="E1068" s="304"/>
      <c r="F1068" s="304"/>
      <c r="G1068" s="304"/>
      <c r="H1068" s="303"/>
      <c r="I1068" s="304"/>
    </row>
    <row r="1069" spans="1:9" x14ac:dyDescent="0.3">
      <c r="A1069" s="302"/>
      <c r="B1069" s="303"/>
      <c r="C1069" s="303"/>
      <c r="D1069" s="304"/>
      <c r="E1069" s="304"/>
      <c r="F1069" s="304"/>
      <c r="G1069" s="304"/>
      <c r="H1069" s="303"/>
      <c r="I1069" s="304"/>
    </row>
    <row r="1070" spans="1:9" x14ac:dyDescent="0.3">
      <c r="A1070" s="302"/>
      <c r="B1070" s="303"/>
      <c r="C1070" s="303"/>
      <c r="D1070" s="304"/>
      <c r="E1070" s="304"/>
      <c r="F1070" s="304"/>
      <c r="G1070" s="304"/>
      <c r="H1070" s="303"/>
      <c r="I1070" s="304"/>
    </row>
    <row r="1071" spans="1:9" x14ac:dyDescent="0.3">
      <c r="A1071" s="302"/>
      <c r="B1071" s="303"/>
      <c r="C1071" s="303"/>
      <c r="D1071" s="304"/>
      <c r="E1071" s="304"/>
      <c r="F1071" s="304"/>
      <c r="G1071" s="304"/>
      <c r="H1071" s="303"/>
      <c r="I1071" s="304"/>
    </row>
    <row r="1072" spans="1:9" x14ac:dyDescent="0.3">
      <c r="A1072" s="302"/>
      <c r="B1072" s="303"/>
      <c r="C1072" s="303"/>
      <c r="D1072" s="304"/>
      <c r="E1072" s="304"/>
      <c r="F1072" s="304"/>
      <c r="G1072" s="304"/>
      <c r="H1072" s="303"/>
      <c r="I1072" s="304"/>
    </row>
    <row r="1073" spans="1:9" x14ac:dyDescent="0.3">
      <c r="A1073" s="302"/>
      <c r="B1073" s="303"/>
      <c r="C1073" s="303"/>
      <c r="D1073" s="304"/>
      <c r="E1073" s="304"/>
      <c r="F1073" s="304"/>
      <c r="G1073" s="304"/>
      <c r="H1073" s="303"/>
      <c r="I1073" s="304"/>
    </row>
    <row r="1074" spans="1:9" x14ac:dyDescent="0.3">
      <c r="A1074" s="302"/>
      <c r="B1074" s="303"/>
      <c r="C1074" s="303"/>
      <c r="D1074" s="304"/>
      <c r="E1074" s="304"/>
      <c r="F1074" s="304"/>
      <c r="G1074" s="304"/>
      <c r="H1074" s="303"/>
      <c r="I1074" s="304"/>
    </row>
    <row r="1075" spans="1:9" x14ac:dyDescent="0.3">
      <c r="A1075" s="302"/>
      <c r="B1075" s="303"/>
      <c r="C1075" s="303"/>
      <c r="D1075" s="304"/>
      <c r="E1075" s="304"/>
      <c r="F1075" s="304"/>
      <c r="G1075" s="304"/>
      <c r="H1075" s="303"/>
      <c r="I1075" s="304"/>
    </row>
    <row r="1076" spans="1:9" x14ac:dyDescent="0.3">
      <c r="A1076" s="302"/>
      <c r="B1076" s="303"/>
      <c r="C1076" s="303"/>
      <c r="D1076" s="304"/>
      <c r="E1076" s="304"/>
      <c r="F1076" s="304"/>
      <c r="G1076" s="304"/>
      <c r="H1076" s="303"/>
      <c r="I1076" s="304"/>
    </row>
    <row r="1077" spans="1:9" x14ac:dyDescent="0.3">
      <c r="A1077" s="302"/>
      <c r="B1077" s="303"/>
      <c r="C1077" s="303"/>
      <c r="D1077" s="304"/>
      <c r="E1077" s="304"/>
      <c r="F1077" s="304"/>
      <c r="G1077" s="304"/>
      <c r="H1077" s="303"/>
      <c r="I1077" s="304"/>
    </row>
    <row r="1078" spans="1:9" x14ac:dyDescent="0.3">
      <c r="A1078" s="302"/>
      <c r="B1078" s="303"/>
      <c r="C1078" s="303"/>
      <c r="D1078" s="304"/>
      <c r="E1078" s="304"/>
      <c r="F1078" s="304"/>
      <c r="G1078" s="304"/>
      <c r="H1078" s="303"/>
      <c r="I1078" s="304"/>
    </row>
    <row r="1079" spans="1:9" x14ac:dyDescent="0.3">
      <c r="A1079" s="302"/>
      <c r="B1079" s="303"/>
      <c r="C1079" s="303"/>
      <c r="D1079" s="304"/>
      <c r="E1079" s="304"/>
      <c r="F1079" s="304"/>
      <c r="G1079" s="304"/>
      <c r="H1079" s="303"/>
      <c r="I1079" s="304"/>
    </row>
    <row r="1080" spans="1:9" x14ac:dyDescent="0.3">
      <c r="A1080" s="302"/>
      <c r="B1080" s="303"/>
      <c r="C1080" s="303"/>
      <c r="D1080" s="304"/>
      <c r="E1080" s="304"/>
      <c r="F1080" s="304"/>
      <c r="G1080" s="304"/>
      <c r="H1080" s="303"/>
      <c r="I1080" s="304"/>
    </row>
    <row r="1081" spans="1:9" x14ac:dyDescent="0.3">
      <c r="A1081" s="302"/>
      <c r="B1081" s="303"/>
      <c r="C1081" s="303"/>
      <c r="D1081" s="304"/>
      <c r="E1081" s="304"/>
      <c r="F1081" s="304"/>
      <c r="G1081" s="304"/>
      <c r="H1081" s="303"/>
      <c r="I1081" s="304"/>
    </row>
    <row r="1082" spans="1:9" x14ac:dyDescent="0.3">
      <c r="A1082" s="302"/>
      <c r="B1082" s="303"/>
      <c r="C1082" s="303"/>
      <c r="D1082" s="304"/>
      <c r="E1082" s="304"/>
      <c r="F1082" s="304"/>
      <c r="G1082" s="304"/>
      <c r="H1082" s="303"/>
      <c r="I1082" s="304"/>
    </row>
    <row r="1083" spans="1:9" x14ac:dyDescent="0.3">
      <c r="A1083" s="302"/>
      <c r="B1083" s="303"/>
      <c r="C1083" s="303"/>
      <c r="D1083" s="304"/>
      <c r="E1083" s="304"/>
      <c r="F1083" s="304"/>
      <c r="G1083" s="304"/>
      <c r="H1083" s="303"/>
      <c r="I1083" s="304"/>
    </row>
    <row r="1084" spans="1:9" x14ac:dyDescent="0.3">
      <c r="A1084" s="302"/>
      <c r="B1084" s="303"/>
      <c r="C1084" s="303"/>
      <c r="D1084" s="304"/>
      <c r="E1084" s="304"/>
      <c r="F1084" s="304"/>
      <c r="G1084" s="304"/>
      <c r="H1084" s="303"/>
      <c r="I1084" s="304"/>
    </row>
    <row r="1085" spans="1:9" x14ac:dyDescent="0.3">
      <c r="A1085" s="302"/>
      <c r="B1085" s="303"/>
      <c r="C1085" s="303"/>
      <c r="D1085" s="304"/>
      <c r="E1085" s="304"/>
      <c r="F1085" s="304"/>
      <c r="G1085" s="304"/>
      <c r="H1085" s="303"/>
      <c r="I1085" s="304"/>
    </row>
    <row r="1086" spans="1:9" x14ac:dyDescent="0.3">
      <c r="A1086" s="302"/>
      <c r="B1086" s="303"/>
      <c r="C1086" s="303"/>
      <c r="D1086" s="304"/>
      <c r="E1086" s="304"/>
      <c r="F1086" s="304"/>
      <c r="G1086" s="304"/>
      <c r="H1086" s="303"/>
      <c r="I1086" s="304"/>
    </row>
    <row r="1087" spans="1:9" x14ac:dyDescent="0.3">
      <c r="A1087" s="302"/>
      <c r="B1087" s="303"/>
      <c r="C1087" s="303"/>
      <c r="D1087" s="304"/>
      <c r="E1087" s="304"/>
      <c r="F1087" s="304"/>
      <c r="G1087" s="304"/>
      <c r="H1087" s="303"/>
      <c r="I1087" s="304"/>
    </row>
    <row r="1088" spans="1:9" x14ac:dyDescent="0.3">
      <c r="A1088" s="302"/>
      <c r="B1088" s="303"/>
      <c r="C1088" s="303"/>
      <c r="D1088" s="304"/>
      <c r="E1088" s="304"/>
      <c r="F1088" s="304"/>
      <c r="G1088" s="304"/>
      <c r="H1088" s="303"/>
      <c r="I1088" s="304"/>
    </row>
    <row r="1089" spans="1:9" x14ac:dyDescent="0.3">
      <c r="A1089" s="302"/>
      <c r="B1089" s="303"/>
      <c r="C1089" s="303"/>
      <c r="D1089" s="304"/>
      <c r="E1089" s="304"/>
      <c r="F1089" s="304"/>
      <c r="G1089" s="304"/>
      <c r="H1089" s="303"/>
      <c r="I1089" s="304"/>
    </row>
    <row r="1090" spans="1:9" x14ac:dyDescent="0.3">
      <c r="A1090" s="302"/>
      <c r="B1090" s="303"/>
      <c r="C1090" s="303"/>
      <c r="D1090" s="304"/>
      <c r="E1090" s="304"/>
      <c r="F1090" s="304"/>
      <c r="G1090" s="304"/>
      <c r="H1090" s="303"/>
      <c r="I1090" s="304"/>
    </row>
    <row r="1091" spans="1:9" x14ac:dyDescent="0.3">
      <c r="A1091" s="302"/>
      <c r="B1091" s="303"/>
      <c r="C1091" s="303"/>
      <c r="D1091" s="304"/>
      <c r="E1091" s="304"/>
      <c r="F1091" s="304"/>
      <c r="G1091" s="304"/>
      <c r="H1091" s="303"/>
      <c r="I1091" s="304"/>
    </row>
    <row r="1092" spans="1:9" x14ac:dyDescent="0.3">
      <c r="A1092" s="302"/>
      <c r="B1092" s="303"/>
      <c r="C1092" s="303"/>
      <c r="D1092" s="304"/>
      <c r="E1092" s="304"/>
      <c r="F1092" s="304"/>
      <c r="G1092" s="304"/>
      <c r="H1092" s="303"/>
      <c r="I1092" s="304"/>
    </row>
    <row r="1093" spans="1:9" x14ac:dyDescent="0.3">
      <c r="A1093" s="302"/>
      <c r="B1093" s="303"/>
      <c r="C1093" s="303"/>
      <c r="D1093" s="304"/>
      <c r="E1093" s="304"/>
      <c r="F1093" s="304"/>
      <c r="G1093" s="304"/>
      <c r="H1093" s="303"/>
      <c r="I1093" s="304"/>
    </row>
    <row r="1094" spans="1:9" x14ac:dyDescent="0.3">
      <c r="A1094" s="302"/>
      <c r="B1094" s="303"/>
      <c r="C1094" s="303"/>
      <c r="D1094" s="304"/>
      <c r="E1094" s="304"/>
      <c r="F1094" s="304"/>
      <c r="G1094" s="304"/>
      <c r="H1094" s="303"/>
      <c r="I1094" s="304"/>
    </row>
    <row r="1095" spans="1:9" x14ac:dyDescent="0.3">
      <c r="A1095" s="302"/>
      <c r="B1095" s="303"/>
      <c r="C1095" s="303"/>
      <c r="D1095" s="304"/>
      <c r="E1095" s="304"/>
      <c r="F1095" s="304"/>
      <c r="G1095" s="304"/>
      <c r="H1095" s="303"/>
      <c r="I1095" s="304"/>
    </row>
    <row r="1096" spans="1:9" x14ac:dyDescent="0.3">
      <c r="A1096" s="302"/>
      <c r="B1096" s="303"/>
      <c r="C1096" s="303"/>
      <c r="D1096" s="304"/>
      <c r="E1096" s="304"/>
      <c r="F1096" s="304"/>
      <c r="G1096" s="304"/>
      <c r="H1096" s="303"/>
      <c r="I1096" s="304"/>
    </row>
    <row r="1097" spans="1:9" x14ac:dyDescent="0.3">
      <c r="A1097" s="302"/>
      <c r="B1097" s="303"/>
      <c r="C1097" s="303"/>
      <c r="D1097" s="304"/>
      <c r="E1097" s="304"/>
      <c r="F1097" s="304"/>
      <c r="G1097" s="304"/>
      <c r="H1097" s="303"/>
      <c r="I1097" s="304"/>
    </row>
    <row r="1098" spans="1:9" x14ac:dyDescent="0.3">
      <c r="A1098" s="302"/>
      <c r="B1098" s="303"/>
      <c r="C1098" s="303"/>
      <c r="D1098" s="304"/>
      <c r="E1098" s="304"/>
      <c r="F1098" s="304"/>
      <c r="G1098" s="304"/>
      <c r="H1098" s="303"/>
      <c r="I1098" s="304"/>
    </row>
    <row r="1099" spans="1:9" x14ac:dyDescent="0.3">
      <c r="A1099" s="302"/>
      <c r="B1099" s="303"/>
      <c r="C1099" s="303"/>
      <c r="D1099" s="304"/>
      <c r="E1099" s="304"/>
      <c r="F1099" s="304"/>
      <c r="G1099" s="304"/>
      <c r="H1099" s="303"/>
      <c r="I1099" s="304"/>
    </row>
    <row r="1100" spans="1:9" x14ac:dyDescent="0.3">
      <c r="A1100" s="302"/>
      <c r="B1100" s="303"/>
      <c r="C1100" s="303"/>
      <c r="D1100" s="304"/>
      <c r="E1100" s="304"/>
      <c r="F1100" s="304"/>
      <c r="G1100" s="304"/>
      <c r="H1100" s="303"/>
      <c r="I1100" s="304"/>
    </row>
    <row r="1101" spans="1:9" x14ac:dyDescent="0.3">
      <c r="A1101" s="302"/>
      <c r="B1101" s="303"/>
      <c r="C1101" s="303"/>
      <c r="D1101" s="304"/>
      <c r="E1101" s="304"/>
      <c r="F1101" s="304"/>
      <c r="G1101" s="304"/>
      <c r="H1101" s="303"/>
      <c r="I1101" s="304"/>
    </row>
    <row r="1102" spans="1:9" x14ac:dyDescent="0.3">
      <c r="A1102" s="302"/>
      <c r="B1102" s="303"/>
      <c r="C1102" s="303"/>
      <c r="D1102" s="304"/>
      <c r="E1102" s="304"/>
      <c r="F1102" s="304"/>
      <c r="G1102" s="304"/>
      <c r="H1102" s="303"/>
      <c r="I1102" s="304"/>
    </row>
    <row r="1103" spans="1:9" x14ac:dyDescent="0.3">
      <c r="A1103" s="302"/>
      <c r="B1103" s="303"/>
      <c r="C1103" s="303"/>
      <c r="D1103" s="304"/>
      <c r="E1103" s="304"/>
      <c r="F1103" s="304"/>
      <c r="G1103" s="304"/>
      <c r="H1103" s="303"/>
      <c r="I1103" s="304"/>
    </row>
    <row r="1104" spans="1:9" x14ac:dyDescent="0.3">
      <c r="A1104" s="302"/>
      <c r="B1104" s="303"/>
      <c r="C1104" s="303"/>
      <c r="D1104" s="304"/>
      <c r="E1104" s="304"/>
      <c r="F1104" s="304"/>
      <c r="G1104" s="304"/>
      <c r="H1104" s="303"/>
      <c r="I1104" s="304"/>
    </row>
    <row r="1105" spans="1:9" x14ac:dyDescent="0.3">
      <c r="A1105" s="302"/>
      <c r="B1105" s="303"/>
      <c r="C1105" s="303"/>
      <c r="D1105" s="304"/>
      <c r="E1105" s="304"/>
      <c r="F1105" s="304"/>
      <c r="G1105" s="304"/>
      <c r="H1105" s="303"/>
      <c r="I1105" s="304"/>
    </row>
    <row r="1106" spans="1:9" x14ac:dyDescent="0.3">
      <c r="A1106" s="302"/>
      <c r="B1106" s="303"/>
      <c r="C1106" s="303"/>
      <c r="D1106" s="304"/>
      <c r="E1106" s="304"/>
      <c r="F1106" s="304"/>
      <c r="G1106" s="304"/>
      <c r="H1106" s="303"/>
      <c r="I1106" s="304"/>
    </row>
    <row r="1107" spans="1:9" x14ac:dyDescent="0.3">
      <c r="A1107" s="302"/>
      <c r="B1107" s="303"/>
      <c r="C1107" s="303"/>
      <c r="D1107" s="304"/>
      <c r="E1107" s="304"/>
      <c r="F1107" s="304"/>
      <c r="G1107" s="304"/>
      <c r="H1107" s="303"/>
      <c r="I1107" s="304"/>
    </row>
    <row r="1108" spans="1:9" x14ac:dyDescent="0.3">
      <c r="A1108" s="302"/>
      <c r="B1108" s="303"/>
      <c r="C1108" s="303"/>
      <c r="D1108" s="304"/>
      <c r="E1108" s="304"/>
      <c r="F1108" s="304"/>
      <c r="G1108" s="304"/>
      <c r="H1108" s="303"/>
      <c r="I1108" s="304"/>
    </row>
    <row r="1109" spans="1:9" x14ac:dyDescent="0.3">
      <c r="A1109" s="302"/>
      <c r="B1109" s="303"/>
      <c r="C1109" s="303"/>
      <c r="D1109" s="304"/>
      <c r="E1109" s="304"/>
      <c r="F1109" s="304"/>
      <c r="G1109" s="304"/>
      <c r="H1109" s="303"/>
      <c r="I1109" s="304"/>
    </row>
    <row r="1110" spans="1:9" x14ac:dyDescent="0.3">
      <c r="A1110" s="302"/>
      <c r="B1110" s="303"/>
      <c r="C1110" s="303"/>
      <c r="D1110" s="304"/>
      <c r="E1110" s="304"/>
      <c r="F1110" s="304"/>
      <c r="G1110" s="304"/>
      <c r="H1110" s="303"/>
      <c r="I1110" s="304"/>
    </row>
    <row r="1111" spans="1:9" x14ac:dyDescent="0.3">
      <c r="A1111" s="302"/>
      <c r="B1111" s="303"/>
      <c r="C1111" s="303"/>
      <c r="D1111" s="304"/>
      <c r="E1111" s="304"/>
      <c r="F1111" s="304"/>
      <c r="G1111" s="304"/>
      <c r="H1111" s="303"/>
      <c r="I1111" s="304"/>
    </row>
    <row r="1112" spans="1:9" x14ac:dyDescent="0.3">
      <c r="A1112" s="302"/>
      <c r="B1112" s="303"/>
      <c r="C1112" s="303"/>
      <c r="D1112" s="304"/>
      <c r="E1112" s="304"/>
      <c r="F1112" s="304"/>
      <c r="G1112" s="304"/>
      <c r="H1112" s="303"/>
      <c r="I1112" s="304"/>
    </row>
    <row r="1113" spans="1:9" x14ac:dyDescent="0.3">
      <c r="A1113" s="302"/>
      <c r="B1113" s="303"/>
      <c r="C1113" s="303"/>
      <c r="D1113" s="304"/>
      <c r="E1113" s="304"/>
      <c r="F1113" s="304"/>
      <c r="G1113" s="304"/>
      <c r="H1113" s="303"/>
      <c r="I1113" s="304"/>
    </row>
    <row r="1114" spans="1:9" x14ac:dyDescent="0.3">
      <c r="A1114" s="302"/>
      <c r="B1114" s="303"/>
      <c r="C1114" s="303"/>
      <c r="D1114" s="304"/>
      <c r="E1114" s="304"/>
      <c r="F1114" s="304"/>
      <c r="G1114" s="304"/>
      <c r="H1114" s="303"/>
      <c r="I1114" s="304"/>
    </row>
    <row r="1115" spans="1:9" x14ac:dyDescent="0.3">
      <c r="A1115" s="302"/>
      <c r="B1115" s="303"/>
      <c r="C1115" s="303"/>
      <c r="D1115" s="304"/>
      <c r="E1115" s="304"/>
      <c r="F1115" s="304"/>
      <c r="G1115" s="304"/>
      <c r="H1115" s="303"/>
      <c r="I1115" s="304"/>
    </row>
    <row r="1116" spans="1:9" x14ac:dyDescent="0.3">
      <c r="A1116" s="302"/>
      <c r="B1116" s="303"/>
      <c r="C1116" s="303"/>
      <c r="D1116" s="304"/>
      <c r="E1116" s="304"/>
      <c r="F1116" s="304"/>
      <c r="G1116" s="304"/>
      <c r="H1116" s="303"/>
      <c r="I1116" s="304"/>
    </row>
    <row r="1117" spans="1:9" x14ac:dyDescent="0.3">
      <c r="A1117" s="302"/>
      <c r="B1117" s="303"/>
      <c r="C1117" s="303"/>
      <c r="D1117" s="304"/>
      <c r="E1117" s="304"/>
      <c r="F1117" s="304"/>
      <c r="G1117" s="304"/>
      <c r="H1117" s="303"/>
      <c r="I1117" s="304"/>
    </row>
    <row r="1118" spans="1:9" x14ac:dyDescent="0.3">
      <c r="A1118" s="302"/>
      <c r="B1118" s="303"/>
      <c r="C1118" s="303"/>
      <c r="D1118" s="304"/>
      <c r="E1118" s="304"/>
      <c r="F1118" s="304"/>
      <c r="G1118" s="304"/>
      <c r="H1118" s="303"/>
      <c r="I1118" s="304"/>
    </row>
    <row r="1119" spans="1:9" x14ac:dyDescent="0.3">
      <c r="A1119" s="302"/>
      <c r="B1119" s="303"/>
      <c r="C1119" s="303"/>
      <c r="D1119" s="304"/>
      <c r="E1119" s="304"/>
      <c r="F1119" s="304"/>
      <c r="G1119" s="304"/>
      <c r="H1119" s="303"/>
      <c r="I1119" s="304"/>
    </row>
    <row r="1120" spans="1:9" x14ac:dyDescent="0.3">
      <c r="A1120" s="302"/>
      <c r="B1120" s="303"/>
      <c r="C1120" s="303"/>
      <c r="D1120" s="304"/>
      <c r="E1120" s="304"/>
      <c r="F1120" s="304"/>
      <c r="G1120" s="304"/>
      <c r="H1120" s="303"/>
      <c r="I1120" s="304"/>
    </row>
    <row r="1121" spans="1:9" x14ac:dyDescent="0.3">
      <c r="A1121" s="302"/>
      <c r="B1121" s="303"/>
      <c r="C1121" s="303"/>
      <c r="D1121" s="304"/>
      <c r="E1121" s="304"/>
      <c r="F1121" s="304"/>
      <c r="G1121" s="304"/>
      <c r="H1121" s="303"/>
      <c r="I1121" s="304"/>
    </row>
    <row r="1122" spans="1:9" x14ac:dyDescent="0.3">
      <c r="A1122" s="302"/>
      <c r="B1122" s="303"/>
      <c r="C1122" s="303"/>
      <c r="D1122" s="304"/>
      <c r="E1122" s="304"/>
      <c r="F1122" s="304"/>
      <c r="G1122" s="304"/>
      <c r="H1122" s="303"/>
      <c r="I1122" s="304"/>
    </row>
    <row r="1123" spans="1:9" x14ac:dyDescent="0.3">
      <c r="A1123" s="302"/>
      <c r="B1123" s="303"/>
      <c r="C1123" s="303"/>
      <c r="D1123" s="304"/>
      <c r="E1123" s="304"/>
      <c r="F1123" s="304"/>
      <c r="G1123" s="304"/>
      <c r="H1123" s="303"/>
      <c r="I1123" s="304"/>
    </row>
    <row r="1124" spans="1:9" x14ac:dyDescent="0.3">
      <c r="A1124" s="302"/>
      <c r="B1124" s="303"/>
      <c r="C1124" s="303"/>
      <c r="D1124" s="304"/>
      <c r="E1124" s="304"/>
      <c r="F1124" s="304"/>
      <c r="G1124" s="304"/>
      <c r="H1124" s="303"/>
      <c r="I1124" s="304"/>
    </row>
    <row r="1125" spans="1:9" x14ac:dyDescent="0.3">
      <c r="A1125" s="302"/>
      <c r="B1125" s="303"/>
      <c r="C1125" s="303"/>
      <c r="D1125" s="304"/>
      <c r="E1125" s="304"/>
      <c r="F1125" s="304"/>
      <c r="G1125" s="304"/>
      <c r="H1125" s="303"/>
      <c r="I1125" s="304"/>
    </row>
    <row r="1126" spans="1:9" x14ac:dyDescent="0.3">
      <c r="A1126" s="302"/>
      <c r="B1126" s="303"/>
      <c r="C1126" s="303"/>
      <c r="D1126" s="304"/>
      <c r="E1126" s="304"/>
      <c r="F1126" s="304"/>
      <c r="G1126" s="304"/>
      <c r="H1126" s="303"/>
      <c r="I1126" s="304"/>
    </row>
    <row r="1127" spans="1:9" x14ac:dyDescent="0.3">
      <c r="A1127" s="302"/>
      <c r="B1127" s="303"/>
      <c r="C1127" s="303"/>
      <c r="D1127" s="304"/>
      <c r="E1127" s="304"/>
      <c r="F1127" s="304"/>
      <c r="G1127" s="304"/>
      <c r="H1127" s="303"/>
      <c r="I1127" s="304"/>
    </row>
    <row r="1128" spans="1:9" x14ac:dyDescent="0.3">
      <c r="A1128" s="302"/>
      <c r="B1128" s="303"/>
      <c r="C1128" s="303"/>
      <c r="D1128" s="304"/>
      <c r="E1128" s="304"/>
      <c r="F1128" s="304"/>
      <c r="G1128" s="304"/>
      <c r="H1128" s="303"/>
      <c r="I1128" s="304"/>
    </row>
    <row r="1129" spans="1:9" x14ac:dyDescent="0.3">
      <c r="A1129" s="302"/>
      <c r="B1129" s="303"/>
      <c r="C1129" s="303"/>
      <c r="D1129" s="304"/>
      <c r="E1129" s="304"/>
      <c r="F1129" s="304"/>
      <c r="G1129" s="304"/>
      <c r="H1129" s="303"/>
      <c r="I1129" s="304"/>
    </row>
    <row r="1130" spans="1:9" x14ac:dyDescent="0.3">
      <c r="A1130" s="302"/>
      <c r="B1130" s="303"/>
      <c r="C1130" s="303"/>
      <c r="D1130" s="304"/>
      <c r="E1130" s="304"/>
      <c r="F1130" s="304"/>
      <c r="G1130" s="304"/>
      <c r="H1130" s="303"/>
      <c r="I1130" s="304"/>
    </row>
    <row r="1131" spans="1:9" x14ac:dyDescent="0.3">
      <c r="A1131" s="302"/>
      <c r="B1131" s="303"/>
      <c r="C1131" s="303"/>
      <c r="D1131" s="304"/>
      <c r="E1131" s="304"/>
      <c r="F1131" s="304"/>
      <c r="G1131" s="304"/>
      <c r="H1131" s="303"/>
      <c r="I1131" s="304"/>
    </row>
    <row r="1132" spans="1:9" x14ac:dyDescent="0.3">
      <c r="A1132" s="302"/>
      <c r="B1132" s="303"/>
      <c r="C1132" s="303"/>
      <c r="D1132" s="304"/>
      <c r="E1132" s="304"/>
      <c r="F1132" s="304"/>
      <c r="G1132" s="304"/>
      <c r="H1132" s="303"/>
      <c r="I1132" s="304"/>
    </row>
    <row r="1133" spans="1:9" x14ac:dyDescent="0.3">
      <c r="A1133" s="302"/>
      <c r="B1133" s="303"/>
      <c r="C1133" s="303"/>
      <c r="D1133" s="304"/>
      <c r="E1133" s="304"/>
      <c r="F1133" s="304"/>
      <c r="G1133" s="304"/>
      <c r="H1133" s="303"/>
      <c r="I1133" s="304"/>
    </row>
    <row r="1134" spans="1:9" x14ac:dyDescent="0.3">
      <c r="A1134" s="302"/>
      <c r="B1134" s="303"/>
      <c r="C1134" s="303"/>
      <c r="D1134" s="304"/>
      <c r="E1134" s="304"/>
      <c r="F1134" s="304"/>
      <c r="G1134" s="304"/>
      <c r="H1134" s="303"/>
      <c r="I1134" s="304"/>
    </row>
    <row r="1135" spans="1:9" x14ac:dyDescent="0.3">
      <c r="A1135" s="302"/>
      <c r="B1135" s="303"/>
      <c r="C1135" s="303"/>
      <c r="D1135" s="304"/>
      <c r="E1135" s="304"/>
      <c r="F1135" s="304"/>
      <c r="G1135" s="304"/>
      <c r="H1135" s="303"/>
      <c r="I1135" s="304"/>
    </row>
    <row r="1136" spans="1:9" x14ac:dyDescent="0.3">
      <c r="A1136" s="302"/>
      <c r="B1136" s="303"/>
      <c r="C1136" s="303"/>
      <c r="D1136" s="304"/>
      <c r="E1136" s="304"/>
      <c r="F1136" s="304"/>
      <c r="G1136" s="304"/>
      <c r="H1136" s="303"/>
      <c r="I1136" s="304"/>
    </row>
    <row r="1137" spans="1:9" x14ac:dyDescent="0.3">
      <c r="A1137" s="302"/>
      <c r="B1137" s="303"/>
      <c r="C1137" s="303"/>
      <c r="D1137" s="304"/>
      <c r="E1137" s="304"/>
      <c r="F1137" s="304"/>
      <c r="G1137" s="304"/>
      <c r="H1137" s="303"/>
      <c r="I1137" s="304"/>
    </row>
    <row r="1138" spans="1:9" x14ac:dyDescent="0.3">
      <c r="A1138" s="302"/>
      <c r="B1138" s="303"/>
      <c r="C1138" s="303"/>
      <c r="D1138" s="304"/>
      <c r="E1138" s="304"/>
      <c r="F1138" s="304"/>
      <c r="G1138" s="304"/>
      <c r="H1138" s="303"/>
      <c r="I1138" s="304"/>
    </row>
    <row r="1139" spans="1:9" x14ac:dyDescent="0.3">
      <c r="A1139" s="302"/>
      <c r="B1139" s="303"/>
      <c r="C1139" s="303"/>
      <c r="D1139" s="304"/>
      <c r="E1139" s="304"/>
      <c r="F1139" s="304"/>
      <c r="G1139" s="304"/>
      <c r="H1139" s="303"/>
      <c r="I1139" s="304"/>
    </row>
    <row r="1140" spans="1:9" x14ac:dyDescent="0.3">
      <c r="A1140" s="302"/>
      <c r="B1140" s="303"/>
      <c r="C1140" s="303"/>
      <c r="D1140" s="304"/>
      <c r="E1140" s="304"/>
      <c r="F1140" s="304"/>
      <c r="G1140" s="304"/>
      <c r="H1140" s="303"/>
      <c r="I1140" s="304"/>
    </row>
    <row r="1141" spans="1:9" x14ac:dyDescent="0.3">
      <c r="A1141" s="302"/>
      <c r="B1141" s="303"/>
      <c r="C1141" s="303"/>
      <c r="D1141" s="304"/>
      <c r="E1141" s="304"/>
      <c r="F1141" s="304"/>
      <c r="G1141" s="304"/>
      <c r="H1141" s="303"/>
      <c r="I1141" s="304"/>
    </row>
    <row r="1142" spans="1:9" x14ac:dyDescent="0.3">
      <c r="A1142" s="302"/>
      <c r="B1142" s="303"/>
      <c r="C1142" s="303"/>
      <c r="D1142" s="304"/>
      <c r="E1142" s="304"/>
      <c r="F1142" s="304"/>
      <c r="G1142" s="304"/>
      <c r="H1142" s="303"/>
      <c r="I1142" s="304"/>
    </row>
    <row r="1143" spans="1:9" x14ac:dyDescent="0.3">
      <c r="A1143" s="302"/>
      <c r="B1143" s="303"/>
      <c r="C1143" s="303"/>
      <c r="D1143" s="304"/>
      <c r="E1143" s="304"/>
      <c r="F1143" s="304"/>
      <c r="G1143" s="304"/>
      <c r="H1143" s="303"/>
      <c r="I1143" s="304"/>
    </row>
    <row r="1144" spans="1:9" x14ac:dyDescent="0.3">
      <c r="A1144" s="302"/>
      <c r="B1144" s="303"/>
      <c r="C1144" s="303"/>
      <c r="D1144" s="304"/>
      <c r="E1144" s="304"/>
      <c r="F1144" s="304"/>
      <c r="G1144" s="304"/>
      <c r="H1144" s="303"/>
      <c r="I1144" s="304"/>
    </row>
    <row r="1145" spans="1:9" x14ac:dyDescent="0.3">
      <c r="A1145" s="302"/>
      <c r="B1145" s="303"/>
      <c r="C1145" s="303"/>
      <c r="D1145" s="304"/>
      <c r="E1145" s="304"/>
      <c r="F1145" s="304"/>
      <c r="G1145" s="304"/>
      <c r="H1145" s="303"/>
      <c r="I1145" s="304"/>
    </row>
    <row r="1146" spans="1:9" x14ac:dyDescent="0.3">
      <c r="A1146" s="302"/>
      <c r="B1146" s="303"/>
      <c r="C1146" s="303"/>
      <c r="D1146" s="304"/>
      <c r="E1146" s="304"/>
      <c r="F1146" s="304"/>
      <c r="G1146" s="304"/>
      <c r="H1146" s="303"/>
      <c r="I1146" s="304"/>
    </row>
    <row r="1147" spans="1:9" x14ac:dyDescent="0.3">
      <c r="A1147" s="302"/>
      <c r="B1147" s="303"/>
      <c r="C1147" s="303"/>
      <c r="D1147" s="304"/>
      <c r="E1147" s="304"/>
      <c r="F1147" s="304"/>
      <c r="G1147" s="304"/>
      <c r="H1147" s="303"/>
      <c r="I1147" s="304"/>
    </row>
    <row r="1148" spans="1:9" x14ac:dyDescent="0.3">
      <c r="A1148" s="302"/>
      <c r="B1148" s="303"/>
      <c r="C1148" s="303"/>
      <c r="D1148" s="304"/>
      <c r="E1148" s="304"/>
      <c r="F1148" s="304"/>
      <c r="G1148" s="304"/>
      <c r="H1148" s="303"/>
      <c r="I1148" s="304"/>
    </row>
    <row r="1149" spans="1:9" x14ac:dyDescent="0.3">
      <c r="A1149" s="302"/>
      <c r="B1149" s="303"/>
      <c r="C1149" s="303"/>
      <c r="D1149" s="304"/>
      <c r="E1149" s="304"/>
      <c r="F1149" s="304"/>
      <c r="G1149" s="304"/>
      <c r="H1149" s="303"/>
      <c r="I1149" s="304"/>
    </row>
    <row r="1150" spans="1:9" x14ac:dyDescent="0.3">
      <c r="A1150" s="302"/>
      <c r="B1150" s="303"/>
      <c r="C1150" s="303"/>
      <c r="D1150" s="304"/>
      <c r="E1150" s="304"/>
      <c r="F1150" s="304"/>
      <c r="G1150" s="304"/>
      <c r="H1150" s="303"/>
      <c r="I1150" s="304"/>
    </row>
    <row r="1151" spans="1:9" x14ac:dyDescent="0.3">
      <c r="A1151" s="302"/>
      <c r="B1151" s="303"/>
      <c r="C1151" s="303"/>
      <c r="D1151" s="304"/>
      <c r="E1151" s="304"/>
      <c r="F1151" s="304"/>
      <c r="G1151" s="304"/>
      <c r="H1151" s="303"/>
      <c r="I1151" s="304"/>
    </row>
    <row r="1152" spans="1:9" x14ac:dyDescent="0.3">
      <c r="A1152" s="302"/>
      <c r="B1152" s="303"/>
      <c r="C1152" s="303"/>
      <c r="D1152" s="304"/>
      <c r="E1152" s="304"/>
      <c r="F1152" s="304"/>
      <c r="G1152" s="304"/>
      <c r="H1152" s="303"/>
      <c r="I1152" s="304"/>
    </row>
    <row r="1153" spans="1:9" x14ac:dyDescent="0.3">
      <c r="A1153" s="302"/>
      <c r="B1153" s="303"/>
      <c r="C1153" s="303"/>
      <c r="D1153" s="304"/>
      <c r="E1153" s="304"/>
      <c r="F1153" s="304"/>
      <c r="G1153" s="304"/>
      <c r="H1153" s="303"/>
      <c r="I1153" s="304"/>
    </row>
    <row r="1154" spans="1:9" x14ac:dyDescent="0.3">
      <c r="A1154" s="302"/>
      <c r="B1154" s="303"/>
      <c r="C1154" s="303"/>
      <c r="D1154" s="304"/>
      <c r="E1154" s="304"/>
      <c r="F1154" s="304"/>
      <c r="G1154" s="304"/>
      <c r="H1154" s="303"/>
      <c r="I1154" s="304"/>
    </row>
    <row r="1155" spans="1:9" x14ac:dyDescent="0.3">
      <c r="A1155" s="302"/>
      <c r="B1155" s="303"/>
      <c r="C1155" s="303"/>
      <c r="D1155" s="304"/>
      <c r="E1155" s="304"/>
      <c r="F1155" s="304"/>
      <c r="G1155" s="304"/>
      <c r="H1155" s="303"/>
      <c r="I1155" s="304"/>
    </row>
    <row r="1156" spans="1:9" x14ac:dyDescent="0.3">
      <c r="A1156" s="302"/>
      <c r="B1156" s="303"/>
      <c r="C1156" s="303"/>
      <c r="D1156" s="304"/>
      <c r="E1156" s="304"/>
      <c r="F1156" s="304"/>
      <c r="G1156" s="304"/>
      <c r="H1156" s="303"/>
      <c r="I1156" s="304"/>
    </row>
    <row r="1157" spans="1:9" x14ac:dyDescent="0.3">
      <c r="A1157" s="302"/>
      <c r="B1157" s="303"/>
      <c r="C1157" s="303"/>
      <c r="D1157" s="304"/>
      <c r="E1157" s="304"/>
      <c r="F1157" s="304"/>
      <c r="G1157" s="304"/>
      <c r="H1157" s="303"/>
      <c r="I1157" s="304"/>
    </row>
    <row r="1158" spans="1:9" x14ac:dyDescent="0.3">
      <c r="A1158" s="302"/>
      <c r="B1158" s="303"/>
      <c r="C1158" s="303"/>
      <c r="D1158" s="304"/>
      <c r="E1158" s="304"/>
      <c r="F1158" s="304"/>
      <c r="G1158" s="304"/>
      <c r="H1158" s="303"/>
      <c r="I1158" s="304"/>
    </row>
    <row r="1159" spans="1:9" x14ac:dyDescent="0.3">
      <c r="A1159" s="302"/>
      <c r="B1159" s="303"/>
      <c r="C1159" s="303"/>
      <c r="D1159" s="304"/>
      <c r="E1159" s="304"/>
      <c r="F1159" s="304"/>
      <c r="G1159" s="304"/>
      <c r="H1159" s="303"/>
      <c r="I1159" s="304"/>
    </row>
    <row r="1160" spans="1:9" x14ac:dyDescent="0.3">
      <c r="A1160" s="302"/>
      <c r="B1160" s="303"/>
      <c r="C1160" s="303"/>
      <c r="D1160" s="304"/>
      <c r="E1160" s="304"/>
      <c r="F1160" s="304"/>
      <c r="G1160" s="304"/>
      <c r="H1160" s="303"/>
      <c r="I1160" s="304"/>
    </row>
    <row r="1161" spans="1:9" x14ac:dyDescent="0.3">
      <c r="A1161" s="302"/>
      <c r="B1161" s="303"/>
      <c r="C1161" s="303"/>
      <c r="D1161" s="304"/>
      <c r="E1161" s="304"/>
      <c r="F1161" s="304"/>
      <c r="G1161" s="304"/>
      <c r="H1161" s="303"/>
      <c r="I1161" s="304"/>
    </row>
    <row r="1162" spans="1:9" x14ac:dyDescent="0.3">
      <c r="A1162" s="302"/>
      <c r="B1162" s="303"/>
      <c r="C1162" s="303"/>
      <c r="D1162" s="304"/>
      <c r="E1162" s="304"/>
      <c r="F1162" s="304"/>
      <c r="G1162" s="304"/>
      <c r="H1162" s="303"/>
      <c r="I1162" s="304"/>
    </row>
    <row r="1163" spans="1:9" x14ac:dyDescent="0.3">
      <c r="A1163" s="302"/>
      <c r="B1163" s="303"/>
      <c r="C1163" s="303"/>
      <c r="D1163" s="304"/>
      <c r="E1163" s="304"/>
      <c r="F1163" s="304"/>
      <c r="G1163" s="304"/>
      <c r="H1163" s="303"/>
      <c r="I1163" s="304"/>
    </row>
    <row r="1164" spans="1:9" x14ac:dyDescent="0.3">
      <c r="A1164" s="302"/>
      <c r="B1164" s="303"/>
      <c r="C1164" s="303"/>
      <c r="D1164" s="304"/>
      <c r="E1164" s="304"/>
      <c r="F1164" s="304"/>
      <c r="G1164" s="304"/>
      <c r="H1164" s="303"/>
      <c r="I1164" s="304"/>
    </row>
    <row r="1165" spans="1:9" x14ac:dyDescent="0.3">
      <c r="A1165" s="302"/>
      <c r="B1165" s="303"/>
      <c r="C1165" s="303"/>
      <c r="D1165" s="304"/>
      <c r="E1165" s="304"/>
      <c r="F1165" s="304"/>
      <c r="G1165" s="304"/>
      <c r="H1165" s="303"/>
      <c r="I1165" s="304"/>
    </row>
    <row r="1166" spans="1:9" x14ac:dyDescent="0.3">
      <c r="A1166" s="302"/>
      <c r="B1166" s="303"/>
      <c r="C1166" s="303"/>
      <c r="D1166" s="304"/>
      <c r="E1166" s="304"/>
      <c r="F1166" s="304"/>
      <c r="G1166" s="304"/>
      <c r="H1166" s="303"/>
      <c r="I1166" s="304"/>
    </row>
    <row r="1167" spans="1:9" x14ac:dyDescent="0.3">
      <c r="A1167" s="302"/>
      <c r="B1167" s="303"/>
      <c r="C1167" s="303"/>
      <c r="D1167" s="304"/>
      <c r="E1167" s="304"/>
      <c r="F1167" s="304"/>
      <c r="G1167" s="304"/>
      <c r="H1167" s="303"/>
      <c r="I1167" s="304"/>
    </row>
    <row r="1168" spans="1:9" x14ac:dyDescent="0.3">
      <c r="A1168" s="302"/>
      <c r="B1168" s="303"/>
      <c r="C1168" s="303"/>
      <c r="D1168" s="304"/>
      <c r="E1168" s="304"/>
      <c r="F1168" s="304"/>
      <c r="G1168" s="304"/>
      <c r="H1168" s="303"/>
      <c r="I1168" s="304"/>
    </row>
    <row r="1169" spans="1:9" x14ac:dyDescent="0.3">
      <c r="A1169" s="302"/>
      <c r="B1169" s="303"/>
      <c r="C1169" s="303"/>
      <c r="D1169" s="304"/>
      <c r="E1169" s="304"/>
      <c r="F1169" s="304"/>
      <c r="G1169" s="304"/>
      <c r="H1169" s="303"/>
      <c r="I1169" s="304"/>
    </row>
    <row r="1170" spans="1:9" x14ac:dyDescent="0.3">
      <c r="A1170" s="302"/>
      <c r="B1170" s="303"/>
      <c r="C1170" s="303"/>
      <c r="D1170" s="304"/>
      <c r="E1170" s="304"/>
      <c r="F1170" s="304"/>
      <c r="G1170" s="304"/>
      <c r="H1170" s="303"/>
      <c r="I1170" s="304"/>
    </row>
    <row r="1171" spans="1:9" x14ac:dyDescent="0.3">
      <c r="A1171" s="302"/>
      <c r="B1171" s="303"/>
      <c r="C1171" s="303"/>
      <c r="D1171" s="304"/>
      <c r="E1171" s="304"/>
      <c r="F1171" s="304"/>
      <c r="G1171" s="304"/>
      <c r="H1171" s="303"/>
      <c r="I1171" s="304"/>
    </row>
    <row r="1172" spans="1:9" x14ac:dyDescent="0.3">
      <c r="A1172" s="302"/>
      <c r="B1172" s="303"/>
      <c r="C1172" s="303"/>
      <c r="D1172" s="304"/>
      <c r="E1172" s="304"/>
      <c r="F1172" s="304"/>
      <c r="G1172" s="304"/>
      <c r="H1172" s="303"/>
      <c r="I1172" s="304"/>
    </row>
    <row r="1173" spans="1:9" x14ac:dyDescent="0.3">
      <c r="A1173" s="302"/>
      <c r="B1173" s="303"/>
      <c r="C1173" s="303"/>
      <c r="D1173" s="304"/>
      <c r="E1173" s="304"/>
      <c r="F1173" s="304"/>
      <c r="G1173" s="304"/>
      <c r="H1173" s="303"/>
      <c r="I1173" s="304"/>
    </row>
    <row r="1174" spans="1:9" x14ac:dyDescent="0.3">
      <c r="A1174" s="302"/>
      <c r="B1174" s="303"/>
      <c r="C1174" s="303"/>
      <c r="D1174" s="304"/>
      <c r="E1174" s="304"/>
      <c r="F1174" s="304"/>
      <c r="G1174" s="304"/>
      <c r="H1174" s="303"/>
      <c r="I1174" s="304"/>
    </row>
    <row r="1175" spans="1:9" x14ac:dyDescent="0.3">
      <c r="A1175" s="302"/>
      <c r="B1175" s="303"/>
      <c r="C1175" s="303"/>
      <c r="D1175" s="304"/>
      <c r="E1175" s="304"/>
      <c r="F1175" s="304"/>
      <c r="G1175" s="304"/>
      <c r="H1175" s="303"/>
      <c r="I1175" s="304"/>
    </row>
    <row r="1176" spans="1:9" x14ac:dyDescent="0.3">
      <c r="A1176" s="302"/>
      <c r="B1176" s="303"/>
      <c r="C1176" s="303"/>
      <c r="D1176" s="304"/>
      <c r="E1176" s="304"/>
      <c r="F1176" s="304"/>
      <c r="G1176" s="304"/>
      <c r="H1176" s="303"/>
      <c r="I1176" s="304"/>
    </row>
    <row r="1177" spans="1:9" x14ac:dyDescent="0.3">
      <c r="A1177" s="302"/>
      <c r="B1177" s="303"/>
      <c r="C1177" s="303"/>
      <c r="D1177" s="304"/>
      <c r="E1177" s="304"/>
      <c r="F1177" s="304"/>
      <c r="G1177" s="304"/>
      <c r="H1177" s="303"/>
      <c r="I1177" s="304"/>
    </row>
    <row r="1178" spans="1:9" x14ac:dyDescent="0.3">
      <c r="A1178" s="302"/>
      <c r="B1178" s="303"/>
      <c r="C1178" s="303"/>
      <c r="D1178" s="304"/>
      <c r="E1178" s="304"/>
      <c r="F1178" s="304"/>
      <c r="G1178" s="304"/>
      <c r="H1178" s="303"/>
      <c r="I1178" s="304"/>
    </row>
    <row r="1179" spans="1:9" x14ac:dyDescent="0.3">
      <c r="A1179" s="302"/>
      <c r="B1179" s="303"/>
      <c r="C1179" s="303"/>
      <c r="D1179" s="304"/>
      <c r="E1179" s="304"/>
      <c r="F1179" s="304"/>
      <c r="G1179" s="304"/>
      <c r="H1179" s="303"/>
      <c r="I1179" s="304"/>
    </row>
    <row r="1180" spans="1:9" x14ac:dyDescent="0.3">
      <c r="A1180" s="302"/>
      <c r="B1180" s="303"/>
      <c r="C1180" s="303"/>
      <c r="D1180" s="304"/>
      <c r="E1180" s="304"/>
      <c r="F1180" s="304"/>
      <c r="G1180" s="304"/>
      <c r="H1180" s="303"/>
      <c r="I1180" s="304"/>
    </row>
    <row r="1181" spans="1:9" x14ac:dyDescent="0.3">
      <c r="A1181" s="302"/>
      <c r="B1181" s="303"/>
      <c r="C1181" s="303"/>
      <c r="D1181" s="304"/>
      <c r="E1181" s="304"/>
      <c r="F1181" s="304"/>
      <c r="G1181" s="304"/>
      <c r="H1181" s="303"/>
      <c r="I1181" s="304"/>
    </row>
    <row r="1182" spans="1:9" x14ac:dyDescent="0.3">
      <c r="A1182" s="302"/>
      <c r="B1182" s="303"/>
      <c r="C1182" s="303"/>
      <c r="D1182" s="304"/>
      <c r="E1182" s="304"/>
      <c r="F1182" s="304"/>
      <c r="G1182" s="304"/>
      <c r="H1182" s="303"/>
      <c r="I1182" s="304"/>
    </row>
    <row r="1183" spans="1:9" x14ac:dyDescent="0.3">
      <c r="A1183" s="302"/>
      <c r="B1183" s="303"/>
      <c r="C1183" s="303"/>
      <c r="D1183" s="304"/>
      <c r="E1183" s="304"/>
      <c r="F1183" s="304"/>
      <c r="G1183" s="304"/>
      <c r="H1183" s="303"/>
      <c r="I1183" s="304"/>
    </row>
    <row r="1184" spans="1:9" x14ac:dyDescent="0.3">
      <c r="A1184" s="302"/>
      <c r="B1184" s="303"/>
      <c r="C1184" s="303"/>
      <c r="D1184" s="304"/>
      <c r="E1184" s="304"/>
      <c r="F1184" s="304"/>
      <c r="G1184" s="304"/>
      <c r="H1184" s="303"/>
      <c r="I1184" s="304"/>
    </row>
    <row r="1185" spans="1:9" x14ac:dyDescent="0.3">
      <c r="A1185" s="302"/>
      <c r="B1185" s="303"/>
      <c r="C1185" s="303"/>
      <c r="D1185" s="304"/>
      <c r="E1185" s="304"/>
      <c r="F1185" s="304"/>
      <c r="G1185" s="304"/>
      <c r="H1185" s="303"/>
      <c r="I1185" s="304"/>
    </row>
    <row r="1186" spans="1:9" x14ac:dyDescent="0.3">
      <c r="A1186" s="302"/>
      <c r="B1186" s="303"/>
      <c r="C1186" s="303"/>
      <c r="D1186" s="304"/>
      <c r="E1186" s="304"/>
      <c r="F1186" s="304"/>
      <c r="G1186" s="304"/>
      <c r="H1186" s="303"/>
      <c r="I1186" s="304"/>
    </row>
    <row r="1187" spans="1:9" x14ac:dyDescent="0.3">
      <c r="A1187" s="302"/>
      <c r="B1187" s="303"/>
      <c r="C1187" s="303"/>
      <c r="D1187" s="304"/>
      <c r="E1187" s="304"/>
      <c r="F1187" s="304"/>
      <c r="G1187" s="304"/>
      <c r="H1187" s="303"/>
      <c r="I1187" s="304"/>
    </row>
    <row r="1188" spans="1:9" x14ac:dyDescent="0.3">
      <c r="A1188" s="302"/>
      <c r="B1188" s="303"/>
      <c r="C1188" s="303"/>
      <c r="D1188" s="304"/>
      <c r="E1188" s="304"/>
      <c r="F1188" s="304"/>
      <c r="G1188" s="304"/>
      <c r="H1188" s="303"/>
      <c r="I1188" s="304"/>
    </row>
    <row r="1189" spans="1:9" x14ac:dyDescent="0.3">
      <c r="A1189" s="302"/>
      <c r="B1189" s="303"/>
      <c r="C1189" s="303"/>
      <c r="D1189" s="304"/>
      <c r="E1189" s="304"/>
      <c r="F1189" s="304"/>
      <c r="G1189" s="304"/>
      <c r="H1189" s="303"/>
      <c r="I1189" s="304"/>
    </row>
    <row r="1190" spans="1:9" x14ac:dyDescent="0.3">
      <c r="A1190" s="302"/>
      <c r="B1190" s="303"/>
      <c r="C1190" s="303"/>
      <c r="D1190" s="304"/>
      <c r="E1190" s="304"/>
      <c r="F1190" s="304"/>
      <c r="G1190" s="304"/>
      <c r="H1190" s="303"/>
      <c r="I1190" s="304"/>
    </row>
    <row r="1191" spans="1:9" x14ac:dyDescent="0.3">
      <c r="A1191" s="302"/>
      <c r="B1191" s="303"/>
      <c r="C1191" s="303"/>
      <c r="D1191" s="304"/>
      <c r="E1191" s="304"/>
      <c r="F1191" s="304"/>
      <c r="G1191" s="304"/>
      <c r="H1191" s="303"/>
      <c r="I1191" s="304"/>
    </row>
    <row r="1192" spans="1:9" x14ac:dyDescent="0.3">
      <c r="A1192" s="302"/>
      <c r="B1192" s="303"/>
      <c r="C1192" s="303"/>
      <c r="D1192" s="304"/>
      <c r="E1192" s="304"/>
      <c r="F1192" s="304"/>
      <c r="G1192" s="304"/>
      <c r="H1192" s="303"/>
      <c r="I1192" s="304"/>
    </row>
    <row r="1193" spans="1:9" x14ac:dyDescent="0.3">
      <c r="A1193" s="302"/>
      <c r="B1193" s="303"/>
      <c r="C1193" s="303"/>
      <c r="D1193" s="304"/>
      <c r="E1193" s="304"/>
      <c r="F1193" s="304"/>
      <c r="G1193" s="304"/>
      <c r="H1193" s="303"/>
      <c r="I1193" s="304"/>
    </row>
    <row r="1194" spans="1:9" x14ac:dyDescent="0.3">
      <c r="A1194" s="302"/>
      <c r="B1194" s="303"/>
      <c r="C1194" s="303"/>
      <c r="D1194" s="304"/>
      <c r="E1194" s="304"/>
      <c r="F1194" s="304"/>
      <c r="G1194" s="304"/>
      <c r="H1194" s="303"/>
      <c r="I1194" s="304"/>
    </row>
    <row r="1195" spans="1:9" x14ac:dyDescent="0.3">
      <c r="A1195" s="302"/>
      <c r="B1195" s="303"/>
      <c r="C1195" s="303"/>
      <c r="D1195" s="304"/>
      <c r="E1195" s="304"/>
      <c r="F1195" s="304"/>
      <c r="G1195" s="304"/>
      <c r="H1195" s="303"/>
      <c r="I1195" s="304"/>
    </row>
    <row r="1196" spans="1:9" x14ac:dyDescent="0.3">
      <c r="A1196" s="302"/>
      <c r="B1196" s="303"/>
      <c r="C1196" s="303"/>
      <c r="D1196" s="304"/>
      <c r="E1196" s="304"/>
      <c r="F1196" s="304"/>
      <c r="G1196" s="304"/>
      <c r="H1196" s="303"/>
      <c r="I1196" s="304"/>
    </row>
    <row r="1197" spans="1:9" x14ac:dyDescent="0.3">
      <c r="A1197" s="302"/>
      <c r="B1197" s="303"/>
      <c r="C1197" s="303"/>
      <c r="D1197" s="304"/>
      <c r="E1197" s="304"/>
      <c r="F1197" s="304"/>
      <c r="G1197" s="304"/>
      <c r="H1197" s="303"/>
      <c r="I1197" s="304"/>
    </row>
    <row r="1198" spans="1:9" x14ac:dyDescent="0.3">
      <c r="A1198" s="302"/>
      <c r="B1198" s="303"/>
      <c r="C1198" s="303"/>
      <c r="D1198" s="304"/>
      <c r="E1198" s="304"/>
      <c r="F1198" s="304"/>
      <c r="G1198" s="304"/>
      <c r="H1198" s="303"/>
      <c r="I1198" s="304"/>
    </row>
    <row r="1199" spans="1:9" x14ac:dyDescent="0.3">
      <c r="A1199" s="302"/>
      <c r="B1199" s="303"/>
      <c r="C1199" s="303"/>
      <c r="D1199" s="304"/>
      <c r="E1199" s="304"/>
      <c r="F1199" s="304"/>
      <c r="G1199" s="304"/>
      <c r="H1199" s="303"/>
      <c r="I1199" s="304"/>
    </row>
    <row r="1200" spans="1:9" x14ac:dyDescent="0.3">
      <c r="A1200" s="302"/>
      <c r="B1200" s="303"/>
      <c r="C1200" s="303"/>
      <c r="D1200" s="304"/>
      <c r="E1200" s="304"/>
      <c r="F1200" s="304"/>
      <c r="G1200" s="304"/>
      <c r="H1200" s="303"/>
      <c r="I1200" s="304"/>
    </row>
    <row r="1201" spans="1:9" x14ac:dyDescent="0.3">
      <c r="A1201" s="302"/>
      <c r="B1201" s="303"/>
      <c r="C1201" s="303"/>
      <c r="D1201" s="304"/>
      <c r="E1201" s="304"/>
      <c r="F1201" s="304"/>
      <c r="G1201" s="304"/>
      <c r="H1201" s="303"/>
      <c r="I1201" s="304"/>
    </row>
    <row r="1202" spans="1:9" x14ac:dyDescent="0.3">
      <c r="A1202" s="302"/>
      <c r="B1202" s="303"/>
      <c r="C1202" s="303"/>
      <c r="D1202" s="304"/>
      <c r="E1202" s="304"/>
      <c r="F1202" s="304"/>
      <c r="G1202" s="304"/>
      <c r="H1202" s="303"/>
      <c r="I1202" s="304"/>
    </row>
    <row r="1203" spans="1:9" x14ac:dyDescent="0.3">
      <c r="A1203" s="302"/>
      <c r="B1203" s="303"/>
      <c r="C1203" s="303"/>
      <c r="D1203" s="304"/>
      <c r="E1203" s="304"/>
      <c r="F1203" s="304"/>
      <c r="G1203" s="304"/>
      <c r="H1203" s="303"/>
      <c r="I1203" s="304"/>
    </row>
    <row r="1204" spans="1:9" x14ac:dyDescent="0.3">
      <c r="A1204" s="302"/>
      <c r="B1204" s="303"/>
      <c r="C1204" s="303"/>
      <c r="D1204" s="304"/>
      <c r="E1204" s="304"/>
      <c r="F1204" s="304"/>
      <c r="G1204" s="304"/>
      <c r="H1204" s="303"/>
      <c r="I1204" s="304"/>
    </row>
    <row r="1205" spans="1:9" x14ac:dyDescent="0.3">
      <c r="A1205" s="302"/>
      <c r="B1205" s="303"/>
      <c r="C1205" s="303"/>
      <c r="D1205" s="304"/>
      <c r="E1205" s="304"/>
      <c r="F1205" s="304"/>
      <c r="G1205" s="304"/>
      <c r="H1205" s="303"/>
      <c r="I1205" s="304"/>
    </row>
    <row r="1206" spans="1:9" x14ac:dyDescent="0.3">
      <c r="A1206" s="302"/>
      <c r="B1206" s="303"/>
      <c r="C1206" s="303"/>
      <c r="D1206" s="304"/>
      <c r="E1206" s="304"/>
      <c r="F1206" s="304"/>
      <c r="G1206" s="304"/>
      <c r="H1206" s="303"/>
      <c r="I1206" s="304"/>
    </row>
    <row r="1207" spans="1:9" x14ac:dyDescent="0.3">
      <c r="A1207" s="302"/>
      <c r="B1207" s="303"/>
      <c r="C1207" s="303"/>
      <c r="D1207" s="304"/>
      <c r="E1207" s="304"/>
      <c r="F1207" s="304"/>
      <c r="G1207" s="304"/>
      <c r="H1207" s="303"/>
      <c r="I1207" s="304"/>
    </row>
    <row r="1208" spans="1:9" x14ac:dyDescent="0.3">
      <c r="A1208" s="302"/>
      <c r="B1208" s="303"/>
      <c r="C1208" s="303"/>
      <c r="D1208" s="304"/>
      <c r="E1208" s="304"/>
      <c r="F1208" s="304"/>
      <c r="G1208" s="304"/>
      <c r="H1208" s="303"/>
      <c r="I1208" s="304"/>
    </row>
    <row r="1209" spans="1:9" x14ac:dyDescent="0.3">
      <c r="A1209" s="302"/>
      <c r="B1209" s="303"/>
      <c r="C1209" s="303"/>
      <c r="D1209" s="304"/>
      <c r="E1209" s="304"/>
      <c r="F1209" s="304"/>
      <c r="G1209" s="304"/>
      <c r="H1209" s="303"/>
      <c r="I1209" s="304"/>
    </row>
    <row r="1210" spans="1:9" x14ac:dyDescent="0.3">
      <c r="A1210" s="302"/>
      <c r="B1210" s="303"/>
      <c r="C1210" s="303"/>
      <c r="D1210" s="304"/>
      <c r="E1210" s="304"/>
      <c r="F1210" s="304"/>
      <c r="G1210" s="304"/>
      <c r="H1210" s="303"/>
      <c r="I1210" s="304"/>
    </row>
    <row r="1211" spans="1:9" x14ac:dyDescent="0.3">
      <c r="A1211" s="302"/>
      <c r="B1211" s="303"/>
      <c r="C1211" s="303"/>
      <c r="D1211" s="304"/>
      <c r="E1211" s="304"/>
      <c r="F1211" s="304"/>
      <c r="G1211" s="304"/>
      <c r="H1211" s="303"/>
      <c r="I1211" s="304"/>
    </row>
    <row r="1212" spans="1:9" x14ac:dyDescent="0.3">
      <c r="A1212" s="302"/>
      <c r="B1212" s="303"/>
      <c r="C1212" s="303"/>
      <c r="D1212" s="304"/>
      <c r="E1212" s="304"/>
      <c r="F1212" s="304"/>
      <c r="G1212" s="304"/>
      <c r="H1212" s="303"/>
      <c r="I1212" s="304"/>
    </row>
    <row r="1213" spans="1:9" x14ac:dyDescent="0.3">
      <c r="A1213" s="302"/>
      <c r="B1213" s="303"/>
      <c r="C1213" s="303"/>
      <c r="D1213" s="304"/>
      <c r="E1213" s="304"/>
      <c r="F1213" s="304"/>
      <c r="G1213" s="304"/>
      <c r="H1213" s="303"/>
      <c r="I1213" s="304"/>
    </row>
    <row r="1214" spans="1:9" x14ac:dyDescent="0.3">
      <c r="A1214" s="302"/>
      <c r="B1214" s="303"/>
      <c r="C1214" s="303"/>
      <c r="D1214" s="304"/>
      <c r="E1214" s="304"/>
      <c r="F1214" s="304"/>
      <c r="G1214" s="304"/>
      <c r="H1214" s="303"/>
      <c r="I1214" s="304"/>
    </row>
    <row r="1215" spans="1:9" x14ac:dyDescent="0.3">
      <c r="A1215" s="302"/>
      <c r="B1215" s="303"/>
      <c r="C1215" s="303"/>
      <c r="D1215" s="304"/>
      <c r="E1215" s="304"/>
      <c r="F1215" s="304"/>
      <c r="G1215" s="304"/>
      <c r="H1215" s="303"/>
      <c r="I1215" s="304"/>
    </row>
    <row r="1216" spans="1:9" x14ac:dyDescent="0.3">
      <c r="A1216" s="302"/>
      <c r="B1216" s="303"/>
      <c r="C1216" s="303"/>
      <c r="D1216" s="304"/>
      <c r="E1216" s="304"/>
      <c r="F1216" s="304"/>
      <c r="G1216" s="304"/>
      <c r="H1216" s="303"/>
      <c r="I1216" s="304"/>
    </row>
    <row r="1217" spans="1:9" x14ac:dyDescent="0.3">
      <c r="A1217" s="302"/>
      <c r="B1217" s="303"/>
      <c r="C1217" s="303"/>
      <c r="D1217" s="304"/>
      <c r="E1217" s="304"/>
      <c r="F1217" s="304"/>
      <c r="G1217" s="304"/>
      <c r="H1217" s="303"/>
      <c r="I1217" s="304"/>
    </row>
    <row r="1218" spans="1:9" x14ac:dyDescent="0.3">
      <c r="A1218" s="302"/>
      <c r="B1218" s="303"/>
      <c r="C1218" s="303"/>
      <c r="D1218" s="304"/>
      <c r="E1218" s="304"/>
      <c r="F1218" s="304"/>
      <c r="G1218" s="304"/>
      <c r="H1218" s="303"/>
      <c r="I1218" s="304"/>
    </row>
    <row r="1219" spans="1:9" x14ac:dyDescent="0.3">
      <c r="A1219" s="302"/>
      <c r="B1219" s="303"/>
      <c r="C1219" s="303"/>
      <c r="D1219" s="304"/>
      <c r="E1219" s="304"/>
      <c r="F1219" s="304"/>
      <c r="G1219" s="304"/>
      <c r="H1219" s="303"/>
      <c r="I1219" s="304"/>
    </row>
    <row r="1220" spans="1:9" x14ac:dyDescent="0.3">
      <c r="A1220" s="302"/>
      <c r="B1220" s="303"/>
      <c r="C1220" s="303"/>
      <c r="D1220" s="304"/>
      <c r="E1220" s="304"/>
      <c r="F1220" s="304"/>
      <c r="G1220" s="304"/>
      <c r="H1220" s="303"/>
      <c r="I1220" s="304"/>
    </row>
    <row r="1221" spans="1:9" x14ac:dyDescent="0.3">
      <c r="A1221" s="302"/>
      <c r="B1221" s="303"/>
      <c r="C1221" s="303"/>
      <c r="D1221" s="304"/>
      <c r="E1221" s="304"/>
      <c r="F1221" s="304"/>
      <c r="G1221" s="304"/>
      <c r="H1221" s="303"/>
      <c r="I1221" s="304"/>
    </row>
    <row r="1222" spans="1:9" x14ac:dyDescent="0.3">
      <c r="A1222" s="302"/>
      <c r="B1222" s="303"/>
      <c r="C1222" s="303"/>
      <c r="D1222" s="304"/>
      <c r="E1222" s="304"/>
      <c r="F1222" s="304"/>
      <c r="G1222" s="304"/>
      <c r="H1222" s="303"/>
      <c r="I1222" s="304"/>
    </row>
    <row r="1223" spans="1:9" x14ac:dyDescent="0.3">
      <c r="A1223" s="302"/>
      <c r="B1223" s="303"/>
      <c r="C1223" s="303"/>
      <c r="D1223" s="304"/>
      <c r="E1223" s="304"/>
      <c r="F1223" s="304"/>
      <c r="G1223" s="304"/>
      <c r="H1223" s="303"/>
      <c r="I1223" s="304"/>
    </row>
    <row r="1224" spans="1:9" x14ac:dyDescent="0.3">
      <c r="A1224" s="302"/>
      <c r="B1224" s="303"/>
      <c r="C1224" s="303"/>
      <c r="D1224" s="304"/>
      <c r="E1224" s="304"/>
      <c r="F1224" s="304"/>
      <c r="G1224" s="304"/>
      <c r="H1224" s="303"/>
      <c r="I1224" s="304"/>
    </row>
    <row r="1225" spans="1:9" x14ac:dyDescent="0.3">
      <c r="A1225" s="302"/>
      <c r="B1225" s="303"/>
      <c r="C1225" s="303"/>
      <c r="D1225" s="304"/>
      <c r="E1225" s="304"/>
      <c r="F1225" s="304"/>
      <c r="G1225" s="304"/>
      <c r="H1225" s="303"/>
      <c r="I1225" s="304"/>
    </row>
    <row r="1226" spans="1:9" x14ac:dyDescent="0.3">
      <c r="A1226" s="302"/>
      <c r="B1226" s="303"/>
      <c r="C1226" s="303"/>
      <c r="D1226" s="304"/>
      <c r="E1226" s="304"/>
      <c r="F1226" s="304"/>
      <c r="G1226" s="304"/>
      <c r="H1226" s="303"/>
      <c r="I1226" s="304"/>
    </row>
    <row r="1227" spans="1:9" x14ac:dyDescent="0.3">
      <c r="A1227" s="302"/>
      <c r="B1227" s="303"/>
      <c r="C1227" s="303"/>
      <c r="D1227" s="304"/>
      <c r="E1227" s="304"/>
      <c r="F1227" s="304"/>
      <c r="G1227" s="304"/>
      <c r="H1227" s="303"/>
      <c r="I1227" s="304"/>
    </row>
    <row r="1228" spans="1:9" x14ac:dyDescent="0.3">
      <c r="A1228" s="302"/>
      <c r="B1228" s="303"/>
      <c r="C1228" s="303"/>
      <c r="D1228" s="304"/>
      <c r="E1228" s="304"/>
      <c r="F1228" s="304"/>
      <c r="G1228" s="304"/>
      <c r="H1228" s="303"/>
      <c r="I1228" s="304"/>
    </row>
    <row r="1229" spans="1:9" x14ac:dyDescent="0.3">
      <c r="A1229" s="302"/>
      <c r="B1229" s="303"/>
      <c r="C1229" s="303"/>
      <c r="D1229" s="304"/>
      <c r="E1229" s="304"/>
      <c r="F1229" s="304"/>
      <c r="G1229" s="304"/>
      <c r="H1229" s="303"/>
      <c r="I1229" s="304"/>
    </row>
    <row r="1230" spans="1:9" x14ac:dyDescent="0.3">
      <c r="A1230" s="302"/>
      <c r="B1230" s="303"/>
      <c r="C1230" s="303"/>
      <c r="D1230" s="304"/>
      <c r="E1230" s="304"/>
      <c r="F1230" s="304"/>
      <c r="G1230" s="304"/>
      <c r="H1230" s="303"/>
      <c r="I1230" s="304"/>
    </row>
    <row r="1231" spans="1:9" x14ac:dyDescent="0.3">
      <c r="A1231" s="302"/>
      <c r="B1231" s="303"/>
      <c r="C1231" s="303"/>
      <c r="D1231" s="304"/>
      <c r="E1231" s="304"/>
      <c r="F1231" s="304"/>
      <c r="G1231" s="304"/>
      <c r="H1231" s="303"/>
      <c r="I1231" s="304"/>
    </row>
    <row r="1232" spans="1:9" x14ac:dyDescent="0.3">
      <c r="A1232" s="302"/>
      <c r="B1232" s="303"/>
      <c r="C1232" s="303"/>
      <c r="D1232" s="304"/>
      <c r="E1232" s="304"/>
      <c r="F1232" s="304"/>
      <c r="G1232" s="304"/>
      <c r="H1232" s="303"/>
      <c r="I1232" s="304"/>
    </row>
    <row r="1233" spans="1:9" x14ac:dyDescent="0.3">
      <c r="A1233" s="302"/>
      <c r="B1233" s="303"/>
      <c r="C1233" s="303"/>
      <c r="D1233" s="304"/>
      <c r="E1233" s="304"/>
      <c r="F1233" s="304"/>
      <c r="G1233" s="304"/>
      <c r="H1233" s="303"/>
      <c r="I1233" s="304"/>
    </row>
    <row r="1234" spans="1:9" x14ac:dyDescent="0.3">
      <c r="A1234" s="302"/>
      <c r="B1234" s="303"/>
      <c r="C1234" s="303"/>
      <c r="D1234" s="304"/>
      <c r="E1234" s="304"/>
      <c r="F1234" s="304"/>
      <c r="G1234" s="304"/>
      <c r="H1234" s="303"/>
      <c r="I1234" s="304"/>
    </row>
    <row r="1235" spans="1:9" x14ac:dyDescent="0.3">
      <c r="A1235" s="302"/>
      <c r="B1235" s="303"/>
      <c r="C1235" s="303"/>
      <c r="D1235" s="304"/>
      <c r="E1235" s="304"/>
      <c r="F1235" s="304"/>
      <c r="G1235" s="304"/>
      <c r="H1235" s="303"/>
      <c r="I1235" s="304"/>
    </row>
    <row r="1236" spans="1:9" x14ac:dyDescent="0.3">
      <c r="A1236" s="302"/>
      <c r="B1236" s="303"/>
      <c r="C1236" s="303"/>
      <c r="D1236" s="304"/>
      <c r="E1236" s="304"/>
      <c r="F1236" s="304"/>
      <c r="G1236" s="304"/>
      <c r="H1236" s="303"/>
      <c r="I1236" s="304"/>
    </row>
    <row r="1237" spans="1:9" x14ac:dyDescent="0.3">
      <c r="A1237" s="302"/>
      <c r="B1237" s="303"/>
      <c r="C1237" s="303"/>
      <c r="D1237" s="304"/>
      <c r="E1237" s="304"/>
      <c r="F1237" s="304"/>
      <c r="G1237" s="304"/>
      <c r="H1237" s="303"/>
      <c r="I1237" s="304"/>
    </row>
    <row r="1238" spans="1:9" x14ac:dyDescent="0.3">
      <c r="A1238" s="302"/>
      <c r="B1238" s="303"/>
      <c r="C1238" s="303"/>
      <c r="D1238" s="304"/>
      <c r="E1238" s="304"/>
      <c r="F1238" s="304"/>
      <c r="G1238" s="304"/>
      <c r="H1238" s="303"/>
      <c r="I1238" s="304"/>
    </row>
    <row r="1239" spans="1:9" x14ac:dyDescent="0.3">
      <c r="A1239" s="302"/>
      <c r="B1239" s="303"/>
      <c r="C1239" s="303"/>
      <c r="D1239" s="304"/>
      <c r="E1239" s="304"/>
      <c r="F1239" s="304"/>
      <c r="G1239" s="304"/>
      <c r="H1239" s="303"/>
      <c r="I1239" s="304"/>
    </row>
    <row r="1240" spans="1:9" x14ac:dyDescent="0.3">
      <c r="A1240" s="302"/>
      <c r="B1240" s="303"/>
      <c r="C1240" s="303"/>
      <c r="D1240" s="304"/>
      <c r="E1240" s="304"/>
      <c r="F1240" s="304"/>
      <c r="G1240" s="304"/>
      <c r="H1240" s="303"/>
      <c r="I1240" s="304"/>
    </row>
    <row r="1241" spans="1:9" x14ac:dyDescent="0.3">
      <c r="A1241" s="302"/>
      <c r="B1241" s="303"/>
      <c r="C1241" s="303"/>
      <c r="D1241" s="304"/>
      <c r="E1241" s="304"/>
      <c r="F1241" s="304"/>
      <c r="G1241" s="304"/>
      <c r="H1241" s="303"/>
      <c r="I1241" s="304"/>
    </row>
    <row r="1242" spans="1:9" x14ac:dyDescent="0.3">
      <c r="A1242" s="302"/>
      <c r="B1242" s="303"/>
      <c r="C1242" s="303"/>
      <c r="D1242" s="304"/>
      <c r="E1242" s="304"/>
      <c r="F1242" s="304"/>
      <c r="G1242" s="304"/>
      <c r="H1242" s="303"/>
      <c r="I1242" s="304"/>
    </row>
    <row r="1243" spans="1:9" x14ac:dyDescent="0.3">
      <c r="A1243" s="302"/>
      <c r="B1243" s="303"/>
      <c r="C1243" s="303"/>
      <c r="D1243" s="304"/>
      <c r="E1243" s="304"/>
      <c r="F1243" s="304"/>
      <c r="G1243" s="304"/>
      <c r="H1243" s="303"/>
      <c r="I1243" s="304"/>
    </row>
    <row r="1244" spans="1:9" x14ac:dyDescent="0.3">
      <c r="A1244" s="302"/>
      <c r="B1244" s="303"/>
      <c r="C1244" s="303"/>
      <c r="D1244" s="304"/>
      <c r="E1244" s="304"/>
      <c r="F1244" s="304"/>
      <c r="G1244" s="304"/>
      <c r="H1244" s="303"/>
      <c r="I1244" s="304"/>
    </row>
    <row r="1245" spans="1:9" x14ac:dyDescent="0.3">
      <c r="A1245" s="302"/>
      <c r="B1245" s="303"/>
      <c r="C1245" s="303"/>
      <c r="D1245" s="304"/>
      <c r="E1245" s="304"/>
      <c r="F1245" s="304"/>
      <c r="G1245" s="304"/>
      <c r="H1245" s="303"/>
      <c r="I1245" s="304"/>
    </row>
    <row r="1246" spans="1:9" x14ac:dyDescent="0.3">
      <c r="A1246" s="302"/>
      <c r="B1246" s="303"/>
      <c r="C1246" s="303"/>
      <c r="D1246" s="304"/>
      <c r="E1246" s="304"/>
      <c r="F1246" s="304"/>
      <c r="G1246" s="304"/>
      <c r="H1246" s="303"/>
      <c r="I1246" s="304"/>
    </row>
    <row r="1247" spans="1:9" x14ac:dyDescent="0.3">
      <c r="A1247" s="302"/>
      <c r="B1247" s="303"/>
      <c r="C1247" s="303"/>
      <c r="D1247" s="304"/>
      <c r="E1247" s="304"/>
      <c r="F1247" s="304"/>
      <c r="G1247" s="304"/>
      <c r="H1247" s="303"/>
      <c r="I1247" s="304"/>
    </row>
    <row r="1248" spans="1:9" x14ac:dyDescent="0.3">
      <c r="A1248" s="302"/>
      <c r="B1248" s="303"/>
      <c r="C1248" s="303"/>
      <c r="D1248" s="304"/>
      <c r="E1248" s="304"/>
      <c r="F1248" s="304"/>
      <c r="G1248" s="304"/>
      <c r="H1248" s="303"/>
      <c r="I1248" s="304"/>
    </row>
    <row r="1249" spans="1:9" x14ac:dyDescent="0.3">
      <c r="A1249" s="302"/>
      <c r="B1249" s="303"/>
      <c r="C1249" s="303"/>
      <c r="D1249" s="304"/>
      <c r="E1249" s="304"/>
      <c r="F1249" s="304"/>
      <c r="G1249" s="304"/>
      <c r="H1249" s="303"/>
      <c r="I1249" s="304"/>
    </row>
    <row r="1250" spans="1:9" x14ac:dyDescent="0.3">
      <c r="A1250" s="302"/>
      <c r="B1250" s="303"/>
      <c r="C1250" s="303"/>
      <c r="D1250" s="304"/>
      <c r="E1250" s="304"/>
      <c r="F1250" s="304"/>
      <c r="G1250" s="304"/>
      <c r="H1250" s="303"/>
      <c r="I1250" s="304"/>
    </row>
    <row r="1251" spans="1:9" x14ac:dyDescent="0.3">
      <c r="A1251" s="302"/>
      <c r="B1251" s="303"/>
      <c r="C1251" s="303"/>
      <c r="D1251" s="304"/>
      <c r="E1251" s="304"/>
      <c r="F1251" s="304"/>
      <c r="G1251" s="304"/>
      <c r="H1251" s="303"/>
      <c r="I1251" s="304"/>
    </row>
    <row r="1252" spans="1:9" x14ac:dyDescent="0.3">
      <c r="A1252" s="302"/>
      <c r="B1252" s="303"/>
      <c r="C1252" s="303"/>
      <c r="D1252" s="304"/>
      <c r="E1252" s="304"/>
      <c r="F1252" s="304"/>
      <c r="G1252" s="304"/>
      <c r="H1252" s="303"/>
      <c r="I1252" s="304"/>
    </row>
    <row r="1253" spans="1:9" x14ac:dyDescent="0.3">
      <c r="A1253" s="302"/>
      <c r="B1253" s="303"/>
      <c r="C1253" s="303"/>
      <c r="D1253" s="304"/>
      <c r="E1253" s="304"/>
      <c r="F1253" s="304"/>
      <c r="G1253" s="304"/>
      <c r="H1253" s="303"/>
      <c r="I1253" s="304"/>
    </row>
    <row r="1254" spans="1:9" x14ac:dyDescent="0.3">
      <c r="A1254" s="302"/>
      <c r="B1254" s="303"/>
      <c r="C1254" s="303"/>
      <c r="D1254" s="304"/>
      <c r="E1254" s="304"/>
      <c r="F1254" s="304"/>
      <c r="G1254" s="304"/>
      <c r="H1254" s="303"/>
      <c r="I1254" s="304"/>
    </row>
    <row r="1255" spans="1:9" x14ac:dyDescent="0.3">
      <c r="A1255" s="302"/>
      <c r="B1255" s="303"/>
      <c r="C1255" s="303"/>
      <c r="D1255" s="304"/>
      <c r="E1255" s="304"/>
      <c r="F1255" s="304"/>
      <c r="G1255" s="304"/>
      <c r="H1255" s="303"/>
      <c r="I1255" s="304"/>
    </row>
    <row r="1256" spans="1:9" x14ac:dyDescent="0.3">
      <c r="A1256" s="302"/>
      <c r="B1256" s="303"/>
      <c r="C1256" s="303"/>
      <c r="D1256" s="304"/>
      <c r="E1256" s="304"/>
      <c r="F1256" s="304"/>
      <c r="G1256" s="304"/>
      <c r="H1256" s="303"/>
      <c r="I1256" s="304"/>
    </row>
    <row r="1257" spans="1:9" x14ac:dyDescent="0.3">
      <c r="A1257" s="302"/>
      <c r="B1257" s="303"/>
      <c r="C1257" s="303"/>
      <c r="D1257" s="304"/>
      <c r="E1257" s="304"/>
      <c r="F1257" s="304"/>
      <c r="G1257" s="304"/>
      <c r="H1257" s="303"/>
      <c r="I1257" s="304"/>
    </row>
    <row r="1258" spans="1:9" x14ac:dyDescent="0.3">
      <c r="A1258" s="302"/>
      <c r="B1258" s="303"/>
      <c r="C1258" s="303"/>
      <c r="D1258" s="304"/>
      <c r="E1258" s="304"/>
      <c r="F1258" s="304"/>
      <c r="G1258" s="304"/>
      <c r="H1258" s="303"/>
      <c r="I1258" s="304"/>
    </row>
    <row r="1259" spans="1:9" x14ac:dyDescent="0.3">
      <c r="A1259" s="302"/>
      <c r="B1259" s="303"/>
      <c r="C1259" s="303"/>
      <c r="D1259" s="304"/>
      <c r="E1259" s="304"/>
      <c r="F1259" s="304"/>
      <c r="G1259" s="304"/>
      <c r="H1259" s="303"/>
      <c r="I1259" s="304"/>
    </row>
    <row r="1260" spans="1:9" x14ac:dyDescent="0.3">
      <c r="A1260" s="302"/>
      <c r="B1260" s="303"/>
      <c r="C1260" s="303"/>
      <c r="D1260" s="304"/>
      <c r="E1260" s="304"/>
      <c r="F1260" s="304"/>
      <c r="G1260" s="304"/>
      <c r="H1260" s="303"/>
      <c r="I1260" s="304"/>
    </row>
    <row r="1261" spans="1:9" x14ac:dyDescent="0.3">
      <c r="A1261" s="302"/>
      <c r="B1261" s="303"/>
      <c r="C1261" s="303"/>
      <c r="D1261" s="304"/>
      <c r="E1261" s="304"/>
      <c r="F1261" s="304"/>
      <c r="G1261" s="304"/>
      <c r="H1261" s="303"/>
      <c r="I1261" s="304"/>
    </row>
    <row r="1262" spans="1:9" x14ac:dyDescent="0.3">
      <c r="A1262" s="302"/>
      <c r="B1262" s="303"/>
      <c r="C1262" s="303"/>
      <c r="D1262" s="304"/>
      <c r="E1262" s="304"/>
      <c r="F1262" s="304"/>
      <c r="G1262" s="304"/>
      <c r="H1262" s="303"/>
      <c r="I1262" s="304"/>
    </row>
    <row r="1263" spans="1:9" x14ac:dyDescent="0.3">
      <c r="A1263" s="302"/>
      <c r="B1263" s="303"/>
      <c r="C1263" s="303"/>
      <c r="D1263" s="304"/>
      <c r="E1263" s="304"/>
      <c r="F1263" s="304"/>
      <c r="G1263" s="304"/>
      <c r="H1263" s="303"/>
      <c r="I1263" s="304"/>
    </row>
    <row r="1264" spans="1:9" x14ac:dyDescent="0.3">
      <c r="A1264" s="302"/>
      <c r="B1264" s="303"/>
      <c r="C1264" s="303"/>
      <c r="D1264" s="304"/>
      <c r="E1264" s="304"/>
      <c r="F1264" s="304"/>
      <c r="G1264" s="304"/>
      <c r="H1264" s="303"/>
      <c r="I1264" s="304"/>
    </row>
    <row r="1265" spans="1:9" x14ac:dyDescent="0.3">
      <c r="A1265" s="302"/>
      <c r="B1265" s="303"/>
      <c r="C1265" s="303"/>
      <c r="D1265" s="304"/>
      <c r="E1265" s="304"/>
      <c r="F1265" s="304"/>
      <c r="G1265" s="304"/>
      <c r="H1265" s="303"/>
      <c r="I1265" s="304"/>
    </row>
    <row r="1266" spans="1:9" x14ac:dyDescent="0.3">
      <c r="A1266" s="302"/>
      <c r="B1266" s="303"/>
      <c r="C1266" s="303"/>
      <c r="D1266" s="304"/>
      <c r="E1266" s="304"/>
      <c r="F1266" s="304"/>
      <c r="G1266" s="304"/>
      <c r="H1266" s="303"/>
      <c r="I1266" s="304"/>
    </row>
    <row r="1267" spans="1:9" x14ac:dyDescent="0.3">
      <c r="A1267" s="302"/>
      <c r="B1267" s="303"/>
      <c r="C1267" s="303"/>
      <c r="D1267" s="304"/>
      <c r="E1267" s="304"/>
      <c r="F1267" s="304"/>
      <c r="G1267" s="304"/>
      <c r="H1267" s="303"/>
      <c r="I1267" s="304"/>
    </row>
    <row r="1268" spans="1:9" x14ac:dyDescent="0.3">
      <c r="A1268" s="302"/>
      <c r="B1268" s="303"/>
      <c r="C1268" s="303"/>
      <c r="D1268" s="304"/>
      <c r="E1268" s="304"/>
      <c r="F1268" s="304"/>
      <c r="G1268" s="304"/>
      <c r="H1268" s="303"/>
      <c r="I1268" s="304"/>
    </row>
    <row r="1269" spans="1:9" x14ac:dyDescent="0.3">
      <c r="A1269" s="302"/>
      <c r="B1269" s="303"/>
      <c r="C1269" s="303"/>
      <c r="D1269" s="304"/>
      <c r="E1269" s="304"/>
      <c r="F1269" s="304"/>
      <c r="G1269" s="304"/>
      <c r="H1269" s="303"/>
      <c r="I1269" s="304"/>
    </row>
    <row r="1270" spans="1:9" x14ac:dyDescent="0.3">
      <c r="A1270" s="302"/>
      <c r="B1270" s="303"/>
      <c r="C1270" s="303"/>
      <c r="D1270" s="304"/>
      <c r="E1270" s="304"/>
      <c r="F1270" s="304"/>
      <c r="G1270" s="304"/>
      <c r="H1270" s="303"/>
      <c r="I1270" s="304"/>
    </row>
    <row r="1271" spans="1:9" x14ac:dyDescent="0.3">
      <c r="A1271" s="302"/>
      <c r="B1271" s="303"/>
      <c r="C1271" s="303"/>
      <c r="D1271" s="304"/>
      <c r="E1271" s="304"/>
      <c r="F1271" s="304"/>
      <c r="G1271" s="304"/>
      <c r="H1271" s="303"/>
      <c r="I1271" s="304"/>
    </row>
    <row r="1272" spans="1:9" x14ac:dyDescent="0.3">
      <c r="A1272" s="302"/>
      <c r="B1272" s="303"/>
      <c r="C1272" s="303"/>
      <c r="D1272" s="304"/>
      <c r="E1272" s="304"/>
      <c r="F1272" s="304"/>
      <c r="G1272" s="304"/>
      <c r="H1272" s="303"/>
      <c r="I1272" s="304"/>
    </row>
    <row r="1273" spans="1:9" x14ac:dyDescent="0.3">
      <c r="A1273" s="302"/>
      <c r="B1273" s="303"/>
      <c r="C1273" s="303"/>
      <c r="D1273" s="304"/>
      <c r="E1273" s="304"/>
      <c r="F1273" s="304"/>
      <c r="G1273" s="304"/>
      <c r="H1273" s="303"/>
      <c r="I1273" s="304"/>
    </row>
    <row r="1274" spans="1:9" x14ac:dyDescent="0.3">
      <c r="A1274" s="302"/>
      <c r="B1274" s="303"/>
      <c r="C1274" s="303"/>
      <c r="D1274" s="304"/>
      <c r="E1274" s="304"/>
      <c r="F1274" s="304"/>
      <c r="G1274" s="304"/>
      <c r="H1274" s="303"/>
      <c r="I1274" s="304"/>
    </row>
    <row r="1275" spans="1:9" x14ac:dyDescent="0.3">
      <c r="A1275" s="302"/>
      <c r="B1275" s="303"/>
      <c r="C1275" s="303"/>
      <c r="D1275" s="304"/>
      <c r="E1275" s="304"/>
      <c r="F1275" s="304"/>
      <c r="G1275" s="304"/>
      <c r="H1275" s="303"/>
      <c r="I1275" s="304"/>
    </row>
    <row r="1276" spans="1:9" x14ac:dyDescent="0.3">
      <c r="A1276" s="302"/>
      <c r="B1276" s="303"/>
      <c r="C1276" s="303"/>
      <c r="D1276" s="304"/>
      <c r="E1276" s="304"/>
      <c r="F1276" s="304"/>
      <c r="G1276" s="304"/>
      <c r="H1276" s="303"/>
      <c r="I1276" s="304"/>
    </row>
    <row r="1277" spans="1:9" x14ac:dyDescent="0.3">
      <c r="A1277" s="302"/>
      <c r="B1277" s="303"/>
      <c r="C1277" s="303"/>
      <c r="D1277" s="304"/>
      <c r="E1277" s="304"/>
      <c r="F1277" s="304"/>
      <c r="G1277" s="304"/>
      <c r="H1277" s="303"/>
      <c r="I1277" s="304"/>
    </row>
    <row r="1278" spans="1:9" x14ac:dyDescent="0.3">
      <c r="A1278" s="302"/>
      <c r="B1278" s="303"/>
      <c r="C1278" s="303"/>
      <c r="D1278" s="304"/>
      <c r="E1278" s="304"/>
      <c r="F1278" s="304"/>
      <c r="G1278" s="304"/>
      <c r="H1278" s="303"/>
      <c r="I1278" s="304"/>
    </row>
    <row r="1279" spans="1:9" x14ac:dyDescent="0.3">
      <c r="A1279" s="302"/>
      <c r="B1279" s="303"/>
      <c r="C1279" s="303"/>
      <c r="D1279" s="304"/>
      <c r="E1279" s="304"/>
      <c r="F1279" s="304"/>
      <c r="G1279" s="304"/>
      <c r="H1279" s="303"/>
      <c r="I1279" s="304"/>
    </row>
    <row r="1280" spans="1:9" x14ac:dyDescent="0.3">
      <c r="A1280" s="302"/>
      <c r="B1280" s="303"/>
      <c r="C1280" s="303"/>
      <c r="D1280" s="304"/>
      <c r="E1280" s="304"/>
      <c r="F1280" s="304"/>
      <c r="G1280" s="304"/>
      <c r="H1280" s="303"/>
      <c r="I1280" s="304"/>
    </row>
    <row r="1281" spans="1:9" x14ac:dyDescent="0.3">
      <c r="A1281" s="302"/>
      <c r="B1281" s="303"/>
      <c r="C1281" s="303"/>
      <c r="D1281" s="304"/>
      <c r="E1281" s="304"/>
      <c r="F1281" s="304"/>
      <c r="G1281" s="304"/>
      <c r="H1281" s="303"/>
      <c r="I1281" s="304"/>
    </row>
    <row r="1282" spans="1:9" x14ac:dyDescent="0.3">
      <c r="A1282" s="302"/>
      <c r="B1282" s="303"/>
      <c r="C1282" s="303"/>
      <c r="D1282" s="304"/>
      <c r="E1282" s="304"/>
      <c r="F1282" s="304"/>
      <c r="G1282" s="304"/>
      <c r="H1282" s="303"/>
      <c r="I1282" s="304"/>
    </row>
    <row r="1283" spans="1:9" x14ac:dyDescent="0.3">
      <c r="A1283" s="302"/>
      <c r="B1283" s="303"/>
      <c r="C1283" s="303"/>
      <c r="D1283" s="304"/>
      <c r="E1283" s="304"/>
      <c r="F1283" s="304"/>
      <c r="G1283" s="304"/>
      <c r="H1283" s="303"/>
      <c r="I1283" s="304"/>
    </row>
    <row r="1284" spans="1:9" x14ac:dyDescent="0.3">
      <c r="A1284" s="302"/>
      <c r="B1284" s="303"/>
      <c r="C1284" s="303"/>
      <c r="D1284" s="304"/>
      <c r="E1284" s="304"/>
      <c r="F1284" s="304"/>
      <c r="G1284" s="304"/>
      <c r="H1284" s="303"/>
      <c r="I1284" s="304"/>
    </row>
    <row r="1285" spans="1:9" x14ac:dyDescent="0.3">
      <c r="A1285" s="302"/>
      <c r="B1285" s="303"/>
      <c r="C1285" s="303"/>
      <c r="D1285" s="304"/>
      <c r="E1285" s="304"/>
      <c r="F1285" s="304"/>
      <c r="G1285" s="304"/>
      <c r="H1285" s="303"/>
      <c r="I1285" s="304"/>
    </row>
    <row r="1286" spans="1:9" x14ac:dyDescent="0.3">
      <c r="A1286" s="302"/>
      <c r="B1286" s="303"/>
      <c r="C1286" s="303"/>
      <c r="D1286" s="304"/>
      <c r="E1286" s="304"/>
      <c r="F1286" s="304"/>
      <c r="G1286" s="304"/>
      <c r="H1286" s="303"/>
      <c r="I1286" s="304"/>
    </row>
    <row r="1287" spans="1:9" x14ac:dyDescent="0.3">
      <c r="A1287" s="302"/>
      <c r="B1287" s="303"/>
      <c r="C1287" s="303"/>
      <c r="D1287" s="304"/>
      <c r="E1287" s="304"/>
      <c r="F1287" s="304"/>
      <c r="G1287" s="304"/>
      <c r="H1287" s="303"/>
      <c r="I1287" s="304"/>
    </row>
    <row r="1288" spans="1:9" x14ac:dyDescent="0.3">
      <c r="A1288" s="302"/>
      <c r="B1288" s="303"/>
      <c r="C1288" s="303"/>
      <c r="D1288" s="304"/>
      <c r="E1288" s="304"/>
      <c r="F1288" s="304"/>
      <c r="G1288" s="304"/>
      <c r="H1288" s="303"/>
      <c r="I1288" s="304"/>
    </row>
    <row r="1289" spans="1:9" x14ac:dyDescent="0.3">
      <c r="A1289" s="302"/>
      <c r="B1289" s="303"/>
      <c r="C1289" s="303"/>
      <c r="D1289" s="304"/>
      <c r="E1289" s="304"/>
      <c r="F1289" s="304"/>
      <c r="G1289" s="304"/>
      <c r="H1289" s="303"/>
      <c r="I1289" s="304"/>
    </row>
    <row r="1290" spans="1:9" x14ac:dyDescent="0.3">
      <c r="A1290" s="302"/>
      <c r="B1290" s="303"/>
      <c r="C1290" s="303"/>
      <c r="D1290" s="304"/>
      <c r="E1290" s="304"/>
      <c r="F1290" s="304"/>
      <c r="G1290" s="304"/>
      <c r="H1290" s="303"/>
      <c r="I1290" s="304"/>
    </row>
    <row r="1291" spans="1:9" x14ac:dyDescent="0.3">
      <c r="A1291" s="302"/>
      <c r="B1291" s="303"/>
      <c r="C1291" s="303"/>
      <c r="D1291" s="304"/>
      <c r="E1291" s="304"/>
      <c r="F1291" s="304"/>
      <c r="G1291" s="304"/>
      <c r="H1291" s="303"/>
      <c r="I1291" s="304"/>
    </row>
    <row r="1292" spans="1:9" x14ac:dyDescent="0.3">
      <c r="A1292" s="302"/>
      <c r="B1292" s="303"/>
      <c r="C1292" s="303"/>
      <c r="D1292" s="304"/>
      <c r="E1292" s="304"/>
      <c r="F1292" s="304"/>
      <c r="G1292" s="304"/>
      <c r="H1292" s="303"/>
      <c r="I1292" s="304"/>
    </row>
    <row r="1293" spans="1:9" x14ac:dyDescent="0.3">
      <c r="A1293" s="302"/>
      <c r="B1293" s="303"/>
      <c r="C1293" s="303"/>
      <c r="D1293" s="304"/>
      <c r="E1293" s="304"/>
      <c r="F1293" s="304"/>
      <c r="G1293" s="304"/>
      <c r="H1293" s="303"/>
      <c r="I1293" s="304"/>
    </row>
    <row r="1294" spans="1:9" x14ac:dyDescent="0.3">
      <c r="A1294" s="302"/>
      <c r="B1294" s="303"/>
      <c r="C1294" s="303"/>
      <c r="D1294" s="304"/>
      <c r="E1294" s="304"/>
      <c r="F1294" s="304"/>
      <c r="G1294" s="304"/>
      <c r="H1294" s="303"/>
      <c r="I1294" s="304"/>
    </row>
    <row r="1295" spans="1:9" x14ac:dyDescent="0.3">
      <c r="A1295" s="302"/>
      <c r="B1295" s="303"/>
      <c r="C1295" s="303"/>
      <c r="D1295" s="304"/>
      <c r="E1295" s="304"/>
      <c r="F1295" s="304"/>
      <c r="G1295" s="304"/>
      <c r="H1295" s="303"/>
      <c r="I1295" s="304"/>
    </row>
    <row r="1296" spans="1:9" x14ac:dyDescent="0.3">
      <c r="A1296" s="302"/>
      <c r="B1296" s="303"/>
      <c r="C1296" s="303"/>
      <c r="D1296" s="304"/>
      <c r="E1296" s="304"/>
      <c r="F1296" s="304"/>
      <c r="G1296" s="304"/>
      <c r="H1296" s="303"/>
      <c r="I1296" s="304"/>
    </row>
    <row r="1297" spans="1:9" x14ac:dyDescent="0.3">
      <c r="A1297" s="302"/>
      <c r="B1297" s="303"/>
      <c r="C1297" s="303"/>
      <c r="D1297" s="304"/>
      <c r="E1297" s="304"/>
      <c r="F1297" s="304"/>
      <c r="G1297" s="304"/>
      <c r="H1297" s="303"/>
      <c r="I1297" s="304"/>
    </row>
    <row r="1298" spans="1:9" x14ac:dyDescent="0.3">
      <c r="A1298" s="302"/>
      <c r="B1298" s="303"/>
      <c r="C1298" s="303"/>
      <c r="D1298" s="304"/>
      <c r="E1298" s="304"/>
      <c r="F1298" s="304"/>
      <c r="G1298" s="304"/>
      <c r="H1298" s="303"/>
      <c r="I1298" s="304"/>
    </row>
    <row r="1299" spans="1:9" x14ac:dyDescent="0.3">
      <c r="A1299" s="302"/>
      <c r="B1299" s="303"/>
      <c r="C1299" s="303"/>
      <c r="D1299" s="304"/>
      <c r="E1299" s="304"/>
      <c r="F1299" s="304"/>
      <c r="G1299" s="304"/>
      <c r="H1299" s="303"/>
      <c r="I1299" s="304"/>
    </row>
    <row r="1300" spans="1:9" x14ac:dyDescent="0.3">
      <c r="A1300" s="302"/>
      <c r="B1300" s="303"/>
      <c r="C1300" s="303"/>
      <c r="D1300" s="304"/>
      <c r="E1300" s="304"/>
      <c r="F1300" s="304"/>
      <c r="G1300" s="304"/>
      <c r="H1300" s="303"/>
      <c r="I1300" s="304"/>
    </row>
    <row r="1301" spans="1:9" x14ac:dyDescent="0.3">
      <c r="A1301" s="302"/>
      <c r="B1301" s="303"/>
      <c r="C1301" s="303"/>
      <c r="D1301" s="304"/>
      <c r="E1301" s="304"/>
      <c r="F1301" s="304"/>
      <c r="G1301" s="304"/>
      <c r="H1301" s="303"/>
      <c r="I1301" s="304"/>
    </row>
    <row r="1302" spans="1:9" x14ac:dyDescent="0.3">
      <c r="A1302" s="302"/>
      <c r="B1302" s="303"/>
      <c r="C1302" s="303"/>
      <c r="D1302" s="304"/>
      <c r="E1302" s="304"/>
      <c r="F1302" s="304"/>
      <c r="G1302" s="304"/>
      <c r="H1302" s="303"/>
      <c r="I1302" s="304"/>
    </row>
    <row r="1303" spans="1:9" x14ac:dyDescent="0.3">
      <c r="A1303" s="302"/>
      <c r="B1303" s="303"/>
      <c r="C1303" s="303"/>
      <c r="D1303" s="304"/>
      <c r="E1303" s="304"/>
      <c r="F1303" s="304"/>
      <c r="G1303" s="304"/>
      <c r="H1303" s="303"/>
      <c r="I1303" s="304"/>
    </row>
    <row r="1304" spans="1:9" x14ac:dyDescent="0.3">
      <c r="A1304" s="302"/>
      <c r="B1304" s="303"/>
      <c r="C1304" s="303"/>
      <c r="D1304" s="304"/>
      <c r="E1304" s="304"/>
      <c r="F1304" s="304"/>
      <c r="G1304" s="304"/>
      <c r="H1304" s="303"/>
      <c r="I1304" s="304"/>
    </row>
    <row r="1305" spans="1:9" x14ac:dyDescent="0.3">
      <c r="A1305" s="302"/>
      <c r="B1305" s="303"/>
      <c r="C1305" s="303"/>
      <c r="D1305" s="304"/>
      <c r="E1305" s="304"/>
      <c r="F1305" s="304"/>
      <c r="G1305" s="304"/>
      <c r="H1305" s="303"/>
      <c r="I1305" s="304"/>
    </row>
    <row r="1306" spans="1:9" x14ac:dyDescent="0.3">
      <c r="A1306" s="302"/>
      <c r="B1306" s="303"/>
      <c r="C1306" s="303"/>
      <c r="D1306" s="304"/>
      <c r="E1306" s="304"/>
      <c r="F1306" s="304"/>
      <c r="G1306" s="304"/>
      <c r="H1306" s="303"/>
      <c r="I1306" s="304"/>
    </row>
    <row r="1307" spans="1:9" x14ac:dyDescent="0.3">
      <c r="A1307" s="302"/>
      <c r="B1307" s="303"/>
      <c r="C1307" s="303"/>
      <c r="D1307" s="304"/>
      <c r="E1307" s="304"/>
      <c r="F1307" s="304"/>
      <c r="G1307" s="304"/>
      <c r="H1307" s="303"/>
      <c r="I1307" s="304"/>
    </row>
    <row r="1308" spans="1:9" x14ac:dyDescent="0.3">
      <c r="A1308" s="302"/>
      <c r="B1308" s="303"/>
      <c r="C1308" s="303"/>
      <c r="D1308" s="304"/>
      <c r="E1308" s="304"/>
      <c r="F1308" s="304"/>
      <c r="G1308" s="304"/>
      <c r="H1308" s="303"/>
      <c r="I1308" s="304"/>
    </row>
    <row r="1309" spans="1:9" x14ac:dyDescent="0.3">
      <c r="A1309" s="302"/>
      <c r="B1309" s="303"/>
      <c r="C1309" s="303"/>
      <c r="D1309" s="304"/>
      <c r="E1309" s="304"/>
      <c r="F1309" s="304"/>
      <c r="G1309" s="304"/>
      <c r="H1309" s="303"/>
      <c r="I1309" s="304"/>
    </row>
    <row r="1310" spans="1:9" x14ac:dyDescent="0.3">
      <c r="A1310" s="302"/>
      <c r="B1310" s="303"/>
      <c r="C1310" s="303"/>
      <c r="D1310" s="304"/>
      <c r="E1310" s="304"/>
      <c r="F1310" s="304"/>
      <c r="G1310" s="304"/>
      <c r="H1310" s="303"/>
      <c r="I1310" s="304"/>
    </row>
    <row r="1311" spans="1:9" x14ac:dyDescent="0.3">
      <c r="A1311" s="302"/>
      <c r="B1311" s="303"/>
      <c r="C1311" s="303"/>
      <c r="D1311" s="304"/>
      <c r="E1311" s="304"/>
      <c r="F1311" s="304"/>
      <c r="G1311" s="304"/>
      <c r="H1311" s="303"/>
      <c r="I1311" s="304"/>
    </row>
    <row r="1312" spans="1:9" x14ac:dyDescent="0.3">
      <c r="A1312" s="302"/>
      <c r="B1312" s="303"/>
      <c r="C1312" s="303"/>
      <c r="D1312" s="304"/>
      <c r="E1312" s="304"/>
      <c r="F1312" s="304"/>
      <c r="G1312" s="304"/>
      <c r="H1312" s="303"/>
      <c r="I1312" s="304"/>
    </row>
    <row r="1313" spans="1:9" x14ac:dyDescent="0.3">
      <c r="A1313" s="302"/>
      <c r="B1313" s="303"/>
      <c r="C1313" s="303"/>
      <c r="D1313" s="304"/>
      <c r="E1313" s="304"/>
      <c r="F1313" s="304"/>
      <c r="G1313" s="304"/>
      <c r="H1313" s="303"/>
      <c r="I1313" s="304"/>
    </row>
    <row r="1314" spans="1:9" x14ac:dyDescent="0.3">
      <c r="A1314" s="302"/>
      <c r="B1314" s="303"/>
      <c r="C1314" s="303"/>
      <c r="D1314" s="304"/>
      <c r="E1314" s="304"/>
      <c r="F1314" s="304"/>
      <c r="G1314" s="304"/>
      <c r="H1314" s="303"/>
      <c r="I1314" s="304"/>
    </row>
    <row r="1315" spans="1:9" x14ac:dyDescent="0.3">
      <c r="A1315" s="302"/>
      <c r="B1315" s="303"/>
      <c r="C1315" s="303"/>
      <c r="D1315" s="304"/>
      <c r="E1315" s="304"/>
      <c r="F1315" s="304"/>
      <c r="G1315" s="304"/>
      <c r="H1315" s="303"/>
      <c r="I1315" s="304"/>
    </row>
    <row r="1316" spans="1:9" x14ac:dyDescent="0.3">
      <c r="A1316" s="302"/>
      <c r="B1316" s="303"/>
      <c r="C1316" s="303"/>
      <c r="D1316" s="304"/>
      <c r="E1316" s="304"/>
      <c r="F1316" s="304"/>
      <c r="G1316" s="304"/>
      <c r="H1316" s="303"/>
      <c r="I1316" s="304"/>
    </row>
    <row r="1317" spans="1:9" x14ac:dyDescent="0.3">
      <c r="A1317" s="302"/>
      <c r="B1317" s="303"/>
      <c r="C1317" s="303"/>
      <c r="D1317" s="304"/>
      <c r="E1317" s="304"/>
      <c r="F1317" s="304"/>
      <c r="G1317" s="304"/>
      <c r="H1317" s="303"/>
      <c r="I1317" s="304"/>
    </row>
    <row r="1318" spans="1:9" x14ac:dyDescent="0.3">
      <c r="A1318" s="302"/>
      <c r="B1318" s="303"/>
      <c r="C1318" s="303"/>
      <c r="D1318" s="304"/>
      <c r="E1318" s="304"/>
      <c r="F1318" s="304"/>
      <c r="G1318" s="304"/>
      <c r="H1318" s="303"/>
      <c r="I1318" s="304"/>
    </row>
    <row r="1319" spans="1:9" x14ac:dyDescent="0.3">
      <c r="A1319" s="302"/>
      <c r="B1319" s="303"/>
      <c r="C1319" s="303"/>
      <c r="D1319" s="304"/>
      <c r="E1319" s="304"/>
      <c r="F1319" s="304"/>
      <c r="G1319" s="304"/>
      <c r="H1319" s="303"/>
      <c r="I1319" s="304"/>
    </row>
    <row r="1320" spans="1:9" x14ac:dyDescent="0.3">
      <c r="A1320" s="302"/>
      <c r="B1320" s="303"/>
      <c r="C1320" s="303"/>
      <c r="D1320" s="304"/>
      <c r="E1320" s="304"/>
      <c r="F1320" s="304"/>
      <c r="G1320" s="304"/>
      <c r="H1320" s="303"/>
      <c r="I1320" s="304"/>
    </row>
    <row r="1321" spans="1:9" x14ac:dyDescent="0.3">
      <c r="A1321" s="302"/>
      <c r="B1321" s="303"/>
      <c r="C1321" s="303"/>
      <c r="D1321" s="304"/>
      <c r="E1321" s="304"/>
      <c r="F1321" s="304"/>
      <c r="G1321" s="304"/>
      <c r="H1321" s="303"/>
      <c r="I1321" s="304"/>
    </row>
    <row r="1322" spans="1:9" x14ac:dyDescent="0.3">
      <c r="A1322" s="302"/>
      <c r="B1322" s="303"/>
      <c r="C1322" s="303"/>
      <c r="D1322" s="304"/>
      <c r="E1322" s="304"/>
      <c r="F1322" s="304"/>
      <c r="G1322" s="304"/>
      <c r="H1322" s="303"/>
      <c r="I1322" s="304"/>
    </row>
    <row r="1323" spans="1:9" x14ac:dyDescent="0.3">
      <c r="A1323" s="302"/>
      <c r="B1323" s="303"/>
      <c r="C1323" s="303"/>
      <c r="D1323" s="304"/>
      <c r="E1323" s="304"/>
      <c r="F1323" s="304"/>
      <c r="G1323" s="304"/>
      <c r="H1323" s="303"/>
      <c r="I1323" s="304"/>
    </row>
    <row r="1324" spans="1:9" x14ac:dyDescent="0.3">
      <c r="A1324" s="302"/>
      <c r="B1324" s="303"/>
      <c r="C1324" s="303"/>
      <c r="D1324" s="304"/>
      <c r="E1324" s="304"/>
      <c r="F1324" s="304"/>
      <c r="G1324" s="304"/>
      <c r="H1324" s="303"/>
      <c r="I1324" s="304"/>
    </row>
    <row r="1325" spans="1:9" x14ac:dyDescent="0.3">
      <c r="A1325" s="302"/>
      <c r="B1325" s="303"/>
      <c r="C1325" s="303"/>
      <c r="D1325" s="304"/>
      <c r="E1325" s="304"/>
      <c r="F1325" s="304"/>
      <c r="G1325" s="304"/>
      <c r="H1325" s="303"/>
      <c r="I1325" s="304"/>
    </row>
    <row r="1326" spans="1:9" x14ac:dyDescent="0.3">
      <c r="A1326" s="302"/>
      <c r="B1326" s="303"/>
      <c r="C1326" s="303"/>
      <c r="D1326" s="304"/>
      <c r="E1326" s="304"/>
      <c r="F1326" s="304"/>
      <c r="G1326" s="304"/>
      <c r="H1326" s="303"/>
      <c r="I1326" s="304"/>
    </row>
    <row r="1327" spans="1:9" x14ac:dyDescent="0.3">
      <c r="A1327" s="302"/>
      <c r="B1327" s="303"/>
      <c r="C1327" s="303"/>
      <c r="D1327" s="304"/>
      <c r="E1327" s="304"/>
      <c r="F1327" s="304"/>
      <c r="G1327" s="304"/>
      <c r="H1327" s="303"/>
      <c r="I1327" s="304"/>
    </row>
    <row r="1328" spans="1:9" x14ac:dyDescent="0.3">
      <c r="A1328" s="302"/>
      <c r="B1328" s="303"/>
      <c r="C1328" s="303"/>
      <c r="D1328" s="304"/>
      <c r="E1328" s="304"/>
      <c r="F1328" s="304"/>
      <c r="G1328" s="304"/>
      <c r="H1328" s="303"/>
      <c r="I1328" s="304"/>
    </row>
    <row r="1329" spans="1:9" x14ac:dyDescent="0.3">
      <c r="A1329" s="302"/>
      <c r="B1329" s="303"/>
      <c r="C1329" s="303"/>
      <c r="D1329" s="304"/>
      <c r="E1329" s="304"/>
      <c r="F1329" s="304"/>
      <c r="G1329" s="304"/>
      <c r="H1329" s="303"/>
      <c r="I1329" s="304"/>
    </row>
    <row r="1330" spans="1:9" x14ac:dyDescent="0.3">
      <c r="A1330" s="302"/>
      <c r="B1330" s="303"/>
      <c r="C1330" s="303"/>
      <c r="D1330" s="304"/>
      <c r="E1330" s="304"/>
      <c r="F1330" s="304"/>
      <c r="G1330" s="304"/>
      <c r="H1330" s="303"/>
      <c r="I1330" s="304"/>
    </row>
    <row r="1331" spans="1:9" x14ac:dyDescent="0.3">
      <c r="A1331" s="302"/>
      <c r="B1331" s="303"/>
      <c r="C1331" s="303"/>
      <c r="D1331" s="304"/>
      <c r="E1331" s="304"/>
      <c r="F1331" s="304"/>
      <c r="G1331" s="304"/>
      <c r="H1331" s="303"/>
      <c r="I1331" s="304"/>
    </row>
    <row r="1332" spans="1:9" x14ac:dyDescent="0.3">
      <c r="A1332" s="302"/>
      <c r="B1332" s="303"/>
      <c r="C1332" s="303"/>
      <c r="D1332" s="304"/>
      <c r="E1332" s="304"/>
      <c r="F1332" s="304"/>
      <c r="G1332" s="304"/>
      <c r="H1332" s="303"/>
      <c r="I1332" s="304"/>
    </row>
    <row r="1333" spans="1:9" x14ac:dyDescent="0.3">
      <c r="A1333" s="302"/>
      <c r="B1333" s="303"/>
      <c r="C1333" s="303"/>
      <c r="D1333" s="304"/>
      <c r="E1333" s="304"/>
      <c r="F1333" s="304"/>
      <c r="G1333" s="304"/>
      <c r="H1333" s="303"/>
      <c r="I1333" s="304"/>
    </row>
    <row r="1334" spans="1:9" x14ac:dyDescent="0.3">
      <c r="A1334" s="302"/>
      <c r="B1334" s="303"/>
      <c r="C1334" s="303"/>
      <c r="D1334" s="304"/>
      <c r="E1334" s="304"/>
      <c r="F1334" s="304"/>
      <c r="G1334" s="304"/>
      <c r="H1334" s="303"/>
      <c r="I1334" s="304"/>
    </row>
    <row r="1335" spans="1:9" x14ac:dyDescent="0.3">
      <c r="A1335" s="302"/>
      <c r="B1335" s="303"/>
      <c r="C1335" s="303"/>
      <c r="D1335" s="304"/>
      <c r="E1335" s="304"/>
      <c r="F1335" s="304"/>
      <c r="G1335" s="304"/>
      <c r="H1335" s="303"/>
      <c r="I1335" s="304"/>
    </row>
    <row r="1336" spans="1:9" x14ac:dyDescent="0.3">
      <c r="A1336" s="302"/>
      <c r="B1336" s="303"/>
      <c r="C1336" s="303"/>
      <c r="D1336" s="304"/>
      <c r="E1336" s="304"/>
      <c r="F1336" s="304"/>
      <c r="G1336" s="304"/>
      <c r="H1336" s="303"/>
      <c r="I1336" s="304"/>
    </row>
    <row r="1337" spans="1:9" x14ac:dyDescent="0.3">
      <c r="A1337" s="302"/>
      <c r="B1337" s="303"/>
      <c r="C1337" s="303"/>
      <c r="D1337" s="304"/>
      <c r="E1337" s="304"/>
      <c r="F1337" s="304"/>
      <c r="G1337" s="304"/>
      <c r="H1337" s="303"/>
      <c r="I1337" s="304"/>
    </row>
    <row r="1338" spans="1:9" x14ac:dyDescent="0.3">
      <c r="A1338" s="302"/>
      <c r="B1338" s="303"/>
      <c r="C1338" s="303"/>
      <c r="D1338" s="304"/>
      <c r="E1338" s="304"/>
      <c r="F1338" s="304"/>
      <c r="G1338" s="304"/>
      <c r="H1338" s="303"/>
      <c r="I1338" s="304"/>
    </row>
    <row r="1339" spans="1:9" x14ac:dyDescent="0.3">
      <c r="A1339" s="302"/>
      <c r="B1339" s="303"/>
      <c r="C1339" s="303"/>
      <c r="D1339" s="304"/>
      <c r="E1339" s="304"/>
      <c r="F1339" s="304"/>
      <c r="G1339" s="304"/>
      <c r="H1339" s="303"/>
      <c r="I1339" s="304"/>
    </row>
    <row r="1340" spans="1:9" x14ac:dyDescent="0.3">
      <c r="A1340" s="302"/>
      <c r="B1340" s="303"/>
      <c r="C1340" s="303"/>
      <c r="D1340" s="304"/>
      <c r="E1340" s="304"/>
      <c r="F1340" s="304"/>
      <c r="G1340" s="304"/>
      <c r="H1340" s="303"/>
      <c r="I1340" s="304"/>
    </row>
    <row r="1341" spans="1:9" x14ac:dyDescent="0.3">
      <c r="A1341" s="302"/>
      <c r="B1341" s="303"/>
      <c r="C1341" s="303"/>
      <c r="D1341" s="304"/>
      <c r="E1341" s="304"/>
      <c r="F1341" s="304"/>
      <c r="G1341" s="304"/>
      <c r="H1341" s="303"/>
      <c r="I1341" s="304"/>
    </row>
    <row r="1342" spans="1:9" x14ac:dyDescent="0.3">
      <c r="A1342" s="302"/>
      <c r="B1342" s="303"/>
      <c r="C1342" s="303"/>
      <c r="D1342" s="304"/>
      <c r="E1342" s="304"/>
      <c r="F1342" s="304"/>
      <c r="G1342" s="304"/>
      <c r="H1342" s="303"/>
      <c r="I1342" s="304"/>
    </row>
    <row r="1343" spans="1:9" x14ac:dyDescent="0.3">
      <c r="A1343" s="302"/>
      <c r="B1343" s="303"/>
      <c r="C1343" s="303"/>
      <c r="D1343" s="304"/>
      <c r="E1343" s="304"/>
      <c r="F1343" s="304"/>
      <c r="G1343" s="304"/>
      <c r="H1343" s="303"/>
      <c r="I1343" s="304"/>
    </row>
    <row r="1344" spans="1:9" x14ac:dyDescent="0.3">
      <c r="A1344" s="302"/>
      <c r="B1344" s="303"/>
      <c r="C1344" s="303"/>
      <c r="D1344" s="304"/>
      <c r="E1344" s="304"/>
      <c r="F1344" s="304"/>
      <c r="G1344" s="304"/>
      <c r="H1344" s="303"/>
      <c r="I1344" s="304"/>
    </row>
    <row r="1345" spans="1:9" x14ac:dyDescent="0.3">
      <c r="A1345" s="302"/>
      <c r="B1345" s="303"/>
      <c r="C1345" s="303"/>
      <c r="D1345" s="304"/>
      <c r="E1345" s="304"/>
      <c r="F1345" s="304"/>
      <c r="G1345" s="304"/>
      <c r="H1345" s="303"/>
      <c r="I1345" s="304"/>
    </row>
    <row r="1346" spans="1:9" x14ac:dyDescent="0.3">
      <c r="A1346" s="302"/>
      <c r="B1346" s="303"/>
      <c r="C1346" s="303"/>
      <c r="D1346" s="304"/>
      <c r="E1346" s="304"/>
      <c r="F1346" s="304"/>
      <c r="G1346" s="304"/>
      <c r="H1346" s="303"/>
      <c r="I1346" s="304"/>
    </row>
    <row r="1347" spans="1:9" x14ac:dyDescent="0.3">
      <c r="A1347" s="302"/>
      <c r="B1347" s="303"/>
      <c r="C1347" s="303"/>
      <c r="D1347" s="304"/>
      <c r="E1347" s="304"/>
      <c r="F1347" s="304"/>
      <c r="G1347" s="304"/>
      <c r="H1347" s="303"/>
      <c r="I1347" s="304"/>
    </row>
    <row r="1348" spans="1:9" x14ac:dyDescent="0.3">
      <c r="A1348" s="302"/>
      <c r="B1348" s="303"/>
      <c r="C1348" s="303"/>
      <c r="D1348" s="304"/>
      <c r="E1348" s="304"/>
      <c r="F1348" s="304"/>
      <c r="G1348" s="304"/>
      <c r="H1348" s="303"/>
      <c r="I1348" s="304"/>
    </row>
    <row r="1349" spans="1:9" x14ac:dyDescent="0.3">
      <c r="A1349" s="302"/>
      <c r="B1349" s="303"/>
      <c r="C1349" s="303"/>
      <c r="D1349" s="304"/>
      <c r="E1349" s="304"/>
      <c r="F1349" s="304"/>
      <c r="G1349" s="304"/>
      <c r="H1349" s="303"/>
      <c r="I1349" s="304"/>
    </row>
    <row r="1350" spans="1:9" x14ac:dyDescent="0.3">
      <c r="A1350" s="302"/>
      <c r="B1350" s="303"/>
      <c r="C1350" s="303"/>
      <c r="D1350" s="304"/>
      <c r="E1350" s="304"/>
      <c r="F1350" s="304"/>
      <c r="G1350" s="304"/>
      <c r="H1350" s="303"/>
      <c r="I1350" s="304"/>
    </row>
    <row r="1351" spans="1:9" x14ac:dyDescent="0.3">
      <c r="A1351" s="302"/>
      <c r="B1351" s="303"/>
      <c r="C1351" s="303"/>
      <c r="D1351" s="304"/>
      <c r="E1351" s="304"/>
      <c r="F1351" s="304"/>
      <c r="G1351" s="304"/>
      <c r="H1351" s="303"/>
      <c r="I1351" s="304"/>
    </row>
    <row r="1352" spans="1:9" x14ac:dyDescent="0.3">
      <c r="A1352" s="302"/>
      <c r="B1352" s="303"/>
      <c r="C1352" s="303"/>
      <c r="D1352" s="304"/>
      <c r="E1352" s="304"/>
      <c r="F1352" s="304"/>
      <c r="G1352" s="304"/>
      <c r="H1352" s="303"/>
      <c r="I1352" s="304"/>
    </row>
    <row r="1353" spans="1:9" x14ac:dyDescent="0.3">
      <c r="A1353" s="302"/>
      <c r="B1353" s="303"/>
      <c r="C1353" s="303"/>
      <c r="D1353" s="304"/>
      <c r="E1353" s="304"/>
      <c r="F1353" s="304"/>
      <c r="G1353" s="304"/>
      <c r="H1353" s="303"/>
      <c r="I1353" s="304"/>
    </row>
    <row r="1354" spans="1:9" x14ac:dyDescent="0.3">
      <c r="A1354" s="302"/>
      <c r="B1354" s="303"/>
      <c r="C1354" s="303"/>
      <c r="D1354" s="304"/>
      <c r="E1354" s="304"/>
      <c r="F1354" s="304"/>
      <c r="G1354" s="304"/>
      <c r="H1354" s="303"/>
      <c r="I1354" s="304"/>
    </row>
    <row r="1355" spans="1:9" x14ac:dyDescent="0.3">
      <c r="A1355" s="302"/>
      <c r="B1355" s="303"/>
      <c r="C1355" s="303"/>
      <c r="D1355" s="304"/>
      <c r="E1355" s="304"/>
      <c r="F1355" s="304"/>
      <c r="G1355" s="304"/>
      <c r="H1355" s="303"/>
      <c r="I1355" s="304"/>
    </row>
    <row r="1356" spans="1:9" x14ac:dyDescent="0.3">
      <c r="A1356" s="302"/>
      <c r="B1356" s="303"/>
      <c r="C1356" s="303"/>
      <c r="D1356" s="304"/>
      <c r="E1356" s="304"/>
      <c r="F1356" s="304"/>
      <c r="G1356" s="304"/>
      <c r="H1356" s="303"/>
      <c r="I1356" s="304"/>
    </row>
    <row r="1357" spans="1:9" x14ac:dyDescent="0.3">
      <c r="A1357" s="302"/>
      <c r="B1357" s="303"/>
      <c r="C1357" s="303"/>
      <c r="D1357" s="304"/>
      <c r="E1357" s="304"/>
      <c r="F1357" s="304"/>
      <c r="G1357" s="304"/>
      <c r="H1357" s="303"/>
      <c r="I1357" s="304"/>
    </row>
    <row r="1358" spans="1:9" x14ac:dyDescent="0.3">
      <c r="A1358" s="302"/>
      <c r="B1358" s="303"/>
      <c r="C1358" s="303"/>
      <c r="D1358" s="304"/>
      <c r="E1358" s="304"/>
      <c r="F1358" s="304"/>
      <c r="G1358" s="304"/>
      <c r="H1358" s="303"/>
      <c r="I1358" s="304"/>
    </row>
    <row r="1359" spans="1:9" x14ac:dyDescent="0.3">
      <c r="A1359" s="302"/>
      <c r="B1359" s="303"/>
      <c r="C1359" s="303"/>
      <c r="D1359" s="304"/>
      <c r="E1359" s="304"/>
      <c r="F1359" s="304"/>
      <c r="G1359" s="304"/>
      <c r="H1359" s="303"/>
      <c r="I1359" s="304"/>
    </row>
    <row r="1360" spans="1:9" x14ac:dyDescent="0.3">
      <c r="A1360" s="302"/>
      <c r="B1360" s="303"/>
      <c r="C1360" s="303"/>
      <c r="D1360" s="304"/>
      <c r="E1360" s="304"/>
      <c r="F1360" s="304"/>
      <c r="G1360" s="304"/>
      <c r="H1360" s="303"/>
      <c r="I1360" s="304"/>
    </row>
    <row r="1361" spans="1:9" x14ac:dyDescent="0.3">
      <c r="A1361" s="302"/>
      <c r="B1361" s="303"/>
      <c r="C1361" s="303"/>
      <c r="D1361" s="304"/>
      <c r="E1361" s="304"/>
      <c r="F1361" s="304"/>
      <c r="G1361" s="304"/>
      <c r="H1361" s="303"/>
      <c r="I1361" s="304"/>
    </row>
    <row r="1362" spans="1:9" x14ac:dyDescent="0.3">
      <c r="A1362" s="302"/>
      <c r="B1362" s="303"/>
      <c r="C1362" s="303"/>
      <c r="D1362" s="304"/>
      <c r="E1362" s="304"/>
      <c r="F1362" s="304"/>
      <c r="G1362" s="304"/>
      <c r="H1362" s="303"/>
      <c r="I1362" s="304"/>
    </row>
    <row r="1363" spans="1:9" x14ac:dyDescent="0.3">
      <c r="A1363" s="302"/>
      <c r="B1363" s="303"/>
      <c r="C1363" s="303"/>
      <c r="D1363" s="304"/>
      <c r="E1363" s="304"/>
      <c r="F1363" s="304"/>
      <c r="G1363" s="304"/>
      <c r="H1363" s="303"/>
      <c r="I1363" s="304"/>
    </row>
    <row r="1364" spans="1:9" x14ac:dyDescent="0.3">
      <c r="A1364" s="302"/>
      <c r="B1364" s="303"/>
      <c r="C1364" s="303"/>
      <c r="D1364" s="304"/>
      <c r="E1364" s="304"/>
      <c r="F1364" s="304"/>
      <c r="G1364" s="304"/>
      <c r="H1364" s="303"/>
      <c r="I1364" s="304"/>
    </row>
    <row r="1365" spans="1:9" x14ac:dyDescent="0.3">
      <c r="A1365" s="302"/>
      <c r="B1365" s="303"/>
      <c r="C1365" s="303"/>
      <c r="D1365" s="304"/>
      <c r="E1365" s="304"/>
      <c r="F1365" s="304"/>
      <c r="G1365" s="304"/>
      <c r="H1365" s="303"/>
      <c r="I1365" s="304"/>
    </row>
    <row r="1366" spans="1:9" x14ac:dyDescent="0.3">
      <c r="A1366" s="302"/>
      <c r="B1366" s="303"/>
      <c r="C1366" s="303"/>
      <c r="D1366" s="304"/>
      <c r="E1366" s="304"/>
      <c r="F1366" s="304"/>
      <c r="G1366" s="304"/>
      <c r="H1366" s="303"/>
      <c r="I1366" s="304"/>
    </row>
    <row r="1367" spans="1:9" x14ac:dyDescent="0.3">
      <c r="A1367" s="302"/>
      <c r="B1367" s="303"/>
      <c r="C1367" s="303"/>
      <c r="D1367" s="304"/>
      <c r="E1367" s="304"/>
      <c r="F1367" s="304"/>
      <c r="G1367" s="304"/>
      <c r="H1367" s="303"/>
      <c r="I1367" s="304"/>
    </row>
    <row r="1368" spans="1:9" x14ac:dyDescent="0.3">
      <c r="A1368" s="302"/>
      <c r="B1368" s="303"/>
      <c r="C1368" s="303"/>
      <c r="D1368" s="304"/>
      <c r="E1368" s="304"/>
      <c r="F1368" s="304"/>
      <c r="G1368" s="304"/>
      <c r="H1368" s="303"/>
      <c r="I1368" s="304"/>
    </row>
    <row r="1369" spans="1:9" x14ac:dyDescent="0.3">
      <c r="A1369" s="302"/>
      <c r="B1369" s="303"/>
      <c r="C1369" s="303"/>
      <c r="D1369" s="304"/>
      <c r="E1369" s="304"/>
      <c r="F1369" s="304"/>
      <c r="G1369" s="304"/>
      <c r="H1369" s="303"/>
      <c r="I1369" s="304"/>
    </row>
    <row r="1370" spans="1:9" x14ac:dyDescent="0.3">
      <c r="A1370" s="302"/>
      <c r="B1370" s="303"/>
      <c r="C1370" s="303"/>
      <c r="D1370" s="304"/>
      <c r="E1370" s="304"/>
      <c r="F1370" s="304"/>
      <c r="G1370" s="304"/>
      <c r="H1370" s="303"/>
      <c r="I1370" s="304"/>
    </row>
    <row r="1371" spans="1:9" x14ac:dyDescent="0.3">
      <c r="A1371" s="302"/>
      <c r="B1371" s="303"/>
      <c r="C1371" s="303"/>
      <c r="D1371" s="304"/>
      <c r="E1371" s="304"/>
      <c r="F1371" s="304"/>
      <c r="G1371" s="304"/>
      <c r="H1371" s="303"/>
      <c r="I1371" s="304"/>
    </row>
    <row r="1372" spans="1:9" x14ac:dyDescent="0.3">
      <c r="A1372" s="302"/>
      <c r="B1372" s="303"/>
      <c r="C1372" s="303"/>
      <c r="D1372" s="304"/>
      <c r="E1372" s="304"/>
      <c r="F1372" s="304"/>
      <c r="G1372" s="304"/>
      <c r="H1372" s="303"/>
      <c r="I1372" s="304"/>
    </row>
    <row r="1373" spans="1:9" x14ac:dyDescent="0.3">
      <c r="A1373" s="302"/>
      <c r="B1373" s="303"/>
      <c r="C1373" s="303"/>
      <c r="D1373" s="304"/>
      <c r="E1373" s="304"/>
      <c r="F1373" s="304"/>
      <c r="G1373" s="304"/>
      <c r="H1373" s="303"/>
      <c r="I1373" s="304"/>
    </row>
    <row r="1374" spans="1:9" x14ac:dyDescent="0.3">
      <c r="A1374" s="302"/>
      <c r="B1374" s="303"/>
      <c r="C1374" s="303"/>
      <c r="D1374" s="304"/>
      <c r="E1374" s="304"/>
      <c r="F1374" s="304"/>
      <c r="G1374" s="304"/>
      <c r="H1374" s="303"/>
      <c r="I1374" s="304"/>
    </row>
    <row r="1375" spans="1:9" x14ac:dyDescent="0.3">
      <c r="A1375" s="302"/>
      <c r="B1375" s="303"/>
      <c r="C1375" s="303"/>
      <c r="D1375" s="304"/>
      <c r="E1375" s="304"/>
      <c r="F1375" s="304"/>
      <c r="G1375" s="304"/>
      <c r="H1375" s="303"/>
      <c r="I1375" s="304"/>
    </row>
    <row r="1376" spans="1:9" x14ac:dyDescent="0.3">
      <c r="A1376" s="302"/>
      <c r="B1376" s="303"/>
      <c r="C1376" s="303"/>
      <c r="D1376" s="304"/>
      <c r="E1376" s="304"/>
      <c r="F1376" s="304"/>
      <c r="G1376" s="304"/>
      <c r="H1376" s="303"/>
      <c r="I1376" s="304"/>
    </row>
    <row r="1377" spans="1:9" x14ac:dyDescent="0.3">
      <c r="A1377" s="302"/>
      <c r="B1377" s="303"/>
      <c r="C1377" s="303"/>
      <c r="D1377" s="304"/>
      <c r="E1377" s="304"/>
      <c r="F1377" s="304"/>
      <c r="G1377" s="304"/>
      <c r="H1377" s="303"/>
      <c r="I1377" s="304"/>
    </row>
    <row r="1378" spans="1:9" x14ac:dyDescent="0.3">
      <c r="A1378" s="302"/>
      <c r="B1378" s="303"/>
      <c r="C1378" s="303"/>
      <c r="D1378" s="304"/>
      <c r="E1378" s="304"/>
      <c r="F1378" s="304"/>
      <c r="G1378" s="304"/>
      <c r="H1378" s="303"/>
      <c r="I1378" s="304"/>
    </row>
    <row r="1379" spans="1:9" x14ac:dyDescent="0.3">
      <c r="A1379" s="302"/>
      <c r="B1379" s="303"/>
      <c r="C1379" s="303"/>
      <c r="D1379" s="304"/>
      <c r="E1379" s="304"/>
      <c r="F1379" s="304"/>
      <c r="G1379" s="304"/>
      <c r="H1379" s="303"/>
      <c r="I1379" s="304"/>
    </row>
    <row r="1380" spans="1:9" x14ac:dyDescent="0.3">
      <c r="A1380" s="302"/>
      <c r="B1380" s="303"/>
      <c r="C1380" s="303"/>
      <c r="D1380" s="304"/>
      <c r="E1380" s="304"/>
      <c r="F1380" s="304"/>
      <c r="G1380" s="304"/>
      <c r="H1380" s="303"/>
      <c r="I1380" s="304"/>
    </row>
    <row r="1381" spans="1:9" x14ac:dyDescent="0.3">
      <c r="A1381" s="302"/>
      <c r="B1381" s="303"/>
      <c r="C1381" s="303"/>
      <c r="D1381" s="304"/>
      <c r="E1381" s="304"/>
      <c r="F1381" s="304"/>
      <c r="G1381" s="304"/>
      <c r="H1381" s="303"/>
      <c r="I1381" s="304"/>
    </row>
    <row r="1382" spans="1:9" x14ac:dyDescent="0.3">
      <c r="A1382" s="302"/>
      <c r="B1382" s="303"/>
      <c r="C1382" s="303"/>
      <c r="D1382" s="304"/>
      <c r="E1382" s="304"/>
      <c r="F1382" s="304"/>
      <c r="G1382" s="304"/>
      <c r="H1382" s="303"/>
      <c r="I1382" s="304"/>
    </row>
    <row r="1383" spans="1:9" x14ac:dyDescent="0.3">
      <c r="A1383" s="302"/>
      <c r="B1383" s="303"/>
      <c r="C1383" s="303"/>
      <c r="D1383" s="304"/>
      <c r="E1383" s="304"/>
      <c r="F1383" s="304"/>
      <c r="G1383" s="304"/>
      <c r="H1383" s="303"/>
      <c r="I1383" s="304"/>
    </row>
    <row r="1384" spans="1:9" x14ac:dyDescent="0.3">
      <c r="A1384" s="302"/>
      <c r="B1384" s="303"/>
      <c r="C1384" s="303"/>
      <c r="D1384" s="304"/>
      <c r="E1384" s="304"/>
      <c r="F1384" s="304"/>
      <c r="G1384" s="304"/>
      <c r="H1384" s="303"/>
      <c r="I1384" s="304"/>
    </row>
    <row r="1385" spans="1:9" x14ac:dyDescent="0.3">
      <c r="A1385" s="302"/>
      <c r="B1385" s="303"/>
      <c r="C1385" s="303"/>
      <c r="D1385" s="304"/>
      <c r="E1385" s="304"/>
      <c r="F1385" s="304"/>
      <c r="G1385" s="304"/>
      <c r="H1385" s="303"/>
      <c r="I1385" s="304"/>
    </row>
    <row r="1386" spans="1:9" x14ac:dyDescent="0.3">
      <c r="A1386" s="302"/>
      <c r="B1386" s="303"/>
      <c r="C1386" s="303"/>
      <c r="D1386" s="304"/>
      <c r="E1386" s="304"/>
      <c r="F1386" s="304"/>
      <c r="G1386" s="304"/>
      <c r="H1386" s="303"/>
      <c r="I1386" s="304"/>
    </row>
    <row r="1387" spans="1:9" x14ac:dyDescent="0.3">
      <c r="A1387" s="302"/>
      <c r="B1387" s="303"/>
      <c r="C1387" s="303"/>
      <c r="D1387" s="304"/>
      <c r="E1387" s="304"/>
      <c r="F1387" s="304"/>
      <c r="G1387" s="304"/>
      <c r="H1387" s="303"/>
      <c r="I1387" s="304"/>
    </row>
    <row r="1388" spans="1:9" x14ac:dyDescent="0.3">
      <c r="A1388" s="302"/>
      <c r="B1388" s="303"/>
      <c r="C1388" s="303"/>
      <c r="D1388" s="304"/>
      <c r="E1388" s="304"/>
      <c r="F1388" s="304"/>
      <c r="G1388" s="304"/>
      <c r="H1388" s="303"/>
      <c r="I1388" s="304"/>
    </row>
    <row r="1389" spans="1:9" x14ac:dyDescent="0.3">
      <c r="A1389" s="302"/>
      <c r="B1389" s="303"/>
      <c r="C1389" s="303"/>
      <c r="D1389" s="304"/>
      <c r="E1389" s="304"/>
      <c r="F1389" s="304"/>
      <c r="G1389" s="304"/>
      <c r="H1389" s="303"/>
      <c r="I1389" s="304"/>
    </row>
    <row r="1390" spans="1:9" x14ac:dyDescent="0.3">
      <c r="A1390" s="302"/>
      <c r="B1390" s="303"/>
      <c r="C1390" s="303"/>
      <c r="D1390" s="304"/>
      <c r="E1390" s="304"/>
      <c r="F1390" s="304"/>
      <c r="G1390" s="304"/>
      <c r="H1390" s="303"/>
      <c r="I1390" s="304"/>
    </row>
    <row r="1391" spans="1:9" x14ac:dyDescent="0.3">
      <c r="A1391" s="302"/>
      <c r="B1391" s="303"/>
      <c r="C1391" s="303"/>
      <c r="D1391" s="304"/>
      <c r="E1391" s="304"/>
      <c r="F1391" s="304"/>
      <c r="G1391" s="304"/>
      <c r="H1391" s="303"/>
      <c r="I1391" s="304"/>
    </row>
    <row r="1392" spans="1:9" x14ac:dyDescent="0.3">
      <c r="A1392" s="302"/>
      <c r="B1392" s="303"/>
      <c r="C1392" s="303"/>
      <c r="D1392" s="304"/>
      <c r="E1392" s="304"/>
      <c r="F1392" s="304"/>
      <c r="G1392" s="304"/>
      <c r="H1392" s="303"/>
      <c r="I1392" s="304"/>
    </row>
    <row r="1393" spans="1:9" x14ac:dyDescent="0.3">
      <c r="A1393" s="302"/>
      <c r="B1393" s="303"/>
      <c r="C1393" s="303"/>
      <c r="D1393" s="304"/>
      <c r="E1393" s="304"/>
      <c r="F1393" s="304"/>
      <c r="G1393" s="304"/>
      <c r="H1393" s="303"/>
      <c r="I1393" s="304"/>
    </row>
    <row r="1394" spans="1:9" x14ac:dyDescent="0.3">
      <c r="A1394" s="302"/>
      <c r="B1394" s="303"/>
      <c r="C1394" s="303"/>
      <c r="D1394" s="304"/>
      <c r="E1394" s="304"/>
      <c r="F1394" s="304"/>
      <c r="G1394" s="304"/>
      <c r="H1394" s="303"/>
      <c r="I1394" s="304"/>
    </row>
    <row r="1395" spans="1:9" x14ac:dyDescent="0.3">
      <c r="A1395" s="302"/>
      <c r="B1395" s="303"/>
      <c r="C1395" s="303"/>
      <c r="D1395" s="304"/>
      <c r="E1395" s="304"/>
      <c r="F1395" s="304"/>
      <c r="G1395" s="304"/>
      <c r="H1395" s="303"/>
      <c r="I1395" s="304"/>
    </row>
    <row r="1396" spans="1:9" x14ac:dyDescent="0.3">
      <c r="A1396" s="302"/>
      <c r="B1396" s="303"/>
      <c r="C1396" s="303"/>
      <c r="D1396" s="304"/>
      <c r="E1396" s="304"/>
      <c r="F1396" s="304"/>
      <c r="G1396" s="304"/>
      <c r="H1396" s="303"/>
      <c r="I1396" s="304"/>
    </row>
    <row r="1397" spans="1:9" x14ac:dyDescent="0.3">
      <c r="A1397" s="302"/>
      <c r="B1397" s="303"/>
      <c r="C1397" s="303"/>
      <c r="D1397" s="304"/>
      <c r="E1397" s="304"/>
      <c r="F1397" s="304"/>
      <c r="G1397" s="304"/>
      <c r="H1397" s="303"/>
      <c r="I1397" s="304"/>
    </row>
    <row r="1398" spans="1:9" x14ac:dyDescent="0.3">
      <c r="A1398" s="302"/>
      <c r="B1398" s="303"/>
      <c r="C1398" s="303"/>
      <c r="D1398" s="304"/>
      <c r="E1398" s="304"/>
      <c r="F1398" s="304"/>
      <c r="G1398" s="304"/>
      <c r="H1398" s="303"/>
      <c r="I1398" s="304"/>
    </row>
    <row r="1399" spans="1:9" x14ac:dyDescent="0.3">
      <c r="A1399" s="302"/>
      <c r="B1399" s="303"/>
      <c r="C1399" s="303"/>
      <c r="D1399" s="304"/>
      <c r="E1399" s="304"/>
      <c r="F1399" s="304"/>
      <c r="G1399" s="304"/>
      <c r="H1399" s="303"/>
      <c r="I1399" s="304"/>
    </row>
    <row r="1400" spans="1:9" x14ac:dyDescent="0.3">
      <c r="A1400" s="302"/>
      <c r="B1400" s="303"/>
      <c r="C1400" s="303"/>
      <c r="D1400" s="304"/>
      <c r="E1400" s="304"/>
      <c r="F1400" s="304"/>
      <c r="G1400" s="304"/>
      <c r="H1400" s="303"/>
      <c r="I1400" s="304"/>
    </row>
    <row r="1401" spans="1:9" x14ac:dyDescent="0.3">
      <c r="A1401" s="302"/>
      <c r="B1401" s="303"/>
      <c r="C1401" s="303"/>
      <c r="D1401" s="304"/>
      <c r="E1401" s="304"/>
      <c r="F1401" s="304"/>
      <c r="G1401" s="304"/>
      <c r="H1401" s="303"/>
      <c r="I1401" s="304"/>
    </row>
    <row r="1402" spans="1:9" x14ac:dyDescent="0.3">
      <c r="A1402" s="302"/>
      <c r="B1402" s="303"/>
      <c r="C1402" s="303"/>
      <c r="D1402" s="304"/>
      <c r="E1402" s="304"/>
      <c r="F1402" s="304"/>
      <c r="G1402" s="304"/>
      <c r="H1402" s="303"/>
      <c r="I1402" s="304"/>
    </row>
    <row r="1403" spans="1:9" x14ac:dyDescent="0.3">
      <c r="A1403" s="302"/>
      <c r="B1403" s="303"/>
      <c r="C1403" s="303"/>
      <c r="D1403" s="304"/>
      <c r="E1403" s="304"/>
      <c r="F1403" s="304"/>
      <c r="G1403" s="304"/>
      <c r="H1403" s="303"/>
      <c r="I1403" s="304"/>
    </row>
    <row r="1404" spans="1:9" x14ac:dyDescent="0.3">
      <c r="A1404" s="302"/>
      <c r="B1404" s="303"/>
      <c r="C1404" s="303"/>
      <c r="D1404" s="304"/>
      <c r="E1404" s="304"/>
      <c r="F1404" s="304"/>
      <c r="G1404" s="304"/>
      <c r="H1404" s="303"/>
      <c r="I1404" s="304"/>
    </row>
    <row r="1405" spans="1:9" x14ac:dyDescent="0.3">
      <c r="A1405" s="302"/>
      <c r="B1405" s="303"/>
      <c r="C1405" s="303"/>
      <c r="D1405" s="304"/>
      <c r="E1405" s="304"/>
      <c r="F1405" s="304"/>
      <c r="G1405" s="304"/>
      <c r="H1405" s="303"/>
      <c r="I1405" s="304"/>
    </row>
    <row r="1406" spans="1:9" x14ac:dyDescent="0.3">
      <c r="A1406" s="302"/>
      <c r="B1406" s="303"/>
      <c r="C1406" s="303"/>
      <c r="D1406" s="304"/>
      <c r="E1406" s="304"/>
      <c r="F1406" s="304"/>
      <c r="G1406" s="304"/>
      <c r="H1406" s="303"/>
      <c r="I1406" s="304"/>
    </row>
    <row r="1407" spans="1:9" x14ac:dyDescent="0.3">
      <c r="A1407" s="302"/>
      <c r="B1407" s="303"/>
      <c r="C1407" s="303"/>
      <c r="D1407" s="304"/>
      <c r="E1407" s="304"/>
      <c r="F1407" s="304"/>
      <c r="G1407" s="304"/>
      <c r="H1407" s="303"/>
      <c r="I1407" s="304"/>
    </row>
    <row r="1408" spans="1:9" x14ac:dyDescent="0.3">
      <c r="A1408" s="302"/>
      <c r="B1408" s="303"/>
      <c r="C1408" s="303"/>
      <c r="D1408" s="304"/>
      <c r="E1408" s="304"/>
      <c r="F1408" s="304"/>
      <c r="G1408" s="304"/>
      <c r="H1408" s="303"/>
      <c r="I1408" s="304"/>
    </row>
    <row r="1409" spans="1:9" x14ac:dyDescent="0.3">
      <c r="A1409" s="302"/>
      <c r="B1409" s="303"/>
      <c r="C1409" s="303"/>
      <c r="D1409" s="304"/>
      <c r="E1409" s="304"/>
      <c r="F1409" s="304"/>
      <c r="G1409" s="304"/>
      <c r="H1409" s="303"/>
      <c r="I1409" s="304"/>
    </row>
    <row r="1410" spans="1:9" x14ac:dyDescent="0.3">
      <c r="A1410" s="302"/>
      <c r="B1410" s="303"/>
      <c r="C1410" s="303"/>
      <c r="D1410" s="304"/>
      <c r="E1410" s="304"/>
      <c r="F1410" s="304"/>
      <c r="G1410" s="304"/>
      <c r="H1410" s="303"/>
      <c r="I1410" s="304"/>
    </row>
    <row r="1411" spans="1:9" x14ac:dyDescent="0.3">
      <c r="A1411" s="302"/>
      <c r="B1411" s="303"/>
      <c r="C1411" s="303"/>
      <c r="D1411" s="304"/>
      <c r="E1411" s="304"/>
      <c r="F1411" s="304"/>
      <c r="G1411" s="304"/>
      <c r="H1411" s="303"/>
      <c r="I1411" s="304"/>
    </row>
    <row r="1412" spans="1:9" x14ac:dyDescent="0.3">
      <c r="A1412" s="302"/>
      <c r="B1412" s="303"/>
      <c r="C1412" s="303"/>
      <c r="D1412" s="304"/>
      <c r="E1412" s="304"/>
      <c r="F1412" s="304"/>
      <c r="G1412" s="304"/>
      <c r="H1412" s="303"/>
      <c r="I1412" s="304"/>
    </row>
    <row r="1413" spans="1:9" x14ac:dyDescent="0.3">
      <c r="A1413" s="302"/>
      <c r="B1413" s="303"/>
      <c r="C1413" s="303"/>
      <c r="D1413" s="304"/>
      <c r="E1413" s="304"/>
      <c r="F1413" s="304"/>
      <c r="G1413" s="304"/>
      <c r="H1413" s="303"/>
      <c r="I1413" s="304"/>
    </row>
    <row r="1414" spans="1:9" x14ac:dyDescent="0.3">
      <c r="A1414" s="302"/>
      <c r="B1414" s="303"/>
      <c r="C1414" s="303"/>
      <c r="D1414" s="304"/>
      <c r="E1414" s="304"/>
      <c r="F1414" s="304"/>
      <c r="G1414" s="304"/>
      <c r="H1414" s="303"/>
      <c r="I1414" s="304"/>
    </row>
    <row r="1415" spans="1:9" x14ac:dyDescent="0.3">
      <c r="A1415" s="302"/>
      <c r="B1415" s="303"/>
      <c r="C1415" s="303"/>
      <c r="D1415" s="304"/>
      <c r="E1415" s="304"/>
      <c r="F1415" s="304"/>
      <c r="G1415" s="304"/>
      <c r="H1415" s="303"/>
      <c r="I1415" s="304"/>
    </row>
    <row r="1416" spans="1:9" x14ac:dyDescent="0.3">
      <c r="A1416" s="302"/>
      <c r="B1416" s="303"/>
      <c r="C1416" s="303"/>
      <c r="D1416" s="304"/>
      <c r="E1416" s="304"/>
      <c r="F1416" s="304"/>
      <c r="G1416" s="304"/>
      <c r="H1416" s="303"/>
      <c r="I1416" s="304"/>
    </row>
    <row r="1417" spans="1:9" x14ac:dyDescent="0.3">
      <c r="A1417" s="302"/>
      <c r="B1417" s="303"/>
      <c r="C1417" s="303"/>
      <c r="D1417" s="304"/>
      <c r="E1417" s="304"/>
      <c r="F1417" s="304"/>
      <c r="G1417" s="304"/>
      <c r="H1417" s="303"/>
      <c r="I1417" s="304"/>
    </row>
    <row r="1418" spans="1:9" x14ac:dyDescent="0.3">
      <c r="A1418" s="302"/>
      <c r="B1418" s="303"/>
      <c r="C1418" s="303"/>
      <c r="D1418" s="304"/>
      <c r="E1418" s="304"/>
      <c r="F1418" s="304"/>
      <c r="G1418" s="304"/>
      <c r="H1418" s="303"/>
      <c r="I1418" s="304"/>
    </row>
    <row r="1419" spans="1:9" x14ac:dyDescent="0.3">
      <c r="A1419" s="302"/>
      <c r="B1419" s="303"/>
      <c r="C1419" s="303"/>
      <c r="D1419" s="304"/>
      <c r="E1419" s="304"/>
      <c r="F1419" s="304"/>
      <c r="G1419" s="304"/>
      <c r="H1419" s="303"/>
      <c r="I1419" s="304"/>
    </row>
    <row r="1420" spans="1:9" x14ac:dyDescent="0.3">
      <c r="A1420" s="302"/>
      <c r="B1420" s="303"/>
      <c r="C1420" s="303"/>
      <c r="D1420" s="304"/>
      <c r="E1420" s="304"/>
      <c r="F1420" s="304"/>
      <c r="G1420" s="304"/>
      <c r="H1420" s="303"/>
      <c r="I1420" s="304"/>
    </row>
    <row r="1421" spans="1:9" x14ac:dyDescent="0.3">
      <c r="A1421" s="302"/>
      <c r="B1421" s="303"/>
      <c r="C1421" s="303"/>
      <c r="D1421" s="304"/>
      <c r="E1421" s="304"/>
      <c r="F1421" s="304"/>
      <c r="G1421" s="304"/>
      <c r="H1421" s="303"/>
      <c r="I1421" s="304"/>
    </row>
    <row r="1422" spans="1:9" x14ac:dyDescent="0.3">
      <c r="A1422" s="302"/>
      <c r="B1422" s="303"/>
      <c r="C1422" s="303"/>
      <c r="D1422" s="304"/>
      <c r="E1422" s="304"/>
      <c r="F1422" s="304"/>
      <c r="G1422" s="304"/>
      <c r="H1422" s="303"/>
      <c r="I1422" s="304"/>
    </row>
    <row r="1423" spans="1:9" x14ac:dyDescent="0.3">
      <c r="A1423" s="302"/>
      <c r="B1423" s="303"/>
      <c r="C1423" s="303"/>
      <c r="D1423" s="304"/>
      <c r="E1423" s="304"/>
      <c r="F1423" s="304"/>
      <c r="G1423" s="304"/>
      <c r="H1423" s="303"/>
      <c r="I1423" s="304"/>
    </row>
    <row r="1424" spans="1:9" x14ac:dyDescent="0.3">
      <c r="A1424" s="302"/>
      <c r="B1424" s="303"/>
      <c r="C1424" s="303"/>
      <c r="D1424" s="304"/>
      <c r="E1424" s="304"/>
      <c r="F1424" s="304"/>
      <c r="G1424" s="304"/>
      <c r="H1424" s="303"/>
      <c r="I1424" s="304"/>
    </row>
    <row r="1425" spans="1:9" x14ac:dyDescent="0.3">
      <c r="A1425" s="302"/>
      <c r="B1425" s="303"/>
      <c r="C1425" s="303"/>
      <c r="D1425" s="304"/>
      <c r="E1425" s="304"/>
      <c r="F1425" s="304"/>
      <c r="G1425" s="304"/>
      <c r="H1425" s="303"/>
      <c r="I1425" s="304"/>
    </row>
    <row r="1426" spans="1:9" x14ac:dyDescent="0.3">
      <c r="A1426" s="302"/>
      <c r="B1426" s="303"/>
      <c r="C1426" s="303"/>
      <c r="D1426" s="304"/>
      <c r="E1426" s="304"/>
      <c r="F1426" s="304"/>
      <c r="G1426" s="304"/>
      <c r="H1426" s="303"/>
      <c r="I1426" s="304"/>
    </row>
    <row r="1427" spans="1:9" x14ac:dyDescent="0.3">
      <c r="A1427" s="302"/>
      <c r="B1427" s="303"/>
      <c r="C1427" s="303"/>
      <c r="D1427" s="304"/>
      <c r="E1427" s="304"/>
      <c r="F1427" s="304"/>
      <c r="G1427" s="304"/>
      <c r="H1427" s="303"/>
      <c r="I1427" s="304"/>
    </row>
    <row r="1428" spans="1:9" x14ac:dyDescent="0.3">
      <c r="A1428" s="302"/>
      <c r="B1428" s="303"/>
      <c r="C1428" s="303"/>
      <c r="D1428" s="304"/>
      <c r="E1428" s="304"/>
      <c r="F1428" s="304"/>
      <c r="G1428" s="304"/>
      <c r="H1428" s="303"/>
      <c r="I1428" s="304"/>
    </row>
    <row r="1429" spans="1:9" x14ac:dyDescent="0.3">
      <c r="A1429" s="302"/>
      <c r="B1429" s="303"/>
      <c r="C1429" s="303"/>
      <c r="D1429" s="304"/>
      <c r="E1429" s="304"/>
      <c r="F1429" s="304"/>
      <c r="G1429" s="304"/>
      <c r="H1429" s="303"/>
      <c r="I1429" s="304"/>
    </row>
    <row r="1430" spans="1:9" x14ac:dyDescent="0.3">
      <c r="A1430" s="302"/>
      <c r="B1430" s="303"/>
      <c r="C1430" s="303"/>
      <c r="D1430" s="304"/>
      <c r="E1430" s="304"/>
      <c r="F1430" s="304"/>
      <c r="G1430" s="304"/>
      <c r="H1430" s="303"/>
      <c r="I1430" s="304"/>
    </row>
    <row r="1431" spans="1:9" x14ac:dyDescent="0.3">
      <c r="A1431" s="302"/>
      <c r="B1431" s="303"/>
      <c r="C1431" s="303"/>
      <c r="D1431" s="304"/>
      <c r="E1431" s="304"/>
      <c r="F1431" s="304"/>
      <c r="G1431" s="304"/>
      <c r="H1431" s="303"/>
      <c r="I1431" s="304"/>
    </row>
    <row r="1432" spans="1:9" x14ac:dyDescent="0.3">
      <c r="A1432" s="302"/>
      <c r="B1432" s="303"/>
      <c r="C1432" s="303"/>
      <c r="D1432" s="304"/>
      <c r="E1432" s="304"/>
      <c r="F1432" s="304"/>
      <c r="G1432" s="304"/>
      <c r="H1432" s="303"/>
      <c r="I1432" s="304"/>
    </row>
    <row r="1433" spans="1:9" x14ac:dyDescent="0.3">
      <c r="A1433" s="302"/>
      <c r="B1433" s="303"/>
      <c r="C1433" s="303"/>
      <c r="D1433" s="304"/>
      <c r="E1433" s="304"/>
      <c r="F1433" s="304"/>
      <c r="G1433" s="304"/>
      <c r="H1433" s="303"/>
      <c r="I1433" s="304"/>
    </row>
    <row r="1434" spans="1:9" x14ac:dyDescent="0.3">
      <c r="A1434" s="302"/>
      <c r="B1434" s="303"/>
      <c r="C1434" s="303"/>
      <c r="D1434" s="304"/>
      <c r="E1434" s="304"/>
      <c r="F1434" s="304"/>
      <c r="G1434" s="304"/>
      <c r="H1434" s="303"/>
      <c r="I1434" s="304"/>
    </row>
    <row r="1435" spans="1:9" x14ac:dyDescent="0.3">
      <c r="A1435" s="302"/>
      <c r="B1435" s="303"/>
      <c r="C1435" s="303"/>
      <c r="D1435" s="304"/>
      <c r="E1435" s="304"/>
      <c r="F1435" s="304"/>
      <c r="G1435" s="304"/>
      <c r="H1435" s="303"/>
      <c r="I1435" s="304"/>
    </row>
    <row r="1436" spans="1:9" x14ac:dyDescent="0.3">
      <c r="A1436" s="302"/>
      <c r="B1436" s="303"/>
      <c r="C1436" s="303"/>
      <c r="D1436" s="304"/>
      <c r="E1436" s="304"/>
      <c r="F1436" s="304"/>
      <c r="G1436" s="304"/>
      <c r="H1436" s="303"/>
      <c r="I1436" s="304"/>
    </row>
    <row r="1437" spans="1:9" x14ac:dyDescent="0.3">
      <c r="A1437" s="302"/>
      <c r="B1437" s="303"/>
      <c r="C1437" s="303"/>
      <c r="D1437" s="304"/>
      <c r="E1437" s="304"/>
      <c r="F1437" s="304"/>
      <c r="G1437" s="304"/>
      <c r="H1437" s="303"/>
      <c r="I1437" s="304"/>
    </row>
    <row r="1438" spans="1:9" x14ac:dyDescent="0.3">
      <c r="A1438" s="302"/>
      <c r="B1438" s="303"/>
      <c r="C1438" s="303"/>
      <c r="D1438" s="304"/>
      <c r="E1438" s="304"/>
      <c r="F1438" s="304"/>
      <c r="G1438" s="304"/>
      <c r="H1438" s="303"/>
      <c r="I1438" s="304"/>
    </row>
    <row r="1439" spans="1:9" x14ac:dyDescent="0.3">
      <c r="A1439" s="302"/>
      <c r="B1439" s="303"/>
      <c r="C1439" s="303"/>
      <c r="D1439" s="304"/>
      <c r="E1439" s="304"/>
      <c r="F1439" s="304"/>
      <c r="G1439" s="304"/>
      <c r="H1439" s="303"/>
      <c r="I1439" s="304"/>
    </row>
    <row r="1440" spans="1:9" x14ac:dyDescent="0.3">
      <c r="A1440" s="302"/>
      <c r="B1440" s="303"/>
      <c r="C1440" s="303"/>
      <c r="D1440" s="304"/>
      <c r="E1440" s="304"/>
      <c r="F1440" s="304"/>
      <c r="G1440" s="304"/>
      <c r="H1440" s="303"/>
      <c r="I1440" s="304"/>
    </row>
    <row r="1441" spans="1:9" x14ac:dyDescent="0.3">
      <c r="A1441" s="302"/>
      <c r="B1441" s="303"/>
      <c r="C1441" s="303"/>
      <c r="D1441" s="304"/>
      <c r="E1441" s="304"/>
      <c r="F1441" s="304"/>
      <c r="G1441" s="304"/>
      <c r="H1441" s="303"/>
      <c r="I1441" s="304"/>
    </row>
    <row r="1442" spans="1:9" x14ac:dyDescent="0.3">
      <c r="A1442" s="302"/>
      <c r="B1442" s="303"/>
      <c r="C1442" s="303"/>
      <c r="D1442" s="304"/>
      <c r="E1442" s="304"/>
      <c r="F1442" s="304"/>
      <c r="G1442" s="304"/>
      <c r="H1442" s="303"/>
      <c r="I1442" s="304"/>
    </row>
    <row r="1443" spans="1:9" x14ac:dyDescent="0.3">
      <c r="A1443" s="302"/>
      <c r="B1443" s="303"/>
      <c r="C1443" s="303"/>
      <c r="D1443" s="304"/>
      <c r="E1443" s="304"/>
      <c r="F1443" s="304"/>
      <c r="G1443" s="304"/>
      <c r="H1443" s="303"/>
      <c r="I1443" s="304"/>
    </row>
    <row r="1444" spans="1:9" x14ac:dyDescent="0.3">
      <c r="A1444" s="302"/>
      <c r="B1444" s="303"/>
      <c r="C1444" s="303"/>
      <c r="D1444" s="304"/>
      <c r="E1444" s="304"/>
      <c r="F1444" s="304"/>
      <c r="G1444" s="304"/>
      <c r="H1444" s="303"/>
      <c r="I1444" s="304"/>
    </row>
    <row r="1445" spans="1:9" x14ac:dyDescent="0.3">
      <c r="A1445" s="302"/>
      <c r="B1445" s="303"/>
      <c r="C1445" s="303"/>
      <c r="D1445" s="304"/>
      <c r="E1445" s="304"/>
      <c r="F1445" s="304"/>
      <c r="G1445" s="304"/>
      <c r="H1445" s="303"/>
      <c r="I1445" s="304"/>
    </row>
    <row r="1446" spans="1:9" x14ac:dyDescent="0.3">
      <c r="A1446" s="302"/>
      <c r="B1446" s="303"/>
      <c r="C1446" s="303"/>
      <c r="D1446" s="304"/>
      <c r="E1446" s="304"/>
      <c r="F1446" s="304"/>
      <c r="G1446" s="304"/>
      <c r="H1446" s="303"/>
      <c r="I1446" s="304"/>
    </row>
    <row r="1447" spans="1:9" x14ac:dyDescent="0.3">
      <c r="A1447" s="302"/>
      <c r="B1447" s="303"/>
      <c r="C1447" s="303"/>
      <c r="D1447" s="304"/>
      <c r="E1447" s="304"/>
      <c r="F1447" s="304"/>
      <c r="G1447" s="304"/>
      <c r="H1447" s="303"/>
      <c r="I1447" s="304"/>
    </row>
    <row r="1448" spans="1:9" x14ac:dyDescent="0.3">
      <c r="A1448" s="302"/>
      <c r="B1448" s="303"/>
      <c r="C1448" s="303"/>
      <c r="D1448" s="304"/>
      <c r="E1448" s="304"/>
      <c r="F1448" s="304"/>
      <c r="G1448" s="304"/>
      <c r="H1448" s="303"/>
      <c r="I1448" s="304"/>
    </row>
    <row r="1449" spans="1:9" x14ac:dyDescent="0.3">
      <c r="A1449" s="302"/>
      <c r="B1449" s="303"/>
      <c r="C1449" s="303"/>
      <c r="D1449" s="304"/>
      <c r="E1449" s="304"/>
      <c r="F1449" s="304"/>
      <c r="G1449" s="304"/>
      <c r="H1449" s="303"/>
      <c r="I1449" s="304"/>
    </row>
    <row r="1450" spans="1:9" x14ac:dyDescent="0.3">
      <c r="A1450" s="302"/>
      <c r="B1450" s="303"/>
      <c r="C1450" s="303"/>
      <c r="D1450" s="304"/>
      <c r="E1450" s="304"/>
      <c r="F1450" s="304"/>
      <c r="G1450" s="304"/>
      <c r="H1450" s="303"/>
      <c r="I1450" s="304"/>
    </row>
    <row r="1451" spans="1:9" x14ac:dyDescent="0.3">
      <c r="A1451" s="302"/>
      <c r="B1451" s="303"/>
      <c r="C1451" s="303"/>
      <c r="D1451" s="304"/>
      <c r="E1451" s="304"/>
      <c r="F1451" s="304"/>
      <c r="G1451" s="304"/>
      <c r="H1451" s="303"/>
      <c r="I1451" s="304"/>
    </row>
    <row r="1452" spans="1:9" x14ac:dyDescent="0.3">
      <c r="A1452" s="302"/>
      <c r="B1452" s="303"/>
      <c r="C1452" s="303"/>
      <c r="D1452" s="304"/>
      <c r="E1452" s="304"/>
      <c r="F1452" s="304"/>
      <c r="G1452" s="304"/>
      <c r="H1452" s="303"/>
      <c r="I1452" s="304"/>
    </row>
    <row r="1453" spans="1:9" x14ac:dyDescent="0.3">
      <c r="A1453" s="302"/>
      <c r="B1453" s="303"/>
      <c r="C1453" s="303"/>
      <c r="D1453" s="304"/>
      <c r="E1453" s="304"/>
      <c r="F1453" s="304"/>
      <c r="G1453" s="304"/>
      <c r="H1453" s="303"/>
      <c r="I1453" s="304"/>
    </row>
    <row r="1454" spans="1:9" x14ac:dyDescent="0.3">
      <c r="A1454" s="302"/>
      <c r="B1454" s="303"/>
      <c r="C1454" s="303"/>
      <c r="D1454" s="304"/>
      <c r="E1454" s="304"/>
      <c r="F1454" s="304"/>
      <c r="G1454" s="304"/>
      <c r="H1454" s="303"/>
      <c r="I1454" s="304"/>
    </row>
    <row r="1455" spans="1:9" x14ac:dyDescent="0.3">
      <c r="A1455" s="302"/>
      <c r="B1455" s="303"/>
      <c r="C1455" s="303"/>
      <c r="D1455" s="304"/>
      <c r="E1455" s="304"/>
      <c r="F1455" s="304"/>
      <c r="G1455" s="304"/>
      <c r="H1455" s="303"/>
      <c r="I1455" s="304"/>
    </row>
    <row r="1456" spans="1:9" x14ac:dyDescent="0.3">
      <c r="A1456" s="302"/>
      <c r="B1456" s="303"/>
      <c r="C1456" s="303"/>
      <c r="D1456" s="304"/>
      <c r="E1456" s="304"/>
      <c r="F1456" s="304"/>
      <c r="G1456" s="304"/>
      <c r="H1456" s="303"/>
      <c r="I1456" s="304"/>
    </row>
    <row r="1457" spans="1:9" x14ac:dyDescent="0.3">
      <c r="A1457" s="302"/>
      <c r="B1457" s="303"/>
      <c r="C1457" s="303"/>
      <c r="D1457" s="304"/>
      <c r="E1457" s="304"/>
      <c r="F1457" s="304"/>
      <c r="G1457" s="304"/>
      <c r="H1457" s="303"/>
      <c r="I1457" s="304"/>
    </row>
    <row r="1458" spans="1:9" x14ac:dyDescent="0.3">
      <c r="A1458" s="302"/>
      <c r="B1458" s="303"/>
      <c r="C1458" s="303"/>
      <c r="D1458" s="304"/>
      <c r="E1458" s="304"/>
      <c r="F1458" s="304"/>
      <c r="G1458" s="304"/>
      <c r="H1458" s="303"/>
      <c r="I1458" s="304"/>
    </row>
    <row r="1459" spans="1:9" x14ac:dyDescent="0.3">
      <c r="A1459" s="302"/>
      <c r="B1459" s="303"/>
      <c r="C1459" s="303"/>
      <c r="D1459" s="304"/>
      <c r="E1459" s="304"/>
      <c r="F1459" s="304"/>
      <c r="G1459" s="304"/>
      <c r="H1459" s="303"/>
      <c r="I1459" s="304"/>
    </row>
    <row r="1460" spans="1:9" x14ac:dyDescent="0.3">
      <c r="A1460" s="302"/>
      <c r="B1460" s="303"/>
      <c r="C1460" s="303"/>
      <c r="D1460" s="304"/>
      <c r="E1460" s="304"/>
      <c r="F1460" s="304"/>
      <c r="G1460" s="304"/>
      <c r="H1460" s="303"/>
      <c r="I1460" s="304"/>
    </row>
    <row r="1461" spans="1:9" x14ac:dyDescent="0.3">
      <c r="A1461" s="302"/>
      <c r="B1461" s="303"/>
      <c r="C1461" s="303"/>
      <c r="D1461" s="304"/>
      <c r="E1461" s="304"/>
      <c r="F1461" s="304"/>
      <c r="G1461" s="304"/>
      <c r="H1461" s="303"/>
      <c r="I1461" s="304"/>
    </row>
    <row r="1462" spans="1:9" x14ac:dyDescent="0.3">
      <c r="A1462" s="302"/>
      <c r="B1462" s="303"/>
      <c r="C1462" s="303"/>
      <c r="D1462" s="304"/>
      <c r="E1462" s="304"/>
      <c r="F1462" s="304"/>
      <c r="G1462" s="304"/>
      <c r="H1462" s="303"/>
      <c r="I1462" s="304"/>
    </row>
    <row r="1463" spans="1:9" x14ac:dyDescent="0.3">
      <c r="A1463" s="302"/>
      <c r="B1463" s="303"/>
      <c r="C1463" s="303"/>
      <c r="D1463" s="304"/>
      <c r="E1463" s="304"/>
      <c r="F1463" s="304"/>
      <c r="G1463" s="304"/>
      <c r="H1463" s="303"/>
      <c r="I1463" s="304"/>
    </row>
    <row r="1464" spans="1:9" x14ac:dyDescent="0.3">
      <c r="A1464" s="302"/>
      <c r="B1464" s="303"/>
      <c r="C1464" s="303"/>
      <c r="D1464" s="304"/>
      <c r="E1464" s="304"/>
      <c r="F1464" s="304"/>
      <c r="G1464" s="304"/>
      <c r="H1464" s="303"/>
      <c r="I1464" s="304"/>
    </row>
    <row r="1465" spans="1:9" x14ac:dyDescent="0.3">
      <c r="A1465" s="302"/>
      <c r="B1465" s="303"/>
      <c r="C1465" s="303"/>
      <c r="D1465" s="304"/>
      <c r="E1465" s="304"/>
      <c r="F1465" s="304"/>
      <c r="G1465" s="304"/>
      <c r="H1465" s="303"/>
      <c r="I1465" s="304"/>
    </row>
    <row r="1466" spans="1:9" x14ac:dyDescent="0.3">
      <c r="A1466" s="302"/>
      <c r="B1466" s="303"/>
      <c r="C1466" s="303"/>
      <c r="D1466" s="304"/>
      <c r="E1466" s="304"/>
      <c r="F1466" s="304"/>
      <c r="G1466" s="304"/>
      <c r="H1466" s="303"/>
      <c r="I1466" s="304"/>
    </row>
    <row r="1467" spans="1:9" x14ac:dyDescent="0.3">
      <c r="A1467" s="302"/>
      <c r="B1467" s="303"/>
      <c r="C1467" s="303"/>
      <c r="D1467" s="304"/>
      <c r="E1467" s="304"/>
      <c r="F1467" s="304"/>
      <c r="G1467" s="304"/>
      <c r="H1467" s="303"/>
      <c r="I1467" s="304"/>
    </row>
    <row r="1468" spans="1:9" x14ac:dyDescent="0.3">
      <c r="A1468" s="302"/>
      <c r="B1468" s="303"/>
      <c r="C1468" s="303"/>
      <c r="D1468" s="304"/>
      <c r="E1468" s="304"/>
      <c r="F1468" s="304"/>
      <c r="G1468" s="304"/>
      <c r="H1468" s="303"/>
      <c r="I1468" s="304"/>
    </row>
    <row r="1469" spans="1:9" x14ac:dyDescent="0.3">
      <c r="A1469" s="302"/>
      <c r="B1469" s="303"/>
      <c r="C1469" s="303"/>
      <c r="D1469" s="304"/>
      <c r="E1469" s="304"/>
      <c r="F1469" s="304"/>
      <c r="G1469" s="304"/>
      <c r="H1469" s="303"/>
      <c r="I1469" s="304"/>
    </row>
    <row r="1470" spans="1:9" x14ac:dyDescent="0.3">
      <c r="A1470" s="302"/>
      <c r="B1470" s="303"/>
      <c r="C1470" s="303"/>
      <c r="D1470" s="304"/>
      <c r="E1470" s="304"/>
      <c r="F1470" s="304"/>
      <c r="G1470" s="304"/>
      <c r="H1470" s="303"/>
      <c r="I1470" s="304"/>
    </row>
    <row r="1471" spans="1:9" x14ac:dyDescent="0.3">
      <c r="A1471" s="302"/>
      <c r="B1471" s="303"/>
      <c r="C1471" s="303"/>
      <c r="D1471" s="304"/>
      <c r="E1471" s="304"/>
      <c r="F1471" s="304"/>
      <c r="G1471" s="304"/>
      <c r="H1471" s="303"/>
      <c r="I1471" s="304"/>
    </row>
    <row r="1472" spans="1:9" x14ac:dyDescent="0.3">
      <c r="A1472" s="302"/>
      <c r="B1472" s="303"/>
      <c r="C1472" s="303"/>
      <c r="D1472" s="304"/>
      <c r="E1472" s="304"/>
      <c r="F1472" s="304"/>
      <c r="G1472" s="304"/>
      <c r="H1472" s="303"/>
      <c r="I1472" s="304"/>
    </row>
    <row r="1473" spans="1:9" x14ac:dyDescent="0.3">
      <c r="A1473" s="302"/>
      <c r="B1473" s="303"/>
      <c r="C1473" s="303"/>
      <c r="D1473" s="304"/>
      <c r="E1473" s="304"/>
      <c r="F1473" s="304"/>
      <c r="G1473" s="304"/>
      <c r="H1473" s="303"/>
      <c r="I1473" s="304"/>
    </row>
    <row r="1474" spans="1:9" x14ac:dyDescent="0.3">
      <c r="A1474" s="302"/>
      <c r="B1474" s="303"/>
      <c r="C1474" s="303"/>
      <c r="D1474" s="304"/>
      <c r="E1474" s="304"/>
      <c r="F1474" s="304"/>
      <c r="G1474" s="304"/>
      <c r="H1474" s="303"/>
      <c r="I1474" s="304"/>
    </row>
    <row r="1475" spans="1:9" x14ac:dyDescent="0.3">
      <c r="A1475" s="302"/>
      <c r="B1475" s="303"/>
      <c r="C1475" s="303"/>
      <c r="D1475" s="304"/>
      <c r="E1475" s="304"/>
      <c r="F1475" s="304"/>
      <c r="G1475" s="304"/>
      <c r="H1475" s="303"/>
      <c r="I1475" s="304"/>
    </row>
    <row r="1476" spans="1:9" x14ac:dyDescent="0.3">
      <c r="A1476" s="302"/>
      <c r="B1476" s="303"/>
      <c r="C1476" s="303"/>
      <c r="D1476" s="304"/>
      <c r="E1476" s="304"/>
      <c r="F1476" s="304"/>
      <c r="G1476" s="304"/>
      <c r="H1476" s="303"/>
      <c r="I1476" s="304"/>
    </row>
    <row r="1477" spans="1:9" x14ac:dyDescent="0.3">
      <c r="A1477" s="302"/>
      <c r="B1477" s="303"/>
      <c r="C1477" s="303"/>
      <c r="D1477" s="304"/>
      <c r="E1477" s="304"/>
      <c r="F1477" s="304"/>
      <c r="G1477" s="304"/>
      <c r="H1477" s="303"/>
      <c r="I1477" s="304"/>
    </row>
    <row r="1478" spans="1:9" x14ac:dyDescent="0.3">
      <c r="A1478" s="302"/>
      <c r="B1478" s="303"/>
      <c r="C1478" s="303"/>
      <c r="D1478" s="304"/>
      <c r="E1478" s="304"/>
      <c r="F1478" s="304"/>
      <c r="G1478" s="304"/>
      <c r="H1478" s="303"/>
      <c r="I1478" s="304"/>
    </row>
    <row r="1479" spans="1:9" x14ac:dyDescent="0.3">
      <c r="A1479" s="302"/>
      <c r="B1479" s="303"/>
      <c r="C1479" s="303"/>
      <c r="D1479" s="304"/>
      <c r="E1479" s="304"/>
      <c r="F1479" s="304"/>
      <c r="G1479" s="304"/>
      <c r="H1479" s="303"/>
      <c r="I1479" s="304"/>
    </row>
    <row r="1480" spans="1:9" x14ac:dyDescent="0.3">
      <c r="A1480" s="302"/>
      <c r="B1480" s="303"/>
      <c r="C1480" s="303"/>
      <c r="D1480" s="304"/>
      <c r="E1480" s="304"/>
      <c r="F1480" s="304"/>
      <c r="G1480" s="304"/>
      <c r="H1480" s="303"/>
      <c r="I1480" s="304"/>
    </row>
    <row r="1481" spans="1:9" x14ac:dyDescent="0.3">
      <c r="A1481" s="302"/>
      <c r="B1481" s="303"/>
      <c r="C1481" s="303"/>
      <c r="D1481" s="304"/>
      <c r="E1481" s="304"/>
      <c r="F1481" s="304"/>
      <c r="G1481" s="304"/>
      <c r="H1481" s="303"/>
      <c r="I1481" s="304"/>
    </row>
    <row r="1482" spans="1:9" x14ac:dyDescent="0.3">
      <c r="A1482" s="302"/>
      <c r="B1482" s="303"/>
      <c r="C1482" s="303"/>
      <c r="D1482" s="304"/>
      <c r="E1482" s="304"/>
      <c r="F1482" s="304"/>
      <c r="G1482" s="304"/>
      <c r="H1482" s="303"/>
      <c r="I1482" s="304"/>
    </row>
    <row r="1483" spans="1:9" x14ac:dyDescent="0.3">
      <c r="A1483" s="302"/>
      <c r="B1483" s="303"/>
      <c r="C1483" s="303"/>
      <c r="D1483" s="304"/>
      <c r="E1483" s="304"/>
      <c r="F1483" s="304"/>
      <c r="G1483" s="304"/>
      <c r="H1483" s="303"/>
      <c r="I1483" s="304"/>
    </row>
    <row r="1484" spans="1:9" x14ac:dyDescent="0.3">
      <c r="A1484" s="302"/>
      <c r="B1484" s="303"/>
      <c r="C1484" s="303"/>
      <c r="D1484" s="304"/>
      <c r="E1484" s="304"/>
      <c r="F1484" s="304"/>
      <c r="G1484" s="304"/>
      <c r="H1484" s="303"/>
      <c r="I1484" s="304"/>
    </row>
    <row r="1485" spans="1:9" x14ac:dyDescent="0.3">
      <c r="A1485" s="302"/>
      <c r="B1485" s="303"/>
      <c r="C1485" s="303"/>
      <c r="D1485" s="304"/>
      <c r="E1485" s="304"/>
      <c r="F1485" s="304"/>
      <c r="G1485" s="304"/>
      <c r="H1485" s="303"/>
      <c r="I1485" s="304"/>
    </row>
    <row r="1486" spans="1:9" x14ac:dyDescent="0.3">
      <c r="A1486" s="302"/>
      <c r="B1486" s="303"/>
      <c r="C1486" s="303"/>
      <c r="D1486" s="304"/>
      <c r="E1486" s="304"/>
      <c r="F1486" s="304"/>
      <c r="G1486" s="304"/>
      <c r="H1486" s="303"/>
      <c r="I1486" s="304"/>
    </row>
    <row r="1487" spans="1:9" x14ac:dyDescent="0.3">
      <c r="A1487" s="302"/>
      <c r="B1487" s="303"/>
      <c r="C1487" s="303"/>
      <c r="D1487" s="304"/>
      <c r="E1487" s="304"/>
      <c r="F1487" s="304"/>
      <c r="G1487" s="304"/>
      <c r="H1487" s="303"/>
      <c r="I1487" s="304"/>
    </row>
    <row r="1488" spans="1:9" x14ac:dyDescent="0.3">
      <c r="A1488" s="302"/>
      <c r="B1488" s="303"/>
      <c r="C1488" s="303"/>
      <c r="D1488" s="304"/>
      <c r="E1488" s="304"/>
      <c r="F1488" s="304"/>
      <c r="G1488" s="304"/>
      <c r="H1488" s="303"/>
      <c r="I1488" s="304"/>
    </row>
    <row r="1489" spans="1:9" x14ac:dyDescent="0.3">
      <c r="A1489" s="302"/>
      <c r="B1489" s="303"/>
      <c r="C1489" s="303"/>
      <c r="D1489" s="304"/>
      <c r="E1489" s="304"/>
      <c r="F1489" s="304"/>
      <c r="G1489" s="304"/>
      <c r="H1489" s="303"/>
      <c r="I1489" s="304"/>
    </row>
    <row r="1490" spans="1:9" x14ac:dyDescent="0.3">
      <c r="A1490" s="302"/>
      <c r="B1490" s="303"/>
      <c r="C1490" s="303"/>
      <c r="D1490" s="304"/>
      <c r="E1490" s="304"/>
      <c r="F1490" s="304"/>
      <c r="G1490" s="304"/>
      <c r="H1490" s="303"/>
      <c r="I1490" s="304"/>
    </row>
    <row r="1491" spans="1:9" x14ac:dyDescent="0.3">
      <c r="A1491" s="302"/>
      <c r="B1491" s="303"/>
      <c r="C1491" s="303"/>
      <c r="D1491" s="304"/>
      <c r="E1491" s="304"/>
      <c r="F1491" s="304"/>
      <c r="G1491" s="304"/>
      <c r="H1491" s="303"/>
      <c r="I1491" s="304"/>
    </row>
    <row r="1492" spans="1:9" x14ac:dyDescent="0.3">
      <c r="A1492" s="302"/>
      <c r="B1492" s="303"/>
      <c r="C1492" s="303"/>
      <c r="D1492" s="304"/>
      <c r="E1492" s="304"/>
      <c r="F1492" s="304"/>
      <c r="G1492" s="304"/>
      <c r="H1492" s="303"/>
      <c r="I1492" s="304"/>
    </row>
    <row r="1493" spans="1:9" x14ac:dyDescent="0.3">
      <c r="A1493" s="302"/>
      <c r="B1493" s="303"/>
      <c r="C1493" s="303"/>
      <c r="D1493" s="304"/>
      <c r="E1493" s="304"/>
      <c r="F1493" s="304"/>
      <c r="G1493" s="304"/>
      <c r="H1493" s="303"/>
      <c r="I1493" s="304"/>
    </row>
    <row r="1494" spans="1:9" x14ac:dyDescent="0.3">
      <c r="A1494" s="302"/>
      <c r="B1494" s="303"/>
      <c r="C1494" s="303"/>
      <c r="D1494" s="304"/>
      <c r="E1494" s="304"/>
      <c r="F1494" s="304"/>
      <c r="G1494" s="304"/>
      <c r="H1494" s="303"/>
      <c r="I1494" s="304"/>
    </row>
    <row r="1495" spans="1:9" x14ac:dyDescent="0.3">
      <c r="A1495" s="302"/>
      <c r="B1495" s="303"/>
      <c r="C1495" s="303"/>
      <c r="D1495" s="304"/>
      <c r="E1495" s="304"/>
      <c r="F1495" s="304"/>
      <c r="G1495" s="304"/>
      <c r="H1495" s="303"/>
      <c r="I1495" s="304"/>
    </row>
    <row r="1496" spans="1:9" x14ac:dyDescent="0.3">
      <c r="A1496" s="302"/>
      <c r="B1496" s="303"/>
      <c r="C1496" s="303"/>
      <c r="D1496" s="304"/>
      <c r="E1496" s="304"/>
      <c r="F1496" s="304"/>
      <c r="G1496" s="304"/>
      <c r="H1496" s="303"/>
      <c r="I1496" s="304"/>
    </row>
    <row r="1497" spans="1:9" x14ac:dyDescent="0.3">
      <c r="A1497" s="302"/>
      <c r="B1497" s="303"/>
      <c r="C1497" s="303"/>
      <c r="D1497" s="304"/>
      <c r="E1497" s="304"/>
      <c r="F1497" s="304"/>
      <c r="G1497" s="304"/>
      <c r="H1497" s="303"/>
      <c r="I1497" s="304"/>
    </row>
    <row r="1498" spans="1:9" x14ac:dyDescent="0.3">
      <c r="A1498" s="302"/>
      <c r="B1498" s="303"/>
      <c r="C1498" s="303"/>
      <c r="D1498" s="304"/>
      <c r="E1498" s="304"/>
      <c r="F1498" s="304"/>
      <c r="G1498" s="304"/>
      <c r="H1498" s="303"/>
      <c r="I1498" s="304"/>
    </row>
    <row r="1499" spans="1:9" x14ac:dyDescent="0.3">
      <c r="A1499" s="302"/>
      <c r="B1499" s="303"/>
      <c r="C1499" s="303"/>
      <c r="D1499" s="304"/>
      <c r="E1499" s="304"/>
      <c r="F1499" s="304"/>
      <c r="G1499" s="304"/>
      <c r="H1499" s="303"/>
      <c r="I1499" s="304"/>
    </row>
    <row r="1500" spans="1:9" x14ac:dyDescent="0.3">
      <c r="A1500" s="302"/>
      <c r="B1500" s="303"/>
      <c r="C1500" s="303"/>
      <c r="D1500" s="304"/>
      <c r="E1500" s="304"/>
      <c r="F1500" s="304"/>
      <c r="G1500" s="304"/>
      <c r="H1500" s="303"/>
      <c r="I1500" s="304"/>
    </row>
    <row r="1501" spans="1:9" x14ac:dyDescent="0.3">
      <c r="A1501" s="302"/>
      <c r="B1501" s="303"/>
      <c r="C1501" s="303"/>
      <c r="D1501" s="304"/>
      <c r="E1501" s="304"/>
      <c r="F1501" s="304"/>
      <c r="G1501" s="304"/>
      <c r="H1501" s="303"/>
      <c r="I1501" s="304"/>
    </row>
    <row r="1502" spans="1:9" x14ac:dyDescent="0.3">
      <c r="A1502" s="302"/>
      <c r="B1502" s="303"/>
      <c r="C1502" s="303"/>
      <c r="D1502" s="304"/>
      <c r="E1502" s="304"/>
      <c r="F1502" s="304"/>
      <c r="G1502" s="304"/>
      <c r="H1502" s="303"/>
      <c r="I1502" s="304"/>
    </row>
    <row r="1503" spans="1:9" x14ac:dyDescent="0.3">
      <c r="A1503" s="302"/>
      <c r="B1503" s="303"/>
      <c r="C1503" s="303"/>
      <c r="D1503" s="304"/>
      <c r="E1503" s="304"/>
      <c r="F1503" s="304"/>
      <c r="G1503" s="304"/>
      <c r="H1503" s="303"/>
      <c r="I1503" s="304"/>
    </row>
    <row r="1504" spans="1:9" x14ac:dyDescent="0.3">
      <c r="A1504" s="302"/>
      <c r="B1504" s="303"/>
      <c r="C1504" s="303"/>
      <c r="D1504" s="304"/>
      <c r="E1504" s="304"/>
      <c r="F1504" s="304"/>
      <c r="G1504" s="304"/>
      <c r="H1504" s="303"/>
      <c r="I1504" s="304"/>
    </row>
    <row r="1505" spans="1:9" x14ac:dyDescent="0.3">
      <c r="A1505" s="302"/>
      <c r="B1505" s="303"/>
      <c r="C1505" s="303"/>
      <c r="D1505" s="304"/>
      <c r="E1505" s="304"/>
      <c r="F1505" s="304"/>
      <c r="G1505" s="304"/>
      <c r="H1505" s="303"/>
      <c r="I1505" s="304"/>
    </row>
    <row r="1506" spans="1:9" x14ac:dyDescent="0.3">
      <c r="A1506" s="302"/>
      <c r="B1506" s="303"/>
      <c r="C1506" s="303"/>
      <c r="D1506" s="304"/>
      <c r="E1506" s="304"/>
      <c r="F1506" s="304"/>
      <c r="G1506" s="304"/>
      <c r="H1506" s="303"/>
      <c r="I1506" s="304"/>
    </row>
    <row r="1507" spans="1:9" x14ac:dyDescent="0.3">
      <c r="A1507" s="302"/>
      <c r="B1507" s="303"/>
      <c r="C1507" s="303"/>
      <c r="D1507" s="304"/>
      <c r="E1507" s="304"/>
      <c r="F1507" s="304"/>
      <c r="G1507" s="304"/>
      <c r="H1507" s="303"/>
      <c r="I1507" s="304"/>
    </row>
    <row r="1508" spans="1:9" x14ac:dyDescent="0.3">
      <c r="A1508" s="302"/>
      <c r="B1508" s="303"/>
      <c r="C1508" s="303"/>
      <c r="D1508" s="304"/>
      <c r="E1508" s="304"/>
      <c r="F1508" s="304"/>
      <c r="G1508" s="304"/>
      <c r="H1508" s="303"/>
      <c r="I1508" s="304"/>
    </row>
    <row r="1509" spans="1:9" x14ac:dyDescent="0.3">
      <c r="A1509" s="302"/>
      <c r="B1509" s="303"/>
      <c r="C1509" s="303"/>
      <c r="D1509" s="304"/>
      <c r="E1509" s="304"/>
      <c r="F1509" s="304"/>
      <c r="G1509" s="304"/>
      <c r="H1509" s="303"/>
      <c r="I1509" s="304"/>
    </row>
    <row r="1510" spans="1:9" x14ac:dyDescent="0.3">
      <c r="A1510" s="302"/>
      <c r="B1510" s="303"/>
      <c r="C1510" s="303"/>
      <c r="D1510" s="304"/>
      <c r="E1510" s="304"/>
      <c r="F1510" s="304"/>
      <c r="G1510" s="304"/>
      <c r="H1510" s="303"/>
      <c r="I1510" s="304"/>
    </row>
    <row r="1511" spans="1:9" x14ac:dyDescent="0.3">
      <c r="A1511" s="302"/>
      <c r="B1511" s="303"/>
      <c r="C1511" s="303"/>
      <c r="D1511" s="304"/>
      <c r="E1511" s="304"/>
      <c r="F1511" s="304"/>
      <c r="G1511" s="304"/>
      <c r="H1511" s="303"/>
      <c r="I1511" s="304"/>
    </row>
    <row r="1512" spans="1:9" x14ac:dyDescent="0.3">
      <c r="A1512" s="302"/>
      <c r="B1512" s="303"/>
      <c r="C1512" s="303"/>
      <c r="D1512" s="304"/>
      <c r="E1512" s="304"/>
      <c r="F1512" s="304"/>
      <c r="G1512" s="304"/>
      <c r="H1512" s="303"/>
      <c r="I1512" s="304"/>
    </row>
    <row r="1513" spans="1:9" x14ac:dyDescent="0.3">
      <c r="A1513" s="302"/>
      <c r="B1513" s="303"/>
      <c r="C1513" s="303"/>
      <c r="D1513" s="304"/>
      <c r="E1513" s="304"/>
      <c r="F1513" s="304"/>
      <c r="G1513" s="304"/>
      <c r="H1513" s="303"/>
      <c r="I1513" s="304"/>
    </row>
    <row r="1514" spans="1:9" x14ac:dyDescent="0.3">
      <c r="A1514" s="302"/>
      <c r="B1514" s="303"/>
      <c r="C1514" s="303"/>
      <c r="D1514" s="304"/>
      <c r="E1514" s="304"/>
      <c r="F1514" s="304"/>
      <c r="G1514" s="304"/>
      <c r="H1514" s="303"/>
      <c r="I1514" s="304"/>
    </row>
    <row r="1515" spans="1:9" x14ac:dyDescent="0.3">
      <c r="A1515" s="302"/>
      <c r="B1515" s="303"/>
      <c r="C1515" s="303"/>
      <c r="D1515" s="304"/>
      <c r="E1515" s="304"/>
      <c r="F1515" s="304"/>
      <c r="G1515" s="304"/>
      <c r="H1515" s="303"/>
      <c r="I1515" s="304"/>
    </row>
    <row r="1516" spans="1:9" x14ac:dyDescent="0.3">
      <c r="A1516" s="302"/>
      <c r="B1516" s="303"/>
      <c r="C1516" s="303"/>
      <c r="D1516" s="304"/>
      <c r="E1516" s="304"/>
      <c r="F1516" s="304"/>
      <c r="G1516" s="304"/>
      <c r="H1516" s="303"/>
      <c r="I1516" s="304"/>
    </row>
    <row r="1517" spans="1:9" x14ac:dyDescent="0.3">
      <c r="A1517" s="302"/>
      <c r="B1517" s="303"/>
      <c r="C1517" s="303"/>
      <c r="D1517" s="304"/>
      <c r="E1517" s="304"/>
      <c r="F1517" s="304"/>
      <c r="G1517" s="304"/>
      <c r="H1517" s="303"/>
      <c r="I1517" s="304"/>
    </row>
    <row r="1518" spans="1:9" x14ac:dyDescent="0.3">
      <c r="A1518" s="302"/>
      <c r="B1518" s="303"/>
      <c r="C1518" s="303"/>
      <c r="D1518" s="304"/>
      <c r="E1518" s="304"/>
      <c r="F1518" s="304"/>
      <c r="G1518" s="304"/>
      <c r="H1518" s="303"/>
      <c r="I1518" s="304"/>
    </row>
    <row r="1519" spans="1:9" x14ac:dyDescent="0.3">
      <c r="A1519" s="302"/>
      <c r="B1519" s="303"/>
      <c r="C1519" s="303"/>
      <c r="D1519" s="304"/>
      <c r="E1519" s="304"/>
      <c r="F1519" s="304"/>
      <c r="G1519" s="304"/>
      <c r="H1519" s="303"/>
      <c r="I1519" s="304"/>
    </row>
    <row r="1520" spans="1:9" x14ac:dyDescent="0.3">
      <c r="A1520" s="302"/>
      <c r="B1520" s="303"/>
      <c r="C1520" s="303"/>
      <c r="D1520" s="304"/>
      <c r="E1520" s="304"/>
      <c r="F1520" s="304"/>
      <c r="G1520" s="304"/>
      <c r="H1520" s="303"/>
      <c r="I1520" s="304"/>
    </row>
    <row r="1521" spans="1:9" x14ac:dyDescent="0.3">
      <c r="A1521" s="302"/>
      <c r="B1521" s="303"/>
      <c r="C1521" s="303"/>
      <c r="D1521" s="304"/>
      <c r="E1521" s="304"/>
      <c r="F1521" s="304"/>
      <c r="G1521" s="304"/>
      <c r="H1521" s="303"/>
      <c r="I1521" s="304"/>
    </row>
    <row r="1522" spans="1:9" x14ac:dyDescent="0.3">
      <c r="A1522" s="302"/>
      <c r="B1522" s="303"/>
      <c r="C1522" s="303"/>
      <c r="D1522" s="304"/>
      <c r="E1522" s="304"/>
      <c r="F1522" s="304"/>
      <c r="G1522" s="304"/>
      <c r="H1522" s="303"/>
      <c r="I1522" s="304"/>
    </row>
    <row r="1523" spans="1:9" x14ac:dyDescent="0.3">
      <c r="A1523" s="302"/>
      <c r="B1523" s="303"/>
      <c r="C1523" s="303"/>
      <c r="D1523" s="304"/>
      <c r="E1523" s="304"/>
      <c r="F1523" s="304"/>
      <c r="G1523" s="304"/>
      <c r="H1523" s="303"/>
      <c r="I1523" s="304"/>
    </row>
    <row r="1524" spans="1:9" x14ac:dyDescent="0.3">
      <c r="A1524" s="302"/>
      <c r="B1524" s="303"/>
      <c r="C1524" s="303"/>
      <c r="D1524" s="304"/>
      <c r="E1524" s="304"/>
      <c r="F1524" s="304"/>
      <c r="G1524" s="304"/>
      <c r="H1524" s="303"/>
      <c r="I1524" s="304"/>
    </row>
    <row r="1525" spans="1:9" x14ac:dyDescent="0.3">
      <c r="A1525" s="302"/>
      <c r="B1525" s="303"/>
      <c r="C1525" s="303"/>
      <c r="D1525" s="304"/>
      <c r="E1525" s="304"/>
      <c r="F1525" s="304"/>
      <c r="G1525" s="304"/>
      <c r="H1525" s="303"/>
      <c r="I1525" s="304"/>
    </row>
    <row r="1526" spans="1:9" x14ac:dyDescent="0.3">
      <c r="A1526" s="302"/>
      <c r="B1526" s="303"/>
      <c r="C1526" s="303"/>
      <c r="D1526" s="304"/>
      <c r="E1526" s="304"/>
      <c r="F1526" s="304"/>
      <c r="G1526" s="304"/>
      <c r="H1526" s="303"/>
      <c r="I1526" s="304"/>
    </row>
    <row r="1527" spans="1:9" x14ac:dyDescent="0.3">
      <c r="A1527" s="302"/>
      <c r="B1527" s="303"/>
      <c r="C1527" s="303"/>
      <c r="D1527" s="304"/>
      <c r="E1527" s="304"/>
      <c r="F1527" s="304"/>
      <c r="G1527" s="304"/>
      <c r="H1527" s="303"/>
      <c r="I1527" s="304"/>
    </row>
    <row r="1528" spans="1:9" x14ac:dyDescent="0.3">
      <c r="A1528" s="302"/>
      <c r="B1528" s="303"/>
      <c r="C1528" s="303"/>
      <c r="D1528" s="304"/>
      <c r="E1528" s="304"/>
      <c r="F1528" s="304"/>
      <c r="G1528" s="304"/>
      <c r="H1528" s="303"/>
      <c r="I1528" s="304"/>
    </row>
    <row r="1529" spans="1:9" x14ac:dyDescent="0.3">
      <c r="A1529" s="302"/>
      <c r="B1529" s="303"/>
      <c r="C1529" s="303"/>
      <c r="D1529" s="304"/>
      <c r="E1529" s="304"/>
      <c r="F1529" s="304"/>
      <c r="G1529" s="304"/>
      <c r="H1529" s="303"/>
      <c r="I1529" s="304"/>
    </row>
    <row r="1530" spans="1:9" x14ac:dyDescent="0.3">
      <c r="A1530" s="302"/>
      <c r="B1530" s="303"/>
      <c r="C1530" s="303"/>
      <c r="D1530" s="304"/>
      <c r="E1530" s="304"/>
      <c r="F1530" s="304"/>
      <c r="G1530" s="304"/>
      <c r="H1530" s="303"/>
      <c r="I1530" s="304"/>
    </row>
    <row r="1531" spans="1:9" x14ac:dyDescent="0.3">
      <c r="A1531" s="302"/>
      <c r="B1531" s="303"/>
      <c r="C1531" s="303"/>
      <c r="D1531" s="304"/>
      <c r="E1531" s="304"/>
      <c r="F1531" s="304"/>
      <c r="G1531" s="304"/>
      <c r="H1531" s="303"/>
      <c r="I1531" s="304"/>
    </row>
    <row r="1532" spans="1:9" x14ac:dyDescent="0.3">
      <c r="A1532" s="302"/>
      <c r="B1532" s="303"/>
      <c r="C1532" s="303"/>
      <c r="D1532" s="304"/>
      <c r="E1532" s="304"/>
      <c r="F1532" s="304"/>
      <c r="G1532" s="304"/>
      <c r="H1532" s="303"/>
      <c r="I1532" s="304"/>
    </row>
    <row r="1533" spans="1:9" x14ac:dyDescent="0.3">
      <c r="A1533" s="302"/>
      <c r="B1533" s="303"/>
      <c r="C1533" s="303"/>
      <c r="D1533" s="304"/>
      <c r="E1533" s="304"/>
      <c r="F1533" s="304"/>
      <c r="G1533" s="304"/>
      <c r="H1533" s="303"/>
      <c r="I1533" s="304"/>
    </row>
    <row r="1534" spans="1:9" x14ac:dyDescent="0.3">
      <c r="A1534" s="302"/>
      <c r="B1534" s="303"/>
      <c r="C1534" s="303"/>
      <c r="D1534" s="304"/>
      <c r="E1534" s="304"/>
      <c r="F1534" s="304"/>
      <c r="G1534" s="304"/>
      <c r="H1534" s="303"/>
      <c r="I1534" s="304"/>
    </row>
    <row r="1535" spans="1:9" x14ac:dyDescent="0.3">
      <c r="A1535" s="302"/>
      <c r="B1535" s="303"/>
      <c r="C1535" s="303"/>
      <c r="D1535" s="304"/>
      <c r="E1535" s="304"/>
      <c r="F1535" s="304"/>
      <c r="G1535" s="304"/>
      <c r="H1535" s="303"/>
      <c r="I1535" s="304"/>
    </row>
    <row r="1536" spans="1:9" x14ac:dyDescent="0.3">
      <c r="A1536" s="302"/>
      <c r="B1536" s="303"/>
      <c r="C1536" s="303"/>
      <c r="D1536" s="304"/>
      <c r="E1536" s="304"/>
      <c r="F1536" s="304"/>
      <c r="G1536" s="304"/>
      <c r="H1536" s="303"/>
      <c r="I1536" s="304"/>
    </row>
    <row r="1537" spans="1:9" x14ac:dyDescent="0.3">
      <c r="A1537" s="302"/>
      <c r="B1537" s="303"/>
      <c r="C1537" s="303"/>
      <c r="D1537" s="304"/>
      <c r="E1537" s="304"/>
      <c r="F1537" s="304"/>
      <c r="G1537" s="304"/>
      <c r="H1537" s="303"/>
      <c r="I1537" s="304"/>
    </row>
    <row r="1538" spans="1:9" x14ac:dyDescent="0.3">
      <c r="A1538" s="302"/>
      <c r="B1538" s="303"/>
      <c r="C1538" s="303"/>
      <c r="D1538" s="304"/>
      <c r="E1538" s="304"/>
      <c r="F1538" s="304"/>
      <c r="G1538" s="304"/>
      <c r="H1538" s="303"/>
      <c r="I1538" s="304"/>
    </row>
    <row r="1539" spans="1:9" x14ac:dyDescent="0.3">
      <c r="A1539" s="302"/>
      <c r="B1539" s="303"/>
      <c r="C1539" s="303"/>
      <c r="D1539" s="304"/>
      <c r="E1539" s="304"/>
      <c r="F1539" s="304"/>
      <c r="G1539" s="304"/>
      <c r="H1539" s="303"/>
      <c r="I1539" s="304"/>
    </row>
    <row r="1540" spans="1:9" x14ac:dyDescent="0.3">
      <c r="A1540" s="302"/>
      <c r="B1540" s="303"/>
      <c r="C1540" s="303"/>
      <c r="D1540" s="304"/>
      <c r="E1540" s="304"/>
      <c r="F1540" s="304"/>
      <c r="G1540" s="304"/>
      <c r="H1540" s="303"/>
      <c r="I1540" s="304"/>
    </row>
    <row r="1541" spans="1:9" x14ac:dyDescent="0.3">
      <c r="A1541" s="302"/>
      <c r="B1541" s="303"/>
      <c r="C1541" s="303"/>
      <c r="D1541" s="304"/>
      <c r="E1541" s="304"/>
      <c r="F1541" s="304"/>
      <c r="G1541" s="304"/>
      <c r="H1541" s="303"/>
      <c r="I1541" s="304"/>
    </row>
    <row r="1542" spans="1:9" x14ac:dyDescent="0.3">
      <c r="A1542" s="302"/>
      <c r="B1542" s="303"/>
      <c r="C1542" s="303"/>
      <c r="D1542" s="304"/>
      <c r="E1542" s="304"/>
      <c r="F1542" s="304"/>
      <c r="G1542" s="304"/>
      <c r="H1542" s="303"/>
      <c r="I1542" s="304"/>
    </row>
    <row r="1543" spans="1:9" x14ac:dyDescent="0.3">
      <c r="A1543" s="302"/>
      <c r="B1543" s="303"/>
      <c r="C1543" s="303"/>
      <c r="D1543" s="304"/>
      <c r="E1543" s="304"/>
      <c r="F1543" s="304"/>
      <c r="G1543" s="304"/>
      <c r="H1543" s="303"/>
      <c r="I1543" s="304"/>
    </row>
    <row r="1544" spans="1:9" x14ac:dyDescent="0.3">
      <c r="A1544" s="302"/>
      <c r="B1544" s="303"/>
      <c r="C1544" s="303"/>
      <c r="D1544" s="304"/>
      <c r="E1544" s="304"/>
      <c r="F1544" s="304"/>
      <c r="G1544" s="304"/>
      <c r="H1544" s="303"/>
      <c r="I1544" s="304"/>
    </row>
    <row r="1545" spans="1:9" x14ac:dyDescent="0.3">
      <c r="A1545" s="302"/>
      <c r="B1545" s="303"/>
      <c r="C1545" s="303"/>
      <c r="D1545" s="304"/>
      <c r="E1545" s="304"/>
      <c r="F1545" s="304"/>
      <c r="G1545" s="304"/>
      <c r="H1545" s="303"/>
      <c r="I1545" s="304"/>
    </row>
    <row r="1546" spans="1:9" x14ac:dyDescent="0.3">
      <c r="A1546" s="302"/>
      <c r="B1546" s="303"/>
      <c r="C1546" s="303"/>
      <c r="D1546" s="304"/>
      <c r="E1546" s="304"/>
      <c r="F1546" s="304"/>
      <c r="G1546" s="304"/>
      <c r="H1546" s="303"/>
      <c r="I1546" s="304"/>
    </row>
    <row r="1547" spans="1:9" x14ac:dyDescent="0.3">
      <c r="A1547" s="302"/>
      <c r="B1547" s="303"/>
      <c r="C1547" s="303"/>
      <c r="D1547" s="304"/>
      <c r="E1547" s="304"/>
      <c r="F1547" s="304"/>
      <c r="G1547" s="304"/>
      <c r="H1547" s="303"/>
      <c r="I1547" s="304"/>
    </row>
    <row r="1548" spans="1:9" x14ac:dyDescent="0.3">
      <c r="A1548" s="302"/>
      <c r="B1548" s="303"/>
      <c r="C1548" s="303"/>
      <c r="D1548" s="304"/>
      <c r="E1548" s="304"/>
      <c r="F1548" s="304"/>
      <c r="G1548" s="304"/>
      <c r="H1548" s="303"/>
      <c r="I1548" s="304"/>
    </row>
    <row r="1549" spans="1:9" x14ac:dyDescent="0.3">
      <c r="A1549" s="302"/>
      <c r="B1549" s="303"/>
      <c r="C1549" s="303"/>
      <c r="D1549" s="304"/>
      <c r="E1549" s="304"/>
      <c r="F1549" s="304"/>
      <c r="G1549" s="304"/>
      <c r="H1549" s="303"/>
      <c r="I1549" s="304"/>
    </row>
    <row r="1550" spans="1:9" x14ac:dyDescent="0.3">
      <c r="A1550" s="302"/>
      <c r="B1550" s="303"/>
      <c r="C1550" s="303"/>
      <c r="D1550" s="304"/>
      <c r="E1550" s="304"/>
      <c r="F1550" s="304"/>
      <c r="G1550" s="304"/>
      <c r="H1550" s="303"/>
      <c r="I1550" s="304"/>
    </row>
    <row r="1551" spans="1:9" x14ac:dyDescent="0.3">
      <c r="A1551" s="302"/>
      <c r="B1551" s="303"/>
      <c r="C1551" s="303"/>
      <c r="D1551" s="304"/>
      <c r="E1551" s="304"/>
      <c r="F1551" s="304"/>
      <c r="G1551" s="304"/>
      <c r="H1551" s="303"/>
      <c r="I1551" s="304"/>
    </row>
    <row r="1552" spans="1:9" x14ac:dyDescent="0.3">
      <c r="A1552" s="302"/>
      <c r="B1552" s="303"/>
      <c r="C1552" s="303"/>
      <c r="D1552" s="304"/>
      <c r="E1552" s="304"/>
      <c r="F1552" s="304"/>
      <c r="G1552" s="304"/>
      <c r="H1552" s="303"/>
      <c r="I1552" s="304"/>
    </row>
    <row r="1553" spans="1:9" x14ac:dyDescent="0.3">
      <c r="A1553" s="302"/>
      <c r="B1553" s="303"/>
      <c r="C1553" s="303"/>
      <c r="D1553" s="304"/>
      <c r="E1553" s="304"/>
      <c r="F1553" s="304"/>
      <c r="G1553" s="304"/>
      <c r="H1553" s="303"/>
      <c r="I1553" s="304"/>
    </row>
    <row r="1554" spans="1:9" x14ac:dyDescent="0.3">
      <c r="A1554" s="302"/>
      <c r="B1554" s="303"/>
      <c r="C1554" s="303"/>
      <c r="D1554" s="304"/>
      <c r="E1554" s="304"/>
      <c r="F1554" s="304"/>
      <c r="G1554" s="304"/>
      <c r="H1554" s="303"/>
      <c r="I1554" s="304"/>
    </row>
    <row r="1555" spans="1:9" x14ac:dyDescent="0.3">
      <c r="A1555" s="302"/>
      <c r="B1555" s="303"/>
      <c r="C1555" s="303"/>
      <c r="D1555" s="304"/>
      <c r="E1555" s="304"/>
      <c r="F1555" s="304"/>
      <c r="G1555" s="304"/>
      <c r="H1555" s="303"/>
      <c r="I1555" s="304"/>
    </row>
    <row r="1556" spans="1:9" x14ac:dyDescent="0.3">
      <c r="A1556" s="302"/>
      <c r="B1556" s="303"/>
      <c r="C1556" s="303"/>
      <c r="D1556" s="304"/>
      <c r="E1556" s="304"/>
      <c r="F1556" s="304"/>
      <c r="G1556" s="304"/>
      <c r="H1556" s="303"/>
      <c r="I1556" s="304"/>
    </row>
    <row r="1557" spans="1:9" x14ac:dyDescent="0.3">
      <c r="A1557" s="302"/>
      <c r="B1557" s="303"/>
      <c r="C1557" s="303"/>
      <c r="D1557" s="304"/>
      <c r="E1557" s="304"/>
      <c r="F1557" s="304"/>
      <c r="G1557" s="304"/>
      <c r="H1557" s="303"/>
      <c r="I1557" s="304"/>
    </row>
    <row r="1558" spans="1:9" x14ac:dyDescent="0.3">
      <c r="A1558" s="302"/>
      <c r="B1558" s="303"/>
      <c r="C1558" s="303"/>
      <c r="D1558" s="304"/>
      <c r="E1558" s="304"/>
      <c r="F1558" s="304"/>
      <c r="G1558" s="304"/>
      <c r="H1558" s="303"/>
      <c r="I1558" s="304"/>
    </row>
    <row r="1559" spans="1:9" x14ac:dyDescent="0.3">
      <c r="A1559" s="302"/>
      <c r="B1559" s="303"/>
      <c r="C1559" s="303"/>
      <c r="D1559" s="304"/>
      <c r="E1559" s="304"/>
      <c r="F1559" s="304"/>
      <c r="G1559" s="304"/>
      <c r="H1559" s="303"/>
      <c r="I1559" s="304"/>
    </row>
    <row r="1560" spans="1:9" x14ac:dyDescent="0.3">
      <c r="A1560" s="302"/>
      <c r="B1560" s="303"/>
      <c r="C1560" s="303"/>
      <c r="D1560" s="304"/>
      <c r="E1560" s="304"/>
      <c r="F1560" s="304"/>
      <c r="G1560" s="304"/>
      <c r="H1560" s="303"/>
      <c r="I1560" s="304"/>
    </row>
    <row r="1561" spans="1:9" x14ac:dyDescent="0.3">
      <c r="A1561" s="302"/>
      <c r="B1561" s="303"/>
      <c r="C1561" s="303"/>
      <c r="D1561" s="304"/>
      <c r="E1561" s="304"/>
      <c r="F1561" s="304"/>
      <c r="G1561" s="304"/>
      <c r="H1561" s="303"/>
      <c r="I1561" s="304"/>
    </row>
    <row r="1562" spans="1:9" x14ac:dyDescent="0.3">
      <c r="A1562" s="302"/>
      <c r="B1562" s="303"/>
      <c r="C1562" s="303"/>
      <c r="D1562" s="304"/>
      <c r="E1562" s="304"/>
      <c r="F1562" s="304"/>
      <c r="G1562" s="304"/>
      <c r="H1562" s="303"/>
      <c r="I1562" s="304"/>
    </row>
    <row r="1563" spans="1:9" x14ac:dyDescent="0.3">
      <c r="A1563" s="302"/>
      <c r="B1563" s="303"/>
      <c r="C1563" s="303"/>
      <c r="D1563" s="304"/>
      <c r="E1563" s="304"/>
      <c r="F1563" s="304"/>
      <c r="G1563" s="304"/>
      <c r="H1563" s="303"/>
      <c r="I1563" s="304"/>
    </row>
    <row r="1564" spans="1:9" x14ac:dyDescent="0.3">
      <c r="A1564" s="302"/>
      <c r="B1564" s="303"/>
      <c r="C1564" s="303"/>
      <c r="D1564" s="304"/>
      <c r="E1564" s="304"/>
      <c r="F1564" s="304"/>
      <c r="G1564" s="304"/>
      <c r="H1564" s="303"/>
      <c r="I1564" s="304"/>
    </row>
    <row r="1565" spans="1:9" x14ac:dyDescent="0.3">
      <c r="A1565" s="302"/>
      <c r="B1565" s="303"/>
      <c r="C1565" s="303"/>
      <c r="D1565" s="304"/>
      <c r="E1565" s="304"/>
      <c r="F1565" s="304"/>
      <c r="G1565" s="304"/>
      <c r="H1565" s="303"/>
      <c r="I1565" s="304"/>
    </row>
    <row r="1566" spans="1:9" x14ac:dyDescent="0.3">
      <c r="A1566" s="302"/>
      <c r="B1566" s="303"/>
      <c r="C1566" s="303"/>
      <c r="D1566" s="304"/>
      <c r="E1566" s="304"/>
      <c r="F1566" s="304"/>
      <c r="G1566" s="304"/>
      <c r="H1566" s="303"/>
      <c r="I1566" s="304"/>
    </row>
    <row r="1567" spans="1:9" x14ac:dyDescent="0.3">
      <c r="A1567" s="302"/>
      <c r="B1567" s="303"/>
      <c r="C1567" s="303"/>
      <c r="D1567" s="304"/>
      <c r="E1567" s="304"/>
      <c r="F1567" s="304"/>
      <c r="G1567" s="304"/>
      <c r="H1567" s="303"/>
      <c r="I1567" s="304"/>
    </row>
    <row r="1568" spans="1:9" x14ac:dyDescent="0.3">
      <c r="A1568" s="302"/>
      <c r="B1568" s="303"/>
      <c r="C1568" s="303"/>
      <c r="D1568" s="304"/>
      <c r="E1568" s="304"/>
      <c r="F1568" s="304"/>
      <c r="G1568" s="304"/>
      <c r="H1568" s="303"/>
      <c r="I1568" s="304"/>
    </row>
    <row r="1569" spans="1:9" x14ac:dyDescent="0.3">
      <c r="A1569" s="302"/>
      <c r="B1569" s="303"/>
      <c r="C1569" s="303"/>
      <c r="D1569" s="304"/>
      <c r="E1569" s="304"/>
      <c r="F1569" s="304"/>
      <c r="G1569" s="304"/>
      <c r="H1569" s="303"/>
      <c r="I1569" s="304"/>
    </row>
    <row r="1570" spans="1:9" x14ac:dyDescent="0.3">
      <c r="A1570" s="302"/>
      <c r="B1570" s="303"/>
      <c r="C1570" s="303"/>
      <c r="D1570" s="304"/>
      <c r="E1570" s="304"/>
      <c r="F1570" s="304"/>
      <c r="G1570" s="304"/>
      <c r="H1570" s="303"/>
      <c r="I1570" s="304"/>
    </row>
    <row r="1571" spans="1:9" x14ac:dyDescent="0.3">
      <c r="A1571" s="302"/>
      <c r="B1571" s="303"/>
      <c r="C1571" s="303"/>
      <c r="D1571" s="304"/>
      <c r="E1571" s="304"/>
      <c r="F1571" s="304"/>
      <c r="G1571" s="304"/>
      <c r="H1571" s="303"/>
      <c r="I1571" s="304"/>
    </row>
    <row r="1572" spans="1:9" x14ac:dyDescent="0.3">
      <c r="A1572" s="302"/>
      <c r="B1572" s="303"/>
      <c r="C1572" s="303"/>
      <c r="D1572" s="304"/>
      <c r="E1572" s="304"/>
      <c r="F1572" s="304"/>
      <c r="G1572" s="304"/>
      <c r="H1572" s="303"/>
      <c r="I1572" s="304"/>
    </row>
    <row r="1573" spans="1:9" x14ac:dyDescent="0.3">
      <c r="A1573" s="302"/>
      <c r="B1573" s="303"/>
      <c r="C1573" s="303"/>
      <c r="D1573" s="304"/>
      <c r="E1573" s="304"/>
      <c r="F1573" s="304"/>
      <c r="G1573" s="304"/>
      <c r="H1573" s="303"/>
      <c r="I1573" s="304"/>
    </row>
    <row r="1574" spans="1:9" x14ac:dyDescent="0.3">
      <c r="A1574" s="302"/>
      <c r="B1574" s="303"/>
      <c r="C1574" s="303"/>
      <c r="D1574" s="304"/>
      <c r="E1574" s="304"/>
      <c r="F1574" s="304"/>
      <c r="G1574" s="304"/>
      <c r="H1574" s="303"/>
      <c r="I1574" s="304"/>
    </row>
    <row r="1575" spans="1:9" x14ac:dyDescent="0.3">
      <c r="A1575" s="302"/>
      <c r="B1575" s="303"/>
      <c r="C1575" s="303"/>
      <c r="D1575" s="304"/>
      <c r="E1575" s="304"/>
      <c r="F1575" s="304"/>
      <c r="G1575" s="304"/>
      <c r="H1575" s="303"/>
      <c r="I1575" s="304"/>
    </row>
    <row r="1576" spans="1:9" x14ac:dyDescent="0.3">
      <c r="A1576" s="302"/>
      <c r="B1576" s="303"/>
      <c r="C1576" s="303"/>
      <c r="D1576" s="304"/>
      <c r="E1576" s="304"/>
      <c r="F1576" s="304"/>
      <c r="G1576" s="304"/>
      <c r="H1576" s="303"/>
      <c r="I1576" s="304"/>
    </row>
    <row r="1577" spans="1:9" x14ac:dyDescent="0.3">
      <c r="A1577" s="302"/>
      <c r="B1577" s="303"/>
      <c r="C1577" s="303"/>
      <c r="D1577" s="304"/>
      <c r="E1577" s="304"/>
      <c r="F1577" s="304"/>
      <c r="G1577" s="304"/>
      <c r="H1577" s="303"/>
      <c r="I1577" s="304"/>
    </row>
    <row r="1578" spans="1:9" x14ac:dyDescent="0.3">
      <c r="A1578" s="302"/>
      <c r="B1578" s="303"/>
      <c r="C1578" s="303"/>
      <c r="D1578" s="304"/>
      <c r="E1578" s="304"/>
      <c r="F1578" s="304"/>
      <c r="G1578" s="304"/>
      <c r="H1578" s="303"/>
      <c r="I1578" s="304"/>
    </row>
    <row r="1579" spans="1:9" x14ac:dyDescent="0.3">
      <c r="A1579" s="302"/>
      <c r="B1579" s="303"/>
      <c r="C1579" s="303"/>
      <c r="D1579" s="304"/>
      <c r="E1579" s="304"/>
      <c r="F1579" s="304"/>
      <c r="G1579" s="304"/>
      <c r="H1579" s="303"/>
      <c r="I1579" s="304"/>
    </row>
    <row r="1580" spans="1:9" x14ac:dyDescent="0.3">
      <c r="A1580" s="302"/>
      <c r="B1580" s="303"/>
      <c r="C1580" s="303"/>
      <c r="D1580" s="304"/>
      <c r="E1580" s="304"/>
      <c r="F1580" s="304"/>
      <c r="G1580" s="304"/>
      <c r="H1580" s="303"/>
      <c r="I1580" s="304"/>
    </row>
    <row r="1581" spans="1:9" x14ac:dyDescent="0.3">
      <c r="A1581" s="302"/>
      <c r="B1581" s="303"/>
      <c r="C1581" s="303"/>
      <c r="D1581" s="304"/>
      <c r="E1581" s="304"/>
      <c r="F1581" s="304"/>
      <c r="G1581" s="304"/>
      <c r="H1581" s="303"/>
      <c r="I1581" s="304"/>
    </row>
    <row r="1582" spans="1:9" x14ac:dyDescent="0.3">
      <c r="A1582" s="302"/>
      <c r="B1582" s="303"/>
      <c r="C1582" s="303"/>
      <c r="D1582" s="304"/>
      <c r="E1582" s="304"/>
      <c r="F1582" s="304"/>
      <c r="G1582" s="304"/>
      <c r="H1582" s="303"/>
      <c r="I1582" s="304"/>
    </row>
    <row r="1583" spans="1:9" x14ac:dyDescent="0.3">
      <c r="A1583" s="302"/>
      <c r="B1583" s="303"/>
      <c r="C1583" s="303"/>
      <c r="D1583" s="304"/>
      <c r="E1583" s="304"/>
      <c r="F1583" s="304"/>
      <c r="G1583" s="304"/>
      <c r="H1583" s="303"/>
      <c r="I1583" s="304"/>
    </row>
    <row r="1584" spans="1:9" x14ac:dyDescent="0.3">
      <c r="A1584" s="302"/>
      <c r="B1584" s="303"/>
      <c r="C1584" s="303"/>
      <c r="D1584" s="304"/>
      <c r="E1584" s="304"/>
      <c r="F1584" s="304"/>
      <c r="G1584" s="304"/>
      <c r="H1584" s="303"/>
      <c r="I1584" s="304"/>
    </row>
    <row r="1585" spans="1:9" x14ac:dyDescent="0.3">
      <c r="A1585" s="302"/>
      <c r="B1585" s="303"/>
      <c r="C1585" s="303"/>
      <c r="D1585" s="304"/>
      <c r="E1585" s="304"/>
      <c r="F1585" s="304"/>
      <c r="G1585" s="304"/>
      <c r="H1585" s="303"/>
      <c r="I1585" s="304"/>
    </row>
    <row r="1586" spans="1:9" x14ac:dyDescent="0.3">
      <c r="A1586" s="302"/>
      <c r="B1586" s="303"/>
      <c r="C1586" s="303"/>
      <c r="D1586" s="304"/>
      <c r="E1586" s="304"/>
      <c r="F1586" s="304"/>
      <c r="G1586" s="304"/>
      <c r="H1586" s="303"/>
      <c r="I1586" s="304"/>
    </row>
    <row r="1587" spans="1:9" x14ac:dyDescent="0.3">
      <c r="A1587" s="302"/>
      <c r="B1587" s="303"/>
      <c r="C1587" s="303"/>
      <c r="D1587" s="304"/>
      <c r="E1587" s="304"/>
      <c r="F1587" s="304"/>
      <c r="G1587" s="304"/>
      <c r="H1587" s="303"/>
      <c r="I1587" s="304"/>
    </row>
    <row r="1588" spans="1:9" x14ac:dyDescent="0.3">
      <c r="A1588" s="302"/>
      <c r="B1588" s="303"/>
      <c r="C1588" s="303"/>
      <c r="D1588" s="304"/>
      <c r="E1588" s="304"/>
      <c r="F1588" s="304"/>
      <c r="G1588" s="304"/>
      <c r="H1588" s="303"/>
      <c r="I1588" s="304"/>
    </row>
    <row r="1589" spans="1:9" x14ac:dyDescent="0.3">
      <c r="A1589" s="302"/>
      <c r="B1589" s="303"/>
      <c r="C1589" s="303"/>
      <c r="D1589" s="304"/>
      <c r="E1589" s="304"/>
      <c r="F1589" s="304"/>
      <c r="G1589" s="304"/>
      <c r="H1589" s="303"/>
      <c r="I1589" s="304"/>
    </row>
    <row r="1590" spans="1:9" x14ac:dyDescent="0.3">
      <c r="A1590" s="302"/>
      <c r="B1590" s="303"/>
      <c r="C1590" s="303"/>
      <c r="D1590" s="304"/>
      <c r="E1590" s="304"/>
      <c r="F1590" s="304"/>
      <c r="G1590" s="304"/>
      <c r="H1590" s="303"/>
      <c r="I1590" s="304"/>
    </row>
    <row r="1591" spans="1:9" x14ac:dyDescent="0.3">
      <c r="A1591" s="302"/>
      <c r="B1591" s="303"/>
      <c r="C1591" s="303"/>
      <c r="D1591" s="304"/>
      <c r="E1591" s="304"/>
      <c r="F1591" s="304"/>
      <c r="G1591" s="304"/>
      <c r="H1591" s="303"/>
      <c r="I1591" s="304"/>
    </row>
    <row r="1592" spans="1:9" x14ac:dyDescent="0.3">
      <c r="A1592" s="302"/>
      <c r="B1592" s="303"/>
      <c r="C1592" s="303"/>
      <c r="D1592" s="304"/>
      <c r="E1592" s="304"/>
      <c r="F1592" s="304"/>
      <c r="G1592" s="304"/>
      <c r="H1592" s="303"/>
      <c r="I1592" s="304"/>
    </row>
    <row r="1593" spans="1:9" x14ac:dyDescent="0.3">
      <c r="A1593" s="302"/>
      <c r="B1593" s="303"/>
      <c r="C1593" s="303"/>
      <c r="D1593" s="304"/>
      <c r="E1593" s="304"/>
      <c r="F1593" s="304"/>
      <c r="G1593" s="304"/>
      <c r="H1593" s="303"/>
      <c r="I1593" s="304"/>
    </row>
    <row r="1594" spans="1:9" x14ac:dyDescent="0.3">
      <c r="A1594" s="302"/>
      <c r="B1594" s="303"/>
      <c r="C1594" s="303"/>
      <c r="D1594" s="304"/>
      <c r="E1594" s="304"/>
      <c r="F1594" s="304"/>
      <c r="G1594" s="304"/>
      <c r="H1594" s="303"/>
      <c r="I1594" s="304"/>
    </row>
    <row r="1595" spans="1:9" x14ac:dyDescent="0.3">
      <c r="A1595" s="302"/>
      <c r="B1595" s="303"/>
      <c r="C1595" s="303"/>
      <c r="D1595" s="304"/>
      <c r="E1595" s="304"/>
      <c r="F1595" s="304"/>
      <c r="G1595" s="304"/>
      <c r="H1595" s="303"/>
      <c r="I1595" s="304"/>
    </row>
    <row r="1596" spans="1:9" x14ac:dyDescent="0.3">
      <c r="A1596" s="302"/>
      <c r="B1596" s="303"/>
      <c r="C1596" s="303"/>
      <c r="D1596" s="304"/>
      <c r="E1596" s="304"/>
      <c r="F1596" s="304"/>
      <c r="G1596" s="304"/>
      <c r="H1596" s="303"/>
      <c r="I1596" s="304"/>
    </row>
    <row r="1597" spans="1:9" x14ac:dyDescent="0.3">
      <c r="A1597" s="302"/>
      <c r="B1597" s="303"/>
      <c r="C1597" s="303"/>
      <c r="D1597" s="304"/>
      <c r="E1597" s="304"/>
      <c r="F1597" s="304"/>
      <c r="G1597" s="304"/>
      <c r="H1597" s="303"/>
      <c r="I1597" s="304"/>
    </row>
    <row r="1598" spans="1:9" x14ac:dyDescent="0.3">
      <c r="A1598" s="302"/>
      <c r="B1598" s="303"/>
      <c r="C1598" s="303"/>
      <c r="D1598" s="304"/>
      <c r="E1598" s="304"/>
      <c r="F1598" s="304"/>
      <c r="G1598" s="304"/>
      <c r="H1598" s="303"/>
      <c r="I1598" s="304"/>
    </row>
    <row r="1599" spans="1:9" x14ac:dyDescent="0.3">
      <c r="A1599" s="302"/>
      <c r="B1599" s="303"/>
      <c r="C1599" s="303"/>
      <c r="D1599" s="304"/>
      <c r="E1599" s="304"/>
      <c r="F1599" s="304"/>
      <c r="G1599" s="304"/>
      <c r="H1599" s="303"/>
      <c r="I1599" s="304"/>
    </row>
    <row r="1600" spans="1:9" x14ac:dyDescent="0.3">
      <c r="A1600" s="302"/>
      <c r="B1600" s="303"/>
      <c r="C1600" s="303"/>
      <c r="D1600" s="304"/>
      <c r="E1600" s="304"/>
      <c r="F1600" s="304"/>
      <c r="G1600" s="304"/>
      <c r="H1600" s="303"/>
      <c r="I1600" s="304"/>
    </row>
    <row r="1601" spans="1:9" x14ac:dyDescent="0.3">
      <c r="A1601" s="302"/>
      <c r="B1601" s="303"/>
      <c r="C1601" s="303"/>
      <c r="D1601" s="304"/>
      <c r="E1601" s="304"/>
      <c r="F1601" s="304"/>
      <c r="G1601" s="304"/>
      <c r="H1601" s="303"/>
      <c r="I1601" s="304"/>
    </row>
    <row r="1602" spans="1:9" x14ac:dyDescent="0.3">
      <c r="A1602" s="302"/>
      <c r="B1602" s="303"/>
      <c r="C1602" s="303"/>
      <c r="D1602" s="304"/>
      <c r="E1602" s="304"/>
      <c r="F1602" s="304"/>
      <c r="G1602" s="304"/>
      <c r="H1602" s="303"/>
      <c r="I1602" s="304"/>
    </row>
    <row r="1603" spans="1:9" x14ac:dyDescent="0.3">
      <c r="A1603" s="302"/>
      <c r="B1603" s="303"/>
      <c r="C1603" s="303"/>
      <c r="D1603" s="304"/>
      <c r="E1603" s="304"/>
      <c r="F1603" s="304"/>
      <c r="G1603" s="304"/>
      <c r="H1603" s="303"/>
      <c r="I1603" s="304"/>
    </row>
    <row r="1604" spans="1:9" x14ac:dyDescent="0.3">
      <c r="A1604" s="302"/>
      <c r="B1604" s="303"/>
      <c r="C1604" s="303"/>
      <c r="D1604" s="304"/>
      <c r="E1604" s="304"/>
      <c r="F1604" s="304"/>
      <c r="G1604" s="304"/>
      <c r="H1604" s="303"/>
      <c r="I1604" s="304"/>
    </row>
    <row r="1605" spans="1:9" x14ac:dyDescent="0.3">
      <c r="A1605" s="302"/>
      <c r="B1605" s="303"/>
      <c r="C1605" s="303"/>
      <c r="D1605" s="304"/>
      <c r="E1605" s="304"/>
      <c r="F1605" s="304"/>
      <c r="G1605" s="304"/>
      <c r="H1605" s="303"/>
      <c r="I1605" s="304"/>
    </row>
    <row r="1606" spans="1:9" x14ac:dyDescent="0.3">
      <c r="A1606" s="302"/>
      <c r="B1606" s="303"/>
      <c r="C1606" s="303"/>
      <c r="D1606" s="304"/>
      <c r="E1606" s="304"/>
      <c r="F1606" s="304"/>
      <c r="G1606" s="304"/>
      <c r="H1606" s="303"/>
      <c r="I1606" s="304"/>
    </row>
    <row r="1607" spans="1:9" x14ac:dyDescent="0.3">
      <c r="A1607" s="302"/>
      <c r="B1607" s="303"/>
      <c r="C1607" s="303"/>
      <c r="D1607" s="304"/>
      <c r="E1607" s="304"/>
      <c r="F1607" s="304"/>
      <c r="G1607" s="304"/>
      <c r="H1607" s="303"/>
      <c r="I1607" s="304"/>
    </row>
    <row r="1608" spans="1:9" x14ac:dyDescent="0.3">
      <c r="A1608" s="302"/>
      <c r="B1608" s="303"/>
      <c r="C1608" s="303"/>
      <c r="D1608" s="304"/>
      <c r="E1608" s="304"/>
      <c r="F1608" s="304"/>
      <c r="G1608" s="304"/>
      <c r="H1608" s="303"/>
      <c r="I1608" s="304"/>
    </row>
    <row r="1609" spans="1:9" x14ac:dyDescent="0.3">
      <c r="A1609" s="302"/>
      <c r="B1609" s="303"/>
      <c r="C1609" s="303"/>
      <c r="D1609" s="304"/>
      <c r="E1609" s="304"/>
      <c r="F1609" s="304"/>
      <c r="G1609" s="304"/>
      <c r="H1609" s="303"/>
      <c r="I1609" s="304"/>
    </row>
    <row r="1610" spans="1:9" x14ac:dyDescent="0.3">
      <c r="A1610" s="302"/>
      <c r="B1610" s="303"/>
      <c r="C1610" s="303"/>
      <c r="D1610" s="304"/>
      <c r="E1610" s="304"/>
      <c r="F1610" s="304"/>
      <c r="G1610" s="304"/>
      <c r="H1610" s="303"/>
      <c r="I1610" s="304"/>
    </row>
    <row r="1611" spans="1:9" x14ac:dyDescent="0.3">
      <c r="A1611" s="302"/>
      <c r="B1611" s="303"/>
      <c r="C1611" s="303"/>
      <c r="D1611" s="304"/>
      <c r="E1611" s="304"/>
      <c r="F1611" s="304"/>
      <c r="G1611" s="304"/>
      <c r="H1611" s="303"/>
      <c r="I1611" s="304"/>
    </row>
    <row r="1612" spans="1:9" x14ac:dyDescent="0.3">
      <c r="A1612" s="302"/>
      <c r="B1612" s="303"/>
      <c r="C1612" s="303"/>
      <c r="D1612" s="304"/>
      <c r="E1612" s="304"/>
      <c r="F1612" s="304"/>
      <c r="G1612" s="304"/>
      <c r="H1612" s="303"/>
      <c r="I1612" s="304"/>
    </row>
    <row r="1613" spans="1:9" x14ac:dyDescent="0.3">
      <c r="A1613" s="302"/>
      <c r="B1613" s="303"/>
      <c r="C1613" s="303"/>
      <c r="D1613" s="304"/>
      <c r="E1613" s="304"/>
      <c r="F1613" s="304"/>
      <c r="G1613" s="304"/>
      <c r="H1613" s="303"/>
      <c r="I1613" s="304"/>
    </row>
    <row r="1614" spans="1:9" x14ac:dyDescent="0.3">
      <c r="A1614" s="302"/>
      <c r="B1614" s="303"/>
      <c r="C1614" s="303"/>
      <c r="D1614" s="304"/>
      <c r="E1614" s="304"/>
      <c r="F1614" s="304"/>
      <c r="G1614" s="304"/>
      <c r="H1614" s="303"/>
      <c r="I1614" s="304"/>
    </row>
    <row r="1615" spans="1:9" x14ac:dyDescent="0.3">
      <c r="A1615" s="302"/>
      <c r="B1615" s="303"/>
      <c r="C1615" s="303"/>
      <c r="D1615" s="304"/>
      <c r="E1615" s="304"/>
      <c r="F1615" s="304"/>
      <c r="G1615" s="304"/>
      <c r="H1615" s="303"/>
      <c r="I1615" s="304"/>
    </row>
    <row r="1616" spans="1:9" x14ac:dyDescent="0.3">
      <c r="A1616" s="302"/>
      <c r="B1616" s="303"/>
      <c r="C1616" s="303"/>
      <c r="D1616" s="304"/>
      <c r="E1616" s="304"/>
      <c r="F1616" s="304"/>
      <c r="G1616" s="304"/>
      <c r="H1616" s="303"/>
      <c r="I1616" s="304"/>
    </row>
    <row r="1617" spans="1:9" x14ac:dyDescent="0.3">
      <c r="A1617" s="302"/>
      <c r="B1617" s="303"/>
      <c r="C1617" s="303"/>
      <c r="D1617" s="304"/>
      <c r="E1617" s="304"/>
      <c r="F1617" s="304"/>
      <c r="G1617" s="304"/>
      <c r="H1617" s="303"/>
      <c r="I1617" s="304"/>
    </row>
    <row r="1618" spans="1:9" x14ac:dyDescent="0.3">
      <c r="A1618" s="302"/>
      <c r="B1618" s="303"/>
      <c r="C1618" s="303"/>
      <c r="D1618" s="304"/>
      <c r="E1618" s="304"/>
      <c r="F1618" s="304"/>
      <c r="G1618" s="304"/>
      <c r="H1618" s="303"/>
      <c r="I1618" s="304"/>
    </row>
    <row r="1619" spans="1:9" x14ac:dyDescent="0.3">
      <c r="A1619" s="302"/>
      <c r="B1619" s="303"/>
      <c r="C1619" s="303"/>
      <c r="D1619" s="304"/>
      <c r="E1619" s="304"/>
      <c r="F1619" s="304"/>
      <c r="G1619" s="304"/>
      <c r="H1619" s="303"/>
      <c r="I1619" s="304"/>
    </row>
    <row r="1620" spans="1:9" x14ac:dyDescent="0.3">
      <c r="A1620" s="302"/>
      <c r="B1620" s="303"/>
      <c r="C1620" s="303"/>
      <c r="D1620" s="304"/>
      <c r="E1620" s="304"/>
      <c r="F1620" s="304"/>
      <c r="G1620" s="304"/>
      <c r="H1620" s="303"/>
      <c r="I1620" s="304"/>
    </row>
    <row r="1621" spans="1:9" x14ac:dyDescent="0.3">
      <c r="A1621" s="302"/>
      <c r="B1621" s="303"/>
      <c r="C1621" s="303"/>
      <c r="D1621" s="304"/>
      <c r="E1621" s="304"/>
      <c r="F1621" s="304"/>
      <c r="G1621" s="304"/>
      <c r="H1621" s="303"/>
      <c r="I1621" s="304"/>
    </row>
    <row r="1622" spans="1:9" x14ac:dyDescent="0.3">
      <c r="A1622" s="302"/>
      <c r="B1622" s="303"/>
      <c r="C1622" s="303"/>
      <c r="D1622" s="304"/>
      <c r="E1622" s="304"/>
      <c r="F1622" s="304"/>
      <c r="G1622" s="304"/>
      <c r="H1622" s="303"/>
      <c r="I1622" s="304"/>
    </row>
    <row r="1623" spans="1:9" x14ac:dyDescent="0.3">
      <c r="A1623" s="302"/>
      <c r="B1623" s="303"/>
      <c r="C1623" s="303"/>
      <c r="D1623" s="304"/>
      <c r="E1623" s="304"/>
      <c r="F1623" s="304"/>
      <c r="G1623" s="304"/>
      <c r="H1623" s="303"/>
      <c r="I1623" s="304"/>
    </row>
    <row r="1624" spans="1:9" x14ac:dyDescent="0.3">
      <c r="A1624" s="302"/>
      <c r="B1624" s="303"/>
      <c r="C1624" s="303"/>
      <c r="D1624" s="304"/>
      <c r="E1624" s="304"/>
      <c r="F1624" s="304"/>
      <c r="G1624" s="304"/>
      <c r="H1624" s="303"/>
      <c r="I1624" s="304"/>
    </row>
    <row r="1625" spans="1:9" x14ac:dyDescent="0.3">
      <c r="A1625" s="302"/>
      <c r="B1625" s="303"/>
      <c r="C1625" s="303"/>
      <c r="D1625" s="304"/>
      <c r="E1625" s="304"/>
      <c r="F1625" s="304"/>
      <c r="G1625" s="304"/>
      <c r="H1625" s="303"/>
      <c r="I1625" s="304"/>
    </row>
    <row r="1626" spans="1:9" x14ac:dyDescent="0.3">
      <c r="A1626" s="302"/>
      <c r="B1626" s="303"/>
      <c r="C1626" s="303"/>
      <c r="D1626" s="304"/>
      <c r="E1626" s="304"/>
      <c r="F1626" s="304"/>
      <c r="G1626" s="304"/>
      <c r="H1626" s="303"/>
      <c r="I1626" s="304"/>
    </row>
    <row r="1627" spans="1:9" x14ac:dyDescent="0.3">
      <c r="A1627" s="302"/>
      <c r="B1627" s="303"/>
      <c r="C1627" s="303"/>
      <c r="D1627" s="304"/>
      <c r="E1627" s="304"/>
      <c r="F1627" s="304"/>
      <c r="G1627" s="304"/>
      <c r="H1627" s="303"/>
      <c r="I1627" s="304"/>
    </row>
    <row r="1628" spans="1:9" x14ac:dyDescent="0.3">
      <c r="A1628" s="302"/>
      <c r="B1628" s="303"/>
      <c r="C1628" s="303"/>
      <c r="D1628" s="304"/>
      <c r="E1628" s="304"/>
      <c r="F1628" s="304"/>
      <c r="G1628" s="304"/>
      <c r="H1628" s="303"/>
      <c r="I1628" s="304"/>
    </row>
    <row r="1629" spans="1:9" x14ac:dyDescent="0.3">
      <c r="A1629" s="302"/>
      <c r="B1629" s="303"/>
      <c r="C1629" s="303"/>
      <c r="D1629" s="304"/>
      <c r="E1629" s="304"/>
      <c r="F1629" s="304"/>
      <c r="G1629" s="304"/>
      <c r="H1629" s="303"/>
      <c r="I1629" s="304"/>
    </row>
    <row r="1630" spans="1:9" x14ac:dyDescent="0.3">
      <c r="A1630" s="302"/>
      <c r="B1630" s="303"/>
      <c r="C1630" s="303"/>
      <c r="D1630" s="304"/>
      <c r="E1630" s="304"/>
      <c r="F1630" s="304"/>
      <c r="G1630" s="304"/>
      <c r="H1630" s="303"/>
      <c r="I1630" s="304"/>
    </row>
    <row r="1631" spans="1:9" x14ac:dyDescent="0.3">
      <c r="A1631" s="302"/>
      <c r="B1631" s="303"/>
      <c r="C1631" s="303"/>
      <c r="D1631" s="304"/>
      <c r="E1631" s="304"/>
      <c r="F1631" s="304"/>
      <c r="G1631" s="304"/>
      <c r="H1631" s="303"/>
      <c r="I1631" s="304"/>
    </row>
    <row r="1632" spans="1:9" x14ac:dyDescent="0.3">
      <c r="A1632" s="302"/>
      <c r="B1632" s="303"/>
      <c r="C1632" s="303"/>
      <c r="D1632" s="304"/>
      <c r="E1632" s="304"/>
      <c r="F1632" s="304"/>
      <c r="G1632" s="304"/>
      <c r="H1632" s="303"/>
      <c r="I1632" s="304"/>
    </row>
    <row r="1633" spans="1:9" x14ac:dyDescent="0.3">
      <c r="A1633" s="302"/>
      <c r="B1633" s="303"/>
      <c r="C1633" s="303"/>
      <c r="D1633" s="304"/>
      <c r="E1633" s="304"/>
      <c r="F1633" s="304"/>
      <c r="G1633" s="304"/>
      <c r="H1633" s="303"/>
      <c r="I1633" s="304"/>
    </row>
    <row r="1634" spans="1:9" x14ac:dyDescent="0.3">
      <c r="A1634" s="302"/>
      <c r="B1634" s="303"/>
      <c r="C1634" s="303"/>
      <c r="D1634" s="304"/>
      <c r="E1634" s="304"/>
      <c r="F1634" s="304"/>
      <c r="G1634" s="304"/>
      <c r="H1634" s="303"/>
      <c r="I1634" s="304"/>
    </row>
    <row r="1635" spans="1:9" x14ac:dyDescent="0.3">
      <c r="A1635" s="302"/>
      <c r="B1635" s="303"/>
      <c r="C1635" s="303"/>
      <c r="D1635" s="304"/>
      <c r="E1635" s="304"/>
      <c r="F1635" s="304"/>
      <c r="G1635" s="304"/>
      <c r="H1635" s="303"/>
      <c r="I1635" s="304"/>
    </row>
    <row r="1636" spans="1:9" x14ac:dyDescent="0.3">
      <c r="A1636" s="302"/>
      <c r="B1636" s="303"/>
      <c r="C1636" s="303"/>
      <c r="D1636" s="304"/>
      <c r="E1636" s="304"/>
      <c r="F1636" s="304"/>
      <c r="G1636" s="304"/>
      <c r="H1636" s="303"/>
      <c r="I1636" s="304"/>
    </row>
    <row r="1637" spans="1:9" x14ac:dyDescent="0.3">
      <c r="A1637" s="302"/>
      <c r="B1637" s="303"/>
      <c r="C1637" s="303"/>
      <c r="D1637" s="304"/>
      <c r="E1637" s="304"/>
      <c r="F1637" s="304"/>
      <c r="G1637" s="304"/>
      <c r="H1637" s="303"/>
      <c r="I1637" s="304"/>
    </row>
    <row r="1638" spans="1:9" x14ac:dyDescent="0.3">
      <c r="A1638" s="302"/>
      <c r="B1638" s="303"/>
      <c r="C1638" s="303"/>
      <c r="D1638" s="304"/>
      <c r="E1638" s="304"/>
      <c r="F1638" s="304"/>
      <c r="G1638" s="304"/>
      <c r="H1638" s="303"/>
      <c r="I1638" s="304"/>
    </row>
    <row r="1639" spans="1:9" x14ac:dyDescent="0.3">
      <c r="A1639" s="302"/>
      <c r="B1639" s="303"/>
      <c r="C1639" s="303"/>
      <c r="D1639" s="304"/>
      <c r="E1639" s="304"/>
      <c r="F1639" s="304"/>
      <c r="G1639" s="304"/>
      <c r="H1639" s="303"/>
      <c r="I1639" s="304"/>
    </row>
    <row r="1640" spans="1:9" x14ac:dyDescent="0.3">
      <c r="A1640" s="302"/>
      <c r="B1640" s="303"/>
      <c r="C1640" s="303"/>
      <c r="D1640" s="304"/>
      <c r="E1640" s="304"/>
      <c r="F1640" s="304"/>
      <c r="G1640" s="304"/>
      <c r="H1640" s="303"/>
      <c r="I1640" s="304"/>
    </row>
    <row r="1641" spans="1:9" x14ac:dyDescent="0.3">
      <c r="A1641" s="302"/>
      <c r="B1641" s="303"/>
      <c r="C1641" s="303"/>
      <c r="D1641" s="304"/>
      <c r="E1641" s="304"/>
      <c r="F1641" s="304"/>
      <c r="G1641" s="304"/>
      <c r="H1641" s="303"/>
      <c r="I1641" s="304"/>
    </row>
    <row r="1642" spans="1:9" x14ac:dyDescent="0.3">
      <c r="A1642" s="302"/>
      <c r="B1642" s="303"/>
      <c r="C1642" s="303"/>
      <c r="D1642" s="304"/>
      <c r="E1642" s="304"/>
      <c r="F1642" s="304"/>
      <c r="G1642" s="304"/>
      <c r="H1642" s="303"/>
      <c r="I1642" s="304"/>
    </row>
    <row r="1643" spans="1:9" x14ac:dyDescent="0.3">
      <c r="A1643" s="302"/>
      <c r="B1643" s="303"/>
      <c r="C1643" s="303"/>
      <c r="D1643" s="304"/>
      <c r="E1643" s="304"/>
      <c r="F1643" s="304"/>
      <c r="G1643" s="304"/>
      <c r="H1643" s="303"/>
      <c r="I1643" s="304"/>
    </row>
    <row r="1644" spans="1:9" x14ac:dyDescent="0.3">
      <c r="A1644" s="302"/>
      <c r="B1644" s="303"/>
      <c r="C1644" s="303"/>
      <c r="D1644" s="304"/>
      <c r="E1644" s="304"/>
      <c r="F1644" s="304"/>
      <c r="G1644" s="304"/>
      <c r="H1644" s="303"/>
      <c r="I1644" s="304"/>
    </row>
    <row r="1645" spans="1:9" x14ac:dyDescent="0.3">
      <c r="A1645" s="302"/>
      <c r="B1645" s="303"/>
      <c r="C1645" s="303"/>
      <c r="D1645" s="304"/>
      <c r="E1645" s="304"/>
      <c r="F1645" s="304"/>
      <c r="G1645" s="304"/>
      <c r="H1645" s="303"/>
      <c r="I1645" s="304"/>
    </row>
    <row r="1646" spans="1:9" x14ac:dyDescent="0.3">
      <c r="A1646" s="302"/>
      <c r="B1646" s="303"/>
      <c r="C1646" s="303"/>
      <c r="D1646" s="304"/>
      <c r="E1646" s="304"/>
      <c r="F1646" s="304"/>
      <c r="G1646" s="304"/>
      <c r="H1646" s="303"/>
      <c r="I1646" s="304"/>
    </row>
    <row r="1647" spans="1:9" x14ac:dyDescent="0.3">
      <c r="A1647" s="302"/>
      <c r="B1647" s="303"/>
      <c r="C1647" s="303"/>
      <c r="D1647" s="304"/>
      <c r="E1647" s="304"/>
      <c r="F1647" s="304"/>
      <c r="G1647" s="304"/>
      <c r="H1647" s="303"/>
      <c r="I1647" s="304"/>
    </row>
    <row r="1648" spans="1:9" x14ac:dyDescent="0.3">
      <c r="A1648" s="302"/>
      <c r="B1648" s="303"/>
      <c r="C1648" s="303"/>
      <c r="D1648" s="304"/>
      <c r="E1648" s="304"/>
      <c r="F1648" s="304"/>
      <c r="G1648" s="304"/>
      <c r="H1648" s="303"/>
      <c r="I1648" s="304"/>
    </row>
    <row r="1649" spans="1:9" x14ac:dyDescent="0.3">
      <c r="A1649" s="302"/>
      <c r="B1649" s="303"/>
      <c r="C1649" s="303"/>
      <c r="D1649" s="304"/>
      <c r="E1649" s="304"/>
      <c r="F1649" s="304"/>
      <c r="G1649" s="304"/>
      <c r="H1649" s="303"/>
      <c r="I1649" s="304"/>
    </row>
    <row r="1650" spans="1:9" x14ac:dyDescent="0.3">
      <c r="A1650" s="302"/>
      <c r="B1650" s="303"/>
      <c r="C1650" s="303"/>
      <c r="D1650" s="304"/>
      <c r="E1650" s="304"/>
      <c r="F1650" s="304"/>
      <c r="G1650" s="304"/>
      <c r="H1650" s="303"/>
      <c r="I1650" s="304"/>
    </row>
    <row r="1651" spans="1:9" x14ac:dyDescent="0.3">
      <c r="A1651" s="302"/>
      <c r="B1651" s="303"/>
      <c r="C1651" s="303"/>
      <c r="D1651" s="304"/>
      <c r="E1651" s="304"/>
      <c r="F1651" s="304"/>
      <c r="G1651" s="304"/>
      <c r="H1651" s="303"/>
      <c r="I1651" s="304"/>
    </row>
    <row r="1652" spans="1:9" x14ac:dyDescent="0.3">
      <c r="A1652" s="302"/>
      <c r="B1652" s="303"/>
      <c r="C1652" s="303"/>
      <c r="D1652" s="304"/>
      <c r="E1652" s="304"/>
      <c r="F1652" s="304"/>
      <c r="G1652" s="304"/>
      <c r="H1652" s="303"/>
      <c r="I1652" s="304"/>
    </row>
    <row r="1653" spans="1:9" x14ac:dyDescent="0.3">
      <c r="A1653" s="302"/>
      <c r="B1653" s="303"/>
      <c r="C1653" s="303"/>
      <c r="D1653" s="304"/>
      <c r="E1653" s="304"/>
      <c r="F1653" s="304"/>
      <c r="G1653" s="304"/>
      <c r="H1653" s="303"/>
      <c r="I1653" s="304"/>
    </row>
    <row r="1654" spans="1:9" x14ac:dyDescent="0.3">
      <c r="A1654" s="302"/>
      <c r="B1654" s="303"/>
      <c r="C1654" s="303"/>
      <c r="D1654" s="304"/>
      <c r="E1654" s="304"/>
      <c r="F1654" s="304"/>
      <c r="G1654" s="304"/>
      <c r="H1654" s="303"/>
      <c r="I1654" s="304"/>
    </row>
    <row r="1655" spans="1:9" x14ac:dyDescent="0.3">
      <c r="A1655" s="302"/>
      <c r="B1655" s="303"/>
      <c r="C1655" s="303"/>
      <c r="D1655" s="304"/>
      <c r="E1655" s="304"/>
      <c r="F1655" s="304"/>
      <c r="G1655" s="304"/>
      <c r="H1655" s="303"/>
      <c r="I1655" s="304"/>
    </row>
    <row r="1656" spans="1:9" x14ac:dyDescent="0.3">
      <c r="A1656" s="302"/>
      <c r="B1656" s="303"/>
      <c r="C1656" s="303"/>
      <c r="D1656" s="304"/>
      <c r="E1656" s="304"/>
      <c r="F1656" s="304"/>
      <c r="G1656" s="304"/>
      <c r="H1656" s="303"/>
      <c r="I1656" s="304"/>
    </row>
    <row r="1657" spans="1:9" x14ac:dyDescent="0.3">
      <c r="A1657" s="302"/>
      <c r="B1657" s="303"/>
      <c r="C1657" s="303"/>
      <c r="D1657" s="304"/>
      <c r="E1657" s="304"/>
      <c r="F1657" s="304"/>
      <c r="G1657" s="304"/>
      <c r="H1657" s="303"/>
      <c r="I1657" s="304"/>
    </row>
    <row r="1658" spans="1:9" x14ac:dyDescent="0.3">
      <c r="A1658" s="302"/>
      <c r="B1658" s="303"/>
      <c r="C1658" s="303"/>
      <c r="D1658" s="304"/>
      <c r="E1658" s="304"/>
      <c r="F1658" s="304"/>
      <c r="G1658" s="304"/>
      <c r="H1658" s="303"/>
      <c r="I1658" s="304"/>
    </row>
    <row r="1659" spans="1:9" x14ac:dyDescent="0.3">
      <c r="A1659" s="302"/>
      <c r="B1659" s="303"/>
      <c r="C1659" s="303"/>
      <c r="D1659" s="304"/>
      <c r="E1659" s="304"/>
      <c r="F1659" s="304"/>
      <c r="G1659" s="304"/>
      <c r="H1659" s="303"/>
      <c r="I1659" s="304"/>
    </row>
    <row r="1660" spans="1:9" x14ac:dyDescent="0.3">
      <c r="A1660" s="302"/>
      <c r="B1660" s="303"/>
      <c r="C1660" s="303"/>
      <c r="D1660" s="304"/>
      <c r="E1660" s="304"/>
      <c r="F1660" s="304"/>
      <c r="G1660" s="304"/>
      <c r="H1660" s="303"/>
      <c r="I1660" s="304"/>
    </row>
    <row r="1661" spans="1:9" x14ac:dyDescent="0.3">
      <c r="A1661" s="302"/>
      <c r="B1661" s="303"/>
      <c r="C1661" s="303"/>
      <c r="D1661" s="304"/>
      <c r="E1661" s="304"/>
      <c r="F1661" s="304"/>
      <c r="G1661" s="304"/>
      <c r="H1661" s="303"/>
      <c r="I1661" s="304"/>
    </row>
    <row r="1662" spans="1:9" x14ac:dyDescent="0.3">
      <c r="A1662" s="302"/>
      <c r="B1662" s="303"/>
      <c r="C1662" s="303"/>
      <c r="D1662" s="304"/>
      <c r="E1662" s="304"/>
      <c r="F1662" s="304"/>
      <c r="G1662" s="304"/>
      <c r="H1662" s="303"/>
      <c r="I1662" s="304"/>
    </row>
    <row r="1663" spans="1:9" x14ac:dyDescent="0.3">
      <c r="A1663" s="302"/>
      <c r="B1663" s="303"/>
      <c r="C1663" s="303"/>
      <c r="D1663" s="304"/>
      <c r="E1663" s="304"/>
      <c r="F1663" s="304"/>
      <c r="G1663" s="304"/>
      <c r="H1663" s="303"/>
      <c r="I1663" s="304"/>
    </row>
    <row r="1664" spans="1:9" x14ac:dyDescent="0.3">
      <c r="A1664" s="302"/>
      <c r="B1664" s="303"/>
      <c r="C1664" s="303"/>
      <c r="D1664" s="304"/>
      <c r="E1664" s="304"/>
      <c r="F1664" s="304"/>
      <c r="G1664" s="304"/>
      <c r="H1664" s="303"/>
      <c r="I1664" s="304"/>
    </row>
    <row r="1665" spans="1:9" x14ac:dyDescent="0.3">
      <c r="A1665" s="302"/>
      <c r="B1665" s="303"/>
      <c r="C1665" s="303"/>
      <c r="D1665" s="304"/>
      <c r="E1665" s="304"/>
      <c r="F1665" s="304"/>
      <c r="G1665" s="304"/>
      <c r="H1665" s="303"/>
      <c r="I1665" s="304"/>
    </row>
    <row r="1666" spans="1:9" x14ac:dyDescent="0.3">
      <c r="A1666" s="302"/>
      <c r="B1666" s="303"/>
      <c r="C1666" s="303"/>
      <c r="D1666" s="304"/>
      <c r="E1666" s="304"/>
      <c r="F1666" s="304"/>
      <c r="G1666" s="304"/>
      <c r="H1666" s="303"/>
      <c r="I1666" s="304"/>
    </row>
    <row r="1667" spans="1:9" x14ac:dyDescent="0.3">
      <c r="A1667" s="302"/>
      <c r="B1667" s="303"/>
      <c r="C1667" s="303"/>
      <c r="D1667" s="304"/>
      <c r="E1667" s="304"/>
      <c r="F1667" s="304"/>
      <c r="G1667" s="304"/>
      <c r="H1667" s="303"/>
      <c r="I1667" s="304"/>
    </row>
    <row r="1668" spans="1:9" x14ac:dyDescent="0.3">
      <c r="A1668" s="302"/>
      <c r="B1668" s="303"/>
      <c r="C1668" s="303"/>
      <c r="D1668" s="304"/>
      <c r="E1668" s="304"/>
      <c r="F1668" s="304"/>
      <c r="G1668" s="304"/>
      <c r="H1668" s="303"/>
      <c r="I1668" s="304"/>
    </row>
    <row r="1669" spans="1:9" x14ac:dyDescent="0.3">
      <c r="A1669" s="302"/>
      <c r="B1669" s="303"/>
      <c r="C1669" s="303"/>
      <c r="D1669" s="304"/>
      <c r="E1669" s="304"/>
      <c r="F1669" s="304"/>
      <c r="G1669" s="304"/>
      <c r="H1669" s="303"/>
      <c r="I1669" s="304"/>
    </row>
    <row r="1670" spans="1:9" x14ac:dyDescent="0.3">
      <c r="A1670" s="302"/>
      <c r="B1670" s="303"/>
      <c r="C1670" s="303"/>
      <c r="D1670" s="304"/>
      <c r="E1670" s="304"/>
      <c r="F1670" s="304"/>
      <c r="G1670" s="304"/>
      <c r="H1670" s="303"/>
      <c r="I1670" s="304"/>
    </row>
    <row r="1671" spans="1:9" x14ac:dyDescent="0.3">
      <c r="A1671" s="302"/>
      <c r="B1671" s="303"/>
      <c r="C1671" s="303"/>
      <c r="D1671" s="304"/>
      <c r="E1671" s="304"/>
      <c r="F1671" s="304"/>
      <c r="G1671" s="304"/>
      <c r="H1671" s="303"/>
      <c r="I1671" s="304"/>
    </row>
    <row r="1672" spans="1:9" x14ac:dyDescent="0.3">
      <c r="A1672" s="302"/>
      <c r="B1672" s="303"/>
      <c r="C1672" s="303"/>
      <c r="D1672" s="304"/>
      <c r="E1672" s="304"/>
      <c r="F1672" s="304"/>
      <c r="G1672" s="304"/>
      <c r="H1672" s="303"/>
      <c r="I1672" s="304"/>
    </row>
    <row r="1673" spans="1:9" x14ac:dyDescent="0.3">
      <c r="A1673" s="302"/>
      <c r="B1673" s="303"/>
      <c r="C1673" s="303"/>
      <c r="D1673" s="304"/>
      <c r="E1673" s="304"/>
      <c r="F1673" s="304"/>
      <c r="G1673" s="304"/>
      <c r="H1673" s="303"/>
      <c r="I1673" s="304"/>
    </row>
    <row r="1674" spans="1:9" x14ac:dyDescent="0.3">
      <c r="A1674" s="302"/>
      <c r="B1674" s="303"/>
      <c r="C1674" s="303"/>
      <c r="D1674" s="304"/>
      <c r="E1674" s="304"/>
      <c r="F1674" s="304"/>
      <c r="G1674" s="304"/>
      <c r="H1674" s="303"/>
      <c r="I1674" s="304"/>
    </row>
    <row r="1675" spans="1:9" x14ac:dyDescent="0.3">
      <c r="A1675" s="302"/>
      <c r="B1675" s="303"/>
      <c r="C1675" s="303"/>
      <c r="D1675" s="304"/>
      <c r="E1675" s="304"/>
      <c r="F1675" s="304"/>
      <c r="G1675" s="304"/>
      <c r="H1675" s="303"/>
      <c r="I1675" s="304"/>
    </row>
    <row r="1676" spans="1:9" x14ac:dyDescent="0.3">
      <c r="A1676" s="302"/>
      <c r="B1676" s="303"/>
      <c r="C1676" s="303"/>
      <c r="D1676" s="304"/>
      <c r="E1676" s="304"/>
      <c r="F1676" s="304"/>
      <c r="G1676" s="304"/>
      <c r="H1676" s="303"/>
      <c r="I1676" s="304"/>
    </row>
    <row r="1677" spans="1:9" x14ac:dyDescent="0.3">
      <c r="A1677" s="302"/>
      <c r="B1677" s="303"/>
      <c r="C1677" s="303"/>
      <c r="D1677" s="304"/>
      <c r="E1677" s="304"/>
      <c r="F1677" s="304"/>
      <c r="G1677" s="304"/>
      <c r="H1677" s="303"/>
      <c r="I1677" s="304"/>
    </row>
    <row r="1678" spans="1:9" x14ac:dyDescent="0.3">
      <c r="A1678" s="302"/>
      <c r="B1678" s="303"/>
      <c r="C1678" s="303"/>
      <c r="D1678" s="304"/>
      <c r="E1678" s="304"/>
      <c r="F1678" s="304"/>
      <c r="G1678" s="304"/>
      <c r="H1678" s="303"/>
      <c r="I1678" s="304"/>
    </row>
    <row r="1679" spans="1:9" x14ac:dyDescent="0.3">
      <c r="A1679" s="302"/>
      <c r="B1679" s="303"/>
      <c r="C1679" s="303"/>
      <c r="D1679" s="304"/>
      <c r="E1679" s="304"/>
      <c r="F1679" s="304"/>
      <c r="G1679" s="304"/>
      <c r="H1679" s="303"/>
      <c r="I1679" s="304"/>
    </row>
    <row r="1680" spans="1:9" x14ac:dyDescent="0.3">
      <c r="A1680" s="302"/>
      <c r="B1680" s="303"/>
      <c r="C1680" s="303"/>
      <c r="D1680" s="304"/>
      <c r="E1680" s="304"/>
      <c r="F1680" s="304"/>
      <c r="G1680" s="304"/>
      <c r="H1680" s="303"/>
      <c r="I1680" s="304"/>
    </row>
    <row r="1681" spans="1:9" x14ac:dyDescent="0.3">
      <c r="A1681" s="302"/>
      <c r="B1681" s="303"/>
      <c r="C1681" s="303"/>
      <c r="D1681" s="304"/>
      <c r="E1681" s="304"/>
      <c r="F1681" s="304"/>
      <c r="G1681" s="304"/>
      <c r="H1681" s="303"/>
      <c r="I1681" s="304"/>
    </row>
    <row r="1682" spans="1:9" x14ac:dyDescent="0.3">
      <c r="A1682" s="302"/>
      <c r="B1682" s="303"/>
      <c r="C1682" s="303"/>
      <c r="D1682" s="304"/>
      <c r="E1682" s="304"/>
      <c r="F1682" s="304"/>
      <c r="G1682" s="304"/>
      <c r="H1682" s="303"/>
      <c r="I1682" s="304"/>
    </row>
    <row r="1683" spans="1:9" x14ac:dyDescent="0.3">
      <c r="A1683" s="302"/>
      <c r="B1683" s="303"/>
      <c r="C1683" s="303"/>
      <c r="D1683" s="304"/>
      <c r="E1683" s="304"/>
      <c r="F1683" s="304"/>
      <c r="G1683" s="304"/>
      <c r="H1683" s="303"/>
      <c r="I1683" s="304"/>
    </row>
    <row r="1684" spans="1:9" x14ac:dyDescent="0.3">
      <c r="A1684" s="302"/>
      <c r="B1684" s="303"/>
      <c r="C1684" s="303"/>
      <c r="D1684" s="304"/>
      <c r="E1684" s="304"/>
      <c r="F1684" s="304"/>
      <c r="G1684" s="304"/>
      <c r="H1684" s="303"/>
      <c r="I1684" s="304"/>
    </row>
    <row r="1685" spans="1:9" x14ac:dyDescent="0.3">
      <c r="A1685" s="302"/>
      <c r="B1685" s="303"/>
      <c r="C1685" s="303"/>
      <c r="D1685" s="304"/>
      <c r="E1685" s="304"/>
      <c r="F1685" s="304"/>
      <c r="G1685" s="304"/>
      <c r="H1685" s="303"/>
      <c r="I1685" s="304"/>
    </row>
    <row r="1686" spans="1:9" x14ac:dyDescent="0.3">
      <c r="A1686" s="302"/>
      <c r="B1686" s="303"/>
      <c r="C1686" s="303"/>
      <c r="D1686" s="304"/>
      <c r="E1686" s="304"/>
      <c r="F1686" s="304"/>
      <c r="G1686" s="304"/>
      <c r="H1686" s="303"/>
      <c r="I1686" s="304"/>
    </row>
    <row r="1687" spans="1:9" x14ac:dyDescent="0.3">
      <c r="A1687" s="302"/>
      <c r="B1687" s="303"/>
      <c r="C1687" s="303"/>
      <c r="D1687" s="304"/>
      <c r="E1687" s="304"/>
      <c r="F1687" s="304"/>
      <c r="G1687" s="304"/>
      <c r="H1687" s="303"/>
      <c r="I1687" s="304"/>
    </row>
    <row r="1688" spans="1:9" x14ac:dyDescent="0.3">
      <c r="A1688" s="302"/>
      <c r="B1688" s="303"/>
      <c r="C1688" s="303"/>
      <c r="D1688" s="304"/>
      <c r="E1688" s="304"/>
      <c r="F1688" s="304"/>
      <c r="G1688" s="304"/>
      <c r="H1688" s="303"/>
      <c r="I1688" s="304"/>
    </row>
    <row r="1689" spans="1:9" x14ac:dyDescent="0.3">
      <c r="A1689" s="302"/>
      <c r="B1689" s="303"/>
      <c r="C1689" s="303"/>
      <c r="D1689" s="304"/>
      <c r="E1689" s="304"/>
      <c r="F1689" s="304"/>
      <c r="G1689" s="304"/>
      <c r="H1689" s="303"/>
      <c r="I1689" s="304"/>
    </row>
    <row r="1690" spans="1:9" x14ac:dyDescent="0.3">
      <c r="A1690" s="302"/>
      <c r="B1690" s="303"/>
      <c r="C1690" s="303"/>
      <c r="D1690" s="304"/>
      <c r="E1690" s="304"/>
      <c r="F1690" s="304"/>
      <c r="G1690" s="304"/>
      <c r="H1690" s="303"/>
      <c r="I1690" s="304"/>
    </row>
    <row r="1691" spans="1:9" x14ac:dyDescent="0.3">
      <c r="A1691" s="302"/>
      <c r="B1691" s="303"/>
      <c r="C1691" s="303"/>
      <c r="D1691" s="304"/>
      <c r="E1691" s="304"/>
      <c r="F1691" s="304"/>
      <c r="G1691" s="304"/>
      <c r="H1691" s="303"/>
      <c r="I1691" s="304"/>
    </row>
    <row r="1692" spans="1:9" x14ac:dyDescent="0.3">
      <c r="A1692" s="302"/>
      <c r="B1692" s="303"/>
      <c r="C1692" s="303"/>
      <c r="D1692" s="304"/>
      <c r="E1692" s="304"/>
      <c r="F1692" s="304"/>
      <c r="G1692" s="304"/>
      <c r="H1692" s="303"/>
      <c r="I1692" s="304"/>
    </row>
    <row r="1693" spans="1:9" x14ac:dyDescent="0.3">
      <c r="A1693" s="302"/>
      <c r="B1693" s="303"/>
      <c r="C1693" s="303"/>
      <c r="D1693" s="304"/>
      <c r="E1693" s="304"/>
      <c r="F1693" s="304"/>
      <c r="G1693" s="304"/>
      <c r="H1693" s="303"/>
      <c r="I1693" s="304"/>
    </row>
    <row r="1694" spans="1:9" x14ac:dyDescent="0.3">
      <c r="A1694" s="302"/>
      <c r="B1694" s="303"/>
      <c r="C1694" s="303"/>
      <c r="D1694" s="304"/>
      <c r="E1694" s="304"/>
      <c r="F1694" s="304"/>
      <c r="G1694" s="304"/>
      <c r="H1694" s="303"/>
      <c r="I1694" s="304"/>
    </row>
    <row r="1695" spans="1:9" x14ac:dyDescent="0.3">
      <c r="A1695" s="302"/>
      <c r="B1695" s="303"/>
      <c r="C1695" s="303"/>
      <c r="D1695" s="304"/>
      <c r="E1695" s="304"/>
      <c r="F1695" s="304"/>
      <c r="G1695" s="304"/>
      <c r="H1695" s="303"/>
      <c r="I1695" s="304"/>
    </row>
    <row r="1696" spans="1:9" x14ac:dyDescent="0.3">
      <c r="A1696" s="302"/>
      <c r="B1696" s="303"/>
      <c r="C1696" s="303"/>
      <c r="D1696" s="304"/>
      <c r="E1696" s="304"/>
      <c r="F1696" s="304"/>
      <c r="G1696" s="304"/>
      <c r="H1696" s="303"/>
      <c r="I1696" s="304"/>
    </row>
    <row r="1697" spans="1:9" x14ac:dyDescent="0.3">
      <c r="A1697" s="302"/>
      <c r="B1697" s="303"/>
      <c r="C1697" s="303"/>
      <c r="D1697" s="304"/>
      <c r="E1697" s="304"/>
      <c r="F1697" s="304"/>
      <c r="G1697" s="304"/>
      <c r="H1697" s="303"/>
      <c r="I1697" s="304"/>
    </row>
    <row r="1698" spans="1:9" x14ac:dyDescent="0.3">
      <c r="A1698" s="302"/>
      <c r="B1698" s="303"/>
      <c r="C1698" s="303"/>
      <c r="D1698" s="304"/>
      <c r="E1698" s="304"/>
      <c r="F1698" s="304"/>
      <c r="G1698" s="304"/>
      <c r="H1698" s="303"/>
      <c r="I1698" s="304"/>
    </row>
    <row r="1699" spans="1:9" x14ac:dyDescent="0.3">
      <c r="A1699" s="302"/>
      <c r="B1699" s="303"/>
      <c r="C1699" s="303"/>
      <c r="D1699" s="304"/>
      <c r="E1699" s="304"/>
      <c r="F1699" s="304"/>
      <c r="G1699" s="304"/>
      <c r="H1699" s="303"/>
      <c r="I1699" s="304"/>
    </row>
    <row r="1700" spans="1:9" x14ac:dyDescent="0.3">
      <c r="A1700" s="302"/>
      <c r="B1700" s="303"/>
      <c r="C1700" s="303"/>
      <c r="D1700" s="304"/>
      <c r="E1700" s="304"/>
      <c r="F1700" s="304"/>
      <c r="G1700" s="304"/>
      <c r="H1700" s="303"/>
      <c r="I1700" s="304"/>
    </row>
    <row r="1701" spans="1:9" x14ac:dyDescent="0.3">
      <c r="A1701" s="302"/>
      <c r="B1701" s="303"/>
      <c r="C1701" s="303"/>
      <c r="D1701" s="304"/>
      <c r="E1701" s="304"/>
      <c r="F1701" s="304"/>
      <c r="G1701" s="304"/>
      <c r="H1701" s="303"/>
      <c r="I1701" s="304"/>
    </row>
    <row r="1702" spans="1:9" x14ac:dyDescent="0.3">
      <c r="A1702" s="302"/>
      <c r="B1702" s="303"/>
      <c r="C1702" s="303"/>
      <c r="D1702" s="304"/>
      <c r="E1702" s="304"/>
      <c r="F1702" s="304"/>
      <c r="G1702" s="304"/>
      <c r="H1702" s="303"/>
      <c r="I1702" s="304"/>
    </row>
    <row r="1703" spans="1:9" x14ac:dyDescent="0.3">
      <c r="A1703" s="302"/>
      <c r="B1703" s="303"/>
      <c r="C1703" s="303"/>
      <c r="D1703" s="304"/>
      <c r="E1703" s="304"/>
      <c r="F1703" s="304"/>
      <c r="G1703" s="304"/>
      <c r="H1703" s="303"/>
      <c r="I1703" s="304"/>
    </row>
    <row r="1704" spans="1:9" x14ac:dyDescent="0.3">
      <c r="A1704" s="302"/>
      <c r="B1704" s="303"/>
      <c r="C1704" s="303"/>
      <c r="D1704" s="304"/>
      <c r="E1704" s="304"/>
      <c r="F1704" s="304"/>
      <c r="G1704" s="304"/>
      <c r="H1704" s="303"/>
      <c r="I1704" s="304"/>
    </row>
    <row r="1705" spans="1:9" x14ac:dyDescent="0.3">
      <c r="A1705" s="302"/>
      <c r="B1705" s="303"/>
      <c r="C1705" s="303"/>
      <c r="D1705" s="304"/>
      <c r="E1705" s="304"/>
      <c r="F1705" s="304"/>
      <c r="G1705" s="304"/>
      <c r="H1705" s="303"/>
      <c r="I1705" s="304"/>
    </row>
    <row r="1706" spans="1:9" x14ac:dyDescent="0.3">
      <c r="A1706" s="302"/>
      <c r="B1706" s="303"/>
      <c r="C1706" s="303"/>
      <c r="D1706" s="304"/>
      <c r="E1706" s="304"/>
      <c r="F1706" s="304"/>
      <c r="G1706" s="304"/>
      <c r="H1706" s="303"/>
      <c r="I1706" s="304"/>
    </row>
    <row r="1707" spans="1:9" x14ac:dyDescent="0.3">
      <c r="A1707" s="302"/>
      <c r="B1707" s="303"/>
      <c r="C1707" s="303"/>
      <c r="D1707" s="304"/>
      <c r="E1707" s="304"/>
      <c r="F1707" s="304"/>
      <c r="G1707" s="304"/>
      <c r="H1707" s="303"/>
      <c r="I1707" s="304"/>
    </row>
    <row r="1708" spans="1:9" x14ac:dyDescent="0.3">
      <c r="A1708" s="302"/>
      <c r="B1708" s="303"/>
      <c r="C1708" s="303"/>
      <c r="D1708" s="304"/>
      <c r="E1708" s="304"/>
      <c r="F1708" s="304"/>
      <c r="G1708" s="304"/>
      <c r="H1708" s="303"/>
      <c r="I1708" s="304"/>
    </row>
    <row r="1709" spans="1:9" x14ac:dyDescent="0.3">
      <c r="A1709" s="302"/>
      <c r="B1709" s="303"/>
      <c r="C1709" s="303"/>
      <c r="D1709" s="304"/>
      <c r="E1709" s="304"/>
      <c r="F1709" s="304"/>
      <c r="G1709" s="304"/>
      <c r="H1709" s="303"/>
      <c r="I1709" s="304"/>
    </row>
    <row r="1710" spans="1:9" x14ac:dyDescent="0.3">
      <c r="A1710" s="302"/>
      <c r="B1710" s="303"/>
      <c r="C1710" s="303"/>
      <c r="D1710" s="304"/>
      <c r="E1710" s="304"/>
      <c r="F1710" s="304"/>
      <c r="G1710" s="304"/>
      <c r="H1710" s="303"/>
      <c r="I1710" s="304"/>
    </row>
    <row r="1711" spans="1:9" x14ac:dyDescent="0.3">
      <c r="A1711" s="302"/>
      <c r="B1711" s="303"/>
      <c r="C1711" s="303"/>
      <c r="D1711" s="304"/>
      <c r="E1711" s="304"/>
      <c r="F1711" s="304"/>
      <c r="G1711" s="304"/>
      <c r="H1711" s="303"/>
      <c r="I1711" s="304"/>
    </row>
    <row r="1712" spans="1:9" x14ac:dyDescent="0.3">
      <c r="A1712" s="302"/>
      <c r="B1712" s="303"/>
      <c r="C1712" s="303"/>
      <c r="D1712" s="304"/>
      <c r="E1712" s="304"/>
      <c r="F1712" s="304"/>
      <c r="G1712" s="304"/>
      <c r="H1712" s="303"/>
      <c r="I1712" s="304"/>
    </row>
    <row r="1713" spans="1:9" x14ac:dyDescent="0.3">
      <c r="A1713" s="302"/>
      <c r="B1713" s="303"/>
      <c r="C1713" s="303"/>
      <c r="D1713" s="304"/>
      <c r="E1713" s="304"/>
      <c r="F1713" s="304"/>
      <c r="G1713" s="304"/>
      <c r="H1713" s="303"/>
      <c r="I1713" s="304"/>
    </row>
    <row r="1714" spans="1:9" x14ac:dyDescent="0.3">
      <c r="A1714" s="302"/>
      <c r="B1714" s="303"/>
      <c r="C1714" s="303"/>
      <c r="D1714" s="304"/>
      <c r="E1714" s="304"/>
      <c r="F1714" s="304"/>
      <c r="G1714" s="304"/>
      <c r="H1714" s="303"/>
      <c r="I1714" s="304"/>
    </row>
    <row r="1715" spans="1:9" x14ac:dyDescent="0.3">
      <c r="A1715" s="302"/>
      <c r="B1715" s="303"/>
      <c r="C1715" s="303"/>
      <c r="D1715" s="304"/>
      <c r="E1715" s="304"/>
      <c r="F1715" s="304"/>
      <c r="G1715" s="304"/>
      <c r="H1715" s="303"/>
      <c r="I1715" s="304"/>
    </row>
    <row r="1716" spans="1:9" x14ac:dyDescent="0.3">
      <c r="A1716" s="302"/>
      <c r="B1716" s="303"/>
      <c r="C1716" s="303"/>
      <c r="D1716" s="304"/>
      <c r="E1716" s="304"/>
      <c r="F1716" s="304"/>
      <c r="G1716" s="304"/>
      <c r="H1716" s="303"/>
      <c r="I1716" s="304"/>
    </row>
    <row r="1717" spans="1:9" x14ac:dyDescent="0.3">
      <c r="A1717" s="302"/>
      <c r="B1717" s="303"/>
      <c r="C1717" s="303"/>
      <c r="D1717" s="304"/>
      <c r="E1717" s="304"/>
      <c r="F1717" s="304"/>
      <c r="G1717" s="304"/>
      <c r="H1717" s="303"/>
      <c r="I1717" s="304"/>
    </row>
    <row r="1718" spans="1:9" x14ac:dyDescent="0.3">
      <c r="A1718" s="302"/>
      <c r="B1718" s="303"/>
      <c r="C1718" s="303"/>
      <c r="D1718" s="304"/>
      <c r="E1718" s="304"/>
      <c r="F1718" s="304"/>
      <c r="G1718" s="304"/>
      <c r="H1718" s="303"/>
      <c r="I1718" s="304"/>
    </row>
    <row r="1719" spans="1:9" x14ac:dyDescent="0.3">
      <c r="A1719" s="302"/>
      <c r="B1719" s="303"/>
      <c r="C1719" s="303"/>
      <c r="D1719" s="304"/>
      <c r="E1719" s="304"/>
      <c r="F1719" s="304"/>
      <c r="G1719" s="304"/>
      <c r="H1719" s="303"/>
      <c r="I1719" s="304"/>
    </row>
    <row r="1720" spans="1:9" x14ac:dyDescent="0.3">
      <c r="A1720" s="302"/>
      <c r="B1720" s="303"/>
      <c r="C1720" s="303"/>
      <c r="D1720" s="304"/>
      <c r="E1720" s="304"/>
      <c r="F1720" s="304"/>
      <c r="G1720" s="304"/>
      <c r="H1720" s="303"/>
      <c r="I1720" s="304"/>
    </row>
    <row r="1721" spans="1:9" x14ac:dyDescent="0.3">
      <c r="A1721" s="302"/>
      <c r="B1721" s="303"/>
      <c r="C1721" s="303"/>
      <c r="D1721" s="304"/>
      <c r="E1721" s="304"/>
      <c r="F1721" s="304"/>
      <c r="G1721" s="304"/>
      <c r="H1721" s="303"/>
      <c r="I1721" s="304"/>
    </row>
    <row r="1722" spans="1:9" x14ac:dyDescent="0.3">
      <c r="A1722" s="302"/>
      <c r="B1722" s="303"/>
      <c r="C1722" s="303"/>
      <c r="D1722" s="304"/>
      <c r="E1722" s="304"/>
      <c r="F1722" s="304"/>
      <c r="G1722" s="304"/>
      <c r="H1722" s="303"/>
      <c r="I1722" s="304"/>
    </row>
    <row r="1723" spans="1:9" x14ac:dyDescent="0.3">
      <c r="A1723" s="302"/>
      <c r="B1723" s="303"/>
      <c r="C1723" s="303"/>
      <c r="D1723" s="304"/>
      <c r="E1723" s="304"/>
      <c r="F1723" s="304"/>
      <c r="G1723" s="304"/>
      <c r="H1723" s="303"/>
      <c r="I1723" s="304"/>
    </row>
    <row r="1724" spans="1:9" x14ac:dyDescent="0.3">
      <c r="A1724" s="302"/>
      <c r="B1724" s="303"/>
      <c r="C1724" s="303"/>
      <c r="D1724" s="304"/>
      <c r="E1724" s="304"/>
      <c r="F1724" s="304"/>
      <c r="G1724" s="304"/>
      <c r="H1724" s="303"/>
      <c r="I1724" s="304"/>
    </row>
    <row r="1725" spans="1:9" x14ac:dyDescent="0.3">
      <c r="A1725" s="302"/>
      <c r="B1725" s="303"/>
      <c r="C1725" s="303"/>
      <c r="D1725" s="304"/>
      <c r="E1725" s="304"/>
      <c r="F1725" s="304"/>
      <c r="G1725" s="304"/>
      <c r="H1725" s="303"/>
      <c r="I1725" s="304"/>
    </row>
    <row r="1726" spans="1:9" x14ac:dyDescent="0.3">
      <c r="A1726" s="302"/>
      <c r="B1726" s="303"/>
      <c r="C1726" s="303"/>
      <c r="D1726" s="304"/>
      <c r="E1726" s="304"/>
      <c r="F1726" s="304"/>
      <c r="G1726" s="304"/>
      <c r="H1726" s="303"/>
      <c r="I1726" s="304"/>
    </row>
    <row r="1727" spans="1:9" x14ac:dyDescent="0.3">
      <c r="A1727" s="302"/>
      <c r="B1727" s="303"/>
      <c r="C1727" s="303"/>
      <c r="D1727" s="304"/>
      <c r="E1727" s="304"/>
      <c r="F1727" s="304"/>
      <c r="G1727" s="304"/>
      <c r="H1727" s="303"/>
      <c r="I1727" s="304"/>
    </row>
    <row r="1728" spans="1:9" x14ac:dyDescent="0.3">
      <c r="A1728" s="302"/>
      <c r="B1728" s="303"/>
      <c r="C1728" s="303"/>
      <c r="D1728" s="304"/>
      <c r="E1728" s="304"/>
      <c r="F1728" s="304"/>
      <c r="G1728" s="304"/>
      <c r="H1728" s="303"/>
      <c r="I1728" s="304"/>
    </row>
    <row r="1729" spans="1:9" x14ac:dyDescent="0.3">
      <c r="A1729" s="302"/>
      <c r="B1729" s="303"/>
      <c r="C1729" s="303"/>
      <c r="D1729" s="304"/>
      <c r="E1729" s="304"/>
      <c r="F1729" s="304"/>
      <c r="G1729" s="304"/>
      <c r="H1729" s="303"/>
      <c r="I1729" s="304"/>
    </row>
    <row r="1730" spans="1:9" x14ac:dyDescent="0.3">
      <c r="A1730" s="302"/>
      <c r="B1730" s="303"/>
      <c r="C1730" s="303"/>
      <c r="D1730" s="304"/>
      <c r="E1730" s="304"/>
      <c r="F1730" s="304"/>
      <c r="G1730" s="304"/>
      <c r="H1730" s="303"/>
      <c r="I1730" s="304"/>
    </row>
    <row r="1731" spans="1:9" x14ac:dyDescent="0.3">
      <c r="A1731" s="302"/>
      <c r="B1731" s="303"/>
      <c r="C1731" s="303"/>
      <c r="D1731" s="304"/>
      <c r="E1731" s="304"/>
      <c r="F1731" s="304"/>
      <c r="G1731" s="304"/>
      <c r="H1731" s="303"/>
      <c r="I1731" s="304"/>
    </row>
    <row r="1732" spans="1:9" x14ac:dyDescent="0.3">
      <c r="A1732" s="302"/>
      <c r="B1732" s="303"/>
      <c r="C1732" s="303"/>
      <c r="D1732" s="304"/>
      <c r="E1732" s="304"/>
      <c r="F1732" s="304"/>
      <c r="G1732" s="304"/>
      <c r="H1732" s="303"/>
      <c r="I1732" s="304"/>
    </row>
    <row r="1733" spans="1:9" x14ac:dyDescent="0.3">
      <c r="A1733" s="302"/>
      <c r="B1733" s="303"/>
      <c r="C1733" s="303"/>
      <c r="D1733" s="304"/>
      <c r="E1733" s="304"/>
      <c r="F1733" s="304"/>
      <c r="G1733" s="304"/>
      <c r="H1733" s="303"/>
      <c r="I1733" s="304"/>
    </row>
    <row r="1734" spans="1:9" x14ac:dyDescent="0.3">
      <c r="A1734" s="302"/>
      <c r="B1734" s="303"/>
      <c r="C1734" s="303"/>
      <c r="D1734" s="304"/>
      <c r="E1734" s="304"/>
      <c r="F1734" s="304"/>
      <c r="G1734" s="304"/>
      <c r="H1734" s="303"/>
      <c r="I1734" s="304"/>
    </row>
    <row r="1735" spans="1:9" x14ac:dyDescent="0.3">
      <c r="A1735" s="302"/>
      <c r="B1735" s="303"/>
      <c r="C1735" s="303"/>
      <c r="D1735" s="304"/>
      <c r="E1735" s="304"/>
      <c r="F1735" s="304"/>
      <c r="G1735" s="304"/>
      <c r="H1735" s="303"/>
      <c r="I1735" s="304"/>
    </row>
    <row r="1736" spans="1:9" x14ac:dyDescent="0.3">
      <c r="A1736" s="302"/>
      <c r="B1736" s="303"/>
      <c r="C1736" s="303"/>
      <c r="D1736" s="304"/>
      <c r="E1736" s="304"/>
      <c r="F1736" s="304"/>
      <c r="G1736" s="304"/>
      <c r="H1736" s="303"/>
      <c r="I1736" s="304"/>
    </row>
    <row r="1737" spans="1:9" x14ac:dyDescent="0.3">
      <c r="A1737" s="302"/>
      <c r="B1737" s="303"/>
      <c r="C1737" s="303"/>
      <c r="D1737" s="304"/>
      <c r="E1737" s="304"/>
      <c r="F1737" s="304"/>
      <c r="G1737" s="304"/>
      <c r="H1737" s="303"/>
      <c r="I1737" s="304"/>
    </row>
    <row r="1738" spans="1:9" x14ac:dyDescent="0.3">
      <c r="A1738" s="302"/>
      <c r="B1738" s="303"/>
      <c r="C1738" s="303"/>
      <c r="D1738" s="304"/>
      <c r="E1738" s="304"/>
      <c r="F1738" s="304"/>
      <c r="G1738" s="304"/>
      <c r="H1738" s="303"/>
      <c r="I1738" s="304"/>
    </row>
    <row r="1739" spans="1:9" x14ac:dyDescent="0.3">
      <c r="A1739" s="302"/>
      <c r="B1739" s="303"/>
      <c r="C1739" s="303"/>
      <c r="D1739" s="304"/>
      <c r="E1739" s="304"/>
      <c r="F1739" s="304"/>
      <c r="G1739" s="304"/>
      <c r="H1739" s="303"/>
      <c r="I1739" s="304"/>
    </row>
    <row r="1740" spans="1:9" x14ac:dyDescent="0.3">
      <c r="A1740" s="302"/>
      <c r="B1740" s="303"/>
      <c r="C1740" s="303"/>
      <c r="D1740" s="304"/>
      <c r="E1740" s="304"/>
      <c r="F1740" s="304"/>
      <c r="G1740" s="304"/>
      <c r="H1740" s="303"/>
      <c r="I1740" s="304"/>
    </row>
    <row r="1741" spans="1:9" x14ac:dyDescent="0.3">
      <c r="A1741" s="302"/>
      <c r="B1741" s="303"/>
      <c r="C1741" s="303"/>
      <c r="D1741" s="304"/>
      <c r="E1741" s="304"/>
      <c r="F1741" s="304"/>
      <c r="G1741" s="304"/>
      <c r="H1741" s="303"/>
      <c r="I1741" s="304"/>
    </row>
    <row r="1742" spans="1:9" x14ac:dyDescent="0.3">
      <c r="A1742" s="302"/>
      <c r="B1742" s="303"/>
      <c r="C1742" s="303"/>
      <c r="D1742" s="304"/>
      <c r="E1742" s="304"/>
      <c r="F1742" s="304"/>
      <c r="G1742" s="304"/>
      <c r="H1742" s="303"/>
      <c r="I1742" s="304"/>
    </row>
    <row r="1743" spans="1:9" x14ac:dyDescent="0.3">
      <c r="A1743" s="302"/>
      <c r="B1743" s="303"/>
      <c r="C1743" s="303"/>
      <c r="D1743" s="304"/>
      <c r="E1743" s="304"/>
      <c r="F1743" s="304"/>
      <c r="G1743" s="304"/>
      <c r="H1743" s="303"/>
      <c r="I1743" s="304"/>
    </row>
    <row r="1744" spans="1:9" x14ac:dyDescent="0.3">
      <c r="A1744" s="302"/>
      <c r="B1744" s="303"/>
      <c r="C1744" s="303"/>
      <c r="D1744" s="304"/>
      <c r="E1744" s="304"/>
      <c r="F1744" s="304"/>
      <c r="G1744" s="304"/>
      <c r="H1744" s="303"/>
      <c r="I1744" s="304"/>
    </row>
    <row r="1745" spans="1:9" x14ac:dyDescent="0.3">
      <c r="A1745" s="302"/>
      <c r="B1745" s="303"/>
      <c r="C1745" s="303"/>
      <c r="D1745" s="304"/>
      <c r="E1745" s="304"/>
      <c r="F1745" s="304"/>
      <c r="G1745" s="304"/>
      <c r="H1745" s="303"/>
      <c r="I1745" s="304"/>
    </row>
    <row r="1746" spans="1:9" x14ac:dyDescent="0.3">
      <c r="A1746" s="302"/>
      <c r="B1746" s="303"/>
      <c r="C1746" s="303"/>
      <c r="D1746" s="304"/>
      <c r="E1746" s="304"/>
      <c r="F1746" s="304"/>
      <c r="G1746" s="304"/>
      <c r="H1746" s="303"/>
      <c r="I1746" s="304"/>
    </row>
    <row r="1747" spans="1:9" x14ac:dyDescent="0.3">
      <c r="A1747" s="302"/>
      <c r="B1747" s="303"/>
      <c r="C1747" s="303"/>
      <c r="D1747" s="304"/>
      <c r="E1747" s="304"/>
      <c r="F1747" s="304"/>
      <c r="G1747" s="304"/>
      <c r="H1747" s="303"/>
      <c r="I1747" s="304"/>
    </row>
    <row r="1748" spans="1:9" x14ac:dyDescent="0.3">
      <c r="A1748" s="302"/>
      <c r="B1748" s="303"/>
      <c r="C1748" s="303"/>
      <c r="D1748" s="304"/>
      <c r="E1748" s="304"/>
      <c r="F1748" s="304"/>
      <c r="G1748" s="304"/>
      <c r="H1748" s="303"/>
      <c r="I1748" s="304"/>
    </row>
    <row r="1749" spans="1:9" x14ac:dyDescent="0.3">
      <c r="A1749" s="302"/>
      <c r="B1749" s="303"/>
      <c r="C1749" s="303"/>
      <c r="D1749" s="304"/>
      <c r="E1749" s="304"/>
      <c r="F1749" s="304"/>
      <c r="G1749" s="304"/>
      <c r="H1749" s="303"/>
      <c r="I1749" s="304"/>
    </row>
    <row r="1750" spans="1:9" x14ac:dyDescent="0.3">
      <c r="A1750" s="302"/>
      <c r="B1750" s="303"/>
      <c r="C1750" s="303"/>
      <c r="D1750" s="304"/>
      <c r="E1750" s="304"/>
      <c r="F1750" s="304"/>
      <c r="G1750" s="304"/>
      <c r="H1750" s="303"/>
      <c r="I1750" s="304"/>
    </row>
    <row r="1751" spans="1:9" x14ac:dyDescent="0.3">
      <c r="A1751" s="302"/>
      <c r="B1751" s="303"/>
      <c r="C1751" s="303"/>
      <c r="D1751" s="304"/>
      <c r="E1751" s="304"/>
      <c r="F1751" s="304"/>
      <c r="G1751" s="304"/>
      <c r="H1751" s="303"/>
      <c r="I1751" s="304"/>
    </row>
    <row r="1752" spans="1:9" x14ac:dyDescent="0.3">
      <c r="A1752" s="302"/>
      <c r="B1752" s="303"/>
      <c r="C1752" s="303"/>
      <c r="D1752" s="304"/>
      <c r="E1752" s="304"/>
      <c r="F1752" s="304"/>
      <c r="G1752" s="304"/>
      <c r="H1752" s="303"/>
      <c r="I1752" s="304"/>
    </row>
    <row r="1753" spans="1:9" x14ac:dyDescent="0.3">
      <c r="A1753" s="302"/>
      <c r="B1753" s="303"/>
      <c r="C1753" s="303"/>
      <c r="D1753" s="304"/>
      <c r="E1753" s="304"/>
      <c r="F1753" s="304"/>
      <c r="G1753" s="304"/>
      <c r="H1753" s="303"/>
      <c r="I1753" s="304"/>
    </row>
    <row r="1754" spans="1:9" x14ac:dyDescent="0.3">
      <c r="A1754" s="302"/>
      <c r="B1754" s="303"/>
      <c r="C1754" s="303"/>
      <c r="D1754" s="304"/>
      <c r="E1754" s="304"/>
      <c r="F1754" s="304"/>
      <c r="G1754" s="304"/>
      <c r="H1754" s="303"/>
      <c r="I1754" s="304"/>
    </row>
    <row r="1755" spans="1:9" x14ac:dyDescent="0.3">
      <c r="A1755" s="302"/>
      <c r="B1755" s="303"/>
      <c r="C1755" s="303"/>
      <c r="D1755" s="304"/>
      <c r="E1755" s="304"/>
      <c r="F1755" s="304"/>
      <c r="G1755" s="304"/>
      <c r="H1755" s="303"/>
      <c r="I1755" s="304"/>
    </row>
    <row r="1756" spans="1:9" x14ac:dyDescent="0.3">
      <c r="A1756" s="302"/>
      <c r="B1756" s="303"/>
      <c r="C1756" s="303"/>
      <c r="D1756" s="304"/>
      <c r="E1756" s="304"/>
      <c r="F1756" s="304"/>
      <c r="G1756" s="304"/>
      <c r="H1756" s="303"/>
      <c r="I1756" s="304"/>
    </row>
    <row r="1757" spans="1:9" x14ac:dyDescent="0.3">
      <c r="A1757" s="302"/>
      <c r="B1757" s="303"/>
      <c r="C1757" s="303"/>
      <c r="D1757" s="304"/>
      <c r="E1757" s="304"/>
      <c r="F1757" s="304"/>
      <c r="G1757" s="304"/>
      <c r="H1757" s="303"/>
      <c r="I1757" s="304"/>
    </row>
    <row r="1758" spans="1:9" x14ac:dyDescent="0.3">
      <c r="A1758" s="302"/>
      <c r="B1758" s="303"/>
      <c r="C1758" s="303"/>
      <c r="D1758" s="304"/>
      <c r="E1758" s="304"/>
      <c r="F1758" s="304"/>
      <c r="G1758" s="304"/>
      <c r="H1758" s="303"/>
      <c r="I1758" s="304"/>
    </row>
    <row r="1759" spans="1:9" x14ac:dyDescent="0.3">
      <c r="A1759" s="302"/>
      <c r="B1759" s="303"/>
      <c r="C1759" s="303"/>
      <c r="D1759" s="304"/>
      <c r="E1759" s="304"/>
      <c r="F1759" s="304"/>
      <c r="G1759" s="304"/>
      <c r="H1759" s="303"/>
      <c r="I1759" s="304"/>
    </row>
    <row r="1760" spans="1:9" x14ac:dyDescent="0.3">
      <c r="A1760" s="302"/>
      <c r="B1760" s="303"/>
      <c r="C1760" s="303"/>
      <c r="D1760" s="304"/>
      <c r="E1760" s="304"/>
      <c r="F1760" s="304"/>
      <c r="G1760" s="304"/>
      <c r="H1760" s="303"/>
      <c r="I1760" s="304"/>
    </row>
    <row r="1761" spans="1:9" x14ac:dyDescent="0.3">
      <c r="A1761" s="302"/>
      <c r="B1761" s="303"/>
      <c r="C1761" s="303"/>
      <c r="D1761" s="304"/>
      <c r="E1761" s="304"/>
      <c r="F1761" s="304"/>
      <c r="G1761" s="304"/>
      <c r="H1761" s="303"/>
      <c r="I1761" s="304"/>
    </row>
    <row r="1762" spans="1:9" x14ac:dyDescent="0.3">
      <c r="A1762" s="302"/>
      <c r="B1762" s="303"/>
      <c r="C1762" s="303"/>
      <c r="D1762" s="304"/>
      <c r="E1762" s="304"/>
      <c r="F1762" s="304"/>
      <c r="G1762" s="304"/>
      <c r="H1762" s="303"/>
      <c r="I1762" s="304"/>
    </row>
    <row r="1763" spans="1:9" x14ac:dyDescent="0.3">
      <c r="A1763" s="302"/>
      <c r="B1763" s="303"/>
      <c r="C1763" s="303"/>
      <c r="D1763" s="304"/>
      <c r="E1763" s="304"/>
      <c r="F1763" s="304"/>
      <c r="G1763" s="304"/>
      <c r="H1763" s="303"/>
      <c r="I1763" s="304"/>
    </row>
    <row r="1764" spans="1:9" x14ac:dyDescent="0.3">
      <c r="A1764" s="302"/>
      <c r="B1764" s="303"/>
      <c r="C1764" s="303"/>
      <c r="D1764" s="304"/>
      <c r="E1764" s="304"/>
      <c r="F1764" s="304"/>
      <c r="G1764" s="304"/>
      <c r="H1764" s="303"/>
      <c r="I1764" s="304"/>
    </row>
    <row r="1765" spans="1:9" x14ac:dyDescent="0.3">
      <c r="A1765" s="302"/>
      <c r="B1765" s="303"/>
      <c r="C1765" s="303"/>
      <c r="D1765" s="304"/>
      <c r="E1765" s="304"/>
      <c r="F1765" s="304"/>
      <c r="G1765" s="304"/>
      <c r="H1765" s="303"/>
      <c r="I1765" s="304"/>
    </row>
    <row r="1766" spans="1:9" x14ac:dyDescent="0.3">
      <c r="A1766" s="302"/>
      <c r="B1766" s="303"/>
      <c r="C1766" s="303"/>
      <c r="D1766" s="304"/>
      <c r="E1766" s="304"/>
      <c r="F1766" s="304"/>
      <c r="G1766" s="304"/>
      <c r="H1766" s="303"/>
      <c r="I1766" s="304"/>
    </row>
    <row r="1767" spans="1:9" x14ac:dyDescent="0.3">
      <c r="A1767" s="302"/>
      <c r="B1767" s="303"/>
      <c r="C1767" s="303"/>
      <c r="D1767" s="304"/>
      <c r="E1767" s="304"/>
      <c r="F1767" s="304"/>
      <c r="G1767" s="304"/>
      <c r="H1767" s="303"/>
      <c r="I1767" s="304"/>
    </row>
    <row r="1768" spans="1:9" x14ac:dyDescent="0.3">
      <c r="A1768" s="302"/>
      <c r="B1768" s="303"/>
      <c r="C1768" s="303"/>
      <c r="D1768" s="304"/>
      <c r="E1768" s="304"/>
      <c r="F1768" s="304"/>
      <c r="G1768" s="304"/>
      <c r="H1768" s="303"/>
      <c r="I1768" s="304"/>
    </row>
    <row r="1769" spans="1:9" x14ac:dyDescent="0.3">
      <c r="A1769" s="302"/>
      <c r="B1769" s="303"/>
      <c r="C1769" s="303"/>
      <c r="D1769" s="304"/>
      <c r="E1769" s="304"/>
      <c r="F1769" s="304"/>
      <c r="G1769" s="304"/>
      <c r="H1769" s="303"/>
      <c r="I1769" s="304"/>
    </row>
    <row r="1770" spans="1:9" x14ac:dyDescent="0.3">
      <c r="A1770" s="302"/>
      <c r="B1770" s="303"/>
      <c r="C1770" s="303"/>
      <c r="D1770" s="304"/>
      <c r="E1770" s="304"/>
      <c r="F1770" s="304"/>
      <c r="G1770" s="304"/>
      <c r="H1770" s="303"/>
      <c r="I1770" s="304"/>
    </row>
    <row r="1771" spans="1:9" x14ac:dyDescent="0.3">
      <c r="A1771" s="302"/>
      <c r="B1771" s="303"/>
      <c r="C1771" s="303"/>
      <c r="D1771" s="304"/>
      <c r="E1771" s="304"/>
      <c r="F1771" s="304"/>
      <c r="G1771" s="304"/>
      <c r="H1771" s="303"/>
      <c r="I1771" s="304"/>
    </row>
    <row r="1772" spans="1:9" x14ac:dyDescent="0.3">
      <c r="A1772" s="302"/>
      <c r="B1772" s="303"/>
      <c r="C1772" s="303"/>
      <c r="D1772" s="304"/>
      <c r="E1772" s="304"/>
      <c r="F1772" s="304"/>
      <c r="G1772" s="304"/>
      <c r="H1772" s="303"/>
      <c r="I1772" s="304"/>
    </row>
    <row r="1773" spans="1:9" x14ac:dyDescent="0.3">
      <c r="A1773" s="302"/>
      <c r="B1773" s="303"/>
      <c r="C1773" s="303"/>
      <c r="D1773" s="304"/>
      <c r="E1773" s="304"/>
      <c r="F1773" s="304"/>
      <c r="G1773" s="304"/>
      <c r="H1773" s="303"/>
      <c r="I1773" s="304"/>
    </row>
    <row r="1774" spans="1:9" x14ac:dyDescent="0.3">
      <c r="A1774" s="302"/>
      <c r="B1774" s="303"/>
      <c r="C1774" s="303"/>
      <c r="D1774" s="304"/>
      <c r="E1774" s="304"/>
      <c r="F1774" s="304"/>
      <c r="G1774" s="304"/>
      <c r="H1774" s="303"/>
      <c r="I1774" s="304"/>
    </row>
    <row r="1775" spans="1:9" x14ac:dyDescent="0.3">
      <c r="A1775" s="302"/>
      <c r="B1775" s="303"/>
      <c r="C1775" s="303"/>
      <c r="D1775" s="304"/>
      <c r="E1775" s="304"/>
      <c r="F1775" s="304"/>
      <c r="G1775" s="304"/>
      <c r="H1775" s="303"/>
      <c r="I1775" s="304"/>
    </row>
    <row r="1776" spans="1:9" x14ac:dyDescent="0.3">
      <c r="A1776" s="302"/>
      <c r="B1776" s="303"/>
      <c r="C1776" s="303"/>
      <c r="D1776" s="304"/>
      <c r="E1776" s="304"/>
      <c r="F1776" s="304"/>
      <c r="G1776" s="304"/>
      <c r="H1776" s="303"/>
      <c r="I1776" s="304"/>
    </row>
    <row r="1777" spans="1:9" x14ac:dyDescent="0.3">
      <c r="A1777" s="302"/>
      <c r="B1777" s="303"/>
      <c r="C1777" s="303"/>
      <c r="D1777" s="304"/>
      <c r="E1777" s="304"/>
      <c r="F1777" s="304"/>
      <c r="G1777" s="304"/>
      <c r="H1777" s="303"/>
      <c r="I1777" s="304"/>
    </row>
    <row r="1778" spans="1:9" x14ac:dyDescent="0.3">
      <c r="A1778" s="302"/>
      <c r="B1778" s="303"/>
      <c r="C1778" s="303"/>
      <c r="D1778" s="304"/>
      <c r="E1778" s="304"/>
      <c r="F1778" s="304"/>
      <c r="G1778" s="304"/>
      <c r="H1778" s="303"/>
      <c r="I1778" s="304"/>
    </row>
    <row r="1779" spans="1:9" x14ac:dyDescent="0.3">
      <c r="A1779" s="302"/>
      <c r="B1779" s="303"/>
      <c r="C1779" s="303"/>
      <c r="D1779" s="304"/>
      <c r="E1779" s="304"/>
      <c r="F1779" s="304"/>
      <c r="G1779" s="304"/>
      <c r="H1779" s="303"/>
      <c r="I1779" s="304"/>
    </row>
    <row r="1780" spans="1:9" x14ac:dyDescent="0.3">
      <c r="A1780" s="302"/>
      <c r="B1780" s="303"/>
      <c r="C1780" s="303"/>
      <c r="D1780" s="304"/>
      <c r="E1780" s="304"/>
      <c r="F1780" s="304"/>
      <c r="G1780" s="304"/>
      <c r="H1780" s="303"/>
      <c r="I1780" s="304"/>
    </row>
    <row r="1781" spans="1:9" x14ac:dyDescent="0.3">
      <c r="A1781" s="302"/>
      <c r="B1781" s="303"/>
      <c r="C1781" s="303"/>
      <c r="D1781" s="304"/>
      <c r="E1781" s="304"/>
      <c r="F1781" s="304"/>
      <c r="G1781" s="304"/>
      <c r="H1781" s="303"/>
      <c r="I1781" s="304"/>
    </row>
    <row r="1782" spans="1:9" x14ac:dyDescent="0.3">
      <c r="A1782" s="302"/>
      <c r="B1782" s="303"/>
      <c r="C1782" s="303"/>
      <c r="D1782" s="304"/>
      <c r="E1782" s="304"/>
      <c r="F1782" s="304"/>
      <c r="G1782" s="304"/>
      <c r="H1782" s="303"/>
      <c r="I1782" s="304"/>
    </row>
    <row r="1783" spans="1:9" x14ac:dyDescent="0.3">
      <c r="A1783" s="302"/>
      <c r="B1783" s="303"/>
      <c r="C1783" s="303"/>
      <c r="D1783" s="304"/>
      <c r="E1783" s="304"/>
      <c r="F1783" s="304"/>
      <c r="G1783" s="304"/>
      <c r="H1783" s="303"/>
      <c r="I1783" s="304"/>
    </row>
    <row r="1784" spans="1:9" x14ac:dyDescent="0.3">
      <c r="A1784" s="302"/>
      <c r="B1784" s="303"/>
      <c r="C1784" s="303"/>
      <c r="D1784" s="304"/>
      <c r="E1784" s="304"/>
      <c r="F1784" s="304"/>
      <c r="G1784" s="304"/>
      <c r="H1784" s="303"/>
      <c r="I1784" s="304"/>
    </row>
    <row r="1785" spans="1:9" x14ac:dyDescent="0.3">
      <c r="A1785" s="302"/>
      <c r="B1785" s="303"/>
      <c r="C1785" s="303"/>
      <c r="D1785" s="304"/>
      <c r="E1785" s="304"/>
      <c r="F1785" s="304"/>
      <c r="G1785" s="304"/>
      <c r="H1785" s="303"/>
      <c r="I1785" s="304"/>
    </row>
    <row r="1786" spans="1:9" x14ac:dyDescent="0.3">
      <c r="A1786" s="302"/>
      <c r="B1786" s="303"/>
      <c r="C1786" s="303"/>
      <c r="D1786" s="304"/>
      <c r="E1786" s="304"/>
      <c r="F1786" s="304"/>
      <c r="G1786" s="304"/>
      <c r="H1786" s="303"/>
      <c r="I1786" s="304"/>
    </row>
    <row r="1787" spans="1:9" x14ac:dyDescent="0.3">
      <c r="A1787" s="302"/>
      <c r="B1787" s="303"/>
      <c r="C1787" s="303"/>
      <c r="D1787" s="304"/>
      <c r="E1787" s="304"/>
      <c r="F1787" s="304"/>
      <c r="G1787" s="304"/>
      <c r="H1787" s="303"/>
      <c r="I1787" s="304"/>
    </row>
    <row r="1788" spans="1:9" x14ac:dyDescent="0.3">
      <c r="A1788" s="302"/>
      <c r="B1788" s="303"/>
      <c r="C1788" s="303"/>
      <c r="D1788" s="304"/>
      <c r="E1788" s="304"/>
      <c r="F1788" s="304"/>
      <c r="G1788" s="304"/>
      <c r="H1788" s="303"/>
      <c r="I1788" s="304"/>
    </row>
    <row r="1789" spans="1:9" x14ac:dyDescent="0.3">
      <c r="A1789" s="302"/>
      <c r="B1789" s="303"/>
      <c r="C1789" s="303"/>
      <c r="D1789" s="304"/>
      <c r="E1789" s="304"/>
      <c r="F1789" s="304"/>
      <c r="G1789" s="304"/>
      <c r="H1789" s="303"/>
      <c r="I1789" s="304"/>
    </row>
    <row r="1790" spans="1:9" x14ac:dyDescent="0.3">
      <c r="A1790" s="302"/>
      <c r="B1790" s="303"/>
      <c r="C1790" s="303"/>
      <c r="D1790" s="304"/>
      <c r="E1790" s="304"/>
      <c r="F1790" s="304"/>
      <c r="G1790" s="304"/>
      <c r="H1790" s="303"/>
      <c r="I1790" s="304"/>
    </row>
    <row r="1791" spans="1:9" x14ac:dyDescent="0.3">
      <c r="A1791" s="302"/>
      <c r="B1791" s="303"/>
      <c r="C1791" s="303"/>
      <c r="D1791" s="304"/>
      <c r="E1791" s="304"/>
      <c r="F1791" s="304"/>
      <c r="G1791" s="304"/>
      <c r="H1791" s="303"/>
      <c r="I1791" s="304"/>
    </row>
    <row r="1792" spans="1:9" x14ac:dyDescent="0.3">
      <c r="A1792" s="302"/>
      <c r="B1792" s="303"/>
      <c r="C1792" s="303"/>
      <c r="D1792" s="304"/>
      <c r="E1792" s="304"/>
      <c r="F1792" s="304"/>
      <c r="G1792" s="304"/>
      <c r="H1792" s="303"/>
      <c r="I1792" s="304"/>
    </row>
    <row r="1793" spans="1:9" x14ac:dyDescent="0.3">
      <c r="A1793" s="302"/>
      <c r="B1793" s="303"/>
      <c r="C1793" s="303"/>
      <c r="D1793" s="304"/>
      <c r="E1793" s="304"/>
      <c r="F1793" s="304"/>
      <c r="G1793" s="304"/>
      <c r="H1793" s="303"/>
      <c r="I1793" s="304"/>
    </row>
    <row r="1794" spans="1:9" x14ac:dyDescent="0.3">
      <c r="A1794" s="302"/>
      <c r="B1794" s="303"/>
      <c r="C1794" s="303"/>
      <c r="D1794" s="304"/>
      <c r="E1794" s="304"/>
      <c r="F1794" s="304"/>
      <c r="G1794" s="304"/>
      <c r="H1794" s="303"/>
      <c r="I1794" s="304"/>
    </row>
    <row r="1795" spans="1:9" x14ac:dyDescent="0.3">
      <c r="A1795" s="302"/>
      <c r="B1795" s="303"/>
      <c r="C1795" s="303"/>
      <c r="D1795" s="304"/>
      <c r="E1795" s="304"/>
      <c r="F1795" s="304"/>
      <c r="G1795" s="304"/>
      <c r="H1795" s="303"/>
      <c r="I1795" s="304"/>
    </row>
    <row r="1796" spans="1:9" x14ac:dyDescent="0.3">
      <c r="A1796" s="302"/>
      <c r="B1796" s="303"/>
      <c r="C1796" s="303"/>
      <c r="D1796" s="304"/>
      <c r="E1796" s="304"/>
      <c r="F1796" s="304"/>
      <c r="G1796" s="304"/>
      <c r="H1796" s="303"/>
      <c r="I1796" s="304"/>
    </row>
    <row r="1797" spans="1:9" x14ac:dyDescent="0.3">
      <c r="A1797" s="302"/>
      <c r="B1797" s="303"/>
      <c r="C1797" s="303"/>
      <c r="D1797" s="304"/>
      <c r="E1797" s="304"/>
      <c r="F1797" s="304"/>
      <c r="G1797" s="304"/>
      <c r="H1797" s="303"/>
      <c r="I1797" s="304"/>
    </row>
    <row r="1798" spans="1:9" x14ac:dyDescent="0.3">
      <c r="A1798" s="302"/>
      <c r="B1798" s="303"/>
      <c r="C1798" s="303"/>
      <c r="D1798" s="304"/>
      <c r="E1798" s="304"/>
      <c r="F1798" s="304"/>
      <c r="G1798" s="304"/>
      <c r="H1798" s="303"/>
      <c r="I1798" s="304"/>
    </row>
    <row r="1799" spans="1:9" x14ac:dyDescent="0.3">
      <c r="A1799" s="302"/>
      <c r="B1799" s="303"/>
      <c r="C1799" s="303"/>
      <c r="D1799" s="304"/>
      <c r="E1799" s="304"/>
      <c r="F1799" s="304"/>
      <c r="G1799" s="304"/>
      <c r="H1799" s="303"/>
      <c r="I1799" s="304"/>
    </row>
    <row r="1800" spans="1:9" x14ac:dyDescent="0.3">
      <c r="A1800" s="302"/>
      <c r="B1800" s="303"/>
      <c r="C1800" s="303"/>
      <c r="D1800" s="304"/>
      <c r="E1800" s="304"/>
      <c r="F1800" s="304"/>
      <c r="G1800" s="304"/>
      <c r="H1800" s="303"/>
      <c r="I1800" s="304"/>
    </row>
    <row r="1801" spans="1:9" x14ac:dyDescent="0.3">
      <c r="A1801" s="302"/>
      <c r="B1801" s="303"/>
      <c r="C1801" s="303"/>
      <c r="D1801" s="304"/>
      <c r="E1801" s="304"/>
      <c r="F1801" s="304"/>
      <c r="G1801" s="304"/>
      <c r="H1801" s="303"/>
      <c r="I1801" s="304"/>
    </row>
    <row r="1802" spans="1:9" x14ac:dyDescent="0.3">
      <c r="A1802" s="302"/>
      <c r="B1802" s="303"/>
      <c r="C1802" s="303"/>
      <c r="D1802" s="304"/>
      <c r="E1802" s="304"/>
      <c r="F1802" s="304"/>
      <c r="G1802" s="304"/>
      <c r="H1802" s="303"/>
      <c r="I1802" s="304"/>
    </row>
    <row r="1803" spans="1:9" x14ac:dyDescent="0.3">
      <c r="A1803" s="302"/>
      <c r="B1803" s="303"/>
      <c r="C1803" s="303"/>
      <c r="D1803" s="304"/>
      <c r="E1803" s="304"/>
      <c r="F1803" s="304"/>
      <c r="G1803" s="304"/>
      <c r="H1803" s="303"/>
      <c r="I1803" s="304"/>
    </row>
    <row r="1804" spans="1:9" x14ac:dyDescent="0.3">
      <c r="A1804" s="302"/>
      <c r="B1804" s="303"/>
      <c r="C1804" s="303"/>
      <c r="D1804" s="304"/>
      <c r="E1804" s="304"/>
      <c r="F1804" s="304"/>
      <c r="G1804" s="304"/>
      <c r="H1804" s="303"/>
      <c r="I1804" s="304"/>
    </row>
    <row r="1805" spans="1:9" x14ac:dyDescent="0.3">
      <c r="A1805" s="302"/>
      <c r="B1805" s="303"/>
      <c r="C1805" s="303"/>
      <c r="D1805" s="304"/>
      <c r="E1805" s="304"/>
      <c r="F1805" s="304"/>
      <c r="G1805" s="304"/>
      <c r="H1805" s="303"/>
      <c r="I1805" s="304"/>
    </row>
    <row r="1806" spans="1:9" x14ac:dyDescent="0.3">
      <c r="A1806" s="302"/>
      <c r="B1806" s="303"/>
      <c r="C1806" s="303"/>
      <c r="D1806" s="304"/>
      <c r="E1806" s="304"/>
      <c r="F1806" s="304"/>
      <c r="G1806" s="304"/>
      <c r="H1806" s="303"/>
      <c r="I1806" s="304"/>
    </row>
    <row r="1807" spans="1:9" x14ac:dyDescent="0.3">
      <c r="A1807" s="302"/>
      <c r="B1807" s="303"/>
      <c r="C1807" s="303"/>
      <c r="D1807" s="304"/>
      <c r="E1807" s="304"/>
      <c r="F1807" s="304"/>
      <c r="G1807" s="304"/>
      <c r="H1807" s="303"/>
      <c r="I1807" s="304"/>
    </row>
    <row r="1808" spans="1:9" x14ac:dyDescent="0.3">
      <c r="A1808" s="302"/>
      <c r="B1808" s="303"/>
      <c r="C1808" s="303"/>
      <c r="D1808" s="304"/>
      <c r="E1808" s="304"/>
      <c r="F1808" s="304"/>
      <c r="G1808" s="304"/>
      <c r="H1808" s="303"/>
      <c r="I1808" s="304"/>
    </row>
    <row r="1809" spans="1:9" x14ac:dyDescent="0.3">
      <c r="A1809" s="302"/>
      <c r="B1809" s="303"/>
      <c r="C1809" s="303"/>
      <c r="D1809" s="304"/>
      <c r="E1809" s="304"/>
      <c r="F1809" s="304"/>
      <c r="G1809" s="304"/>
      <c r="H1809" s="303"/>
      <c r="I1809" s="304"/>
    </row>
    <row r="1810" spans="1:9" x14ac:dyDescent="0.3">
      <c r="A1810" s="302"/>
      <c r="B1810" s="303"/>
      <c r="C1810" s="303"/>
      <c r="D1810" s="304"/>
      <c r="E1810" s="304"/>
      <c r="F1810" s="304"/>
      <c r="G1810" s="304"/>
      <c r="H1810" s="303"/>
      <c r="I1810" s="304"/>
    </row>
    <row r="1811" spans="1:9" x14ac:dyDescent="0.3">
      <c r="A1811" s="302"/>
      <c r="B1811" s="303"/>
      <c r="C1811" s="303"/>
      <c r="D1811" s="304"/>
      <c r="E1811" s="304"/>
      <c r="F1811" s="304"/>
      <c r="G1811" s="304"/>
      <c r="H1811" s="303"/>
      <c r="I1811" s="304"/>
    </row>
    <row r="1812" spans="1:9" x14ac:dyDescent="0.3">
      <c r="A1812" s="302"/>
      <c r="B1812" s="303"/>
      <c r="C1812" s="303"/>
      <c r="D1812" s="304"/>
      <c r="E1812" s="304"/>
      <c r="F1812" s="304"/>
      <c r="G1812" s="304"/>
      <c r="H1812" s="303"/>
      <c r="I1812" s="304"/>
    </row>
    <row r="1813" spans="1:9" x14ac:dyDescent="0.3">
      <c r="A1813" s="302"/>
      <c r="B1813" s="303"/>
      <c r="C1813" s="303"/>
      <c r="D1813" s="304"/>
      <c r="E1813" s="304"/>
      <c r="F1813" s="304"/>
      <c r="G1813" s="304"/>
      <c r="H1813" s="303"/>
      <c r="I1813" s="304"/>
    </row>
    <row r="1814" spans="1:9" x14ac:dyDescent="0.3">
      <c r="A1814" s="302"/>
      <c r="B1814" s="303"/>
      <c r="C1814" s="303"/>
      <c r="D1814" s="304"/>
      <c r="E1814" s="304"/>
      <c r="F1814" s="304"/>
      <c r="G1814" s="304"/>
      <c r="H1814" s="303"/>
      <c r="I1814" s="304"/>
    </row>
    <row r="1815" spans="1:9" x14ac:dyDescent="0.3">
      <c r="A1815" s="302"/>
      <c r="B1815" s="303"/>
      <c r="C1815" s="303"/>
      <c r="D1815" s="304"/>
      <c r="E1815" s="304"/>
      <c r="F1815" s="304"/>
      <c r="G1815" s="304"/>
      <c r="H1815" s="303"/>
      <c r="I1815" s="304"/>
    </row>
    <row r="1816" spans="1:9" x14ac:dyDescent="0.3">
      <c r="A1816" s="302"/>
      <c r="B1816" s="303"/>
      <c r="C1816" s="303"/>
      <c r="D1816" s="304"/>
      <c r="E1816" s="304"/>
      <c r="F1816" s="304"/>
      <c r="G1816" s="304"/>
      <c r="H1816" s="303"/>
      <c r="I1816" s="304"/>
    </row>
    <row r="1817" spans="1:9" x14ac:dyDescent="0.3">
      <c r="A1817" s="302"/>
      <c r="B1817" s="303"/>
      <c r="C1817" s="303"/>
      <c r="D1817" s="304"/>
      <c r="E1817" s="304"/>
      <c r="F1817" s="304"/>
      <c r="G1817" s="304"/>
      <c r="H1817" s="303"/>
      <c r="I1817" s="304"/>
    </row>
    <row r="1818" spans="1:9" x14ac:dyDescent="0.3">
      <c r="A1818" s="302"/>
      <c r="B1818" s="303"/>
      <c r="C1818" s="303"/>
      <c r="D1818" s="304"/>
      <c r="E1818" s="304"/>
      <c r="F1818" s="304"/>
      <c r="G1818" s="304"/>
      <c r="H1818" s="303"/>
      <c r="I1818" s="304"/>
    </row>
    <row r="1819" spans="1:9" x14ac:dyDescent="0.3">
      <c r="A1819" s="302"/>
      <c r="B1819" s="303"/>
      <c r="C1819" s="303"/>
      <c r="D1819" s="304"/>
      <c r="E1819" s="304"/>
      <c r="F1819" s="304"/>
      <c r="G1819" s="304"/>
      <c r="H1819" s="303"/>
      <c r="I1819" s="304"/>
    </row>
    <row r="1820" spans="1:9" x14ac:dyDescent="0.3">
      <c r="A1820" s="302"/>
      <c r="B1820" s="303"/>
      <c r="C1820" s="303"/>
      <c r="D1820" s="304"/>
      <c r="E1820" s="304"/>
      <c r="F1820" s="304"/>
      <c r="G1820" s="304"/>
      <c r="H1820" s="303"/>
      <c r="I1820" s="304"/>
    </row>
    <row r="1821" spans="1:9" x14ac:dyDescent="0.3">
      <c r="A1821" s="302"/>
      <c r="B1821" s="303"/>
      <c r="C1821" s="303"/>
      <c r="D1821" s="304"/>
      <c r="E1821" s="304"/>
      <c r="F1821" s="304"/>
      <c r="G1821" s="304"/>
      <c r="H1821" s="303"/>
      <c r="I1821" s="304"/>
    </row>
    <row r="1822" spans="1:9" x14ac:dyDescent="0.3">
      <c r="A1822" s="302"/>
      <c r="B1822" s="303"/>
      <c r="C1822" s="303"/>
      <c r="D1822" s="304"/>
      <c r="E1822" s="304"/>
      <c r="F1822" s="304"/>
      <c r="G1822" s="304"/>
      <c r="H1822" s="303"/>
      <c r="I1822" s="304"/>
    </row>
    <row r="1823" spans="1:9" x14ac:dyDescent="0.3">
      <c r="A1823" s="302"/>
      <c r="B1823" s="303"/>
      <c r="C1823" s="303"/>
      <c r="D1823" s="304"/>
      <c r="E1823" s="304"/>
      <c r="F1823" s="304"/>
      <c r="G1823" s="304"/>
      <c r="H1823" s="303"/>
      <c r="I1823" s="304"/>
    </row>
    <row r="1824" spans="1:9" x14ac:dyDescent="0.3">
      <c r="A1824" s="302"/>
      <c r="B1824" s="303"/>
      <c r="C1824" s="303"/>
      <c r="D1824" s="304"/>
      <c r="E1824" s="304"/>
      <c r="F1824" s="304"/>
      <c r="G1824" s="304"/>
      <c r="H1824" s="303"/>
      <c r="I1824" s="304"/>
    </row>
    <row r="1825" spans="1:9" x14ac:dyDescent="0.3">
      <c r="A1825" s="302"/>
      <c r="B1825" s="303"/>
      <c r="C1825" s="303"/>
      <c r="D1825" s="304"/>
      <c r="E1825" s="304"/>
      <c r="F1825" s="304"/>
      <c r="G1825" s="304"/>
      <c r="H1825" s="303"/>
      <c r="I1825" s="304"/>
    </row>
    <row r="1826" spans="1:9" x14ac:dyDescent="0.3">
      <c r="A1826" s="302"/>
      <c r="B1826" s="303"/>
      <c r="C1826" s="303"/>
      <c r="D1826" s="304"/>
      <c r="E1826" s="304"/>
      <c r="F1826" s="304"/>
      <c r="G1826" s="304"/>
      <c r="H1826" s="303"/>
      <c r="I1826" s="304"/>
    </row>
    <row r="1827" spans="1:9" x14ac:dyDescent="0.3">
      <c r="A1827" s="302"/>
      <c r="B1827" s="303"/>
      <c r="C1827" s="303"/>
      <c r="D1827" s="304"/>
      <c r="E1827" s="304"/>
      <c r="F1827" s="304"/>
      <c r="G1827" s="304"/>
      <c r="H1827" s="303"/>
      <c r="I1827" s="304"/>
    </row>
    <row r="1828" spans="1:9" x14ac:dyDescent="0.3">
      <c r="A1828" s="302"/>
      <c r="B1828" s="303"/>
      <c r="C1828" s="303"/>
      <c r="D1828" s="304"/>
      <c r="E1828" s="304"/>
      <c r="F1828" s="304"/>
      <c r="G1828" s="304"/>
      <c r="H1828" s="303"/>
      <c r="I1828" s="304"/>
    </row>
    <row r="1829" spans="1:9" x14ac:dyDescent="0.3">
      <c r="A1829" s="302"/>
      <c r="B1829" s="303"/>
      <c r="C1829" s="303"/>
      <c r="D1829" s="304"/>
      <c r="E1829" s="304"/>
      <c r="F1829" s="304"/>
      <c r="G1829" s="304"/>
      <c r="H1829" s="303"/>
      <c r="I1829" s="304"/>
    </row>
    <row r="1830" spans="1:9" x14ac:dyDescent="0.3">
      <c r="A1830" s="302"/>
      <c r="B1830" s="303"/>
      <c r="C1830" s="303"/>
      <c r="D1830" s="304"/>
      <c r="E1830" s="304"/>
      <c r="F1830" s="304"/>
      <c r="G1830" s="304"/>
      <c r="H1830" s="303"/>
      <c r="I1830" s="304"/>
    </row>
    <row r="1831" spans="1:9" x14ac:dyDescent="0.3">
      <c r="A1831" s="302"/>
      <c r="B1831" s="303"/>
      <c r="C1831" s="303"/>
      <c r="D1831" s="304"/>
      <c r="E1831" s="304"/>
      <c r="F1831" s="304"/>
      <c r="G1831" s="304"/>
      <c r="H1831" s="303"/>
      <c r="I1831" s="304"/>
    </row>
    <row r="1832" spans="1:9" x14ac:dyDescent="0.3">
      <c r="A1832" s="302"/>
      <c r="B1832" s="303"/>
      <c r="C1832" s="303"/>
      <c r="D1832" s="304"/>
      <c r="E1832" s="304"/>
      <c r="F1832" s="304"/>
      <c r="G1832" s="304"/>
      <c r="H1832" s="303"/>
      <c r="I1832" s="304"/>
    </row>
    <row r="1833" spans="1:9" x14ac:dyDescent="0.3">
      <c r="A1833" s="302"/>
      <c r="B1833" s="303"/>
      <c r="C1833" s="303"/>
      <c r="D1833" s="304"/>
      <c r="E1833" s="304"/>
      <c r="F1833" s="304"/>
      <c r="G1833" s="304"/>
      <c r="H1833" s="303"/>
      <c r="I1833" s="304"/>
    </row>
    <row r="1834" spans="1:9" x14ac:dyDescent="0.3">
      <c r="A1834" s="302"/>
      <c r="B1834" s="303"/>
      <c r="C1834" s="303"/>
      <c r="D1834" s="304"/>
      <c r="E1834" s="304"/>
      <c r="F1834" s="304"/>
      <c r="G1834" s="304"/>
      <c r="H1834" s="303"/>
      <c r="I1834" s="304"/>
    </row>
    <row r="1835" spans="1:9" x14ac:dyDescent="0.3">
      <c r="A1835" s="302"/>
      <c r="B1835" s="303"/>
      <c r="C1835" s="303"/>
      <c r="D1835" s="304"/>
      <c r="E1835" s="304"/>
      <c r="F1835" s="304"/>
      <c r="G1835" s="304"/>
      <c r="H1835" s="303"/>
      <c r="I1835" s="304"/>
    </row>
    <row r="1836" spans="1:9" x14ac:dyDescent="0.3">
      <c r="A1836" s="302"/>
      <c r="B1836" s="303"/>
      <c r="C1836" s="303"/>
      <c r="D1836" s="304"/>
      <c r="E1836" s="304"/>
      <c r="F1836" s="304"/>
      <c r="G1836" s="304"/>
      <c r="H1836" s="303"/>
      <c r="I1836" s="304"/>
    </row>
    <row r="1837" spans="1:9" x14ac:dyDescent="0.3">
      <c r="A1837" s="302"/>
      <c r="B1837" s="303"/>
      <c r="C1837" s="303"/>
      <c r="D1837" s="304"/>
      <c r="E1837" s="304"/>
      <c r="F1837" s="304"/>
      <c r="G1837" s="304"/>
      <c r="H1837" s="303"/>
      <c r="I1837" s="304"/>
    </row>
    <row r="1838" spans="1:9" x14ac:dyDescent="0.3">
      <c r="A1838" s="302"/>
      <c r="B1838" s="303"/>
      <c r="C1838" s="303"/>
      <c r="D1838" s="304"/>
      <c r="E1838" s="304"/>
      <c r="F1838" s="304"/>
      <c r="G1838" s="304"/>
      <c r="H1838" s="303"/>
      <c r="I1838" s="304"/>
    </row>
    <row r="1839" spans="1:9" x14ac:dyDescent="0.3">
      <c r="A1839" s="302"/>
      <c r="B1839" s="303"/>
      <c r="C1839" s="303"/>
      <c r="D1839" s="304"/>
      <c r="E1839" s="304"/>
      <c r="F1839" s="304"/>
      <c r="G1839" s="304"/>
      <c r="H1839" s="303"/>
      <c r="I1839" s="304"/>
    </row>
    <row r="1840" spans="1:9" x14ac:dyDescent="0.3">
      <c r="A1840" s="302"/>
      <c r="B1840" s="303"/>
      <c r="C1840" s="303"/>
      <c r="D1840" s="304"/>
      <c r="E1840" s="304"/>
      <c r="F1840" s="304"/>
      <c r="G1840" s="304"/>
      <c r="H1840" s="303"/>
      <c r="I1840" s="304"/>
    </row>
    <row r="1841" spans="1:9" x14ac:dyDescent="0.3">
      <c r="A1841" s="302"/>
      <c r="B1841" s="303"/>
      <c r="C1841" s="303"/>
      <c r="D1841" s="304"/>
      <c r="E1841" s="304"/>
      <c r="F1841" s="304"/>
      <c r="G1841" s="304"/>
      <c r="H1841" s="303"/>
      <c r="I1841" s="304"/>
    </row>
    <row r="1842" spans="1:9" x14ac:dyDescent="0.3">
      <c r="A1842" s="302"/>
      <c r="B1842" s="303"/>
      <c r="C1842" s="303"/>
      <c r="D1842" s="304"/>
      <c r="E1842" s="304"/>
      <c r="F1842" s="304"/>
      <c r="G1842" s="304"/>
      <c r="H1842" s="303"/>
      <c r="I1842" s="304"/>
    </row>
    <row r="1843" spans="1:9" x14ac:dyDescent="0.3">
      <c r="A1843" s="302"/>
      <c r="B1843" s="303"/>
      <c r="C1843" s="303"/>
      <c r="D1843" s="304"/>
      <c r="E1843" s="304"/>
      <c r="F1843" s="304"/>
      <c r="G1843" s="304"/>
      <c r="H1843" s="303"/>
      <c r="I1843" s="304"/>
    </row>
    <row r="1844" spans="1:9" x14ac:dyDescent="0.3">
      <c r="A1844" s="302"/>
      <c r="B1844" s="303"/>
      <c r="C1844" s="303"/>
      <c r="D1844" s="304"/>
      <c r="E1844" s="304"/>
      <c r="F1844" s="304"/>
      <c r="G1844" s="304"/>
      <c r="H1844" s="303"/>
      <c r="I1844" s="304"/>
    </row>
    <row r="1845" spans="1:9" x14ac:dyDescent="0.3">
      <c r="A1845" s="302"/>
      <c r="B1845" s="303"/>
      <c r="C1845" s="303"/>
      <c r="D1845" s="304"/>
      <c r="E1845" s="304"/>
      <c r="F1845" s="304"/>
      <c r="G1845" s="304"/>
      <c r="H1845" s="303"/>
      <c r="I1845" s="304"/>
    </row>
    <row r="1846" spans="1:9" x14ac:dyDescent="0.3">
      <c r="A1846" s="302"/>
      <c r="B1846" s="303"/>
      <c r="C1846" s="303"/>
      <c r="D1846" s="304"/>
      <c r="E1846" s="304"/>
      <c r="F1846" s="304"/>
      <c r="G1846" s="304"/>
      <c r="H1846" s="303"/>
      <c r="I1846" s="304"/>
    </row>
    <row r="1847" spans="1:9" x14ac:dyDescent="0.3">
      <c r="A1847" s="302"/>
      <c r="B1847" s="303"/>
      <c r="C1847" s="303"/>
      <c r="D1847" s="304"/>
      <c r="E1847" s="304"/>
      <c r="F1847" s="304"/>
      <c r="G1847" s="304"/>
      <c r="H1847" s="303"/>
      <c r="I1847" s="304"/>
    </row>
    <row r="1848" spans="1:9" x14ac:dyDescent="0.3">
      <c r="A1848" s="302"/>
      <c r="B1848" s="303"/>
      <c r="C1848" s="303"/>
      <c r="D1848" s="304"/>
      <c r="E1848" s="304"/>
      <c r="F1848" s="304"/>
      <c r="G1848" s="304"/>
      <c r="H1848" s="303"/>
      <c r="I1848" s="304"/>
    </row>
    <row r="1849" spans="1:9" x14ac:dyDescent="0.3">
      <c r="A1849" s="302"/>
      <c r="B1849" s="303"/>
      <c r="C1849" s="303"/>
      <c r="D1849" s="304"/>
      <c r="E1849" s="304"/>
      <c r="F1849" s="304"/>
      <c r="G1849" s="304"/>
      <c r="H1849" s="303"/>
      <c r="I1849" s="304"/>
    </row>
    <row r="1850" spans="1:9" x14ac:dyDescent="0.3">
      <c r="A1850" s="302"/>
      <c r="B1850" s="303"/>
      <c r="C1850" s="303"/>
      <c r="D1850" s="304"/>
      <c r="E1850" s="304"/>
      <c r="F1850" s="304"/>
      <c r="G1850" s="304"/>
      <c r="H1850" s="303"/>
      <c r="I1850" s="304"/>
    </row>
    <row r="1851" spans="1:9" x14ac:dyDescent="0.3">
      <c r="A1851" s="302"/>
      <c r="B1851" s="303"/>
      <c r="C1851" s="303"/>
      <c r="D1851" s="304"/>
      <c r="E1851" s="304"/>
      <c r="F1851" s="304"/>
      <c r="G1851" s="304"/>
      <c r="H1851" s="303"/>
      <c r="I1851" s="304"/>
    </row>
    <row r="1852" spans="1:9" x14ac:dyDescent="0.3">
      <c r="A1852" s="302"/>
      <c r="B1852" s="303"/>
      <c r="C1852" s="303"/>
      <c r="D1852" s="304"/>
      <c r="E1852" s="304"/>
      <c r="F1852" s="304"/>
      <c r="G1852" s="304"/>
      <c r="H1852" s="303"/>
      <c r="I1852" s="304"/>
    </row>
    <row r="1853" spans="1:9" x14ac:dyDescent="0.3">
      <c r="A1853" s="302"/>
      <c r="B1853" s="303"/>
      <c r="C1853" s="303"/>
      <c r="D1853" s="304"/>
      <c r="E1853" s="304"/>
      <c r="F1853" s="304"/>
      <c r="G1853" s="304"/>
      <c r="H1853" s="303"/>
      <c r="I1853" s="304"/>
    </row>
    <row r="1854" spans="1:9" x14ac:dyDescent="0.3">
      <c r="A1854" s="302"/>
      <c r="B1854" s="303"/>
      <c r="C1854" s="303"/>
      <c r="D1854" s="304"/>
      <c r="E1854" s="304"/>
      <c r="F1854" s="304"/>
      <c r="G1854" s="304"/>
      <c r="H1854" s="303"/>
      <c r="I1854" s="304"/>
    </row>
    <row r="1855" spans="1:9" x14ac:dyDescent="0.3">
      <c r="A1855" s="302"/>
      <c r="B1855" s="303"/>
      <c r="C1855" s="303"/>
      <c r="D1855" s="304"/>
      <c r="E1855" s="304"/>
      <c r="F1855" s="304"/>
      <c r="G1855" s="304"/>
      <c r="H1855" s="303"/>
      <c r="I1855" s="304"/>
    </row>
    <row r="1856" spans="1:9" x14ac:dyDescent="0.3">
      <c r="A1856" s="302"/>
      <c r="B1856" s="303"/>
      <c r="C1856" s="303"/>
      <c r="D1856" s="304"/>
      <c r="E1856" s="304"/>
      <c r="F1856" s="304"/>
      <c r="G1856" s="304"/>
      <c r="H1856" s="303"/>
      <c r="I1856" s="304"/>
    </row>
    <row r="1857" spans="1:9" x14ac:dyDescent="0.3">
      <c r="A1857" s="302"/>
      <c r="B1857" s="303"/>
      <c r="C1857" s="303"/>
      <c r="D1857" s="304"/>
      <c r="E1857" s="304"/>
      <c r="F1857" s="304"/>
      <c r="G1857" s="304"/>
      <c r="H1857" s="303"/>
      <c r="I1857" s="304"/>
    </row>
    <row r="1858" spans="1:9" x14ac:dyDescent="0.3">
      <c r="A1858" s="302"/>
      <c r="B1858" s="303"/>
      <c r="C1858" s="303"/>
      <c r="D1858" s="304"/>
      <c r="E1858" s="304"/>
      <c r="F1858" s="304"/>
      <c r="G1858" s="304"/>
      <c r="H1858" s="303"/>
      <c r="I1858" s="304"/>
    </row>
    <row r="1859" spans="1:9" x14ac:dyDescent="0.3">
      <c r="A1859" s="302"/>
      <c r="B1859" s="303"/>
      <c r="C1859" s="303"/>
      <c r="D1859" s="304"/>
      <c r="E1859" s="304"/>
      <c r="F1859" s="304"/>
      <c r="G1859" s="304"/>
      <c r="H1859" s="303"/>
      <c r="I1859" s="304"/>
    </row>
    <row r="1860" spans="1:9" x14ac:dyDescent="0.3">
      <c r="A1860" s="302"/>
      <c r="B1860" s="303"/>
      <c r="C1860" s="303"/>
      <c r="D1860" s="304"/>
      <c r="E1860" s="304"/>
      <c r="F1860" s="304"/>
      <c r="G1860" s="304"/>
      <c r="H1860" s="303"/>
      <c r="I1860" s="304"/>
    </row>
    <row r="1861" spans="1:9" x14ac:dyDescent="0.3">
      <c r="A1861" s="302"/>
      <c r="B1861" s="303"/>
      <c r="C1861" s="303"/>
      <c r="D1861" s="304"/>
      <c r="E1861" s="304"/>
      <c r="F1861" s="304"/>
      <c r="G1861" s="304"/>
      <c r="H1861" s="303"/>
      <c r="I1861" s="304"/>
    </row>
    <row r="1862" spans="1:9" x14ac:dyDescent="0.3">
      <c r="A1862" s="302"/>
      <c r="B1862" s="303"/>
      <c r="C1862" s="303"/>
      <c r="D1862" s="304"/>
      <c r="E1862" s="304"/>
      <c r="F1862" s="304"/>
      <c r="G1862" s="304"/>
      <c r="H1862" s="303"/>
      <c r="I1862" s="304"/>
    </row>
    <row r="1863" spans="1:9" x14ac:dyDescent="0.3">
      <c r="A1863" s="302"/>
      <c r="B1863" s="303"/>
      <c r="C1863" s="303"/>
      <c r="D1863" s="304"/>
      <c r="E1863" s="304"/>
      <c r="F1863" s="304"/>
      <c r="G1863" s="304"/>
      <c r="H1863" s="303"/>
      <c r="I1863" s="304"/>
    </row>
    <row r="1864" spans="1:9" x14ac:dyDescent="0.3">
      <c r="A1864" s="302"/>
      <c r="B1864" s="303"/>
      <c r="C1864" s="303"/>
      <c r="D1864" s="304"/>
      <c r="E1864" s="304"/>
      <c r="F1864" s="304"/>
      <c r="G1864" s="304"/>
      <c r="H1864" s="303"/>
      <c r="I1864" s="304"/>
    </row>
    <row r="1865" spans="1:9" x14ac:dyDescent="0.3">
      <c r="A1865" s="302"/>
      <c r="B1865" s="303"/>
      <c r="C1865" s="303"/>
      <c r="D1865" s="304"/>
      <c r="E1865" s="304"/>
      <c r="F1865" s="304"/>
      <c r="G1865" s="304"/>
      <c r="H1865" s="303"/>
      <c r="I1865" s="304"/>
    </row>
    <row r="1866" spans="1:9" x14ac:dyDescent="0.3">
      <c r="A1866" s="302"/>
      <c r="B1866" s="303"/>
      <c r="C1866" s="303"/>
      <c r="D1866" s="304"/>
      <c r="E1866" s="304"/>
      <c r="F1866" s="304"/>
      <c r="G1866" s="304"/>
      <c r="H1866" s="303"/>
      <c r="I1866" s="304"/>
    </row>
    <row r="1867" spans="1:9" x14ac:dyDescent="0.3">
      <c r="A1867" s="302"/>
      <c r="B1867" s="303"/>
      <c r="C1867" s="303"/>
      <c r="D1867" s="304"/>
      <c r="E1867" s="304"/>
      <c r="F1867" s="304"/>
      <c r="G1867" s="304"/>
      <c r="H1867" s="303"/>
      <c r="I1867" s="304"/>
    </row>
    <row r="1868" spans="1:9" x14ac:dyDescent="0.3">
      <c r="A1868" s="302"/>
      <c r="B1868" s="303"/>
      <c r="C1868" s="303"/>
      <c r="D1868" s="304"/>
      <c r="E1868" s="304"/>
      <c r="F1868" s="304"/>
      <c r="G1868" s="304"/>
      <c r="H1868" s="303"/>
      <c r="I1868" s="304"/>
    </row>
    <row r="1869" spans="1:9" x14ac:dyDescent="0.3">
      <c r="A1869" s="302"/>
      <c r="B1869" s="303"/>
      <c r="C1869" s="303"/>
      <c r="D1869" s="304"/>
      <c r="E1869" s="304"/>
      <c r="F1869" s="304"/>
      <c r="G1869" s="304"/>
      <c r="H1869" s="303"/>
      <c r="I1869" s="304"/>
    </row>
    <row r="1870" spans="1:9" x14ac:dyDescent="0.3">
      <c r="A1870" s="302"/>
      <c r="B1870" s="303"/>
      <c r="C1870" s="303"/>
      <c r="D1870" s="304"/>
      <c r="E1870" s="304"/>
      <c r="F1870" s="304"/>
      <c r="G1870" s="304"/>
      <c r="H1870" s="303"/>
      <c r="I1870" s="304"/>
    </row>
    <row r="1871" spans="1:9" x14ac:dyDescent="0.3">
      <c r="A1871" s="302"/>
      <c r="B1871" s="303"/>
      <c r="C1871" s="303"/>
      <c r="D1871" s="304"/>
      <c r="E1871" s="304"/>
      <c r="F1871" s="304"/>
      <c r="G1871" s="304"/>
      <c r="H1871" s="303"/>
      <c r="I1871" s="304"/>
    </row>
    <row r="1872" spans="1:9" x14ac:dyDescent="0.3">
      <c r="A1872" s="302"/>
      <c r="B1872" s="303"/>
      <c r="C1872" s="303"/>
      <c r="D1872" s="304"/>
      <c r="E1872" s="304"/>
      <c r="F1872" s="304"/>
      <c r="G1872" s="304"/>
      <c r="H1872" s="303"/>
      <c r="I1872" s="304"/>
    </row>
    <row r="1873" spans="1:9" x14ac:dyDescent="0.3">
      <c r="A1873" s="302"/>
      <c r="B1873" s="303"/>
      <c r="C1873" s="303"/>
      <c r="D1873" s="304"/>
      <c r="E1873" s="304"/>
      <c r="F1873" s="304"/>
      <c r="G1873" s="304"/>
      <c r="H1873" s="303"/>
      <c r="I1873" s="304"/>
    </row>
    <row r="1874" spans="1:9" x14ac:dyDescent="0.3">
      <c r="A1874" s="302"/>
      <c r="B1874" s="303"/>
      <c r="C1874" s="303"/>
      <c r="D1874" s="304"/>
      <c r="E1874" s="304"/>
      <c r="F1874" s="304"/>
      <c r="G1874" s="304"/>
      <c r="H1874" s="303"/>
      <c r="I1874" s="304"/>
    </row>
    <row r="1875" spans="1:9" x14ac:dyDescent="0.3">
      <c r="A1875" s="302"/>
      <c r="B1875" s="303"/>
      <c r="C1875" s="303"/>
      <c r="D1875" s="304"/>
      <c r="E1875" s="304"/>
      <c r="F1875" s="304"/>
      <c r="G1875" s="304"/>
      <c r="H1875" s="303"/>
      <c r="I1875" s="304"/>
    </row>
    <row r="1876" spans="1:9" x14ac:dyDescent="0.3">
      <c r="A1876" s="302"/>
      <c r="B1876" s="303"/>
      <c r="C1876" s="303"/>
      <c r="D1876" s="304"/>
      <c r="E1876" s="304"/>
      <c r="F1876" s="304"/>
      <c r="G1876" s="304"/>
      <c r="H1876" s="303"/>
      <c r="I1876" s="304"/>
    </row>
    <row r="1877" spans="1:9" x14ac:dyDescent="0.3">
      <c r="A1877" s="302"/>
      <c r="B1877" s="303"/>
      <c r="C1877" s="303"/>
      <c r="D1877" s="304"/>
      <c r="E1877" s="304"/>
      <c r="F1877" s="304"/>
      <c r="G1877" s="304"/>
      <c r="H1877" s="303"/>
      <c r="I1877" s="304"/>
    </row>
    <row r="1878" spans="1:9" x14ac:dyDescent="0.3">
      <c r="A1878" s="302"/>
      <c r="B1878" s="303"/>
      <c r="C1878" s="303"/>
      <c r="D1878" s="304"/>
      <c r="E1878" s="304"/>
      <c r="F1878" s="304"/>
      <c r="G1878" s="304"/>
      <c r="H1878" s="303"/>
      <c r="I1878" s="304"/>
    </row>
    <row r="1879" spans="1:9" x14ac:dyDescent="0.3">
      <c r="A1879" s="302"/>
      <c r="B1879" s="303"/>
      <c r="C1879" s="303"/>
      <c r="D1879" s="304"/>
      <c r="E1879" s="304"/>
      <c r="F1879" s="304"/>
      <c r="G1879" s="304"/>
      <c r="H1879" s="303"/>
      <c r="I1879" s="304"/>
    </row>
    <row r="1880" spans="1:9" x14ac:dyDescent="0.3">
      <c r="A1880" s="302"/>
      <c r="B1880" s="303"/>
      <c r="C1880" s="303"/>
      <c r="D1880" s="304"/>
      <c r="E1880" s="304"/>
      <c r="F1880" s="304"/>
      <c r="G1880" s="304"/>
      <c r="H1880" s="303"/>
      <c r="I1880" s="304"/>
    </row>
    <row r="1881" spans="1:9" x14ac:dyDescent="0.3">
      <c r="A1881" s="302"/>
      <c r="B1881" s="303"/>
      <c r="C1881" s="303"/>
      <c r="D1881" s="304"/>
      <c r="E1881" s="304"/>
      <c r="F1881" s="304"/>
      <c r="G1881" s="304"/>
      <c r="H1881" s="303"/>
      <c r="I1881" s="304"/>
    </row>
    <row r="1882" spans="1:9" x14ac:dyDescent="0.3">
      <c r="A1882" s="302"/>
      <c r="B1882" s="303"/>
      <c r="C1882" s="303"/>
      <c r="D1882" s="304"/>
      <c r="E1882" s="304"/>
      <c r="F1882" s="304"/>
      <c r="G1882" s="304"/>
      <c r="H1882" s="303"/>
      <c r="I1882" s="304"/>
    </row>
    <row r="1883" spans="1:9" x14ac:dyDescent="0.3">
      <c r="A1883" s="302"/>
      <c r="B1883" s="303"/>
      <c r="C1883" s="303"/>
      <c r="D1883" s="304"/>
      <c r="E1883" s="304"/>
      <c r="F1883" s="304"/>
      <c r="G1883" s="304"/>
      <c r="H1883" s="303"/>
      <c r="I1883" s="304"/>
    </row>
    <row r="1884" spans="1:9" x14ac:dyDescent="0.3">
      <c r="A1884" s="302"/>
      <c r="B1884" s="303"/>
      <c r="C1884" s="303"/>
      <c r="D1884" s="304"/>
      <c r="E1884" s="304"/>
      <c r="F1884" s="304"/>
      <c r="G1884" s="304"/>
      <c r="H1884" s="303"/>
      <c r="I1884" s="304"/>
    </row>
    <row r="1885" spans="1:9" x14ac:dyDescent="0.3">
      <c r="A1885" s="302"/>
      <c r="B1885" s="303"/>
      <c r="C1885" s="303"/>
      <c r="D1885" s="304"/>
      <c r="E1885" s="304"/>
      <c r="F1885" s="304"/>
      <c r="G1885" s="304"/>
      <c r="H1885" s="303"/>
      <c r="I1885" s="304"/>
    </row>
    <row r="1886" spans="1:9" x14ac:dyDescent="0.3">
      <c r="A1886" s="302"/>
      <c r="B1886" s="303"/>
      <c r="C1886" s="303"/>
      <c r="D1886" s="304"/>
      <c r="E1886" s="304"/>
      <c r="F1886" s="304"/>
      <c r="G1886" s="304"/>
      <c r="H1886" s="303"/>
      <c r="I1886" s="304"/>
    </row>
    <row r="1887" spans="1:9" x14ac:dyDescent="0.3">
      <c r="A1887" s="302"/>
      <c r="B1887" s="303"/>
      <c r="C1887" s="303"/>
      <c r="D1887" s="304"/>
      <c r="E1887" s="304"/>
      <c r="F1887" s="304"/>
      <c r="G1887" s="304"/>
      <c r="H1887" s="303"/>
      <c r="I1887" s="304"/>
    </row>
    <row r="1888" spans="1:9" x14ac:dyDescent="0.3">
      <c r="A1888" s="302"/>
      <c r="B1888" s="303"/>
      <c r="C1888" s="303"/>
      <c r="D1888" s="304"/>
      <c r="E1888" s="304"/>
      <c r="F1888" s="304"/>
      <c r="G1888" s="304"/>
      <c r="H1888" s="303"/>
      <c r="I1888" s="304"/>
    </row>
    <row r="1889" spans="1:9" x14ac:dyDescent="0.3">
      <c r="A1889" s="302"/>
      <c r="B1889" s="303"/>
      <c r="C1889" s="303"/>
      <c r="D1889" s="304"/>
      <c r="E1889" s="304"/>
      <c r="F1889" s="304"/>
      <c r="G1889" s="304"/>
      <c r="H1889" s="303"/>
      <c r="I1889" s="304"/>
    </row>
    <row r="1890" spans="1:9" x14ac:dyDescent="0.3">
      <c r="A1890" s="302"/>
      <c r="B1890" s="303"/>
      <c r="C1890" s="303"/>
      <c r="D1890" s="304"/>
      <c r="E1890" s="304"/>
      <c r="F1890" s="304"/>
      <c r="G1890" s="304"/>
      <c r="H1890" s="303"/>
      <c r="I1890" s="304"/>
    </row>
    <row r="1891" spans="1:9" x14ac:dyDescent="0.3">
      <c r="A1891" s="302"/>
      <c r="B1891" s="303"/>
      <c r="C1891" s="303"/>
      <c r="D1891" s="304"/>
      <c r="E1891" s="304"/>
      <c r="F1891" s="304"/>
      <c r="G1891" s="304"/>
      <c r="H1891" s="303"/>
      <c r="I1891" s="304"/>
    </row>
    <row r="1892" spans="1:9" x14ac:dyDescent="0.3">
      <c r="A1892" s="302"/>
      <c r="B1892" s="303"/>
      <c r="C1892" s="303"/>
      <c r="D1892" s="304"/>
      <c r="E1892" s="304"/>
      <c r="F1892" s="304"/>
      <c r="G1892" s="304"/>
      <c r="H1892" s="303"/>
      <c r="I1892" s="304"/>
    </row>
    <row r="1893" spans="1:9" x14ac:dyDescent="0.3">
      <c r="A1893" s="302"/>
      <c r="B1893" s="303"/>
      <c r="C1893" s="303"/>
      <c r="D1893" s="304"/>
      <c r="E1893" s="304"/>
      <c r="F1893" s="304"/>
      <c r="G1893" s="304"/>
      <c r="H1893" s="303"/>
      <c r="I1893" s="304"/>
    </row>
    <row r="1894" spans="1:9" x14ac:dyDescent="0.3">
      <c r="A1894" s="302"/>
      <c r="B1894" s="303"/>
      <c r="C1894" s="303"/>
      <c r="D1894" s="304"/>
      <c r="E1894" s="304"/>
      <c r="F1894" s="304"/>
      <c r="G1894" s="304"/>
      <c r="H1894" s="303"/>
      <c r="I1894" s="304"/>
    </row>
    <row r="1895" spans="1:9" x14ac:dyDescent="0.3">
      <c r="A1895" s="302"/>
      <c r="B1895" s="303"/>
      <c r="C1895" s="303"/>
      <c r="D1895" s="304"/>
      <c r="E1895" s="304"/>
      <c r="F1895" s="304"/>
      <c r="G1895" s="304"/>
      <c r="H1895" s="303"/>
      <c r="I1895" s="304"/>
    </row>
    <row r="1896" spans="1:9" x14ac:dyDescent="0.3">
      <c r="A1896" s="302"/>
      <c r="B1896" s="303"/>
      <c r="C1896" s="303"/>
      <c r="D1896" s="304"/>
      <c r="E1896" s="304"/>
      <c r="F1896" s="304"/>
      <c r="G1896" s="304"/>
      <c r="H1896" s="303"/>
      <c r="I1896" s="304"/>
    </row>
    <row r="1897" spans="1:9" x14ac:dyDescent="0.3">
      <c r="A1897" s="302"/>
      <c r="B1897" s="303"/>
      <c r="C1897" s="303"/>
      <c r="D1897" s="304"/>
      <c r="E1897" s="304"/>
      <c r="F1897" s="304"/>
      <c r="G1897" s="304"/>
      <c r="H1897" s="303"/>
      <c r="I1897" s="304"/>
    </row>
    <row r="1898" spans="1:9" x14ac:dyDescent="0.3">
      <c r="A1898" s="302"/>
      <c r="B1898" s="303"/>
      <c r="C1898" s="303"/>
      <c r="D1898" s="304"/>
      <c r="E1898" s="304"/>
      <c r="F1898" s="304"/>
      <c r="G1898" s="304"/>
      <c r="H1898" s="303"/>
      <c r="I1898" s="304"/>
    </row>
    <row r="1899" spans="1:9" x14ac:dyDescent="0.3">
      <c r="A1899" s="302"/>
      <c r="B1899" s="303"/>
      <c r="C1899" s="303"/>
      <c r="D1899" s="304"/>
      <c r="E1899" s="304"/>
      <c r="F1899" s="304"/>
      <c r="G1899" s="304"/>
      <c r="H1899" s="303"/>
      <c r="I1899" s="304"/>
    </row>
    <row r="1900" spans="1:9" x14ac:dyDescent="0.3">
      <c r="A1900" s="302"/>
      <c r="B1900" s="303"/>
      <c r="C1900" s="303"/>
      <c r="D1900" s="304"/>
      <c r="E1900" s="304"/>
      <c r="F1900" s="304"/>
      <c r="G1900" s="304"/>
      <c r="H1900" s="303"/>
      <c r="I1900" s="304"/>
    </row>
    <row r="1901" spans="1:9" x14ac:dyDescent="0.3">
      <c r="A1901" s="302"/>
      <c r="B1901" s="303"/>
      <c r="C1901" s="303"/>
      <c r="D1901" s="304"/>
      <c r="E1901" s="304"/>
      <c r="F1901" s="304"/>
      <c r="G1901" s="304"/>
      <c r="H1901" s="303"/>
      <c r="I1901" s="304"/>
    </row>
    <row r="1902" spans="1:9" x14ac:dyDescent="0.3">
      <c r="A1902" s="302"/>
      <c r="B1902" s="303"/>
      <c r="C1902" s="303"/>
      <c r="D1902" s="304"/>
      <c r="E1902" s="304"/>
      <c r="F1902" s="304"/>
      <c r="G1902" s="304"/>
      <c r="H1902" s="303"/>
      <c r="I1902" s="304"/>
    </row>
    <row r="1903" spans="1:9" x14ac:dyDescent="0.3">
      <c r="A1903" s="302"/>
      <c r="B1903" s="303"/>
      <c r="C1903" s="303"/>
      <c r="D1903" s="304"/>
      <c r="E1903" s="304"/>
      <c r="F1903" s="304"/>
      <c r="G1903" s="304"/>
      <c r="H1903" s="303"/>
      <c r="I1903" s="304"/>
    </row>
    <row r="1904" spans="1:9" x14ac:dyDescent="0.3">
      <c r="A1904" s="302"/>
      <c r="B1904" s="303"/>
      <c r="C1904" s="303"/>
      <c r="D1904" s="304"/>
      <c r="E1904" s="304"/>
      <c r="F1904" s="304"/>
      <c r="G1904" s="304"/>
      <c r="H1904" s="303"/>
      <c r="I1904" s="304"/>
    </row>
    <row r="1905" spans="1:9" x14ac:dyDescent="0.3">
      <c r="A1905" s="302"/>
      <c r="B1905" s="303"/>
      <c r="C1905" s="303"/>
      <c r="D1905" s="304"/>
      <c r="E1905" s="304"/>
      <c r="F1905" s="304"/>
      <c r="G1905" s="304"/>
      <c r="H1905" s="303"/>
      <c r="I1905" s="304"/>
    </row>
    <row r="1906" spans="1:9" x14ac:dyDescent="0.3">
      <c r="A1906" s="302"/>
      <c r="B1906" s="303"/>
      <c r="C1906" s="303"/>
      <c r="D1906" s="304"/>
      <c r="E1906" s="304"/>
      <c r="F1906" s="304"/>
      <c r="G1906" s="304"/>
      <c r="H1906" s="303"/>
      <c r="I1906" s="304"/>
    </row>
    <row r="1907" spans="1:9" x14ac:dyDescent="0.3">
      <c r="A1907" s="302"/>
      <c r="B1907" s="303"/>
      <c r="C1907" s="303"/>
      <c r="D1907" s="304"/>
      <c r="E1907" s="304"/>
      <c r="F1907" s="304"/>
      <c r="G1907" s="304"/>
      <c r="H1907" s="303"/>
      <c r="I1907" s="304"/>
    </row>
    <row r="1908" spans="1:9" x14ac:dyDescent="0.3">
      <c r="A1908" s="302"/>
      <c r="B1908" s="303"/>
      <c r="C1908" s="303"/>
      <c r="D1908" s="304"/>
      <c r="E1908" s="304"/>
      <c r="F1908" s="304"/>
      <c r="G1908" s="304"/>
      <c r="H1908" s="303"/>
      <c r="I1908" s="304"/>
    </row>
    <row r="1909" spans="1:9" x14ac:dyDescent="0.3">
      <c r="A1909" s="302"/>
      <c r="B1909" s="303"/>
      <c r="C1909" s="303"/>
      <c r="D1909" s="304"/>
      <c r="E1909" s="304"/>
      <c r="F1909" s="304"/>
      <c r="G1909" s="304"/>
      <c r="H1909" s="303"/>
      <c r="I1909" s="304"/>
    </row>
    <row r="1910" spans="1:9" x14ac:dyDescent="0.3">
      <c r="A1910" s="302"/>
      <c r="B1910" s="303"/>
      <c r="C1910" s="303"/>
      <c r="D1910" s="304"/>
      <c r="E1910" s="304"/>
      <c r="F1910" s="304"/>
      <c r="G1910" s="304"/>
      <c r="H1910" s="303"/>
      <c r="I1910" s="304"/>
    </row>
    <row r="1911" spans="1:9" x14ac:dyDescent="0.3">
      <c r="A1911" s="302"/>
      <c r="B1911" s="303"/>
      <c r="C1911" s="303"/>
      <c r="D1911" s="304"/>
      <c r="E1911" s="304"/>
      <c r="F1911" s="304"/>
      <c r="G1911" s="304"/>
      <c r="H1911" s="303"/>
      <c r="I1911" s="304"/>
    </row>
    <row r="1912" spans="1:9" x14ac:dyDescent="0.3">
      <c r="A1912" s="302"/>
      <c r="B1912" s="303"/>
      <c r="C1912" s="303"/>
      <c r="D1912" s="304"/>
      <c r="E1912" s="304"/>
      <c r="F1912" s="304"/>
      <c r="G1912" s="304"/>
      <c r="H1912" s="303"/>
      <c r="I1912" s="304"/>
    </row>
    <row r="1913" spans="1:9" x14ac:dyDescent="0.3">
      <c r="A1913" s="302"/>
      <c r="B1913" s="303"/>
      <c r="C1913" s="303"/>
      <c r="D1913" s="304"/>
      <c r="E1913" s="304"/>
      <c r="F1913" s="304"/>
      <c r="G1913" s="304"/>
      <c r="H1913" s="303"/>
      <c r="I1913" s="304"/>
    </row>
    <row r="1914" spans="1:9" x14ac:dyDescent="0.3">
      <c r="A1914" s="302"/>
      <c r="B1914" s="303"/>
      <c r="C1914" s="303"/>
      <c r="D1914" s="304"/>
      <c r="E1914" s="304"/>
      <c r="F1914" s="304"/>
      <c r="G1914" s="304"/>
      <c r="H1914" s="303"/>
      <c r="I1914" s="304"/>
    </row>
    <row r="1915" spans="1:9" x14ac:dyDescent="0.3">
      <c r="A1915" s="302"/>
      <c r="B1915" s="303"/>
      <c r="C1915" s="303"/>
      <c r="D1915" s="304"/>
      <c r="E1915" s="304"/>
      <c r="F1915" s="304"/>
      <c r="G1915" s="304"/>
      <c r="H1915" s="303"/>
      <c r="I1915" s="304"/>
    </row>
    <row r="1916" spans="1:9" x14ac:dyDescent="0.3">
      <c r="A1916" s="302"/>
      <c r="B1916" s="303"/>
      <c r="C1916" s="303"/>
      <c r="D1916" s="304"/>
      <c r="E1916" s="304"/>
      <c r="F1916" s="304"/>
      <c r="G1916" s="304"/>
      <c r="H1916" s="303"/>
      <c r="I1916" s="304"/>
    </row>
    <row r="1917" spans="1:9" x14ac:dyDescent="0.3">
      <c r="A1917" s="302"/>
      <c r="B1917" s="303"/>
      <c r="C1917" s="303"/>
      <c r="D1917" s="304"/>
      <c r="E1917" s="304"/>
      <c r="F1917" s="304"/>
      <c r="G1917" s="304"/>
      <c r="H1917" s="303"/>
      <c r="I1917" s="304"/>
    </row>
    <row r="1918" spans="1:9" x14ac:dyDescent="0.3">
      <c r="A1918" s="302"/>
      <c r="B1918" s="303"/>
      <c r="C1918" s="303"/>
      <c r="D1918" s="304"/>
      <c r="E1918" s="304"/>
      <c r="F1918" s="304"/>
      <c r="G1918" s="304"/>
      <c r="H1918" s="303"/>
      <c r="I1918" s="304"/>
    </row>
    <row r="1919" spans="1:9" x14ac:dyDescent="0.3">
      <c r="A1919" s="302"/>
      <c r="B1919" s="303"/>
      <c r="C1919" s="303"/>
      <c r="D1919" s="304"/>
      <c r="E1919" s="304"/>
      <c r="F1919" s="304"/>
      <c r="G1919" s="304"/>
      <c r="H1919" s="303"/>
      <c r="I1919" s="304"/>
    </row>
    <row r="1920" spans="1:9" x14ac:dyDescent="0.3">
      <c r="A1920" s="302"/>
      <c r="B1920" s="303"/>
      <c r="C1920" s="303"/>
      <c r="D1920" s="304"/>
      <c r="E1920" s="304"/>
      <c r="F1920" s="304"/>
      <c r="G1920" s="304"/>
      <c r="H1920" s="303"/>
      <c r="I1920" s="304"/>
    </row>
    <row r="1921" spans="1:9" x14ac:dyDescent="0.3">
      <c r="A1921" s="302"/>
      <c r="B1921" s="303"/>
      <c r="C1921" s="303"/>
      <c r="D1921" s="304"/>
      <c r="E1921" s="304"/>
      <c r="F1921" s="304"/>
      <c r="G1921" s="304"/>
      <c r="H1921" s="303"/>
      <c r="I1921" s="304"/>
    </row>
    <row r="1922" spans="1:9" x14ac:dyDescent="0.3">
      <c r="A1922" s="302"/>
      <c r="B1922" s="303"/>
      <c r="C1922" s="303"/>
      <c r="D1922" s="304"/>
      <c r="E1922" s="304"/>
      <c r="F1922" s="304"/>
      <c r="G1922" s="304"/>
      <c r="H1922" s="303"/>
      <c r="I1922" s="304"/>
    </row>
    <row r="1923" spans="1:9" x14ac:dyDescent="0.3">
      <c r="A1923" s="302"/>
      <c r="B1923" s="303"/>
      <c r="C1923" s="303"/>
      <c r="D1923" s="304"/>
      <c r="E1923" s="304"/>
      <c r="F1923" s="304"/>
      <c r="G1923" s="304"/>
      <c r="H1923" s="303"/>
      <c r="I1923" s="304"/>
    </row>
    <row r="1924" spans="1:9" x14ac:dyDescent="0.3">
      <c r="A1924" s="302"/>
      <c r="B1924" s="303"/>
      <c r="C1924" s="303"/>
      <c r="D1924" s="304"/>
      <c r="E1924" s="304"/>
      <c r="F1924" s="304"/>
      <c r="G1924" s="304"/>
      <c r="H1924" s="303"/>
      <c r="I1924" s="304"/>
    </row>
    <row r="1925" spans="1:9" x14ac:dyDescent="0.3">
      <c r="A1925" s="302"/>
      <c r="B1925" s="303"/>
      <c r="C1925" s="303"/>
      <c r="D1925" s="304"/>
      <c r="E1925" s="304"/>
      <c r="F1925" s="304"/>
      <c r="G1925" s="304"/>
      <c r="H1925" s="303"/>
      <c r="I1925" s="304"/>
    </row>
    <row r="1926" spans="1:9" x14ac:dyDescent="0.3">
      <c r="A1926" s="302"/>
      <c r="B1926" s="303"/>
      <c r="C1926" s="303"/>
      <c r="D1926" s="304"/>
      <c r="E1926" s="304"/>
      <c r="F1926" s="304"/>
      <c r="G1926" s="304"/>
      <c r="H1926" s="303"/>
      <c r="I1926" s="304"/>
    </row>
    <row r="1927" spans="1:9" x14ac:dyDescent="0.3">
      <c r="A1927" s="302"/>
      <c r="B1927" s="303"/>
      <c r="C1927" s="303"/>
      <c r="D1927" s="304"/>
      <c r="E1927" s="304"/>
      <c r="F1927" s="304"/>
      <c r="G1927" s="304"/>
      <c r="H1927" s="303"/>
      <c r="I1927" s="304"/>
    </row>
    <row r="1928" spans="1:9" x14ac:dyDescent="0.3">
      <c r="A1928" s="302"/>
      <c r="B1928" s="303"/>
      <c r="C1928" s="303"/>
      <c r="D1928" s="304"/>
      <c r="E1928" s="304"/>
      <c r="F1928" s="304"/>
      <c r="G1928" s="304"/>
      <c r="H1928" s="303"/>
      <c r="I1928" s="304"/>
    </row>
    <row r="1929" spans="1:9" x14ac:dyDescent="0.3">
      <c r="A1929" s="302"/>
      <c r="B1929" s="303"/>
      <c r="C1929" s="303"/>
      <c r="D1929" s="304"/>
      <c r="E1929" s="304"/>
      <c r="F1929" s="304"/>
      <c r="G1929" s="304"/>
      <c r="H1929" s="303"/>
      <c r="I1929" s="304"/>
    </row>
    <row r="1930" spans="1:9" x14ac:dyDescent="0.3">
      <c r="A1930" s="302"/>
      <c r="B1930" s="303"/>
      <c r="C1930" s="303"/>
      <c r="D1930" s="304"/>
      <c r="E1930" s="304"/>
      <c r="F1930" s="304"/>
      <c r="G1930" s="304"/>
      <c r="H1930" s="303"/>
      <c r="I1930" s="304"/>
    </row>
    <row r="1931" spans="1:9" x14ac:dyDescent="0.3">
      <c r="A1931" s="302"/>
      <c r="B1931" s="303"/>
      <c r="C1931" s="303"/>
      <c r="D1931" s="304"/>
      <c r="E1931" s="304"/>
      <c r="F1931" s="304"/>
      <c r="G1931" s="304"/>
      <c r="H1931" s="303"/>
      <c r="I1931" s="304"/>
    </row>
    <row r="1932" spans="1:9" x14ac:dyDescent="0.3">
      <c r="A1932" s="302"/>
      <c r="B1932" s="303"/>
      <c r="C1932" s="303"/>
      <c r="D1932" s="304"/>
      <c r="E1932" s="304"/>
      <c r="F1932" s="304"/>
      <c r="G1932" s="304"/>
      <c r="H1932" s="303"/>
      <c r="I1932" s="304"/>
    </row>
    <row r="1933" spans="1:9" x14ac:dyDescent="0.3">
      <c r="A1933" s="302"/>
      <c r="B1933" s="303"/>
      <c r="C1933" s="303"/>
      <c r="D1933" s="304"/>
      <c r="E1933" s="304"/>
      <c r="F1933" s="304"/>
      <c r="G1933" s="304"/>
      <c r="H1933" s="303"/>
      <c r="I1933" s="304"/>
    </row>
    <row r="1934" spans="1:9" x14ac:dyDescent="0.3">
      <c r="A1934" s="302"/>
      <c r="B1934" s="303"/>
      <c r="C1934" s="303"/>
      <c r="D1934" s="304"/>
      <c r="E1934" s="304"/>
      <c r="F1934" s="304"/>
      <c r="G1934" s="304"/>
      <c r="H1934" s="303"/>
      <c r="I1934" s="304"/>
    </row>
    <row r="1935" spans="1:9" x14ac:dyDescent="0.3">
      <c r="A1935" s="302"/>
      <c r="B1935" s="303"/>
      <c r="C1935" s="303"/>
      <c r="D1935" s="304"/>
      <c r="E1935" s="304"/>
      <c r="F1935" s="304"/>
      <c r="G1935" s="304"/>
      <c r="H1935" s="303"/>
      <c r="I1935" s="304"/>
    </row>
    <row r="1936" spans="1:9" x14ac:dyDescent="0.3">
      <c r="A1936" s="302"/>
      <c r="B1936" s="303"/>
      <c r="C1936" s="303"/>
      <c r="D1936" s="304"/>
      <c r="E1936" s="304"/>
      <c r="F1936" s="304"/>
      <c r="G1936" s="304"/>
      <c r="H1936" s="303"/>
      <c r="I1936" s="304"/>
    </row>
    <row r="1937" spans="1:9" x14ac:dyDescent="0.3">
      <c r="A1937" s="302"/>
      <c r="B1937" s="303"/>
      <c r="C1937" s="303"/>
      <c r="D1937" s="304"/>
      <c r="E1937" s="304"/>
      <c r="F1937" s="304"/>
      <c r="G1937" s="304"/>
      <c r="H1937" s="303"/>
      <c r="I1937" s="304"/>
    </row>
    <row r="1938" spans="1:9" x14ac:dyDescent="0.3">
      <c r="A1938" s="302"/>
      <c r="B1938" s="303"/>
      <c r="C1938" s="303"/>
      <c r="D1938" s="304"/>
      <c r="E1938" s="304"/>
      <c r="F1938" s="304"/>
      <c r="G1938" s="304"/>
      <c r="H1938" s="303"/>
      <c r="I1938" s="304"/>
    </row>
    <row r="1939" spans="1:9" x14ac:dyDescent="0.3">
      <c r="A1939" s="302"/>
      <c r="B1939" s="303"/>
      <c r="C1939" s="303"/>
      <c r="D1939" s="304"/>
      <c r="E1939" s="304"/>
      <c r="F1939" s="304"/>
      <c r="G1939" s="304"/>
      <c r="H1939" s="303"/>
      <c r="I1939" s="304"/>
    </row>
    <row r="1940" spans="1:9" x14ac:dyDescent="0.3">
      <c r="A1940" s="302"/>
      <c r="B1940" s="303"/>
      <c r="C1940" s="303"/>
      <c r="D1940" s="304"/>
      <c r="E1940" s="304"/>
      <c r="F1940" s="304"/>
      <c r="G1940" s="304"/>
      <c r="H1940" s="303"/>
      <c r="I1940" s="304"/>
    </row>
    <row r="1941" spans="1:9" x14ac:dyDescent="0.3">
      <c r="A1941" s="302"/>
      <c r="B1941" s="303"/>
      <c r="C1941" s="303"/>
      <c r="D1941" s="304"/>
      <c r="E1941" s="304"/>
      <c r="F1941" s="304"/>
      <c r="G1941" s="304"/>
      <c r="H1941" s="303"/>
      <c r="I1941" s="304"/>
    </row>
    <row r="1942" spans="1:9" x14ac:dyDescent="0.3">
      <c r="A1942" s="302"/>
      <c r="B1942" s="303"/>
      <c r="C1942" s="303"/>
      <c r="D1942" s="304"/>
      <c r="E1942" s="304"/>
      <c r="F1942" s="304"/>
      <c r="G1942" s="304"/>
      <c r="H1942" s="303"/>
      <c r="I1942" s="304"/>
    </row>
    <row r="1943" spans="1:9" x14ac:dyDescent="0.3">
      <c r="A1943" s="302"/>
      <c r="B1943" s="303"/>
      <c r="C1943" s="303"/>
      <c r="D1943" s="304"/>
      <c r="E1943" s="304"/>
      <c r="F1943" s="304"/>
      <c r="G1943" s="304"/>
      <c r="H1943" s="303"/>
      <c r="I1943" s="304"/>
    </row>
    <row r="1944" spans="1:9" x14ac:dyDescent="0.3">
      <c r="A1944" s="302"/>
      <c r="B1944" s="303"/>
      <c r="C1944" s="303"/>
      <c r="D1944" s="304"/>
      <c r="E1944" s="304"/>
      <c r="F1944" s="304"/>
      <c r="G1944" s="304"/>
      <c r="H1944" s="303"/>
      <c r="I1944" s="304"/>
    </row>
    <row r="1945" spans="1:9" x14ac:dyDescent="0.3">
      <c r="A1945" s="302"/>
      <c r="B1945" s="303"/>
      <c r="C1945" s="303"/>
      <c r="D1945" s="304"/>
      <c r="E1945" s="304"/>
      <c r="F1945" s="304"/>
      <c r="G1945" s="304"/>
      <c r="H1945" s="303"/>
      <c r="I1945" s="304"/>
    </row>
    <row r="1946" spans="1:9" x14ac:dyDescent="0.3">
      <c r="A1946" s="302"/>
      <c r="B1946" s="303"/>
      <c r="C1946" s="303"/>
      <c r="D1946" s="304"/>
      <c r="E1946" s="304"/>
      <c r="F1946" s="304"/>
      <c r="G1946" s="304"/>
      <c r="H1946" s="303"/>
      <c r="I1946" s="304"/>
    </row>
    <row r="1947" spans="1:9" x14ac:dyDescent="0.3">
      <c r="A1947" s="302"/>
      <c r="B1947" s="303"/>
      <c r="C1947" s="303"/>
      <c r="D1947" s="304"/>
      <c r="E1947" s="304"/>
      <c r="F1947" s="304"/>
      <c r="G1947" s="304"/>
      <c r="H1947" s="303"/>
      <c r="I1947" s="304"/>
    </row>
    <row r="1948" spans="1:9" x14ac:dyDescent="0.3">
      <c r="A1948" s="302"/>
      <c r="B1948" s="303"/>
      <c r="C1948" s="303"/>
      <c r="D1948" s="304"/>
      <c r="E1948" s="304"/>
      <c r="F1948" s="304"/>
      <c r="G1948" s="304"/>
      <c r="H1948" s="303"/>
      <c r="I1948" s="304"/>
    </row>
    <row r="1949" spans="1:9" x14ac:dyDescent="0.3">
      <c r="A1949" s="302"/>
      <c r="B1949" s="303"/>
      <c r="C1949" s="303"/>
      <c r="D1949" s="304"/>
      <c r="E1949" s="304"/>
      <c r="F1949" s="304"/>
      <c r="G1949" s="304"/>
      <c r="H1949" s="303"/>
      <c r="I1949" s="304"/>
    </row>
    <row r="1950" spans="1:9" x14ac:dyDescent="0.3">
      <c r="A1950" s="302"/>
      <c r="B1950" s="303"/>
      <c r="C1950" s="303"/>
      <c r="D1950" s="304"/>
      <c r="E1950" s="304"/>
      <c r="F1950" s="304"/>
      <c r="G1950" s="304"/>
      <c r="H1950" s="303"/>
      <c r="I1950" s="304"/>
    </row>
    <row r="1951" spans="1:9" x14ac:dyDescent="0.3">
      <c r="A1951" s="302"/>
      <c r="B1951" s="303"/>
      <c r="C1951" s="303"/>
      <c r="D1951" s="304"/>
      <c r="E1951" s="304"/>
      <c r="F1951" s="304"/>
      <c r="G1951" s="304"/>
      <c r="H1951" s="303"/>
      <c r="I1951" s="304"/>
    </row>
    <row r="1952" spans="1:9" x14ac:dyDescent="0.3">
      <c r="A1952" s="302"/>
      <c r="B1952" s="303"/>
      <c r="C1952" s="303"/>
      <c r="D1952" s="304"/>
      <c r="E1952" s="304"/>
      <c r="F1952" s="304"/>
      <c r="G1952" s="304"/>
      <c r="H1952" s="303"/>
      <c r="I1952" s="304"/>
    </row>
    <row r="1953" spans="1:9" x14ac:dyDescent="0.3">
      <c r="A1953" s="302"/>
      <c r="B1953" s="303"/>
      <c r="C1953" s="303"/>
      <c r="D1953" s="304"/>
      <c r="E1953" s="304"/>
      <c r="F1953" s="304"/>
      <c r="G1953" s="304"/>
      <c r="H1953" s="303"/>
      <c r="I1953" s="304"/>
    </row>
    <row r="1954" spans="1:9" x14ac:dyDescent="0.3">
      <c r="A1954" s="302"/>
      <c r="B1954" s="303"/>
      <c r="C1954" s="303"/>
      <c r="D1954" s="304"/>
      <c r="E1954" s="304"/>
      <c r="F1954" s="304"/>
      <c r="G1954" s="304"/>
      <c r="H1954" s="303"/>
      <c r="I1954" s="304"/>
    </row>
    <row r="1955" spans="1:9" x14ac:dyDescent="0.3">
      <c r="A1955" s="302"/>
      <c r="B1955" s="303"/>
      <c r="C1955" s="303"/>
      <c r="D1955" s="304"/>
      <c r="E1955" s="304"/>
      <c r="F1955" s="304"/>
      <c r="G1955" s="304"/>
      <c r="H1955" s="303"/>
      <c r="I1955" s="304"/>
    </row>
    <row r="1956" spans="1:9" x14ac:dyDescent="0.3">
      <c r="A1956" s="302"/>
      <c r="B1956" s="303"/>
      <c r="C1956" s="303"/>
      <c r="D1956" s="304"/>
      <c r="E1956" s="304"/>
      <c r="F1956" s="304"/>
      <c r="G1956" s="304"/>
      <c r="H1956" s="303"/>
      <c r="I1956" s="304"/>
    </row>
    <row r="1957" spans="1:9" x14ac:dyDescent="0.3">
      <c r="A1957" s="302"/>
      <c r="B1957" s="303"/>
      <c r="C1957" s="303"/>
      <c r="D1957" s="304"/>
      <c r="E1957" s="304"/>
      <c r="F1957" s="304"/>
      <c r="G1957" s="304"/>
      <c r="H1957" s="303"/>
      <c r="I1957" s="304"/>
    </row>
    <row r="1958" spans="1:9" x14ac:dyDescent="0.3">
      <c r="A1958" s="302"/>
      <c r="B1958" s="303"/>
      <c r="C1958" s="303"/>
      <c r="D1958" s="304"/>
      <c r="E1958" s="304"/>
      <c r="F1958" s="304"/>
      <c r="G1958" s="304"/>
      <c r="H1958" s="303"/>
      <c r="I1958" s="304"/>
    </row>
    <row r="1959" spans="1:9" x14ac:dyDescent="0.3">
      <c r="A1959" s="302"/>
      <c r="B1959" s="303"/>
      <c r="C1959" s="303"/>
      <c r="D1959" s="304"/>
      <c r="E1959" s="304"/>
      <c r="F1959" s="304"/>
      <c r="G1959" s="304"/>
      <c r="H1959" s="303"/>
      <c r="I1959" s="304"/>
    </row>
    <row r="1960" spans="1:9" x14ac:dyDescent="0.3">
      <c r="A1960" s="302"/>
      <c r="B1960" s="303"/>
      <c r="C1960" s="303"/>
      <c r="D1960" s="304"/>
      <c r="E1960" s="304"/>
      <c r="F1960" s="304"/>
      <c r="G1960" s="304"/>
      <c r="H1960" s="303"/>
      <c r="I1960" s="304"/>
    </row>
    <row r="1961" spans="1:9" x14ac:dyDescent="0.3">
      <c r="A1961" s="302"/>
      <c r="B1961" s="303"/>
      <c r="C1961" s="303"/>
      <c r="D1961" s="304"/>
      <c r="E1961" s="304"/>
      <c r="F1961" s="304"/>
      <c r="G1961" s="304"/>
      <c r="H1961" s="303"/>
      <c r="I1961" s="304"/>
    </row>
    <row r="1962" spans="1:9" x14ac:dyDescent="0.3">
      <c r="A1962" s="302"/>
      <c r="B1962" s="303"/>
      <c r="C1962" s="303"/>
      <c r="D1962" s="304"/>
      <c r="E1962" s="304"/>
      <c r="F1962" s="304"/>
      <c r="G1962" s="304"/>
      <c r="H1962" s="303"/>
      <c r="I1962" s="304"/>
    </row>
    <row r="1963" spans="1:9" x14ac:dyDescent="0.3">
      <c r="A1963" s="302"/>
      <c r="B1963" s="303"/>
      <c r="C1963" s="303"/>
      <c r="D1963" s="304"/>
      <c r="E1963" s="304"/>
      <c r="F1963" s="304"/>
      <c r="G1963" s="304"/>
      <c r="H1963" s="303"/>
      <c r="I1963" s="304"/>
    </row>
    <row r="1964" spans="1:9" x14ac:dyDescent="0.3">
      <c r="A1964" s="302"/>
      <c r="B1964" s="303"/>
      <c r="C1964" s="303"/>
      <c r="D1964" s="304"/>
      <c r="E1964" s="304"/>
      <c r="F1964" s="304"/>
      <c r="G1964" s="304"/>
      <c r="H1964" s="303"/>
      <c r="I1964" s="304"/>
    </row>
    <row r="1965" spans="1:9" x14ac:dyDescent="0.3">
      <c r="A1965" s="302"/>
      <c r="B1965" s="303"/>
      <c r="C1965" s="303"/>
      <c r="D1965" s="304"/>
      <c r="E1965" s="304"/>
      <c r="F1965" s="304"/>
      <c r="G1965" s="304"/>
      <c r="H1965" s="303"/>
      <c r="I1965" s="304"/>
    </row>
    <row r="1966" spans="1:9" x14ac:dyDescent="0.3">
      <c r="A1966" s="302"/>
      <c r="B1966" s="303"/>
      <c r="C1966" s="303"/>
      <c r="D1966" s="304"/>
      <c r="E1966" s="304"/>
      <c r="F1966" s="304"/>
      <c r="G1966" s="304"/>
      <c r="H1966" s="303"/>
      <c r="I1966" s="304"/>
    </row>
    <row r="1967" spans="1:9" x14ac:dyDescent="0.3">
      <c r="A1967" s="302"/>
      <c r="B1967" s="303"/>
      <c r="C1967" s="303"/>
      <c r="D1967" s="304"/>
      <c r="E1967" s="304"/>
      <c r="F1967" s="304"/>
      <c r="G1967" s="304"/>
      <c r="H1967" s="303"/>
      <c r="I1967" s="304"/>
    </row>
    <row r="1968" spans="1:9" x14ac:dyDescent="0.3">
      <c r="A1968" s="302"/>
      <c r="B1968" s="303"/>
      <c r="C1968" s="303"/>
      <c r="D1968" s="304"/>
      <c r="E1968" s="304"/>
      <c r="F1968" s="304"/>
      <c r="G1968" s="304"/>
      <c r="H1968" s="303"/>
      <c r="I1968" s="304"/>
    </row>
    <row r="1969" spans="1:9" x14ac:dyDescent="0.3">
      <c r="A1969" s="302"/>
      <c r="B1969" s="303"/>
      <c r="C1969" s="303"/>
      <c r="D1969" s="304"/>
      <c r="E1969" s="304"/>
      <c r="F1969" s="304"/>
      <c r="G1969" s="304"/>
      <c r="H1969" s="303"/>
      <c r="I1969" s="304"/>
    </row>
    <row r="1970" spans="1:9" x14ac:dyDescent="0.3">
      <c r="A1970" s="302"/>
      <c r="B1970" s="303"/>
      <c r="C1970" s="303"/>
      <c r="D1970" s="304"/>
      <c r="E1970" s="304"/>
      <c r="F1970" s="304"/>
      <c r="G1970" s="304"/>
      <c r="H1970" s="303"/>
      <c r="I1970" s="304"/>
    </row>
    <row r="1971" spans="1:9" x14ac:dyDescent="0.3">
      <c r="A1971" s="302"/>
      <c r="B1971" s="303"/>
      <c r="C1971" s="303"/>
      <c r="D1971" s="304"/>
      <c r="E1971" s="304"/>
      <c r="F1971" s="304"/>
      <c r="G1971" s="304"/>
      <c r="H1971" s="303"/>
      <c r="I1971" s="304"/>
    </row>
    <row r="1972" spans="1:9" x14ac:dyDescent="0.3">
      <c r="A1972" s="302"/>
      <c r="B1972" s="303"/>
      <c r="C1972" s="303"/>
      <c r="D1972" s="304"/>
      <c r="E1972" s="304"/>
      <c r="F1972" s="304"/>
      <c r="G1972" s="304"/>
      <c r="H1972" s="303"/>
      <c r="I1972" s="304"/>
    </row>
    <row r="1973" spans="1:9" x14ac:dyDescent="0.3">
      <c r="A1973" s="302"/>
      <c r="B1973" s="303"/>
      <c r="C1973" s="303"/>
      <c r="D1973" s="304"/>
      <c r="E1973" s="304"/>
      <c r="F1973" s="304"/>
      <c r="G1973" s="304"/>
      <c r="H1973" s="303"/>
      <c r="I1973" s="304"/>
    </row>
    <row r="1974" spans="1:9" x14ac:dyDescent="0.3">
      <c r="A1974" s="302"/>
      <c r="B1974" s="303"/>
      <c r="C1974" s="303"/>
      <c r="D1974" s="304"/>
      <c r="E1974" s="304"/>
      <c r="F1974" s="304"/>
      <c r="G1974" s="304"/>
      <c r="H1974" s="303"/>
      <c r="I1974" s="304"/>
    </row>
    <row r="1975" spans="1:9" x14ac:dyDescent="0.3">
      <c r="A1975" s="302"/>
      <c r="B1975" s="303"/>
      <c r="C1975" s="303"/>
      <c r="D1975" s="304"/>
      <c r="E1975" s="304"/>
      <c r="F1975" s="304"/>
      <c r="G1975" s="304"/>
      <c r="H1975" s="303"/>
      <c r="I1975" s="304"/>
    </row>
    <row r="1976" spans="1:9" x14ac:dyDescent="0.3">
      <c r="A1976" s="302"/>
      <c r="B1976" s="303"/>
      <c r="C1976" s="303"/>
      <c r="D1976" s="304"/>
      <c r="E1976" s="304"/>
      <c r="F1976" s="304"/>
      <c r="G1976" s="304"/>
      <c r="H1976" s="303"/>
      <c r="I1976" s="304"/>
    </row>
    <row r="1977" spans="1:9" x14ac:dyDescent="0.3">
      <c r="A1977" s="302"/>
      <c r="B1977" s="303"/>
      <c r="C1977" s="303"/>
      <c r="D1977" s="304"/>
      <c r="E1977" s="304"/>
      <c r="F1977" s="304"/>
      <c r="G1977" s="304"/>
      <c r="H1977" s="303"/>
      <c r="I1977" s="304"/>
    </row>
    <row r="1978" spans="1:9" x14ac:dyDescent="0.3">
      <c r="A1978" s="302"/>
      <c r="B1978" s="303"/>
      <c r="C1978" s="303"/>
      <c r="D1978" s="304"/>
      <c r="E1978" s="304"/>
      <c r="F1978" s="304"/>
      <c r="G1978" s="304"/>
      <c r="H1978" s="303"/>
      <c r="I1978" s="304"/>
    </row>
    <row r="1979" spans="1:9" x14ac:dyDescent="0.3">
      <c r="A1979" s="302"/>
      <c r="B1979" s="303"/>
      <c r="C1979" s="303"/>
      <c r="D1979" s="304"/>
      <c r="E1979" s="304"/>
      <c r="F1979" s="304"/>
      <c r="G1979" s="304"/>
      <c r="H1979" s="303"/>
      <c r="I1979" s="304"/>
    </row>
    <row r="1980" spans="1:9" x14ac:dyDescent="0.3">
      <c r="A1980" s="302"/>
      <c r="B1980" s="303"/>
      <c r="C1980" s="303"/>
      <c r="D1980" s="304"/>
      <c r="E1980" s="304"/>
      <c r="F1980" s="304"/>
      <c r="G1980" s="304"/>
      <c r="H1980" s="303"/>
      <c r="I1980" s="304"/>
    </row>
    <row r="1981" spans="1:9" x14ac:dyDescent="0.3">
      <c r="A1981" s="302"/>
      <c r="B1981" s="303"/>
      <c r="C1981" s="303"/>
      <c r="D1981" s="304"/>
      <c r="E1981" s="304"/>
      <c r="F1981" s="304"/>
      <c r="G1981" s="304"/>
      <c r="H1981" s="303"/>
      <c r="I1981" s="304"/>
    </row>
    <row r="1982" spans="1:9" x14ac:dyDescent="0.3">
      <c r="A1982" s="302"/>
      <c r="B1982" s="303"/>
      <c r="C1982" s="303"/>
      <c r="D1982" s="304"/>
      <c r="E1982" s="304"/>
      <c r="F1982" s="304"/>
      <c r="G1982" s="304"/>
      <c r="H1982" s="303"/>
      <c r="I1982" s="304"/>
    </row>
    <row r="1983" spans="1:9" x14ac:dyDescent="0.3">
      <c r="A1983" s="302"/>
      <c r="B1983" s="303"/>
      <c r="C1983" s="303"/>
      <c r="D1983" s="304"/>
      <c r="E1983" s="304"/>
      <c r="F1983" s="304"/>
      <c r="G1983" s="304"/>
      <c r="H1983" s="303"/>
      <c r="I1983" s="304"/>
    </row>
    <row r="1984" spans="1:9" x14ac:dyDescent="0.3">
      <c r="A1984" s="302"/>
      <c r="B1984" s="303"/>
      <c r="C1984" s="303"/>
      <c r="D1984" s="304"/>
      <c r="E1984" s="304"/>
      <c r="F1984" s="304"/>
      <c r="G1984" s="304"/>
      <c r="H1984" s="303"/>
      <c r="I1984" s="304"/>
    </row>
    <row r="1985" spans="1:9" x14ac:dyDescent="0.3">
      <c r="A1985" s="302"/>
      <c r="B1985" s="303"/>
      <c r="C1985" s="303"/>
      <c r="D1985" s="304"/>
      <c r="E1985" s="304"/>
      <c r="F1985" s="304"/>
      <c r="G1985" s="304"/>
      <c r="H1985" s="303"/>
      <c r="I1985" s="304"/>
    </row>
    <row r="1986" spans="1:9" x14ac:dyDescent="0.3">
      <c r="A1986" s="302"/>
      <c r="B1986" s="303"/>
      <c r="C1986" s="303"/>
      <c r="D1986" s="304"/>
      <c r="E1986" s="304"/>
      <c r="F1986" s="304"/>
      <c r="G1986" s="304"/>
      <c r="H1986" s="303"/>
      <c r="I1986" s="304"/>
    </row>
    <row r="1987" spans="1:9" x14ac:dyDescent="0.3">
      <c r="A1987" s="302"/>
      <c r="B1987" s="303"/>
      <c r="C1987" s="303"/>
      <c r="D1987" s="304"/>
      <c r="E1987" s="304"/>
      <c r="F1987" s="304"/>
      <c r="G1987" s="304"/>
      <c r="H1987" s="303"/>
      <c r="I1987" s="304"/>
    </row>
    <row r="1988" spans="1:9" x14ac:dyDescent="0.3">
      <c r="A1988" s="302"/>
      <c r="B1988" s="303"/>
      <c r="C1988" s="303"/>
      <c r="D1988" s="304"/>
      <c r="E1988" s="304"/>
      <c r="F1988" s="304"/>
      <c r="G1988" s="304"/>
      <c r="H1988" s="303"/>
      <c r="I1988" s="304"/>
    </row>
    <row r="1989" spans="1:9" x14ac:dyDescent="0.3">
      <c r="A1989" s="302"/>
      <c r="B1989" s="303"/>
      <c r="C1989" s="303"/>
      <c r="D1989" s="304"/>
      <c r="E1989" s="304"/>
      <c r="F1989" s="304"/>
      <c r="G1989" s="304"/>
      <c r="H1989" s="303"/>
      <c r="I1989" s="304"/>
    </row>
    <row r="1990" spans="1:9" x14ac:dyDescent="0.3">
      <c r="A1990" s="302"/>
      <c r="B1990" s="303"/>
      <c r="C1990" s="303"/>
      <c r="D1990" s="304"/>
      <c r="E1990" s="304"/>
      <c r="F1990" s="304"/>
      <c r="G1990" s="304"/>
      <c r="H1990" s="303"/>
      <c r="I1990" s="304"/>
    </row>
    <row r="1991" spans="1:9" x14ac:dyDescent="0.3">
      <c r="A1991" s="302"/>
      <c r="B1991" s="303"/>
      <c r="C1991" s="303"/>
      <c r="D1991" s="304"/>
      <c r="E1991" s="304"/>
      <c r="F1991" s="304"/>
      <c r="G1991" s="304"/>
      <c r="H1991" s="303"/>
      <c r="I1991" s="304"/>
    </row>
    <row r="1992" spans="1:9" x14ac:dyDescent="0.3">
      <c r="A1992" s="302"/>
      <c r="B1992" s="303"/>
      <c r="C1992" s="303"/>
      <c r="D1992" s="304"/>
      <c r="E1992" s="304"/>
      <c r="F1992" s="304"/>
      <c r="G1992" s="304"/>
      <c r="H1992" s="303"/>
      <c r="I1992" s="304"/>
    </row>
    <row r="1993" spans="1:9" x14ac:dyDescent="0.3">
      <c r="A1993" s="302"/>
      <c r="B1993" s="303"/>
      <c r="C1993" s="303"/>
      <c r="D1993" s="304"/>
      <c r="E1993" s="304"/>
      <c r="F1993" s="304"/>
      <c r="G1993" s="304"/>
      <c r="H1993" s="303"/>
      <c r="I1993" s="304"/>
    </row>
    <row r="1994" spans="1:9" x14ac:dyDescent="0.3">
      <c r="A1994" s="302"/>
      <c r="B1994" s="303"/>
      <c r="C1994" s="303"/>
      <c r="D1994" s="304"/>
      <c r="E1994" s="304"/>
      <c r="F1994" s="304"/>
      <c r="G1994" s="304"/>
      <c r="H1994" s="303"/>
      <c r="I1994" s="304"/>
    </row>
    <row r="1995" spans="1:9" x14ac:dyDescent="0.3">
      <c r="A1995" s="302"/>
      <c r="B1995" s="303"/>
      <c r="C1995" s="303"/>
      <c r="D1995" s="304"/>
      <c r="E1995" s="304"/>
      <c r="F1995" s="304"/>
      <c r="G1995" s="304"/>
      <c r="H1995" s="303"/>
      <c r="I1995" s="304"/>
    </row>
    <row r="1996" spans="1:9" x14ac:dyDescent="0.3">
      <c r="A1996" s="302"/>
      <c r="B1996" s="303"/>
      <c r="C1996" s="303"/>
      <c r="D1996" s="304"/>
      <c r="E1996" s="304"/>
      <c r="F1996" s="304"/>
      <c r="G1996" s="304"/>
      <c r="H1996" s="303"/>
      <c r="I1996" s="304"/>
    </row>
    <row r="1997" spans="1:9" x14ac:dyDescent="0.3">
      <c r="A1997" s="302"/>
      <c r="B1997" s="303"/>
      <c r="C1997" s="303"/>
      <c r="D1997" s="304"/>
      <c r="E1997" s="304"/>
      <c r="F1997" s="304"/>
      <c r="G1997" s="304"/>
      <c r="H1997" s="303"/>
      <c r="I1997" s="304"/>
    </row>
    <row r="1998" spans="1:9" x14ac:dyDescent="0.3">
      <c r="A1998" s="302"/>
      <c r="B1998" s="303"/>
      <c r="C1998" s="303"/>
      <c r="D1998" s="304"/>
      <c r="E1998" s="304"/>
      <c r="F1998" s="304"/>
      <c r="G1998" s="304"/>
      <c r="H1998" s="303"/>
      <c r="I1998" s="304"/>
    </row>
    <row r="1999" spans="1:9" x14ac:dyDescent="0.3">
      <c r="A1999" s="302"/>
      <c r="B1999" s="303"/>
      <c r="C1999" s="303"/>
      <c r="D1999" s="304"/>
      <c r="E1999" s="304"/>
      <c r="F1999" s="304"/>
      <c r="G1999" s="304"/>
      <c r="H1999" s="303"/>
      <c r="I1999" s="304"/>
    </row>
    <row r="2000" spans="1:9" x14ac:dyDescent="0.3">
      <c r="A2000" s="302"/>
      <c r="B2000" s="303"/>
      <c r="C2000" s="303"/>
      <c r="D2000" s="304"/>
      <c r="E2000" s="304"/>
      <c r="F2000" s="304"/>
      <c r="G2000" s="304"/>
      <c r="H2000" s="303"/>
      <c r="I2000" s="304"/>
    </row>
  </sheetData>
  <conditionalFormatting sqref="A2:I2000">
    <cfRule type="expression" dxfId="24" priority="1">
      <formula>AND($B2&lt;&gt;"",MOD(COUNTA($B$2:$B2),2)=1)</formula>
    </cfRule>
    <cfRule type="expression" dxfId="23" priority="3">
      <formula>AND($B2&lt;&gt;"",$B2&lt;&gt;$B1)</formula>
    </cfRule>
  </conditionalFormatting>
  <conditionalFormatting sqref="B2:B2000">
    <cfRule type="expression" dxfId="22" priority="4">
      <formula>AND($B2&lt;&gt;"",$B2&lt;&gt;$B1)</formula>
    </cfRule>
  </conditionalFormatting>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BE24-7155-455A-BE8D-35AA715A0F90}">
  <sheetPr>
    <tabColor rgb="FF2F3A4A"/>
  </sheetPr>
  <dimension ref="A1:O32"/>
  <sheetViews>
    <sheetView showGridLines="0" zoomScale="90" zoomScaleNormal="90" workbookViewId="0">
      <selection activeCell="G20" sqref="G20"/>
    </sheetView>
  </sheetViews>
  <sheetFormatPr defaultColWidth="8.5546875" defaultRowHeight="14.4" x14ac:dyDescent="0.3"/>
  <cols>
    <col min="1" max="1" width="15.5546875" style="1" customWidth="1"/>
    <col min="2" max="2" width="16" style="1" customWidth="1"/>
    <col min="3" max="8" width="14" style="1" customWidth="1"/>
    <col min="9" max="9" width="16" style="1" customWidth="1"/>
    <col min="10" max="10" width="18" style="1" customWidth="1"/>
    <col min="11" max="11" width="8.5546875" style="1"/>
    <col min="12" max="15" width="0" style="1" hidden="1" customWidth="1"/>
    <col min="16" max="16384" width="8.5546875" style="1"/>
  </cols>
  <sheetData>
    <row r="1" spans="1:10" ht="19.5" customHeight="1" x14ac:dyDescent="0.3">
      <c r="A1" s="723" t="s">
        <v>871</v>
      </c>
      <c r="B1" s="723"/>
      <c r="C1" s="723"/>
      <c r="D1" s="723"/>
      <c r="E1" s="723"/>
      <c r="F1" s="723"/>
      <c r="G1" s="723"/>
      <c r="H1" s="723"/>
      <c r="I1" s="723"/>
      <c r="J1" s="723"/>
    </row>
    <row r="2" spans="1:10" ht="14.25" customHeight="1" thickBot="1" x14ac:dyDescent="0.35">
      <c r="A2" s="212" t="s">
        <v>872</v>
      </c>
      <c r="B2" s="211">
        <f>CONFIG!$B$3</f>
        <v>11000</v>
      </c>
      <c r="F2" s="724" t="str">
        <f>"Total de gás no ano: "&amp;TEXT(SUM(J4:J15),"#.##0")&amp;" kg"</f>
        <v>Total de gás no ano: 149.097 kg</v>
      </c>
      <c r="G2" s="724"/>
      <c r="H2" s="724"/>
      <c r="I2" s="725" t="str">
        <f>IF(MAX(J4:J15)=0,"Maior consumo: sem dados","Maior consumo: "&amp;INDEX(A4:A15,MATCH(MAX(J4:J15),J4:J15,0)))</f>
        <v>Maior consumo: JUNHO</v>
      </c>
      <c r="J2" s="725"/>
    </row>
    <row r="3" spans="1:10" ht="14.25" customHeight="1" thickBot="1" x14ac:dyDescent="0.35">
      <c r="A3" s="210" t="s">
        <v>862</v>
      </c>
      <c r="B3" s="210" t="s">
        <v>873</v>
      </c>
      <c r="C3" s="210" t="s">
        <v>874</v>
      </c>
      <c r="D3" s="210" t="s">
        <v>217</v>
      </c>
      <c r="E3" s="210" t="s">
        <v>204</v>
      </c>
      <c r="F3" s="210" t="s">
        <v>1338</v>
      </c>
      <c r="G3" s="210" t="s">
        <v>203</v>
      </c>
      <c r="H3" s="210" t="s">
        <v>875</v>
      </c>
      <c r="I3" s="210" t="s">
        <v>876</v>
      </c>
      <c r="J3" s="210" t="s">
        <v>1339</v>
      </c>
    </row>
    <row r="4" spans="1:10" ht="14.25" customHeight="1" x14ac:dyDescent="0.3">
      <c r="A4" s="209" t="s">
        <v>866</v>
      </c>
      <c r="B4" s="206">
        <f>IFERROR('GRAFICO JANEIRO'!B4,0)</f>
        <v>166293</v>
      </c>
      <c r="C4" s="206">
        <f>IF(H4=0,0,$B$2*H4)</f>
        <v>209000</v>
      </c>
      <c r="D4" s="206">
        <f t="shared" ref="D4:D15" si="0">IF(B4=0,"",B4-C4)</f>
        <v>-42707</v>
      </c>
      <c r="E4" s="208">
        <f t="shared" ref="E4:E15" si="1">IFERROR(IF(B4=0,"",B4/C4),"")</f>
        <v>0.79566028708133973</v>
      </c>
      <c r="F4" s="207">
        <f>IFERROR('GRAFICO JANEIRO'!F4,0)</f>
        <v>8752.2631578947367</v>
      </c>
      <c r="G4" s="206">
        <f>IFERROR('GRAFICO JANEIRO'!H4,0)</f>
        <v>14931</v>
      </c>
      <c r="H4" s="206">
        <f>COUNTIF('GRAFICO JANEIRO'!$C$9:$C$40,"&gt;0")</f>
        <v>19</v>
      </c>
      <c r="I4" s="205" t="str">
        <f t="shared" ref="I4:I15" si="2">IF(B4=0,"Sem dados",IF(E4&gt;=1,"Meta batida","Abaixo da meta"))</f>
        <v>Abaixo da meta</v>
      </c>
      <c r="J4" s="331">
        <f>IFERROR(SUMIFS(GÁS!$O:$O,GÁS!$A:$A,"&gt;="&amp;DATE(2026,1,1),GÁS!$A:$A,"&lt;"&amp;DATE(2026,2,1)),0)</f>
        <v>17099</v>
      </c>
    </row>
    <row r="5" spans="1:10" ht="14.25" customHeight="1" x14ac:dyDescent="0.3">
      <c r="A5" s="204" t="s">
        <v>867</v>
      </c>
      <c r="B5" s="201">
        <f>IFERROR('GRAFICO FEVEREIRO'!B4,0)</f>
        <v>191118</v>
      </c>
      <c r="C5" s="206">
        <f t="shared" ref="C5:C15" si="3">IF(H5=0,0,$B$2*H5)</f>
        <v>187000</v>
      </c>
      <c r="D5" s="201">
        <f t="shared" si="0"/>
        <v>4118</v>
      </c>
      <c r="E5" s="203">
        <f t="shared" si="1"/>
        <v>1.0220213903743316</v>
      </c>
      <c r="F5" s="202">
        <f>IFERROR('GRAFICO FEVEREIRO'!F4,0)</f>
        <v>11242.235294117647</v>
      </c>
      <c r="G5" s="201">
        <f>IFERROR('GRAFICO FEVEREIRO'!H4,0)</f>
        <v>17172</v>
      </c>
      <c r="H5" s="201">
        <f>COUNTIF('GRAFICO FEVEREIRO'!$C$9:$C$40,"&gt;0")</f>
        <v>17</v>
      </c>
      <c r="I5" s="200" t="str">
        <f t="shared" si="2"/>
        <v>Meta batida</v>
      </c>
      <c r="J5" s="332">
        <f>IFERROR(SUMIFS(GÁS!$O:$O,GÁS!$A:$A,"&gt;="&amp;DATE(2026,2,1),GÁS!$A:$A,"&lt;"&amp;DATE(2026,3,1)),0)</f>
        <v>15153</v>
      </c>
    </row>
    <row r="6" spans="1:10" ht="14.25" customHeight="1" x14ac:dyDescent="0.3">
      <c r="A6" s="209" t="s">
        <v>868</v>
      </c>
      <c r="B6" s="206">
        <f>IFERROR('GRAFICO MARÇO'!B4,0)</f>
        <v>280764</v>
      </c>
      <c r="C6" s="206">
        <f t="shared" si="3"/>
        <v>242000</v>
      </c>
      <c r="D6" s="206">
        <f t="shared" si="0"/>
        <v>38764</v>
      </c>
      <c r="E6" s="208">
        <f t="shared" si="1"/>
        <v>1.1601818181818182</v>
      </c>
      <c r="F6" s="207">
        <f>IFERROR('GRAFICO MARÇO'!F4,0)</f>
        <v>12762</v>
      </c>
      <c r="G6" s="206">
        <f>IFERROR('GRAFICO MARÇO'!H4,0)</f>
        <v>17856</v>
      </c>
      <c r="H6" s="206">
        <f>COUNTIF('GRAFICO MARÇO'!$C$9:$C$40,"&gt;0")</f>
        <v>22</v>
      </c>
      <c r="I6" s="205" t="str">
        <f t="shared" si="2"/>
        <v>Meta batida</v>
      </c>
      <c r="J6" s="331">
        <f>IFERROR(SUMIFS(GÁS!$O:$O,GÁS!$A:$A,"&gt;="&amp;DATE(2026,3,1),GÁS!$A:$A,"&lt;"&amp;DATE(2026,4,1)),0)</f>
        <v>21091</v>
      </c>
    </row>
    <row r="7" spans="1:10" ht="14.25" customHeight="1" x14ac:dyDescent="0.3">
      <c r="A7" s="204" t="s">
        <v>869</v>
      </c>
      <c r="B7" s="201">
        <f>IFERROR('GRAFICO ABRIL'!C4,0)</f>
        <v>256482</v>
      </c>
      <c r="C7" s="206">
        <f t="shared" si="3"/>
        <v>242000</v>
      </c>
      <c r="D7" s="201">
        <f t="shared" si="0"/>
        <v>14482</v>
      </c>
      <c r="E7" s="203">
        <f t="shared" si="1"/>
        <v>1.0598429752066116</v>
      </c>
      <c r="F7" s="202">
        <f>IFERROR('GRAFICO ABRIL'!G4,0)</f>
        <v>11658.272727272728</v>
      </c>
      <c r="G7" s="201">
        <f>IFERROR('GRAFICO ABRIL'!I4,0)</f>
        <v>20196</v>
      </c>
      <c r="H7" s="201">
        <f>COUNTIF('GRAFICO ABRIL'!$D$9:$D$40,"&gt;0")</f>
        <v>22</v>
      </c>
      <c r="I7" s="200" t="str">
        <f t="shared" si="2"/>
        <v>Meta batida</v>
      </c>
      <c r="J7" s="332">
        <f>IFERROR(SUMIFS(GÁS!$O:$O,GÁS!$A:$A,"&gt;="&amp;DATE(2026,4,1),GÁS!$A:$A,"&lt;"&amp;DATE(2026,5,1)),0)</f>
        <v>20961</v>
      </c>
    </row>
    <row r="8" spans="1:10" ht="14.25" customHeight="1" x14ac:dyDescent="0.3">
      <c r="A8" s="209" t="s">
        <v>870</v>
      </c>
      <c r="B8" s="206">
        <f>IFERROR('GRAFICO MAIO'!B4,0)</f>
        <v>277080</v>
      </c>
      <c r="C8" s="206">
        <f t="shared" si="3"/>
        <v>286000</v>
      </c>
      <c r="D8" s="206">
        <f t="shared" si="0"/>
        <v>-8920</v>
      </c>
      <c r="E8" s="208">
        <f t="shared" si="1"/>
        <v>0.96881118881118877</v>
      </c>
      <c r="F8" s="207">
        <f>IFERROR('GRAFICO MAIO'!F4,0)</f>
        <v>10656.923076923076</v>
      </c>
      <c r="G8" s="206">
        <f>IFERROR('GRAFICO MAIO'!H4,0)</f>
        <v>18852</v>
      </c>
      <c r="H8" s="206">
        <f>COUNTIF('GRAFICO MAIO'!$C$9:$C$40,"&gt;0")</f>
        <v>26</v>
      </c>
      <c r="I8" s="205" t="str">
        <f t="shared" si="2"/>
        <v>Abaixo da meta</v>
      </c>
      <c r="J8" s="331">
        <f>IFERROR(SUMIFS(GÁS!$O:$O,GÁS!$A:$A,"&gt;="&amp;DATE(2026,5,1),GÁS!$A:$A,"&lt;"&amp;DATE(2026,6,1)),0)</f>
        <v>24551</v>
      </c>
    </row>
    <row r="9" spans="1:10" ht="14.25" customHeight="1" x14ac:dyDescent="0.3">
      <c r="A9" s="204" t="s">
        <v>877</v>
      </c>
      <c r="B9" s="201">
        <f>IFERROR('GRAFICO JUNHO'!B4,0)</f>
        <v>262054</v>
      </c>
      <c r="C9" s="206">
        <f t="shared" si="3"/>
        <v>264000</v>
      </c>
      <c r="D9" s="201">
        <f t="shared" si="0"/>
        <v>-1946</v>
      </c>
      <c r="E9" s="203">
        <f t="shared" si="1"/>
        <v>0.99262878787878783</v>
      </c>
      <c r="F9" s="202">
        <f>IFERROR('GRAFICO JUNHO'!F4,0)</f>
        <v>10918.916666666666</v>
      </c>
      <c r="G9" s="201">
        <f>IFERROR('GRAFICO JUNHO'!H4,0)</f>
        <v>16164</v>
      </c>
      <c r="H9" s="201">
        <f>COUNTIF('GRAFICO JUNHO'!$C$9:$C$40,"&gt;0")</f>
        <v>24</v>
      </c>
      <c r="I9" s="200" t="str">
        <f t="shared" si="2"/>
        <v>Abaixo da meta</v>
      </c>
      <c r="J9" s="332">
        <f>IFERROR(SUMIFS(GÁS!$O:$O,GÁS!$A:$A,"&gt;="&amp;DATE(2026,6,1),GÁS!$A:$A,"&lt;"&amp;DATE(2026,7,1)),0)</f>
        <v>30202</v>
      </c>
    </row>
    <row r="10" spans="1:10" ht="14.25" customHeight="1" x14ac:dyDescent="0.3">
      <c r="A10" s="209" t="s">
        <v>878</v>
      </c>
      <c r="B10" s="206">
        <f>IFERROR('GRAFICO JULHO'!B4,0)</f>
        <v>241080</v>
      </c>
      <c r="C10" s="206">
        <f t="shared" si="3"/>
        <v>220000</v>
      </c>
      <c r="D10" s="206">
        <f t="shared" si="0"/>
        <v>21080</v>
      </c>
      <c r="E10" s="208">
        <f t="shared" si="1"/>
        <v>1.0958181818181818</v>
      </c>
      <c r="F10" s="207">
        <f>IFERROR('GRAFICO JULHO'!F4,0)</f>
        <v>12054</v>
      </c>
      <c r="G10" s="206">
        <f>IFERROR('GRAFICO JULHO'!H4,0)</f>
        <v>20076</v>
      </c>
      <c r="H10" s="206">
        <f>COUNTIF('GRAFICO JULHO'!$C$9:$C$40,"&gt;0")</f>
        <v>20</v>
      </c>
      <c r="I10" s="205" t="str">
        <f t="shared" si="2"/>
        <v>Meta batida</v>
      </c>
      <c r="J10" s="331">
        <f>IFERROR(SUMIFS(GÁS!$O:$O,GÁS!$A:$A,"&gt;="&amp;DATE(2026,7,1),GÁS!$A:$A,"&lt;"&amp;DATE(2026,8,1)),0)</f>
        <v>20040</v>
      </c>
    </row>
    <row r="11" spans="1:10" ht="14.25" customHeight="1" x14ac:dyDescent="0.3">
      <c r="A11" s="204" t="s">
        <v>879</v>
      </c>
      <c r="B11" s="201">
        <f>IFERROR('GRAFICO AGOSTO'!B4,0)</f>
        <v>0</v>
      </c>
      <c r="C11" s="206">
        <f t="shared" si="3"/>
        <v>0</v>
      </c>
      <c r="D11" s="201" t="str">
        <f t="shared" si="0"/>
        <v/>
      </c>
      <c r="E11" s="203" t="str">
        <f t="shared" si="1"/>
        <v/>
      </c>
      <c r="F11" s="202">
        <f>IFERROR('GRAFICO AGOSTO'!F4,0)</f>
        <v>0</v>
      </c>
      <c r="G11" s="201">
        <f>IFERROR('GRAFICO AGOSTO'!H4,0)</f>
        <v>0</v>
      </c>
      <c r="H11" s="201">
        <f>COUNTIF('GRAFICO AGOSTO'!$C$9:$C$40,"&gt;0")</f>
        <v>0</v>
      </c>
      <c r="I11" s="200" t="str">
        <f t="shared" si="2"/>
        <v>Sem dados</v>
      </c>
      <c r="J11" s="332">
        <f>IFERROR(SUMIFS(GÁS!$O:$O,GÁS!$A:$A,"&gt;="&amp;DATE(2026,8,1),GÁS!$A:$A,"&lt;"&amp;DATE(2026,9,1)),0)</f>
        <v>0</v>
      </c>
    </row>
    <row r="12" spans="1:10" ht="14.25" customHeight="1" x14ac:dyDescent="0.3">
      <c r="A12" s="209" t="s">
        <v>880</v>
      </c>
      <c r="B12" s="206">
        <f>IFERROR('GRAFICO SETEMBRO'!B4,0)</f>
        <v>0</v>
      </c>
      <c r="C12" s="206">
        <f t="shared" si="3"/>
        <v>0</v>
      </c>
      <c r="D12" s="206" t="str">
        <f t="shared" si="0"/>
        <v/>
      </c>
      <c r="E12" s="208" t="str">
        <f t="shared" si="1"/>
        <v/>
      </c>
      <c r="F12" s="207">
        <f>IFERROR('GRAFICO SETEMBRO'!F4,0)</f>
        <v>0</v>
      </c>
      <c r="G12" s="206">
        <f>IFERROR('GRAFICO SETEMBRO'!H4,0)</f>
        <v>0</v>
      </c>
      <c r="H12" s="206">
        <f>COUNTIF('GRAFICO SETEMBRO'!$C$9:$C$40,"&gt;0")</f>
        <v>0</v>
      </c>
      <c r="I12" s="205" t="str">
        <f t="shared" si="2"/>
        <v>Sem dados</v>
      </c>
      <c r="J12" s="331">
        <f>IFERROR(SUMIFS(GÁS!$O:$O,GÁS!$A:$A,"&gt;="&amp;DATE(2026,9,1),GÁS!$A:$A,"&lt;"&amp;DATE(2026,10,1)),0)</f>
        <v>0</v>
      </c>
    </row>
    <row r="13" spans="1:10" ht="14.25" customHeight="1" x14ac:dyDescent="0.3">
      <c r="A13" s="204" t="s">
        <v>881</v>
      </c>
      <c r="B13" s="201">
        <f>IFERROR('GRAFICO OUTUBRO'!B4,0)</f>
        <v>0</v>
      </c>
      <c r="C13" s="206">
        <f t="shared" si="3"/>
        <v>0</v>
      </c>
      <c r="D13" s="201" t="str">
        <f t="shared" si="0"/>
        <v/>
      </c>
      <c r="E13" s="203" t="str">
        <f t="shared" si="1"/>
        <v/>
      </c>
      <c r="F13" s="202">
        <f>IFERROR('GRAFICO OUTUBRO'!F4,0)</f>
        <v>0</v>
      </c>
      <c r="G13" s="201">
        <f>IFERROR('GRAFICO OUTUBRO'!H4,0)</f>
        <v>0</v>
      </c>
      <c r="H13" s="201">
        <f>COUNTIF('GRAFICO OUTUBRO'!$C$9:$C$40,"&gt;0")</f>
        <v>0</v>
      </c>
      <c r="I13" s="200" t="str">
        <f t="shared" si="2"/>
        <v>Sem dados</v>
      </c>
      <c r="J13" s="332">
        <f>IFERROR(SUMIFS(GÁS!$O:$O,GÁS!$A:$A,"&gt;="&amp;DATE(2026,10,1),GÁS!$A:$A,"&lt;"&amp;DATE(2026,11,1)),0)</f>
        <v>0</v>
      </c>
    </row>
    <row r="14" spans="1:10" ht="14.25" customHeight="1" x14ac:dyDescent="0.3">
      <c r="A14" s="209" t="s">
        <v>882</v>
      </c>
      <c r="B14" s="206">
        <f>IFERROR('GRAFICO NOVEMBRO'!B4,0)</f>
        <v>0</v>
      </c>
      <c r="C14" s="206">
        <f t="shared" si="3"/>
        <v>0</v>
      </c>
      <c r="D14" s="206" t="str">
        <f t="shared" si="0"/>
        <v/>
      </c>
      <c r="E14" s="208" t="str">
        <f t="shared" si="1"/>
        <v/>
      </c>
      <c r="F14" s="207">
        <f>IFERROR('GRAFICO NOVEMBRO'!F4,0)</f>
        <v>0</v>
      </c>
      <c r="G14" s="206">
        <f>IFERROR('GRAFICO NOVEMBRO'!H4,0)</f>
        <v>0</v>
      </c>
      <c r="H14" s="206">
        <f>COUNTIF('GRAFICO NOVEMBRO'!$C$9:$C$40,"&gt;0")</f>
        <v>0</v>
      </c>
      <c r="I14" s="205" t="str">
        <f t="shared" si="2"/>
        <v>Sem dados</v>
      </c>
      <c r="J14" s="331">
        <f>IFERROR(SUMIFS(GÁS!$O:$O,GÁS!$A:$A,"&gt;="&amp;DATE(2026,11,1),GÁS!$A:$A,"&lt;"&amp;DATE(2026,12,1)),0)</f>
        <v>0</v>
      </c>
    </row>
    <row r="15" spans="1:10" ht="14.25" customHeight="1" x14ac:dyDescent="0.3">
      <c r="A15" s="204" t="s">
        <v>883</v>
      </c>
      <c r="B15" s="201">
        <f>IFERROR('GRAFICO DEZEMBRO'!B4,0)</f>
        <v>0</v>
      </c>
      <c r="C15" s="206">
        <f t="shared" si="3"/>
        <v>0</v>
      </c>
      <c r="D15" s="201" t="str">
        <f t="shared" si="0"/>
        <v/>
      </c>
      <c r="E15" s="203" t="str">
        <f t="shared" si="1"/>
        <v/>
      </c>
      <c r="F15" s="202">
        <f>IFERROR('GRAFICO DEZEMBRO'!F4,0)</f>
        <v>0</v>
      </c>
      <c r="G15" s="201">
        <f>IFERROR('GRAFICO DEZEMBRO'!H4,0)</f>
        <v>0</v>
      </c>
      <c r="H15" s="201">
        <f>COUNTIF('GRAFICO DEZEMBRO'!$C$9:$C$40,"&gt;0")</f>
        <v>0</v>
      </c>
      <c r="I15" s="200" t="str">
        <f t="shared" si="2"/>
        <v>Sem dados</v>
      </c>
      <c r="J15" s="332">
        <f>IFERROR(SUMIFS(GÁS!$O:$O,GÁS!$A:$A,"&gt;="&amp;DATE(2026,12,1),GÁS!$A:$A,"&lt;"&amp;DATE(2027,1,1)),0)</f>
        <v>0</v>
      </c>
    </row>
    <row r="20" spans="1:15" ht="19.95" customHeight="1" x14ac:dyDescent="0.3">
      <c r="A20"/>
      <c r="B20"/>
      <c r="C20"/>
      <c r="D20"/>
      <c r="E20"/>
      <c r="F20"/>
      <c r="G20"/>
      <c r="H20"/>
      <c r="I20"/>
      <c r="J20"/>
      <c r="L20"/>
      <c r="M20"/>
      <c r="N20"/>
      <c r="O20"/>
    </row>
    <row r="21" spans="1:15" ht="19.05" customHeight="1" x14ac:dyDescent="0.3">
      <c r="A21"/>
      <c r="B21"/>
      <c r="C21"/>
      <c r="D21"/>
      <c r="E21"/>
      <c r="F21"/>
      <c r="G21"/>
      <c r="H21"/>
      <c r="I21"/>
      <c r="J21"/>
      <c r="L21"/>
      <c r="M21"/>
      <c r="N21"/>
      <c r="O21"/>
    </row>
    <row r="22" spans="1:15" ht="19.05" customHeight="1" x14ac:dyDescent="0.3">
      <c r="A22"/>
      <c r="B22"/>
      <c r="C22"/>
      <c r="D22"/>
      <c r="E22"/>
      <c r="F22"/>
      <c r="G22"/>
      <c r="H22"/>
      <c r="I22"/>
      <c r="J22"/>
      <c r="L22"/>
      <c r="M22"/>
      <c r="N22"/>
      <c r="O22"/>
    </row>
    <row r="23" spans="1:15" ht="19.05" customHeight="1" x14ac:dyDescent="0.3">
      <c r="A23"/>
      <c r="B23"/>
      <c r="C23"/>
      <c r="D23"/>
      <c r="E23"/>
      <c r="F23"/>
      <c r="G23"/>
      <c r="H23"/>
      <c r="I23"/>
      <c r="J23"/>
      <c r="L23"/>
      <c r="M23"/>
      <c r="N23"/>
      <c r="O23"/>
    </row>
    <row r="24" spans="1:15" ht="19.05" customHeight="1" x14ac:dyDescent="0.3">
      <c r="A24"/>
      <c r="B24"/>
      <c r="C24"/>
      <c r="D24"/>
      <c r="E24"/>
      <c r="F24"/>
      <c r="G24"/>
      <c r="H24"/>
      <c r="I24"/>
      <c r="J24"/>
      <c r="L24"/>
      <c r="M24"/>
      <c r="N24"/>
      <c r="O24"/>
    </row>
    <row r="25" spans="1:15" ht="19.05" customHeight="1" x14ac:dyDescent="0.3">
      <c r="A25"/>
      <c r="B25"/>
      <c r="C25"/>
      <c r="D25"/>
      <c r="E25"/>
      <c r="F25"/>
      <c r="G25"/>
      <c r="H25"/>
      <c r="I25"/>
      <c r="J25"/>
      <c r="L25"/>
      <c r="M25"/>
      <c r="N25"/>
      <c r="O25"/>
    </row>
    <row r="26" spans="1:15" ht="19.05" customHeight="1" x14ac:dyDescent="0.3">
      <c r="A26"/>
      <c r="B26"/>
      <c r="C26"/>
      <c r="D26"/>
      <c r="E26"/>
      <c r="F26"/>
      <c r="G26"/>
      <c r="H26"/>
      <c r="I26"/>
      <c r="J26"/>
      <c r="L26"/>
      <c r="M26"/>
      <c r="N26"/>
      <c r="O26"/>
    </row>
    <row r="27" spans="1:15" ht="19.05" customHeight="1" x14ac:dyDescent="0.3">
      <c r="A27"/>
      <c r="B27"/>
      <c r="C27"/>
      <c r="D27"/>
      <c r="E27"/>
      <c r="F27"/>
      <c r="G27"/>
      <c r="H27"/>
      <c r="I27"/>
      <c r="J27"/>
      <c r="L27"/>
      <c r="M27"/>
      <c r="N27"/>
      <c r="O27"/>
    </row>
    <row r="28" spans="1:15" ht="19.05" customHeight="1" x14ac:dyDescent="0.3">
      <c r="A28"/>
      <c r="B28"/>
      <c r="C28"/>
      <c r="D28"/>
      <c r="E28"/>
      <c r="F28"/>
      <c r="G28"/>
      <c r="H28"/>
      <c r="I28"/>
      <c r="J28"/>
      <c r="L28"/>
      <c r="M28"/>
      <c r="N28"/>
      <c r="O28"/>
    </row>
    <row r="29" spans="1:15" ht="19.05" customHeight="1" x14ac:dyDescent="0.3">
      <c r="A29"/>
      <c r="B29"/>
      <c r="C29"/>
      <c r="D29"/>
      <c r="E29"/>
      <c r="F29"/>
      <c r="G29"/>
      <c r="H29"/>
      <c r="I29"/>
      <c r="J29"/>
      <c r="L29"/>
      <c r="M29"/>
      <c r="N29"/>
      <c r="O29"/>
    </row>
    <row r="30" spans="1:15" ht="19.05" customHeight="1" x14ac:dyDescent="0.3">
      <c r="A30"/>
      <c r="B30"/>
      <c r="C30"/>
      <c r="D30"/>
      <c r="E30"/>
      <c r="F30"/>
      <c r="G30"/>
      <c r="H30"/>
      <c r="I30"/>
      <c r="J30"/>
      <c r="L30"/>
      <c r="M30"/>
      <c r="N30"/>
      <c r="O30"/>
    </row>
    <row r="31" spans="1:15" ht="19.05" customHeight="1" x14ac:dyDescent="0.3">
      <c r="A31"/>
      <c r="B31"/>
      <c r="C31"/>
      <c r="D31"/>
      <c r="E31"/>
      <c r="F31"/>
      <c r="G31"/>
      <c r="H31"/>
      <c r="I31"/>
      <c r="J31"/>
      <c r="L31"/>
      <c r="M31"/>
      <c r="N31"/>
      <c r="O31"/>
    </row>
    <row r="32" spans="1:15" ht="19.05" customHeight="1" x14ac:dyDescent="0.3">
      <c r="A32"/>
      <c r="B32"/>
      <c r="C32"/>
      <c r="D32"/>
      <c r="E32"/>
      <c r="F32"/>
      <c r="G32"/>
      <c r="H32"/>
      <c r="I32"/>
      <c r="J32"/>
      <c r="L32"/>
      <c r="M32"/>
      <c r="N32"/>
      <c r="O32"/>
    </row>
  </sheetData>
  <mergeCells count="3">
    <mergeCell ref="A1:J1"/>
    <mergeCell ref="F2:H2"/>
    <mergeCell ref="I2:J2"/>
  </mergeCells>
  <conditionalFormatting sqref="D4:D15">
    <cfRule type="cellIs" dxfId="21" priority="5" operator="greaterThan">
      <formula>0</formula>
    </cfRule>
    <cfRule type="cellIs" dxfId="20" priority="6" operator="lessThan">
      <formula>0</formula>
    </cfRule>
    <cfRule type="cellIs" dxfId="19" priority="7" operator="equal">
      <formula>0</formula>
    </cfRule>
  </conditionalFormatting>
  <conditionalFormatting sqref="E4:E15">
    <cfRule type="cellIs" dxfId="18" priority="1" operator="greaterThanOrEqual">
      <formula>1</formula>
    </cfRule>
    <cfRule type="cellIs" dxfId="17" priority="2" operator="lessThan">
      <formula>0.7</formula>
    </cfRule>
    <cfRule type="cellIs" dxfId="16" priority="3" operator="between">
      <formula>0.7</formula>
      <formula>0.99</formula>
    </cfRule>
    <cfRule type="cellIs" dxfId="15" priority="4" operator="greaterThanOrEqual">
      <formula>1</formula>
    </cfRule>
  </conditionalFormatting>
  <pageMargins left="0.7" right="0.7" top="0.75" bottom="0.75" header="0.511811023622047" footer="0.511811023622047"/>
  <pageSetup paperSize="9" orientation="portrait" horizontalDpi="300" verticalDpi="300"/>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9E37-C921-4FD5-9658-D98A8AE0C990}">
  <dimension ref="A1:E21"/>
  <sheetViews>
    <sheetView showGridLines="0" zoomScale="90" zoomScaleNormal="90" workbookViewId="0">
      <selection activeCell="A20" sqref="A20"/>
    </sheetView>
  </sheetViews>
  <sheetFormatPr defaultColWidth="8.5546875" defaultRowHeight="14.4" x14ac:dyDescent="0.3"/>
  <cols>
    <col min="1" max="1" width="33.33203125" style="1" customWidth="1"/>
    <col min="2" max="2" width="12" style="1" bestFit="1" customWidth="1"/>
    <col min="3" max="3" width="20" style="1" bestFit="1" customWidth="1"/>
    <col min="4" max="4" width="9.6640625" style="1" bestFit="1" customWidth="1"/>
    <col min="5" max="5" width="31.21875" style="1" bestFit="1" customWidth="1"/>
    <col min="6" max="6" width="8.5546875" style="1" bestFit="1" customWidth="1"/>
    <col min="7" max="16384" width="8.5546875" style="1"/>
  </cols>
  <sheetData>
    <row r="1" spans="1:5" ht="28.05" customHeight="1" x14ac:dyDescent="0.3">
      <c r="A1" s="351" t="s">
        <v>21</v>
      </c>
      <c r="B1" s="352" t="s">
        <v>884</v>
      </c>
      <c r="C1" s="352" t="s">
        <v>885</v>
      </c>
      <c r="D1" s="352" t="s">
        <v>886</v>
      </c>
      <c r="E1" s="353" t="s">
        <v>887</v>
      </c>
    </row>
    <row r="2" spans="1:5" ht="22.05" customHeight="1" x14ac:dyDescent="0.3">
      <c r="A2" s="354" t="s">
        <v>890</v>
      </c>
      <c r="B2" s="355" t="s">
        <v>888</v>
      </c>
      <c r="C2" s="356">
        <v>240</v>
      </c>
      <c r="D2" s="356">
        <v>12</v>
      </c>
      <c r="E2" s="357" t="s">
        <v>889</v>
      </c>
    </row>
    <row r="3" spans="1:5" ht="22.05" customHeight="1" x14ac:dyDescent="0.3">
      <c r="A3" s="354" t="s">
        <v>890</v>
      </c>
      <c r="B3" s="355" t="s">
        <v>891</v>
      </c>
      <c r="C3" s="356">
        <v>240</v>
      </c>
      <c r="D3" s="356">
        <v>12</v>
      </c>
      <c r="E3" s="357" t="s">
        <v>889</v>
      </c>
    </row>
    <row r="4" spans="1:5" ht="22.05" customHeight="1" x14ac:dyDescent="0.3">
      <c r="A4" s="354" t="s">
        <v>890</v>
      </c>
      <c r="B4" s="355" t="s">
        <v>892</v>
      </c>
      <c r="C4" s="356">
        <v>240</v>
      </c>
      <c r="D4" s="356">
        <v>12</v>
      </c>
      <c r="E4" s="357" t="s">
        <v>889</v>
      </c>
    </row>
    <row r="5" spans="1:5" ht="22.05" customHeight="1" x14ac:dyDescent="0.3">
      <c r="A5" s="354" t="s">
        <v>890</v>
      </c>
      <c r="B5" s="355" t="s">
        <v>894</v>
      </c>
      <c r="C5" s="356">
        <v>240</v>
      </c>
      <c r="D5" s="356">
        <v>12</v>
      </c>
      <c r="E5" s="357" t="s">
        <v>889</v>
      </c>
    </row>
    <row r="6" spans="1:5" ht="22.05" customHeight="1" x14ac:dyDescent="0.3">
      <c r="A6" s="354" t="s">
        <v>890</v>
      </c>
      <c r="B6" s="355" t="s">
        <v>895</v>
      </c>
      <c r="C6" s="356">
        <v>330</v>
      </c>
      <c r="D6" s="356">
        <v>6</v>
      </c>
      <c r="E6" s="357" t="s">
        <v>896</v>
      </c>
    </row>
    <row r="7" spans="1:5" ht="22.05" customHeight="1" x14ac:dyDescent="0.3">
      <c r="A7" s="354" t="s">
        <v>890</v>
      </c>
      <c r="B7" s="355" t="s">
        <v>9</v>
      </c>
      <c r="C7" s="356">
        <v>125</v>
      </c>
      <c r="D7" s="356">
        <v>12</v>
      </c>
      <c r="E7" s="357" t="s">
        <v>889</v>
      </c>
    </row>
    <row r="8" spans="1:5" ht="22.05" customHeight="1" thickBot="1" x14ac:dyDescent="0.35">
      <c r="A8" s="366" t="s">
        <v>890</v>
      </c>
      <c r="B8" s="367" t="s">
        <v>10</v>
      </c>
      <c r="C8" s="368">
        <v>95</v>
      </c>
      <c r="D8" s="368">
        <v>12</v>
      </c>
      <c r="E8" s="369" t="s">
        <v>889</v>
      </c>
    </row>
    <row r="9" spans="1:5" ht="22.05" customHeight="1" x14ac:dyDescent="0.3">
      <c r="A9" s="374" t="s">
        <v>291</v>
      </c>
      <c r="B9" s="375" t="s">
        <v>888</v>
      </c>
      <c r="C9" s="376">
        <v>240</v>
      </c>
      <c r="D9" s="376">
        <v>12</v>
      </c>
      <c r="E9" s="377" t="s">
        <v>889</v>
      </c>
    </row>
    <row r="10" spans="1:5" ht="22.05" customHeight="1" x14ac:dyDescent="0.3">
      <c r="A10" s="370" t="s">
        <v>684</v>
      </c>
      <c r="B10" s="371" t="s">
        <v>891</v>
      </c>
      <c r="C10" s="372">
        <v>240</v>
      </c>
      <c r="D10" s="372">
        <v>12</v>
      </c>
      <c r="E10" s="373" t="s">
        <v>889</v>
      </c>
    </row>
    <row r="11" spans="1:5" ht="22.05" customHeight="1" x14ac:dyDescent="0.3">
      <c r="A11" s="358" t="s">
        <v>893</v>
      </c>
      <c r="B11" s="359" t="s">
        <v>892</v>
      </c>
      <c r="C11" s="360">
        <v>240</v>
      </c>
      <c r="D11" s="360">
        <v>12</v>
      </c>
      <c r="E11" s="361" t="s">
        <v>889</v>
      </c>
    </row>
    <row r="12" spans="1:5" ht="22.05" customHeight="1" x14ac:dyDescent="0.3">
      <c r="A12" s="358" t="s">
        <v>297</v>
      </c>
      <c r="B12" s="359" t="s">
        <v>895</v>
      </c>
      <c r="C12" s="360">
        <v>330</v>
      </c>
      <c r="D12" s="360">
        <v>6</v>
      </c>
      <c r="E12" s="361" t="s">
        <v>896</v>
      </c>
    </row>
    <row r="13" spans="1:5" ht="22.05" customHeight="1" x14ac:dyDescent="0.3">
      <c r="A13" s="358" t="s">
        <v>897</v>
      </c>
      <c r="B13" s="359" t="s">
        <v>895</v>
      </c>
      <c r="C13" s="360">
        <v>330</v>
      </c>
      <c r="D13" s="360">
        <v>6</v>
      </c>
      <c r="E13" s="361" t="s">
        <v>896</v>
      </c>
    </row>
    <row r="14" spans="1:5" ht="22.05" customHeight="1" x14ac:dyDescent="0.3">
      <c r="A14" s="358" t="s">
        <v>1061</v>
      </c>
      <c r="B14" s="359" t="s">
        <v>1101</v>
      </c>
      <c r="C14" s="360">
        <v>120</v>
      </c>
      <c r="D14" s="360">
        <v>120</v>
      </c>
      <c r="E14" s="361" t="s">
        <v>1096</v>
      </c>
    </row>
    <row r="15" spans="1:5" ht="22.05" customHeight="1" x14ac:dyDescent="0.3">
      <c r="A15" s="358" t="s">
        <v>1084</v>
      </c>
      <c r="B15" s="359" t="s">
        <v>1101</v>
      </c>
      <c r="C15" s="360">
        <v>120</v>
      </c>
      <c r="D15" s="360">
        <v>120</v>
      </c>
      <c r="E15" s="361" t="s">
        <v>1096</v>
      </c>
    </row>
    <row r="16" spans="1:5" ht="22.05" customHeight="1" x14ac:dyDescent="0.3">
      <c r="A16" s="358" t="s">
        <v>149</v>
      </c>
      <c r="B16" s="359" t="s">
        <v>9</v>
      </c>
      <c r="C16" s="360">
        <v>110</v>
      </c>
      <c r="D16" s="360">
        <v>12</v>
      </c>
      <c r="E16" s="361" t="s">
        <v>889</v>
      </c>
    </row>
    <row r="17" spans="1:5" ht="22.05" customHeight="1" x14ac:dyDescent="0.3">
      <c r="A17" s="358" t="s">
        <v>29</v>
      </c>
      <c r="B17" s="359" t="s">
        <v>9</v>
      </c>
      <c r="C17" s="360">
        <v>110</v>
      </c>
      <c r="D17" s="360">
        <v>12</v>
      </c>
      <c r="E17" s="361" t="s">
        <v>889</v>
      </c>
    </row>
    <row r="18" spans="1:5" ht="22.05" customHeight="1" x14ac:dyDescent="0.3">
      <c r="A18" s="358" t="s">
        <v>898</v>
      </c>
      <c r="B18" s="359" t="s">
        <v>899</v>
      </c>
      <c r="C18" s="360">
        <v>95</v>
      </c>
      <c r="D18" s="360">
        <v>12</v>
      </c>
      <c r="E18" s="361" t="s">
        <v>889</v>
      </c>
    </row>
    <row r="19" spans="1:5" ht="22.05" customHeight="1" x14ac:dyDescent="0.3">
      <c r="A19" s="358" t="s">
        <v>41</v>
      </c>
      <c r="B19" s="359" t="s">
        <v>10</v>
      </c>
      <c r="C19" s="360">
        <v>95</v>
      </c>
      <c r="D19" s="360">
        <v>12</v>
      </c>
      <c r="E19" s="361" t="s">
        <v>889</v>
      </c>
    </row>
    <row r="20" spans="1:5" ht="22.05" customHeight="1" x14ac:dyDescent="0.3">
      <c r="A20" s="362" t="s">
        <v>492</v>
      </c>
      <c r="B20" s="363" t="s">
        <v>10</v>
      </c>
      <c r="C20" s="364">
        <v>190</v>
      </c>
      <c r="D20" s="364">
        <v>6</v>
      </c>
      <c r="E20" s="365" t="s">
        <v>896</v>
      </c>
    </row>
    <row r="21" spans="1:5" x14ac:dyDescent="0.3">
      <c r="A21" s="362" t="s">
        <v>1361</v>
      </c>
      <c r="B21" s="363" t="s">
        <v>1362</v>
      </c>
      <c r="C21" s="364">
        <v>60</v>
      </c>
      <c r="D21" s="364">
        <v>2</v>
      </c>
      <c r="E21" s="365" t="s">
        <v>1363</v>
      </c>
    </row>
  </sheetData>
  <conditionalFormatting sqref="A2:E501">
    <cfRule type="expression" dxfId="14" priority="1">
      <formula>AND($A2&lt;&gt;"",$B2&lt;&gt;"",COUNTIFS($A:$A,$A2,$B:$B,$B2)&gt;1)</formula>
    </cfRule>
  </conditionalFormatting>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7116-88CD-40E5-A93B-2424BAE8A8C4}">
  <dimension ref="A1:Z138"/>
  <sheetViews>
    <sheetView zoomScaleNormal="100" workbookViewId="0"/>
  </sheetViews>
  <sheetFormatPr defaultColWidth="8.5546875" defaultRowHeight="14.4" x14ac:dyDescent="0.3"/>
  <cols>
    <col min="1" max="4" width="8.5546875" style="1"/>
    <col min="5" max="5" width="23.5546875" style="1" bestFit="1" customWidth="1"/>
    <col min="6" max="6" width="16" style="1" bestFit="1" customWidth="1"/>
    <col min="7" max="7" width="8.5546875" style="1"/>
    <col min="27" max="16384" width="8.5546875" style="1"/>
  </cols>
  <sheetData>
    <row r="1" spans="1:22" ht="15" customHeight="1" x14ac:dyDescent="0.3">
      <c r="A1" s="1" t="s">
        <v>900</v>
      </c>
      <c r="B1" s="1" t="s">
        <v>291</v>
      </c>
      <c r="C1" s="1" t="s">
        <v>284</v>
      </c>
      <c r="D1" s="1" t="s">
        <v>697</v>
      </c>
      <c r="E1" s="214" t="s">
        <v>1037</v>
      </c>
      <c r="F1" s="214" t="s">
        <v>1038</v>
      </c>
      <c r="H1" t="s">
        <v>1404</v>
      </c>
      <c r="I1" t="s">
        <v>1405</v>
      </c>
      <c r="K1" t="s">
        <v>1410</v>
      </c>
      <c r="L1" t="s">
        <v>1411</v>
      </c>
      <c r="M1" t="s">
        <v>1416</v>
      </c>
      <c r="N1" t="s">
        <v>1417</v>
      </c>
      <c r="O1" t="s">
        <v>1408</v>
      </c>
      <c r="P1" t="s">
        <v>1419</v>
      </c>
      <c r="Q1" t="s">
        <v>1406</v>
      </c>
      <c r="R1" t="s">
        <v>1415</v>
      </c>
      <c r="S1" t="s">
        <v>1409</v>
      </c>
      <c r="T1" t="s">
        <v>1418</v>
      </c>
      <c r="U1" t="s">
        <v>1407</v>
      </c>
      <c r="V1" t="s">
        <v>1412</v>
      </c>
    </row>
    <row r="2" spans="1:22" ht="15" customHeight="1" x14ac:dyDescent="0.3">
      <c r="A2" s="65">
        <v>70</v>
      </c>
      <c r="B2" s="65">
        <v>70</v>
      </c>
      <c r="C2" s="65">
        <v>100</v>
      </c>
      <c r="D2" s="65">
        <v>600</v>
      </c>
      <c r="E2" s="213" t="s">
        <v>1013</v>
      </c>
      <c r="F2" s="213" t="s">
        <v>163</v>
      </c>
      <c r="H2" t="s">
        <v>193</v>
      </c>
      <c r="I2" t="s">
        <v>1406</v>
      </c>
      <c r="K2" s="900">
        <v>100</v>
      </c>
      <c r="L2" s="900">
        <v>100</v>
      </c>
      <c r="M2" s="900">
        <v>120</v>
      </c>
      <c r="N2" s="900">
        <v>125</v>
      </c>
      <c r="O2" s="900">
        <v>180</v>
      </c>
      <c r="P2" s="900">
        <v>180</v>
      </c>
      <c r="Q2" s="900">
        <v>200</v>
      </c>
      <c r="R2" s="900">
        <v>210</v>
      </c>
      <c r="S2" s="900">
        <v>400</v>
      </c>
      <c r="T2" s="900">
        <v>400</v>
      </c>
      <c r="U2" s="900">
        <v>600</v>
      </c>
      <c r="V2" s="900">
        <v>70</v>
      </c>
    </row>
    <row r="3" spans="1:22" ht="15" customHeight="1" x14ac:dyDescent="0.3">
      <c r="A3" s="65">
        <v>100</v>
      </c>
      <c r="C3" s="65">
        <v>125</v>
      </c>
      <c r="E3" s="213" t="s">
        <v>39</v>
      </c>
      <c r="F3" s="213" t="s">
        <v>492</v>
      </c>
      <c r="H3" t="s">
        <v>31</v>
      </c>
      <c r="I3" t="s">
        <v>1407</v>
      </c>
      <c r="L3" s="900">
        <v>180</v>
      </c>
      <c r="P3" s="900">
        <v>400</v>
      </c>
      <c r="T3" s="900">
        <v>600</v>
      </c>
    </row>
    <row r="4" spans="1:22" ht="15" customHeight="1" x14ac:dyDescent="0.3">
      <c r="A4" s="65">
        <v>125</v>
      </c>
      <c r="E4" s="213" t="s">
        <v>41</v>
      </c>
      <c r="F4" s="213" t="s">
        <v>498</v>
      </c>
      <c r="H4" t="s">
        <v>185</v>
      </c>
      <c r="I4" t="s">
        <v>1407</v>
      </c>
      <c r="P4" s="900">
        <v>600</v>
      </c>
    </row>
    <row r="5" spans="1:22" ht="15" customHeight="1" x14ac:dyDescent="0.3">
      <c r="A5" s="65">
        <v>180</v>
      </c>
      <c r="H5" t="s">
        <v>183</v>
      </c>
      <c r="I5" t="s">
        <v>1407</v>
      </c>
    </row>
    <row r="6" spans="1:22" ht="15" customHeight="1" x14ac:dyDescent="0.3">
      <c r="A6" s="65">
        <v>200</v>
      </c>
      <c r="H6" t="s">
        <v>499</v>
      </c>
      <c r="I6" t="s">
        <v>1407</v>
      </c>
    </row>
    <row r="7" spans="1:22" ht="15" customHeight="1" x14ac:dyDescent="0.3">
      <c r="A7" s="65">
        <v>400</v>
      </c>
      <c r="H7" t="s">
        <v>254</v>
      </c>
      <c r="I7" t="s">
        <v>1408</v>
      </c>
    </row>
    <row r="8" spans="1:22" ht="15" customHeight="1" x14ac:dyDescent="0.3">
      <c r="A8" s="65">
        <v>500</v>
      </c>
      <c r="H8" t="s">
        <v>1104</v>
      </c>
      <c r="I8" t="s">
        <v>1408</v>
      </c>
    </row>
    <row r="9" spans="1:22" ht="15" customHeight="1" x14ac:dyDescent="0.3">
      <c r="A9" s="65">
        <v>600</v>
      </c>
      <c r="H9" t="s">
        <v>58</v>
      </c>
      <c r="I9" t="s">
        <v>1407</v>
      </c>
    </row>
    <row r="10" spans="1:22" x14ac:dyDescent="0.3">
      <c r="H10" t="s">
        <v>496</v>
      </c>
      <c r="I10" t="s">
        <v>1407</v>
      </c>
    </row>
    <row r="11" spans="1:22" x14ac:dyDescent="0.3">
      <c r="H11" t="s">
        <v>37</v>
      </c>
      <c r="I11" t="s">
        <v>1407</v>
      </c>
    </row>
    <row r="12" spans="1:22" x14ac:dyDescent="0.3">
      <c r="H12" t="s">
        <v>1080</v>
      </c>
      <c r="I12" t="s">
        <v>1407</v>
      </c>
    </row>
    <row r="13" spans="1:22" x14ac:dyDescent="0.3">
      <c r="H13" t="s">
        <v>489</v>
      </c>
      <c r="I13" t="s">
        <v>1407</v>
      </c>
    </row>
    <row r="14" spans="1:22" x14ac:dyDescent="0.3">
      <c r="H14" t="s">
        <v>43</v>
      </c>
      <c r="I14" t="s">
        <v>1409</v>
      </c>
    </row>
    <row r="15" spans="1:22" x14ac:dyDescent="0.3">
      <c r="H15" t="s">
        <v>1224</v>
      </c>
      <c r="I15" t="s">
        <v>1410</v>
      </c>
    </row>
    <row r="16" spans="1:22" x14ac:dyDescent="0.3">
      <c r="H16" t="s">
        <v>1014</v>
      </c>
      <c r="I16" t="s">
        <v>1409</v>
      </c>
    </row>
    <row r="17" spans="8:9" x14ac:dyDescent="0.3">
      <c r="H17" t="s">
        <v>236</v>
      </c>
      <c r="I17" t="s">
        <v>1409</v>
      </c>
    </row>
    <row r="18" spans="8:9" x14ac:dyDescent="0.3">
      <c r="H18" t="s">
        <v>593</v>
      </c>
      <c r="I18" t="s">
        <v>1410</v>
      </c>
    </row>
    <row r="19" spans="8:9" x14ac:dyDescent="0.3">
      <c r="H19" t="s">
        <v>139</v>
      </c>
      <c r="I19" t="s">
        <v>1409</v>
      </c>
    </row>
    <row r="20" spans="8:9" x14ac:dyDescent="0.3">
      <c r="H20" t="s">
        <v>189</v>
      </c>
      <c r="I20" t="s">
        <v>1409</v>
      </c>
    </row>
    <row r="21" spans="8:9" x14ac:dyDescent="0.3">
      <c r="H21" t="s">
        <v>403</v>
      </c>
      <c r="I21" t="s">
        <v>1409</v>
      </c>
    </row>
    <row r="22" spans="8:9" x14ac:dyDescent="0.3">
      <c r="H22" t="s">
        <v>553</v>
      </c>
      <c r="I22" t="s">
        <v>1407</v>
      </c>
    </row>
    <row r="23" spans="8:9" x14ac:dyDescent="0.3">
      <c r="H23" t="s">
        <v>1205</v>
      </c>
      <c r="I23" t="s">
        <v>1410</v>
      </c>
    </row>
    <row r="24" spans="8:9" x14ac:dyDescent="0.3">
      <c r="H24" t="s">
        <v>1165</v>
      </c>
      <c r="I24" t="s">
        <v>1410</v>
      </c>
    </row>
    <row r="25" spans="8:9" x14ac:dyDescent="0.3">
      <c r="H25" t="s">
        <v>1159</v>
      </c>
      <c r="I25" t="s">
        <v>1407</v>
      </c>
    </row>
    <row r="26" spans="8:9" x14ac:dyDescent="0.3">
      <c r="H26" t="s">
        <v>287</v>
      </c>
      <c r="I26" t="s">
        <v>1411</v>
      </c>
    </row>
    <row r="27" spans="8:9" x14ac:dyDescent="0.3">
      <c r="H27" t="s">
        <v>996</v>
      </c>
      <c r="I27" t="s">
        <v>1410</v>
      </c>
    </row>
    <row r="28" spans="8:9" x14ac:dyDescent="0.3">
      <c r="H28" t="s">
        <v>288</v>
      </c>
      <c r="I28" t="s">
        <v>1410</v>
      </c>
    </row>
    <row r="29" spans="8:9" x14ac:dyDescent="0.3">
      <c r="H29" t="s">
        <v>93</v>
      </c>
      <c r="I29" t="s">
        <v>1412</v>
      </c>
    </row>
    <row r="30" spans="8:9" x14ac:dyDescent="0.3">
      <c r="H30" t="s">
        <v>406</v>
      </c>
      <c r="I30" t="s">
        <v>1412</v>
      </c>
    </row>
    <row r="31" spans="8:9" x14ac:dyDescent="0.3">
      <c r="H31" t="s">
        <v>407</v>
      </c>
      <c r="I31" t="s">
        <v>1412</v>
      </c>
    </row>
    <row r="32" spans="8:9" x14ac:dyDescent="0.3">
      <c r="H32" t="s">
        <v>95</v>
      </c>
      <c r="I32" t="s">
        <v>1412</v>
      </c>
    </row>
    <row r="33" spans="8:9" x14ac:dyDescent="0.3">
      <c r="H33" t="s">
        <v>471</v>
      </c>
      <c r="I33" t="s">
        <v>1412</v>
      </c>
    </row>
    <row r="34" spans="8:9" x14ac:dyDescent="0.3">
      <c r="H34" t="s">
        <v>292</v>
      </c>
      <c r="I34" t="s">
        <v>1412</v>
      </c>
    </row>
    <row r="35" spans="8:9" x14ac:dyDescent="0.3">
      <c r="H35" t="s">
        <v>1193</v>
      </c>
      <c r="I35" t="s">
        <v>1412</v>
      </c>
    </row>
    <row r="36" spans="8:9" x14ac:dyDescent="0.3">
      <c r="H36" t="s">
        <v>294</v>
      </c>
      <c r="I36" t="s">
        <v>1412</v>
      </c>
    </row>
    <row r="37" spans="8:9" x14ac:dyDescent="0.3">
      <c r="H37" t="s">
        <v>591</v>
      </c>
      <c r="I37" t="s">
        <v>1412</v>
      </c>
    </row>
    <row r="38" spans="8:9" x14ac:dyDescent="0.3">
      <c r="H38" t="s">
        <v>590</v>
      </c>
      <c r="I38" t="s">
        <v>1412</v>
      </c>
    </row>
    <row r="39" spans="8:9" x14ac:dyDescent="0.3">
      <c r="H39" t="s">
        <v>592</v>
      </c>
      <c r="I39" t="s">
        <v>1412</v>
      </c>
    </row>
    <row r="40" spans="8:9" x14ac:dyDescent="0.3">
      <c r="H40" t="s">
        <v>473</v>
      </c>
      <c r="I40" t="s">
        <v>1412</v>
      </c>
    </row>
    <row r="41" spans="8:9" x14ac:dyDescent="0.3">
      <c r="H41" t="s">
        <v>296</v>
      </c>
      <c r="I41" t="s">
        <v>1412</v>
      </c>
    </row>
    <row r="42" spans="8:9" x14ac:dyDescent="0.3">
      <c r="H42" t="s">
        <v>472</v>
      </c>
      <c r="I42" t="s">
        <v>1412</v>
      </c>
    </row>
    <row r="43" spans="8:9" x14ac:dyDescent="0.3">
      <c r="H43" t="s">
        <v>293</v>
      </c>
      <c r="I43" t="s">
        <v>1412</v>
      </c>
    </row>
    <row r="44" spans="8:9" x14ac:dyDescent="0.3">
      <c r="H44" t="s">
        <v>101</v>
      </c>
      <c r="I44" t="s">
        <v>1412</v>
      </c>
    </row>
    <row r="45" spans="8:9" x14ac:dyDescent="0.3">
      <c r="H45" t="s">
        <v>474</v>
      </c>
      <c r="I45" t="s">
        <v>1412</v>
      </c>
    </row>
    <row r="46" spans="8:9" x14ac:dyDescent="0.3">
      <c r="H46" t="s">
        <v>295</v>
      </c>
      <c r="I46" t="s">
        <v>1412</v>
      </c>
    </row>
    <row r="47" spans="8:9" x14ac:dyDescent="0.3">
      <c r="H47" t="s">
        <v>97</v>
      </c>
      <c r="I47" t="s">
        <v>1412</v>
      </c>
    </row>
    <row r="48" spans="8:9" x14ac:dyDescent="0.3">
      <c r="H48" t="s">
        <v>475</v>
      </c>
      <c r="I48" t="s">
        <v>1412</v>
      </c>
    </row>
    <row r="49" spans="8:9" x14ac:dyDescent="0.3">
      <c r="H49" t="s">
        <v>491</v>
      </c>
      <c r="I49" t="s">
        <v>1409</v>
      </c>
    </row>
    <row r="50" spans="8:9" x14ac:dyDescent="0.3">
      <c r="H50" t="s">
        <v>1162</v>
      </c>
      <c r="I50" t="s">
        <v>1408</v>
      </c>
    </row>
    <row r="51" spans="8:9" x14ac:dyDescent="0.3">
      <c r="H51" t="s">
        <v>39</v>
      </c>
      <c r="I51" t="s">
        <v>1407</v>
      </c>
    </row>
    <row r="52" spans="8:9" x14ac:dyDescent="0.3">
      <c r="H52" t="s">
        <v>240</v>
      </c>
      <c r="I52" t="s">
        <v>1409</v>
      </c>
    </row>
    <row r="53" spans="8:9" x14ac:dyDescent="0.3">
      <c r="H53" t="s">
        <v>596</v>
      </c>
      <c r="I53" t="s">
        <v>1409</v>
      </c>
    </row>
    <row r="54" spans="8:9" x14ac:dyDescent="0.3">
      <c r="H54" t="s">
        <v>33</v>
      </c>
      <c r="I54" t="s">
        <v>1409</v>
      </c>
    </row>
    <row r="55" spans="8:9" x14ac:dyDescent="0.3">
      <c r="H55" t="s">
        <v>571</v>
      </c>
      <c r="I55" t="s">
        <v>1409</v>
      </c>
    </row>
    <row r="56" spans="8:9" x14ac:dyDescent="0.3">
      <c r="H56" t="s">
        <v>280</v>
      </c>
      <c r="I56" t="s">
        <v>1407</v>
      </c>
    </row>
    <row r="57" spans="8:9" x14ac:dyDescent="0.3">
      <c r="H57" t="s">
        <v>595</v>
      </c>
      <c r="I57" t="s">
        <v>1409</v>
      </c>
    </row>
    <row r="58" spans="8:9" x14ac:dyDescent="0.3">
      <c r="H58" t="s">
        <v>483</v>
      </c>
      <c r="I58" t="s">
        <v>1406</v>
      </c>
    </row>
    <row r="59" spans="8:9" x14ac:dyDescent="0.3">
      <c r="H59" t="s">
        <v>1202</v>
      </c>
      <c r="I59" t="s">
        <v>1406</v>
      </c>
    </row>
    <row r="60" spans="8:9" x14ac:dyDescent="0.3">
      <c r="H60" t="s">
        <v>577</v>
      </c>
      <c r="I60" t="s">
        <v>1406</v>
      </c>
    </row>
    <row r="61" spans="8:9" x14ac:dyDescent="0.3">
      <c r="H61" t="s">
        <v>578</v>
      </c>
      <c r="I61" t="s">
        <v>1406</v>
      </c>
    </row>
    <row r="62" spans="8:9" x14ac:dyDescent="0.3">
      <c r="H62" t="s">
        <v>587</v>
      </c>
      <c r="I62" t="s">
        <v>1406</v>
      </c>
    </row>
    <row r="63" spans="8:9" x14ac:dyDescent="0.3">
      <c r="H63" t="s">
        <v>1413</v>
      </c>
      <c r="I63" t="s">
        <v>1406</v>
      </c>
    </row>
    <row r="64" spans="8:9" x14ac:dyDescent="0.3">
      <c r="H64" t="s">
        <v>1403</v>
      </c>
      <c r="I64" t="s">
        <v>1406</v>
      </c>
    </row>
    <row r="65" spans="8:9" x14ac:dyDescent="0.3">
      <c r="H65" t="s">
        <v>114</v>
      </c>
      <c r="I65" t="s">
        <v>1406</v>
      </c>
    </row>
    <row r="66" spans="8:9" x14ac:dyDescent="0.3">
      <c r="H66" t="s">
        <v>487</v>
      </c>
      <c r="I66" t="s">
        <v>1406</v>
      </c>
    </row>
    <row r="67" spans="8:9" x14ac:dyDescent="0.3">
      <c r="H67" t="s">
        <v>488</v>
      </c>
      <c r="I67" t="s">
        <v>1406</v>
      </c>
    </row>
    <row r="68" spans="8:9" x14ac:dyDescent="0.3">
      <c r="H68" t="s">
        <v>477</v>
      </c>
      <c r="I68" t="s">
        <v>1406</v>
      </c>
    </row>
    <row r="69" spans="8:9" x14ac:dyDescent="0.3">
      <c r="H69" t="s">
        <v>1189</v>
      </c>
      <c r="I69" t="s">
        <v>1406</v>
      </c>
    </row>
    <row r="70" spans="8:9" x14ac:dyDescent="0.3">
      <c r="H70" t="s">
        <v>479</v>
      </c>
      <c r="I70" t="s">
        <v>1406</v>
      </c>
    </row>
    <row r="71" spans="8:9" x14ac:dyDescent="0.3">
      <c r="H71" t="s">
        <v>476</v>
      </c>
      <c r="I71" t="s">
        <v>1406</v>
      </c>
    </row>
    <row r="72" spans="8:9" x14ac:dyDescent="0.3">
      <c r="H72" t="s">
        <v>1190</v>
      </c>
      <c r="I72" t="s">
        <v>1406</v>
      </c>
    </row>
    <row r="73" spans="8:9" x14ac:dyDescent="0.3">
      <c r="H73" t="s">
        <v>1191</v>
      </c>
      <c r="I73" t="s">
        <v>1406</v>
      </c>
    </row>
    <row r="74" spans="8:9" x14ac:dyDescent="0.3">
      <c r="H74" t="s">
        <v>481</v>
      </c>
      <c r="I74" t="s">
        <v>1406</v>
      </c>
    </row>
    <row r="75" spans="8:9" x14ac:dyDescent="0.3">
      <c r="H75" t="s">
        <v>482</v>
      </c>
      <c r="I75" t="s">
        <v>1406</v>
      </c>
    </row>
    <row r="76" spans="8:9" x14ac:dyDescent="0.3">
      <c r="H76" t="s">
        <v>1192</v>
      </c>
      <c r="I76" t="s">
        <v>1406</v>
      </c>
    </row>
    <row r="77" spans="8:9" x14ac:dyDescent="0.3">
      <c r="H77" t="s">
        <v>480</v>
      </c>
      <c r="I77" t="s">
        <v>1406</v>
      </c>
    </row>
    <row r="78" spans="8:9" x14ac:dyDescent="0.3">
      <c r="H78" t="s">
        <v>1414</v>
      </c>
      <c r="I78" t="s">
        <v>1406</v>
      </c>
    </row>
    <row r="79" spans="8:9" x14ac:dyDescent="0.3">
      <c r="H79" t="s">
        <v>582</v>
      </c>
      <c r="I79" t="s">
        <v>1406</v>
      </c>
    </row>
    <row r="80" spans="8:9" x14ac:dyDescent="0.3">
      <c r="H80" t="s">
        <v>1207</v>
      </c>
      <c r="I80" t="s">
        <v>1406</v>
      </c>
    </row>
    <row r="81" spans="8:9" x14ac:dyDescent="0.3">
      <c r="H81" t="s">
        <v>486</v>
      </c>
      <c r="I81" t="s">
        <v>1406</v>
      </c>
    </row>
    <row r="82" spans="8:9" x14ac:dyDescent="0.3">
      <c r="H82" t="s">
        <v>485</v>
      </c>
      <c r="I82" t="s">
        <v>1406</v>
      </c>
    </row>
    <row r="83" spans="8:9" x14ac:dyDescent="0.3">
      <c r="H83" t="s">
        <v>583</v>
      </c>
      <c r="I83" t="s">
        <v>1406</v>
      </c>
    </row>
    <row r="84" spans="8:9" x14ac:dyDescent="0.3">
      <c r="H84" t="s">
        <v>584</v>
      </c>
      <c r="I84" t="s">
        <v>1406</v>
      </c>
    </row>
    <row r="85" spans="8:9" x14ac:dyDescent="0.3">
      <c r="H85" t="s">
        <v>579</v>
      </c>
      <c r="I85" t="s">
        <v>1406</v>
      </c>
    </row>
    <row r="86" spans="8:9" x14ac:dyDescent="0.3">
      <c r="H86" t="s">
        <v>484</v>
      </c>
      <c r="I86" t="s">
        <v>1406</v>
      </c>
    </row>
    <row r="87" spans="8:9" x14ac:dyDescent="0.3">
      <c r="H87" t="s">
        <v>580</v>
      </c>
      <c r="I87" t="s">
        <v>1406</v>
      </c>
    </row>
    <row r="88" spans="8:9" x14ac:dyDescent="0.3">
      <c r="H88" t="s">
        <v>585</v>
      </c>
      <c r="I88" t="s">
        <v>1406</v>
      </c>
    </row>
    <row r="89" spans="8:9" x14ac:dyDescent="0.3">
      <c r="H89" t="s">
        <v>586</v>
      </c>
      <c r="I89" t="s">
        <v>1406</v>
      </c>
    </row>
    <row r="90" spans="8:9" x14ac:dyDescent="0.3">
      <c r="H90" t="s">
        <v>194</v>
      </c>
      <c r="I90" t="s">
        <v>1406</v>
      </c>
    </row>
    <row r="91" spans="8:9" x14ac:dyDescent="0.3">
      <c r="H91" t="s">
        <v>35</v>
      </c>
      <c r="I91" t="s">
        <v>1409</v>
      </c>
    </row>
    <row r="92" spans="8:9" x14ac:dyDescent="0.3">
      <c r="H92" t="s">
        <v>597</v>
      </c>
      <c r="I92" t="s">
        <v>1409</v>
      </c>
    </row>
    <row r="93" spans="8:9" x14ac:dyDescent="0.3">
      <c r="H93" t="s">
        <v>196</v>
      </c>
      <c r="I93" t="s">
        <v>1415</v>
      </c>
    </row>
    <row r="94" spans="8:9" x14ac:dyDescent="0.3">
      <c r="H94" t="s">
        <v>298</v>
      </c>
      <c r="I94" t="s">
        <v>1406</v>
      </c>
    </row>
    <row r="95" spans="8:9" x14ac:dyDescent="0.3">
      <c r="H95" t="s">
        <v>191</v>
      </c>
      <c r="I95" t="s">
        <v>1406</v>
      </c>
    </row>
    <row r="96" spans="8:9" x14ac:dyDescent="0.3">
      <c r="H96" t="s">
        <v>190</v>
      </c>
      <c r="I96" t="s">
        <v>1406</v>
      </c>
    </row>
    <row r="97" spans="8:9" x14ac:dyDescent="0.3">
      <c r="H97" t="s">
        <v>594</v>
      </c>
      <c r="I97" t="s">
        <v>1408</v>
      </c>
    </row>
    <row r="98" spans="8:9" x14ac:dyDescent="0.3">
      <c r="H98" t="s">
        <v>1061</v>
      </c>
      <c r="I98" t="s">
        <v>1415</v>
      </c>
    </row>
    <row r="99" spans="8:9" x14ac:dyDescent="0.3">
      <c r="H99" t="s">
        <v>149</v>
      </c>
      <c r="I99" t="s">
        <v>1409</v>
      </c>
    </row>
    <row r="100" spans="8:9" x14ac:dyDescent="0.3">
      <c r="H100" t="s">
        <v>29</v>
      </c>
      <c r="I100" t="s">
        <v>1409</v>
      </c>
    </row>
    <row r="101" spans="8:9" x14ac:dyDescent="0.3">
      <c r="H101" t="s">
        <v>62</v>
      </c>
      <c r="I101" t="s">
        <v>1407</v>
      </c>
    </row>
    <row r="102" spans="8:9" x14ac:dyDescent="0.3">
      <c r="H102" t="s">
        <v>649</v>
      </c>
      <c r="I102" t="s">
        <v>1407</v>
      </c>
    </row>
    <row r="103" spans="8:9" x14ac:dyDescent="0.3">
      <c r="H103" t="s">
        <v>188</v>
      </c>
      <c r="I103" t="s">
        <v>1407</v>
      </c>
    </row>
    <row r="104" spans="8:9" x14ac:dyDescent="0.3">
      <c r="H104" t="s">
        <v>1164</v>
      </c>
      <c r="I104" t="s">
        <v>1407</v>
      </c>
    </row>
    <row r="105" spans="8:9" x14ac:dyDescent="0.3">
      <c r="H105" t="s">
        <v>131</v>
      </c>
      <c r="I105" t="s">
        <v>1407</v>
      </c>
    </row>
    <row r="106" spans="8:9" x14ac:dyDescent="0.3">
      <c r="H106" t="s">
        <v>1225</v>
      </c>
      <c r="I106" t="s">
        <v>1410</v>
      </c>
    </row>
    <row r="107" spans="8:9" x14ac:dyDescent="0.3">
      <c r="H107" t="s">
        <v>198</v>
      </c>
      <c r="I107" t="s">
        <v>1409</v>
      </c>
    </row>
    <row r="108" spans="8:9" x14ac:dyDescent="0.3">
      <c r="H108" t="s">
        <v>1226</v>
      </c>
      <c r="I108" t="s">
        <v>1410</v>
      </c>
    </row>
    <row r="109" spans="8:9" x14ac:dyDescent="0.3">
      <c r="H109" t="s">
        <v>192</v>
      </c>
      <c r="I109" t="s">
        <v>1406</v>
      </c>
    </row>
    <row r="110" spans="8:9" x14ac:dyDescent="0.3">
      <c r="H110" t="s">
        <v>1163</v>
      </c>
      <c r="I110" t="s">
        <v>1407</v>
      </c>
    </row>
    <row r="111" spans="8:9" x14ac:dyDescent="0.3">
      <c r="H111" t="s">
        <v>41</v>
      </c>
      <c r="I111" t="s">
        <v>1407</v>
      </c>
    </row>
    <row r="112" spans="8:9" x14ac:dyDescent="0.3">
      <c r="H112" t="s">
        <v>399</v>
      </c>
      <c r="I112" t="s">
        <v>1416</v>
      </c>
    </row>
    <row r="113" spans="8:9" x14ac:dyDescent="0.3">
      <c r="H113" t="s">
        <v>494</v>
      </c>
      <c r="I113" t="s">
        <v>1410</v>
      </c>
    </row>
    <row r="114" spans="8:9" x14ac:dyDescent="0.3">
      <c r="H114" t="s">
        <v>404</v>
      </c>
      <c r="I114" t="s">
        <v>1406</v>
      </c>
    </row>
    <row r="115" spans="8:9" x14ac:dyDescent="0.3">
      <c r="H115" t="s">
        <v>493</v>
      </c>
      <c r="I115" t="s">
        <v>1417</v>
      </c>
    </row>
    <row r="116" spans="8:9" x14ac:dyDescent="0.3">
      <c r="H116" t="s">
        <v>400</v>
      </c>
      <c r="I116" t="s">
        <v>1416</v>
      </c>
    </row>
    <row r="117" spans="8:9" x14ac:dyDescent="0.3">
      <c r="H117" t="s">
        <v>492</v>
      </c>
      <c r="I117" t="s">
        <v>1407</v>
      </c>
    </row>
    <row r="118" spans="8:9" x14ac:dyDescent="0.3">
      <c r="H118" t="s">
        <v>498</v>
      </c>
      <c r="I118" t="s">
        <v>1407</v>
      </c>
    </row>
    <row r="119" spans="8:9" x14ac:dyDescent="0.3">
      <c r="H119" t="s">
        <v>995</v>
      </c>
      <c r="I119" t="s">
        <v>1410</v>
      </c>
    </row>
    <row r="120" spans="8:9" x14ac:dyDescent="0.3">
      <c r="H120" t="s">
        <v>286</v>
      </c>
      <c r="I120" t="s">
        <v>1410</v>
      </c>
    </row>
    <row r="121" spans="8:9" x14ac:dyDescent="0.3">
      <c r="H121" t="s">
        <v>285</v>
      </c>
      <c r="I121" t="s">
        <v>1410</v>
      </c>
    </row>
    <row r="122" spans="8:9" x14ac:dyDescent="0.3">
      <c r="H122" t="s">
        <v>103</v>
      </c>
      <c r="I122" t="s">
        <v>1409</v>
      </c>
    </row>
    <row r="123" spans="8:9" x14ac:dyDescent="0.3">
      <c r="H123" t="s">
        <v>282</v>
      </c>
      <c r="I123" t="s">
        <v>1409</v>
      </c>
    </row>
    <row r="124" spans="8:9" x14ac:dyDescent="0.3">
      <c r="H124" t="s">
        <v>576</v>
      </c>
      <c r="I124" t="s">
        <v>1409</v>
      </c>
    </row>
    <row r="125" spans="8:9" x14ac:dyDescent="0.3">
      <c r="H125" t="s">
        <v>135</v>
      </c>
      <c r="I125" t="s">
        <v>1409</v>
      </c>
    </row>
    <row r="126" spans="8:9" x14ac:dyDescent="0.3">
      <c r="H126" t="s">
        <v>402</v>
      </c>
      <c r="I126" t="s">
        <v>1409</v>
      </c>
    </row>
    <row r="127" spans="8:9" x14ac:dyDescent="0.3">
      <c r="H127" t="s">
        <v>290</v>
      </c>
      <c r="I127" t="s">
        <v>1410</v>
      </c>
    </row>
    <row r="128" spans="8:9" x14ac:dyDescent="0.3">
      <c r="H128" t="s">
        <v>289</v>
      </c>
      <c r="I128" t="s">
        <v>1410</v>
      </c>
    </row>
    <row r="129" spans="8:9" x14ac:dyDescent="0.3">
      <c r="H129" t="s">
        <v>72</v>
      </c>
      <c r="I129" t="s">
        <v>1418</v>
      </c>
    </row>
    <row r="130" spans="8:9" x14ac:dyDescent="0.3">
      <c r="H130" t="s">
        <v>395</v>
      </c>
      <c r="I130" t="s">
        <v>1407</v>
      </c>
    </row>
    <row r="131" spans="8:9" x14ac:dyDescent="0.3">
      <c r="H131" t="s">
        <v>25</v>
      </c>
      <c r="I131" t="s">
        <v>1419</v>
      </c>
    </row>
    <row r="132" spans="8:9" x14ac:dyDescent="0.3">
      <c r="H132" t="s">
        <v>398</v>
      </c>
      <c r="I132" t="s">
        <v>1408</v>
      </c>
    </row>
    <row r="133" spans="8:9" x14ac:dyDescent="0.3">
      <c r="H133" t="s">
        <v>396</v>
      </c>
      <c r="I133" t="s">
        <v>1418</v>
      </c>
    </row>
    <row r="134" spans="8:9" x14ac:dyDescent="0.3">
      <c r="H134" t="s">
        <v>490</v>
      </c>
      <c r="I134" t="s">
        <v>1409</v>
      </c>
    </row>
    <row r="135" spans="8:9" x14ac:dyDescent="0.3">
      <c r="H135" t="s">
        <v>1082</v>
      </c>
      <c r="I135" t="s">
        <v>1408</v>
      </c>
    </row>
    <row r="136" spans="8:9" x14ac:dyDescent="0.3">
      <c r="H136" t="s">
        <v>598</v>
      </c>
      <c r="I136" t="s">
        <v>1418</v>
      </c>
    </row>
    <row r="137" spans="8:9" x14ac:dyDescent="0.3">
      <c r="H137" t="s">
        <v>397</v>
      </c>
      <c r="I137" t="s">
        <v>1408</v>
      </c>
    </row>
    <row r="138" spans="8:9" x14ac:dyDescent="0.3">
      <c r="H138" t="s">
        <v>163</v>
      </c>
      <c r="I138" t="s">
        <v>1407</v>
      </c>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5889-E023-4048-A62D-CF3E89901625}">
  <dimension ref="A1:E13"/>
  <sheetViews>
    <sheetView zoomScaleNormal="100" workbookViewId="0"/>
  </sheetViews>
  <sheetFormatPr defaultColWidth="8.5546875" defaultRowHeight="14.4" x14ac:dyDescent="0.3"/>
  <cols>
    <col min="1" max="5" width="25" style="1" customWidth="1"/>
    <col min="6" max="16384" width="8.5546875" style="1"/>
  </cols>
  <sheetData>
    <row r="1" spans="1:5" ht="21" customHeight="1" x14ac:dyDescent="0.4">
      <c r="A1" s="726" t="s">
        <v>901</v>
      </c>
      <c r="B1" s="726"/>
      <c r="C1" s="726"/>
      <c r="D1" s="726"/>
      <c r="E1" s="726"/>
    </row>
    <row r="3" spans="1:5" ht="15" customHeight="1" x14ac:dyDescent="0.3">
      <c r="A3" s="226" t="s">
        <v>902</v>
      </c>
      <c r="B3" s="225" t="s">
        <v>903</v>
      </c>
    </row>
    <row r="4" spans="1:5" ht="15" customHeight="1" x14ac:dyDescent="0.3">
      <c r="A4" s="224" t="s">
        <v>904</v>
      </c>
      <c r="B4" s="223" t="str">
        <f>IF(RESUMO_MENSAL!B2&gt;0,"OK","ATENÇÃO")</f>
        <v>OK</v>
      </c>
    </row>
    <row r="5" spans="1:5" ht="15" customHeight="1" x14ac:dyDescent="0.3">
      <c r="A5" s="222" t="s">
        <v>905</v>
      </c>
      <c r="B5" s="221">
        <f>SUM(RESUMO_MENSAL!B2:B13)</f>
        <v>1685871</v>
      </c>
    </row>
    <row r="6" spans="1:5" ht="15" customHeight="1" x14ac:dyDescent="0.3">
      <c r="A6" s="220" t="s">
        <v>906</v>
      </c>
      <c r="B6" s="219">
        <v>100000</v>
      </c>
    </row>
    <row r="7" spans="1:5" ht="15" customHeight="1" x14ac:dyDescent="0.3">
      <c r="A7" s="218" t="s">
        <v>907</v>
      </c>
      <c r="B7" s="217">
        <f>B5/B6</f>
        <v>16.858709999999999</v>
      </c>
    </row>
    <row r="8" spans="1:5" ht="15" customHeight="1" x14ac:dyDescent="0.3">
      <c r="A8" s="76"/>
      <c r="B8" s="76"/>
    </row>
    <row r="9" spans="1:5" ht="15" customHeight="1" x14ac:dyDescent="0.3">
      <c r="A9" s="76"/>
      <c r="B9" s="76"/>
    </row>
    <row r="10" spans="1:5" ht="15" customHeight="1" x14ac:dyDescent="0.3">
      <c r="A10" s="76"/>
      <c r="B10" s="76"/>
    </row>
    <row r="12" spans="1:5" ht="14.25" customHeight="1" x14ac:dyDescent="0.3">
      <c r="A12" s="216" t="s">
        <v>908</v>
      </c>
      <c r="B12" s="215">
        <f>SUM(RESUMO_MENSAL!J4:J15)</f>
        <v>149097</v>
      </c>
    </row>
    <row r="13" spans="1:5" ht="14.25" customHeight="1" x14ac:dyDescent="0.3">
      <c r="A13" s="216" t="s">
        <v>909</v>
      </c>
      <c r="B13" s="215" t="str">
        <f>IFERROR(INDEX(RESUMO_MENSAL!A4:A15,MATCH(MAX(RESUMO_MENSAL!J4:J15),RESUMO_MENSAL!J4:J15,0)),"-")</f>
        <v>JUNHO</v>
      </c>
    </row>
  </sheetData>
  <mergeCells count="1">
    <mergeCell ref="A1:E1"/>
  </mergeCells>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74D3-CCCF-466A-B98D-482F35BB835A}">
  <sheetPr>
    <tabColor rgb="FF1A2B3C"/>
  </sheetPr>
  <dimension ref="A1:X50"/>
  <sheetViews>
    <sheetView showGridLines="0" zoomScale="90" zoomScaleNormal="90" workbookViewId="0">
      <selection activeCell="C19" sqref="C19"/>
    </sheetView>
  </sheetViews>
  <sheetFormatPr defaultColWidth="8.5546875" defaultRowHeight="14.4" x14ac:dyDescent="0.3"/>
  <cols>
    <col min="1" max="1" width="15.5546875" style="1" customWidth="1"/>
    <col min="2" max="2" width="16.6640625" style="1" customWidth="1"/>
    <col min="3" max="3" width="13.33203125" style="1" customWidth="1"/>
    <col min="4" max="4" width="15.21875" style="1" customWidth="1"/>
    <col min="5" max="5" width="9.6640625" style="1" customWidth="1"/>
    <col min="6" max="6" width="9" style="1" customWidth="1"/>
    <col min="7" max="8" width="9.6640625" style="1" customWidth="1"/>
    <col min="9" max="9" width="8.33203125" style="1" customWidth="1"/>
    <col min="10" max="10" width="3.5546875" style="1" customWidth="1"/>
    <col min="11" max="14" width="11.5546875" style="1" customWidth="1"/>
    <col min="15" max="15" width="3.5546875" style="1" customWidth="1"/>
    <col min="16" max="19" width="0" style="1" hidden="1" customWidth="1"/>
    <col min="20" max="20" width="8.5546875" style="1"/>
    <col min="21" max="24" width="0" style="1" hidden="1" customWidth="1"/>
    <col min="25" max="16384" width="8.5546875" style="1"/>
  </cols>
  <sheetData>
    <row r="1" spans="1:24" ht="10.35" customHeight="1" x14ac:dyDescent="0.3">
      <c r="A1" s="751"/>
      <c r="B1" s="751"/>
      <c r="C1" s="752" t="s">
        <v>1087</v>
      </c>
      <c r="D1" s="752"/>
      <c r="E1" s="752"/>
      <c r="F1" s="752"/>
      <c r="G1" s="752"/>
      <c r="H1" s="752"/>
      <c r="I1" s="752"/>
      <c r="J1" s="752"/>
      <c r="K1" s="752"/>
      <c r="L1" s="752"/>
      <c r="M1" s="768" t="s">
        <v>910</v>
      </c>
      <c r="N1" s="646"/>
      <c r="O1" s="646"/>
    </row>
    <row r="2" spans="1:24" ht="33.75" customHeight="1" x14ac:dyDescent="0.3">
      <c r="A2" s="751"/>
      <c r="B2" s="751"/>
      <c r="C2" s="752"/>
      <c r="D2" s="752"/>
      <c r="E2" s="752"/>
      <c r="F2" s="752"/>
      <c r="G2" s="752"/>
      <c r="H2" s="752"/>
      <c r="I2" s="752"/>
      <c r="J2" s="752"/>
      <c r="K2" s="752"/>
      <c r="L2" s="752"/>
      <c r="M2" s="646"/>
      <c r="N2" s="646"/>
      <c r="O2" s="646"/>
    </row>
    <row r="3" spans="1:24" ht="10.35" customHeight="1" x14ac:dyDescent="0.3">
      <c r="A3" s="751"/>
      <c r="B3" s="751"/>
      <c r="C3" s="752"/>
      <c r="D3" s="752"/>
      <c r="E3" s="752"/>
      <c r="F3" s="752"/>
      <c r="G3" s="752"/>
      <c r="H3" s="752"/>
      <c r="I3" s="752"/>
      <c r="J3" s="752"/>
      <c r="K3" s="752"/>
      <c r="L3" s="752"/>
      <c r="M3" s="646"/>
      <c r="N3" s="646"/>
      <c r="O3" s="646"/>
    </row>
    <row r="4" spans="1:24" ht="10.35" customHeight="1" x14ac:dyDescent="0.3">
      <c r="A4" s="55"/>
      <c r="B4" s="55"/>
      <c r="C4" s="55"/>
      <c r="D4" s="55"/>
      <c r="E4" s="55"/>
      <c r="F4" s="55"/>
      <c r="G4" s="55"/>
      <c r="H4" s="55"/>
      <c r="I4" s="55"/>
      <c r="J4" s="55"/>
      <c r="K4" s="55"/>
      <c r="L4" s="55"/>
      <c r="M4" s="55"/>
      <c r="N4" s="55"/>
      <c r="O4" s="55"/>
    </row>
    <row r="5" spans="1:24" ht="16.350000000000001" customHeight="1" x14ac:dyDescent="0.3">
      <c r="A5" s="53"/>
      <c r="B5" s="736" t="s">
        <v>911</v>
      </c>
      <c r="C5" s="736"/>
      <c r="D5" s="736" t="s">
        <v>912</v>
      </c>
      <c r="E5" s="736"/>
      <c r="F5" s="736" t="s">
        <v>18</v>
      </c>
      <c r="G5" s="736"/>
      <c r="H5" s="736" t="s">
        <v>19</v>
      </c>
      <c r="I5" s="736"/>
      <c r="J5" s="53"/>
      <c r="K5" s="736" t="s">
        <v>913</v>
      </c>
      <c r="L5" s="736"/>
      <c r="M5" s="736" t="s">
        <v>914</v>
      </c>
      <c r="N5" s="736"/>
      <c r="O5" s="53"/>
    </row>
    <row r="6" spans="1:24" ht="28.35" customHeight="1" x14ac:dyDescent="0.3">
      <c r="A6" s="53"/>
      <c r="B6" s="753">
        <f>SUM(RESUMO_MENSAL!B4:B15)</f>
        <v>1674871</v>
      </c>
      <c r="C6" s="753"/>
      <c r="D6" s="753">
        <f>SUMIF(RESUMO_MENSAL!B4:B15,"&gt;0",RESUMO_MENSAL!C4:C15)</f>
        <v>1650000</v>
      </c>
      <c r="E6" s="753"/>
      <c r="F6" s="754">
        <f>IFERROR(B6/D6,0)</f>
        <v>1.0150733333333333</v>
      </c>
      <c r="G6" s="754"/>
      <c r="H6" s="755" t="str">
        <f>IFERROR(INDEX(RESUMO_MENSAL!A4:A15,MATCH(MAX(RESUMO_MENSAL!B4:B15),RESUMO_MENSAL!B4:B15,0)),"-")</f>
        <v>MARÇO</v>
      </c>
      <c r="I6" s="755"/>
      <c r="J6" s="53"/>
      <c r="K6" s="753">
        <f>MAX(RESUMO_MENSAL!G4:G15)</f>
        <v>20196</v>
      </c>
      <c r="L6" s="753"/>
      <c r="M6" s="755" t="str">
        <f>IF(B6=0,"SEM DADOS",IF(F6&gt;=1,"✔ ACIMA DA META","✘ ABAIXO"))</f>
        <v>✔ ACIMA DA META</v>
      </c>
      <c r="N6" s="755"/>
      <c r="O6" s="53"/>
    </row>
    <row r="7" spans="1:24" ht="10.35" customHeight="1" x14ac:dyDescent="0.3">
      <c r="A7" s="53"/>
      <c r="B7" s="53"/>
      <c r="C7" s="53"/>
      <c r="D7" s="53"/>
      <c r="E7" s="53"/>
      <c r="F7" s="53"/>
      <c r="G7" s="53"/>
      <c r="H7" s="53"/>
      <c r="I7" s="53"/>
      <c r="J7" s="53"/>
      <c r="K7" s="53"/>
      <c r="L7" s="53"/>
      <c r="M7" s="53"/>
      <c r="N7" s="53"/>
      <c r="O7" s="53"/>
      <c r="X7"/>
    </row>
    <row r="8" spans="1:24" ht="22.05" customHeight="1" x14ac:dyDescent="0.3">
      <c r="A8" s="756" t="s">
        <v>1398</v>
      </c>
      <c r="B8" s="757"/>
      <c r="C8" s="757"/>
      <c r="D8" s="757"/>
      <c r="E8" s="757"/>
      <c r="F8" s="757"/>
      <c r="G8" s="757"/>
      <c r="H8" s="757"/>
      <c r="I8" s="758"/>
      <c r="J8" s="53"/>
      <c r="K8" s="308"/>
      <c r="L8" s="308"/>
      <c r="M8" s="308"/>
      <c r="N8" s="308"/>
      <c r="O8"/>
      <c r="T8"/>
      <c r="U8" s="334" t="s">
        <v>862</v>
      </c>
      <c r="V8" s="334" t="s">
        <v>208</v>
      </c>
      <c r="W8" s="334" t="s">
        <v>210</v>
      </c>
      <c r="X8" s="334" t="s">
        <v>1345</v>
      </c>
    </row>
    <row r="9" spans="1:24" ht="21" customHeight="1" x14ac:dyDescent="0.3">
      <c r="A9" s="336" t="s">
        <v>915</v>
      </c>
      <c r="B9" s="337" t="s">
        <v>916</v>
      </c>
      <c r="C9" s="337" t="s">
        <v>917</v>
      </c>
      <c r="D9" s="337" t="s">
        <v>918</v>
      </c>
      <c r="E9" s="337" t="s">
        <v>919</v>
      </c>
      <c r="F9" s="337" t="s">
        <v>920</v>
      </c>
      <c r="G9" s="337" t="s">
        <v>921</v>
      </c>
      <c r="H9" s="337" t="s">
        <v>1399</v>
      </c>
      <c r="I9" s="338" t="s">
        <v>922</v>
      </c>
      <c r="J9" s="53"/>
      <c r="K9" s="53"/>
      <c r="L9" s="53"/>
      <c r="M9" s="53"/>
      <c r="N9" s="53"/>
      <c r="O9" s="53"/>
      <c r="U9" s="334" t="str">
        <f>A10</f>
        <v>JANEIRO</v>
      </c>
      <c r="V9" s="335" t="e">
        <f>IF(B10=0,NA(),IF(B10&gt;=C10,B10,NA()))</f>
        <v>#N/A</v>
      </c>
      <c r="W9" s="335">
        <f>IF(B10=0,NA(),IF(B10&lt;C10,B10,NA()))</f>
        <v>166293</v>
      </c>
      <c r="X9" s="335">
        <f>IF(C10=0,NA(),C10)</f>
        <v>209000</v>
      </c>
    </row>
    <row r="10" spans="1:24" ht="19.05" customHeight="1" x14ac:dyDescent="0.3">
      <c r="A10" s="339" t="str">
        <f>RESUMO_MENSAL!A4</f>
        <v>JANEIRO</v>
      </c>
      <c r="B10" s="538">
        <f>RESUMO_MENSAL!B4</f>
        <v>166293</v>
      </c>
      <c r="C10" s="538">
        <f>RESUMO_MENSAL!C4</f>
        <v>209000</v>
      </c>
      <c r="D10" s="340">
        <f>RESUMO_MENSAL!D4</f>
        <v>-42707</v>
      </c>
      <c r="E10" s="341">
        <f>RESUMO_MENSAL!E4</f>
        <v>0.79566028708133973</v>
      </c>
      <c r="F10" s="342" t="str">
        <f>IF(RESUMO_MENSAL!B4=0,"—",IF(RESUMO_MENSAL!E4&gt;=1,"✔ ACIMA","✘ ABAIXO"))</f>
        <v>✘ ABAIXO</v>
      </c>
      <c r="G10" s="541">
        <f>RESUMO_MENSAL!F4</f>
        <v>8752.2631578947367</v>
      </c>
      <c r="H10" s="544">
        <f>RESUMO_MENSAL!G4</f>
        <v>14931</v>
      </c>
      <c r="I10" s="547">
        <f>RESUMO_MENSAL!H4</f>
        <v>19</v>
      </c>
      <c r="J10" s="53"/>
      <c r="K10" s="53"/>
      <c r="L10" s="53"/>
      <c r="M10" s="53"/>
      <c r="N10" s="53"/>
      <c r="O10" s="53"/>
      <c r="U10" s="334" t="str">
        <f t="shared" ref="U10:U20" si="0">A11</f>
        <v>FEVEREIRO</v>
      </c>
      <c r="V10" s="335">
        <f t="shared" ref="V10:V20" si="1">IF(B11=0,NA(),IF(B11&gt;=C11,B11,NA()))</f>
        <v>191118</v>
      </c>
      <c r="W10" s="335" t="e">
        <f t="shared" ref="W10:W20" si="2">IF(B11=0,NA(),IF(B11&lt;C11,B11,NA()))</f>
        <v>#N/A</v>
      </c>
      <c r="X10" s="335">
        <f t="shared" ref="X10:X20" si="3">IF(C11=0,NA(),C11)</f>
        <v>187000</v>
      </c>
    </row>
    <row r="11" spans="1:24" ht="19.05" customHeight="1" x14ac:dyDescent="0.3">
      <c r="A11" s="343" t="str">
        <f>RESUMO_MENSAL!A5</f>
        <v>FEVEREIRO</v>
      </c>
      <c r="B11" s="539">
        <f>RESUMO_MENSAL!B5</f>
        <v>191118</v>
      </c>
      <c r="C11" s="539">
        <f>RESUMO_MENSAL!C5</f>
        <v>187000</v>
      </c>
      <c r="D11" s="344">
        <f>RESUMO_MENSAL!D5</f>
        <v>4118</v>
      </c>
      <c r="E11" s="345">
        <f>RESUMO_MENSAL!E5</f>
        <v>1.0220213903743316</v>
      </c>
      <c r="F11" s="346" t="str">
        <f>IF(RESUMO_MENSAL!B5=0,"—",IF(RESUMO_MENSAL!E5&gt;=1,"✔ ACIMA","✘ ABAIXO"))</f>
        <v>✔ ACIMA</v>
      </c>
      <c r="G11" s="542">
        <f>RESUMO_MENSAL!F5</f>
        <v>11242.235294117647</v>
      </c>
      <c r="H11" s="545">
        <f>RESUMO_MENSAL!G5</f>
        <v>17172</v>
      </c>
      <c r="I11" s="548">
        <f>RESUMO_MENSAL!H5</f>
        <v>17</v>
      </c>
      <c r="J11" s="53"/>
      <c r="K11" s="53"/>
      <c r="L11" s="53"/>
      <c r="M11" s="53"/>
      <c r="N11" s="53"/>
      <c r="O11" s="53"/>
      <c r="U11" s="334" t="str">
        <f t="shared" si="0"/>
        <v>MARÇO</v>
      </c>
      <c r="V11" s="335">
        <f t="shared" si="1"/>
        <v>280764</v>
      </c>
      <c r="W11" s="335" t="e">
        <f t="shared" si="2"/>
        <v>#N/A</v>
      </c>
      <c r="X11" s="335">
        <f t="shared" si="3"/>
        <v>242000</v>
      </c>
    </row>
    <row r="12" spans="1:24" ht="19.05" customHeight="1" x14ac:dyDescent="0.3">
      <c r="A12" s="339" t="str">
        <f>RESUMO_MENSAL!A6</f>
        <v>MARÇO</v>
      </c>
      <c r="B12" s="538">
        <f>RESUMO_MENSAL!B6</f>
        <v>280764</v>
      </c>
      <c r="C12" s="538">
        <f>RESUMO_MENSAL!C6</f>
        <v>242000</v>
      </c>
      <c r="D12" s="340">
        <f>RESUMO_MENSAL!D6</f>
        <v>38764</v>
      </c>
      <c r="E12" s="341">
        <f>RESUMO_MENSAL!E6</f>
        <v>1.1601818181818182</v>
      </c>
      <c r="F12" s="342" t="str">
        <f>IF(RESUMO_MENSAL!B6=0,"—",IF(RESUMO_MENSAL!E6&gt;=1,"✔ ACIMA","✘ ABAIXO"))</f>
        <v>✔ ACIMA</v>
      </c>
      <c r="G12" s="541">
        <f>RESUMO_MENSAL!F6</f>
        <v>12762</v>
      </c>
      <c r="H12" s="544">
        <f>RESUMO_MENSAL!G6</f>
        <v>17856</v>
      </c>
      <c r="I12" s="547">
        <f>RESUMO_MENSAL!H6</f>
        <v>22</v>
      </c>
      <c r="J12" s="53"/>
      <c r="K12" s="53"/>
      <c r="L12" s="53"/>
      <c r="M12" s="53"/>
      <c r="N12" s="53"/>
      <c r="O12" s="53"/>
      <c r="U12" s="334" t="str">
        <f t="shared" si="0"/>
        <v>ABRIL</v>
      </c>
      <c r="V12" s="335">
        <f t="shared" si="1"/>
        <v>256482</v>
      </c>
      <c r="W12" s="335" t="e">
        <f t="shared" si="2"/>
        <v>#N/A</v>
      </c>
      <c r="X12" s="335">
        <f t="shared" si="3"/>
        <v>242000</v>
      </c>
    </row>
    <row r="13" spans="1:24" ht="19.05" customHeight="1" x14ac:dyDescent="0.3">
      <c r="A13" s="343" t="str">
        <f>RESUMO_MENSAL!A7</f>
        <v>ABRIL</v>
      </c>
      <c r="B13" s="539">
        <f>RESUMO_MENSAL!B7</f>
        <v>256482</v>
      </c>
      <c r="C13" s="539">
        <f>RESUMO_MENSAL!C7</f>
        <v>242000</v>
      </c>
      <c r="D13" s="344">
        <f>RESUMO_MENSAL!D7</f>
        <v>14482</v>
      </c>
      <c r="E13" s="345">
        <f>RESUMO_MENSAL!E7</f>
        <v>1.0598429752066116</v>
      </c>
      <c r="F13" s="346" t="str">
        <f>IF(RESUMO_MENSAL!B7=0,"—",IF(RESUMO_MENSAL!E7&gt;=1,"✔ ACIMA","✘ ABAIXO"))</f>
        <v>✔ ACIMA</v>
      </c>
      <c r="G13" s="542">
        <f>RESUMO_MENSAL!F7</f>
        <v>11658.272727272728</v>
      </c>
      <c r="H13" s="545">
        <f>RESUMO_MENSAL!G7</f>
        <v>20196</v>
      </c>
      <c r="I13" s="548">
        <f>RESUMO_MENSAL!H7</f>
        <v>22</v>
      </c>
      <c r="J13" s="53"/>
      <c r="K13" s="53"/>
      <c r="L13" s="53"/>
      <c r="M13" s="53"/>
      <c r="N13" s="53"/>
      <c r="O13" s="53"/>
      <c r="U13" s="334" t="str">
        <f t="shared" si="0"/>
        <v>MAIO</v>
      </c>
      <c r="V13" s="335" t="e">
        <f t="shared" si="1"/>
        <v>#N/A</v>
      </c>
      <c r="W13" s="335">
        <f t="shared" si="2"/>
        <v>277080</v>
      </c>
      <c r="X13" s="335">
        <f t="shared" si="3"/>
        <v>286000</v>
      </c>
    </row>
    <row r="14" spans="1:24" ht="19.05" customHeight="1" x14ac:dyDescent="0.3">
      <c r="A14" s="339" t="str">
        <f>RESUMO_MENSAL!A8</f>
        <v>MAIO</v>
      </c>
      <c r="B14" s="538">
        <f>RESUMO_MENSAL!B8</f>
        <v>277080</v>
      </c>
      <c r="C14" s="538">
        <f>RESUMO_MENSAL!C8</f>
        <v>286000</v>
      </c>
      <c r="D14" s="340">
        <f>RESUMO_MENSAL!D8</f>
        <v>-8920</v>
      </c>
      <c r="E14" s="341">
        <f>RESUMO_MENSAL!E8</f>
        <v>0.96881118881118877</v>
      </c>
      <c r="F14" s="342" t="str">
        <f>IF(RESUMO_MENSAL!B8=0,"—",IF(RESUMO_MENSAL!E8&gt;=1,"✔ ACIMA","✘ ABAIXO"))</f>
        <v>✘ ABAIXO</v>
      </c>
      <c r="G14" s="541">
        <f>RESUMO_MENSAL!F8</f>
        <v>10656.923076923076</v>
      </c>
      <c r="H14" s="544">
        <f>RESUMO_MENSAL!G8</f>
        <v>18852</v>
      </c>
      <c r="I14" s="547">
        <f>RESUMO_MENSAL!H8</f>
        <v>26</v>
      </c>
      <c r="J14" s="53"/>
      <c r="K14" s="53"/>
      <c r="L14" s="53"/>
      <c r="M14" s="53"/>
      <c r="N14" s="53"/>
      <c r="O14" s="53"/>
      <c r="U14" s="334" t="str">
        <f t="shared" si="0"/>
        <v>JUNHO</v>
      </c>
      <c r="V14" s="335" t="e">
        <f t="shared" si="1"/>
        <v>#N/A</v>
      </c>
      <c r="W14" s="335">
        <f t="shared" si="2"/>
        <v>262054</v>
      </c>
      <c r="X14" s="335">
        <f t="shared" si="3"/>
        <v>264000</v>
      </c>
    </row>
    <row r="15" spans="1:24" ht="19.05" customHeight="1" x14ac:dyDescent="0.3">
      <c r="A15" s="550" t="str">
        <f>RESUMO_MENSAL!A9</f>
        <v>JUNHO</v>
      </c>
      <c r="B15" s="551">
        <f>RESUMO_MENSAL!B9</f>
        <v>262054</v>
      </c>
      <c r="C15" s="551">
        <f>RESUMO_MENSAL!C9</f>
        <v>264000</v>
      </c>
      <c r="D15" s="552">
        <f>RESUMO_MENSAL!D9</f>
        <v>-1946</v>
      </c>
      <c r="E15" s="553">
        <f>RESUMO_MENSAL!E9</f>
        <v>0.99262878787878783</v>
      </c>
      <c r="F15" s="554" t="str">
        <f>IF(RESUMO_MENSAL!B9=0,"—",IF(RESUMO_MENSAL!E9&gt;=1,"✔ ACIMA","✘ ABAIXO"))</f>
        <v>✘ ABAIXO</v>
      </c>
      <c r="G15" s="555">
        <f>RESUMO_MENSAL!F9</f>
        <v>10918.916666666666</v>
      </c>
      <c r="H15" s="556">
        <f>RESUMO_MENSAL!G9</f>
        <v>16164</v>
      </c>
      <c r="I15" s="557">
        <f>RESUMO_MENSAL!H9</f>
        <v>24</v>
      </c>
      <c r="J15" s="53"/>
      <c r="K15" s="53"/>
      <c r="L15" s="53"/>
      <c r="M15" s="53"/>
      <c r="N15" s="53"/>
      <c r="O15" s="53"/>
      <c r="U15" s="334" t="str">
        <f t="shared" si="0"/>
        <v>JULHO</v>
      </c>
      <c r="V15" s="335">
        <f t="shared" si="1"/>
        <v>241080</v>
      </c>
      <c r="W15" s="335" t="e">
        <f t="shared" si="2"/>
        <v>#N/A</v>
      </c>
      <c r="X15" s="335">
        <f t="shared" si="3"/>
        <v>220000</v>
      </c>
    </row>
    <row r="16" spans="1:24" ht="19.05" customHeight="1" x14ac:dyDescent="0.3">
      <c r="A16" s="566" t="str">
        <f>RESUMO_MENSAL!A10</f>
        <v>JULHO</v>
      </c>
      <c r="B16" s="567">
        <f>RESUMO_MENSAL!B10</f>
        <v>241080</v>
      </c>
      <c r="C16" s="567">
        <f>RESUMO_MENSAL!C10</f>
        <v>220000</v>
      </c>
      <c r="D16" s="568">
        <f>RESUMO_MENSAL!D10</f>
        <v>21080</v>
      </c>
      <c r="E16" s="569">
        <f>RESUMO_MENSAL!E10</f>
        <v>1.0958181818181818</v>
      </c>
      <c r="F16" s="570" t="str">
        <f>IF(RESUMO_MENSAL!B10=0,"—",IF(RESUMO_MENSAL!E10&gt;=1,"✔ ACIMA","✘ ABAIXO"))</f>
        <v>✔ ACIMA</v>
      </c>
      <c r="G16" s="571">
        <f>RESUMO_MENSAL!F10</f>
        <v>12054</v>
      </c>
      <c r="H16" s="572">
        <f>RESUMO_MENSAL!G10</f>
        <v>20076</v>
      </c>
      <c r="I16" s="573">
        <f>RESUMO_MENSAL!H10</f>
        <v>20</v>
      </c>
      <c r="J16" s="53"/>
      <c r="K16" s="53"/>
      <c r="L16" s="53"/>
      <c r="M16" s="53"/>
      <c r="N16" s="53"/>
      <c r="O16" s="53"/>
      <c r="U16" s="334" t="str">
        <f t="shared" si="0"/>
        <v>AGOSTO</v>
      </c>
      <c r="V16" s="335" t="e">
        <f t="shared" si="1"/>
        <v>#N/A</v>
      </c>
      <c r="W16" s="335" t="e">
        <f t="shared" si="2"/>
        <v>#N/A</v>
      </c>
      <c r="X16" s="335" t="e">
        <f t="shared" si="3"/>
        <v>#N/A</v>
      </c>
    </row>
    <row r="17" spans="1:24" ht="19.05" customHeight="1" x14ac:dyDescent="0.3">
      <c r="A17" s="558" t="str">
        <f>RESUMO_MENSAL!A11</f>
        <v>AGOSTO</v>
      </c>
      <c r="B17" s="559">
        <f>RESUMO_MENSAL!B11</f>
        <v>0</v>
      </c>
      <c r="C17" s="559">
        <f>RESUMO_MENSAL!C11</f>
        <v>0</v>
      </c>
      <c r="D17" s="560" t="str">
        <f>RESUMO_MENSAL!D11</f>
        <v/>
      </c>
      <c r="E17" s="561" t="str">
        <f>RESUMO_MENSAL!E11</f>
        <v/>
      </c>
      <c r="F17" s="562" t="str">
        <f>IF(RESUMO_MENSAL!B11=0,"—",IF(RESUMO_MENSAL!E11&gt;=1,"✔ ACIMA","✘ ABAIXO"))</f>
        <v>—</v>
      </c>
      <c r="G17" s="563">
        <f>RESUMO_MENSAL!F11</f>
        <v>0</v>
      </c>
      <c r="H17" s="564">
        <f>RESUMO_MENSAL!G11</f>
        <v>0</v>
      </c>
      <c r="I17" s="565">
        <f>RESUMO_MENSAL!H11</f>
        <v>0</v>
      </c>
      <c r="J17" s="53"/>
      <c r="K17" s="53"/>
      <c r="L17" s="53"/>
      <c r="M17" s="53"/>
      <c r="N17" s="53"/>
      <c r="O17" s="53"/>
      <c r="U17" s="334" t="str">
        <f t="shared" si="0"/>
        <v>SETEMBRO</v>
      </c>
      <c r="V17" s="335" t="e">
        <f t="shared" si="1"/>
        <v>#N/A</v>
      </c>
      <c r="W17" s="335" t="e">
        <f t="shared" si="2"/>
        <v>#N/A</v>
      </c>
      <c r="X17" s="335" t="e">
        <f t="shared" si="3"/>
        <v>#N/A</v>
      </c>
    </row>
    <row r="18" spans="1:24" ht="19.05" customHeight="1" x14ac:dyDescent="0.3">
      <c r="A18" s="339" t="str">
        <f>RESUMO_MENSAL!A12</f>
        <v>SETEMBRO</v>
      </c>
      <c r="B18" s="538">
        <f>RESUMO_MENSAL!B12</f>
        <v>0</v>
      </c>
      <c r="C18" s="538">
        <f>RESUMO_MENSAL!C12</f>
        <v>0</v>
      </c>
      <c r="D18" s="340" t="str">
        <f>RESUMO_MENSAL!D12</f>
        <v/>
      </c>
      <c r="E18" s="341" t="str">
        <f>RESUMO_MENSAL!E12</f>
        <v/>
      </c>
      <c r="F18" s="342" t="str">
        <f>IF(RESUMO_MENSAL!B12=0,"—",IF(RESUMO_MENSAL!E12&gt;=1,"✔ ACIMA","✘ ABAIXO"))</f>
        <v>—</v>
      </c>
      <c r="G18" s="541">
        <f>RESUMO_MENSAL!F12</f>
        <v>0</v>
      </c>
      <c r="H18" s="544">
        <f>RESUMO_MENSAL!G12</f>
        <v>0</v>
      </c>
      <c r="I18" s="547">
        <f>RESUMO_MENSAL!H12</f>
        <v>0</v>
      </c>
      <c r="J18" s="53"/>
      <c r="K18" s="53"/>
      <c r="L18" s="53"/>
      <c r="M18" s="53"/>
      <c r="N18" s="53"/>
      <c r="O18" s="53"/>
      <c r="U18" s="334" t="str">
        <f t="shared" si="0"/>
        <v>OUTUBRO</v>
      </c>
      <c r="V18" s="335" t="e">
        <f t="shared" si="1"/>
        <v>#N/A</v>
      </c>
      <c r="W18" s="335" t="e">
        <f t="shared" si="2"/>
        <v>#N/A</v>
      </c>
      <c r="X18" s="335" t="e">
        <f t="shared" si="3"/>
        <v>#N/A</v>
      </c>
    </row>
    <row r="19" spans="1:24" ht="19.05" customHeight="1" x14ac:dyDescent="0.3">
      <c r="A19" s="343" t="str">
        <f>RESUMO_MENSAL!A13</f>
        <v>OUTUBRO</v>
      </c>
      <c r="B19" s="539">
        <f>RESUMO_MENSAL!B13</f>
        <v>0</v>
      </c>
      <c r="C19" s="539">
        <f>RESUMO_MENSAL!C13</f>
        <v>0</v>
      </c>
      <c r="D19" s="344" t="str">
        <f>RESUMO_MENSAL!D13</f>
        <v/>
      </c>
      <c r="E19" s="345" t="str">
        <f>RESUMO_MENSAL!E13</f>
        <v/>
      </c>
      <c r="F19" s="346" t="str">
        <f>IF(RESUMO_MENSAL!B13=0,"—",IF(RESUMO_MENSAL!E13&gt;=1,"✔ ACIMA","✘ ABAIXO"))</f>
        <v>—</v>
      </c>
      <c r="G19" s="542">
        <f>RESUMO_MENSAL!F13</f>
        <v>0</v>
      </c>
      <c r="H19" s="545">
        <f>RESUMO_MENSAL!G13</f>
        <v>0</v>
      </c>
      <c r="I19" s="548">
        <f>RESUMO_MENSAL!H13</f>
        <v>0</v>
      </c>
      <c r="J19" s="53"/>
      <c r="K19" s="53"/>
      <c r="L19" s="53"/>
      <c r="M19" s="53"/>
      <c r="N19" s="53"/>
      <c r="O19" s="53"/>
      <c r="U19" s="334" t="str">
        <f t="shared" si="0"/>
        <v>NOVEMBRO</v>
      </c>
      <c r="V19" s="335" t="e">
        <f t="shared" si="1"/>
        <v>#N/A</v>
      </c>
      <c r="W19" s="335" t="e">
        <f t="shared" si="2"/>
        <v>#N/A</v>
      </c>
      <c r="X19" s="335" t="e">
        <f t="shared" si="3"/>
        <v>#N/A</v>
      </c>
    </row>
    <row r="20" spans="1:24" ht="19.05" customHeight="1" x14ac:dyDescent="0.3">
      <c r="A20" s="339" t="str">
        <f>RESUMO_MENSAL!A14</f>
        <v>NOVEMBRO</v>
      </c>
      <c r="B20" s="538">
        <f>RESUMO_MENSAL!B14</f>
        <v>0</v>
      </c>
      <c r="C20" s="538">
        <f>RESUMO_MENSAL!C14</f>
        <v>0</v>
      </c>
      <c r="D20" s="340" t="str">
        <f>RESUMO_MENSAL!D14</f>
        <v/>
      </c>
      <c r="E20" s="341" t="str">
        <f>RESUMO_MENSAL!E14</f>
        <v/>
      </c>
      <c r="F20" s="342" t="str">
        <f>IF(RESUMO_MENSAL!B14=0,"—",IF(RESUMO_MENSAL!E14&gt;=1,"✔ ACIMA","✘ ABAIXO"))</f>
        <v>—</v>
      </c>
      <c r="G20" s="541">
        <f>RESUMO_MENSAL!F14</f>
        <v>0</v>
      </c>
      <c r="H20" s="544">
        <f>RESUMO_MENSAL!G14</f>
        <v>0</v>
      </c>
      <c r="I20" s="547">
        <f>RESUMO_MENSAL!H14</f>
        <v>0</v>
      </c>
      <c r="J20" s="53"/>
      <c r="K20" s="53"/>
      <c r="L20" s="53"/>
      <c r="M20" s="53"/>
      <c r="N20" s="53"/>
      <c r="O20" s="53"/>
      <c r="U20" s="334" t="str">
        <f t="shared" si="0"/>
        <v>DEZEMBRO</v>
      </c>
      <c r="V20" s="335" t="e">
        <f t="shared" si="1"/>
        <v>#N/A</v>
      </c>
      <c r="W20" s="335" t="e">
        <f t="shared" si="2"/>
        <v>#N/A</v>
      </c>
      <c r="X20" s="335" t="e">
        <f t="shared" si="3"/>
        <v>#N/A</v>
      </c>
    </row>
    <row r="21" spans="1:24" ht="19.05" customHeight="1" x14ac:dyDescent="0.3">
      <c r="A21" s="347" t="str">
        <f>RESUMO_MENSAL!A15</f>
        <v>DEZEMBRO</v>
      </c>
      <c r="B21" s="540">
        <f>RESUMO_MENSAL!B15</f>
        <v>0</v>
      </c>
      <c r="C21" s="540">
        <f>RESUMO_MENSAL!C15</f>
        <v>0</v>
      </c>
      <c r="D21" s="348" t="str">
        <f>RESUMO_MENSAL!D15</f>
        <v/>
      </c>
      <c r="E21" s="349" t="str">
        <f>RESUMO_MENSAL!E15</f>
        <v/>
      </c>
      <c r="F21" s="350" t="str">
        <f>IF(RESUMO_MENSAL!B15=0,"—",IF(RESUMO_MENSAL!E15&gt;=1,"✔ ACIMA","✘ ABAIXO"))</f>
        <v>—</v>
      </c>
      <c r="G21" s="543">
        <f>RESUMO_MENSAL!F15</f>
        <v>0</v>
      </c>
      <c r="H21" s="546">
        <f>RESUMO_MENSAL!G15</f>
        <v>0</v>
      </c>
      <c r="I21" s="549">
        <f>RESUMO_MENSAL!H15</f>
        <v>0</v>
      </c>
      <c r="J21" s="53"/>
      <c r="K21" s="53"/>
      <c r="L21" s="53"/>
      <c r="M21" s="53"/>
      <c r="N21" s="53"/>
      <c r="O21" s="53"/>
      <c r="U21"/>
      <c r="V21"/>
      <c r="W21"/>
      <c r="X21"/>
    </row>
    <row r="22" spans="1:24" ht="10.95" customHeight="1" x14ac:dyDescent="0.3">
      <c r="A22" s="309"/>
      <c r="B22" s="309"/>
      <c r="C22" s="309"/>
      <c r="D22" s="309"/>
      <c r="E22" s="309"/>
      <c r="F22" s="309"/>
      <c r="G22" s="309"/>
      <c r="H22" s="309"/>
      <c r="I22" s="309"/>
      <c r="J22" s="54"/>
      <c r="K22" s="54"/>
      <c r="L22" s="54"/>
      <c r="M22" s="54"/>
      <c r="N22" s="54"/>
      <c r="O22" s="54"/>
    </row>
    <row r="23" spans="1:24" ht="22.05" customHeight="1" x14ac:dyDescent="0.3">
      <c r="A23" s="760" t="s">
        <v>1346</v>
      </c>
      <c r="B23" s="760"/>
      <c r="C23" s="760"/>
      <c r="D23" s="760" t="s">
        <v>1347</v>
      </c>
      <c r="E23" s="760"/>
      <c r="F23" s="760"/>
      <c r="G23" s="760" t="s">
        <v>1348</v>
      </c>
      <c r="H23" s="760"/>
      <c r="I23" s="760"/>
      <c r="J23"/>
      <c r="K23" s="761" t="s">
        <v>1265</v>
      </c>
      <c r="L23" s="762"/>
      <c r="M23" s="761" t="s">
        <v>1266</v>
      </c>
      <c r="N23" s="765"/>
      <c r="O23"/>
    </row>
    <row r="24" spans="1:24" ht="24" customHeight="1" x14ac:dyDescent="0.3">
      <c r="A24" s="727">
        <f>COUNTIFS(RESUMO_MENSAL!$B$4:$B$15,"&gt;0",RESUMO_MENSAL!$E$4:$E$15,"&gt;=1")</f>
        <v>4</v>
      </c>
      <c r="B24" s="727"/>
      <c r="C24" s="727"/>
      <c r="D24" s="728">
        <f>COUNTIFS(RESUMO_MENSAL!$B$4:$B$15,"&gt;0",RESUMO_MENSAL!$E$4:$E$15,"&lt;1")</f>
        <v>3</v>
      </c>
      <c r="E24" s="728"/>
      <c r="F24" s="728"/>
      <c r="G24" s="729">
        <f>COUNTIF(RESUMO_MENSAL!$B$4:$B$15,"&gt;0")</f>
        <v>7</v>
      </c>
      <c r="H24" s="729"/>
      <c r="I24" s="729"/>
      <c r="J24"/>
      <c r="K24" s="763">
        <f ca="1">COUNTIFS(INDIRECT("'GRAFICO "&amp;CHOOSE(MONTH(TODAY()),"JANEIRO","FEVEREIRO","MARÇO","ABRIL","MAIO","JUNHO","JULHO","AGOSTO","SETEMBRO","OUTUBRO","NOVEMBRO","DEZEMBRO")&amp;"'!"&amp;CHOOSE(MONTH(TODAY()),"C9:C40","C9:C40","C9:C40","D9:D40","C9:C40","C9:C40","C9:C40","C9:C40","C9:C40","C9:C40","C9:C40","C9:C40")),"&gt;0",INDIRECT("'GRAFICO "&amp;CHOOSE(MONTH(TODAY()),"JANEIRO","FEVEREIRO","MARÇO","ABRIL","MAIO","JUNHO","JULHO","AGOSTO","SETEMBRO","OUTUBRO","NOVEMBRO","DEZEMBRO")&amp;"'!"&amp;CHOOSE(MONTH(TODAY()),"A9:A40","A9:A40","A9:A40","B9:B40","A9:A40","A9:A40","A9:A40","A9:A40","A9:A40","A9:A40","A9:A40","A9:A40")),"&lt;="&amp;TODAY())*CONFIG!$B$3</f>
        <v>220000</v>
      </c>
      <c r="L24" s="764"/>
      <c r="M24" s="766" cm="1">
        <f t="array" aca="1" ref="M24" ca="1">IFERROR(INDEX(RESUMO_MENSAL!$B$4:$B$15,MONTH(TODAY()))/K24,0)</f>
        <v>1.0958181818181818</v>
      </c>
      <c r="N24" s="767"/>
      <c r="O24"/>
    </row>
    <row r="25" spans="1:24" ht="8.1" customHeight="1" x14ac:dyDescent="0.3">
      <c r="A25" s="2"/>
      <c r="B25" s="2"/>
      <c r="C25" s="2"/>
      <c r="D25" s="2"/>
      <c r="E25" s="2"/>
      <c r="F25" s="2"/>
      <c r="G25" s="2"/>
      <c r="H25" s="2"/>
      <c r="I25" s="2"/>
      <c r="J25" s="2"/>
      <c r="K25" s="2"/>
      <c r="L25" s="2"/>
      <c r="M25" s="2"/>
      <c r="N25" s="2"/>
      <c r="O25" s="2"/>
    </row>
    <row r="26" spans="1:24" ht="8.1" customHeight="1" x14ac:dyDescent="0.3">
      <c r="A26" s="2"/>
      <c r="B26" s="2"/>
      <c r="C26" s="2"/>
      <c r="D26" s="2"/>
      <c r="E26" s="2"/>
      <c r="F26" s="2"/>
      <c r="G26" s="2"/>
      <c r="H26" s="2"/>
      <c r="I26" s="2"/>
      <c r="J26" s="2"/>
      <c r="K26" s="2"/>
      <c r="L26" s="2"/>
      <c r="M26" s="2"/>
      <c r="N26" s="2"/>
      <c r="O26" s="2"/>
    </row>
    <row r="27" spans="1:24" ht="8.1" customHeight="1" x14ac:dyDescent="0.3">
      <c r="A27" s="2"/>
      <c r="B27" s="2"/>
      <c r="C27" s="2"/>
      <c r="D27" s="2"/>
      <c r="E27" s="2"/>
      <c r="F27" s="2"/>
      <c r="G27" s="2"/>
      <c r="H27" s="2"/>
      <c r="I27" s="2"/>
      <c r="J27" s="2"/>
      <c r="K27" s="2"/>
      <c r="L27" s="2"/>
      <c r="M27" s="2"/>
      <c r="N27" s="2"/>
      <c r="O27" s="2"/>
    </row>
    <row r="28" spans="1:24" ht="16.350000000000001" customHeight="1" x14ac:dyDescent="0.3">
      <c r="A28" s="602" t="s">
        <v>971</v>
      </c>
      <c r="B28" s="602"/>
      <c r="C28" s="602"/>
      <c r="D28" s="602"/>
      <c r="E28" s="602"/>
      <c r="F28" s="602"/>
      <c r="G28" s="602"/>
      <c r="H28" s="602"/>
      <c r="I28" s="602"/>
      <c r="J28" s="602"/>
      <c r="K28" s="602"/>
      <c r="L28" s="602"/>
      <c r="M28" s="602"/>
      <c r="N28" s="602"/>
      <c r="O28" s="602"/>
    </row>
    <row r="29" spans="1:24" ht="19.95" customHeight="1" x14ac:dyDescent="0.3">
      <c r="A29" s="759" t="s">
        <v>923</v>
      </c>
      <c r="B29" s="759"/>
      <c r="C29" s="759"/>
      <c r="D29" s="759"/>
      <c r="E29" s="759"/>
      <c r="F29" s="759"/>
      <c r="G29" s="759"/>
      <c r="H29" s="759"/>
      <c r="I29" s="759"/>
      <c r="J29" s="759"/>
      <c r="K29" s="759"/>
      <c r="L29" s="759"/>
      <c r="M29" s="759"/>
      <c r="N29" s="759"/>
      <c r="O29" s="759"/>
    </row>
    <row r="30" spans="1:24" ht="16.350000000000001" customHeight="1" x14ac:dyDescent="0.3">
      <c r="A30" s="736" t="s">
        <v>924</v>
      </c>
      <c r="B30" s="736"/>
      <c r="C30" s="736"/>
      <c r="D30" s="736" t="s">
        <v>925</v>
      </c>
      <c r="E30" s="736"/>
      <c r="F30" s="736"/>
      <c r="G30" s="736" t="s">
        <v>1349</v>
      </c>
      <c r="H30" s="736"/>
      <c r="I30" s="736"/>
      <c r="J30" s="736" t="s">
        <v>926</v>
      </c>
      <c r="K30" s="736"/>
      <c r="L30" s="736"/>
      <c r="M30" s="736"/>
      <c r="N30" s="736"/>
      <c r="O30" s="736"/>
    </row>
    <row r="31" spans="1:24" ht="27" customHeight="1" x14ac:dyDescent="0.3">
      <c r="A31" s="737">
        <f>SUM(RESUMO_MENSAL!J4:J15)</f>
        <v>149097</v>
      </c>
      <c r="B31" s="737"/>
      <c r="C31" s="737"/>
      <c r="D31" s="738" t="str">
        <f>IFERROR(INDEX(RESUMO_MENSAL!A4:A15,MATCH(MAX(RESUMO_MENSAL!J4:J15),RESUMO_MENSAL!J4:J15,0)),"-")</f>
        <v>JUNHO</v>
      </c>
      <c r="E31" s="738"/>
      <c r="F31" s="738"/>
      <c r="G31" s="737">
        <f ca="1">IFERROR(INDEX(RESUMO_MENSAL!J4:J15,MONTH(TODAY())),0)</f>
        <v>20040</v>
      </c>
      <c r="H31" s="737"/>
      <c r="I31" s="737"/>
      <c r="J31" s="739" t="str">
        <f ca="1">IF(A31=0,"Sem lançamentos de gás.",IF(G31=0,"Total: "&amp;TEXT(A31,"#,##0.00")&amp;" KG  •  Maior consumo: "&amp;D31&amp;"  •  Mês atual: SEM LANÇAMENTO","Total: "&amp;TEXT(A31,"#,##0.00")&amp;" KG  •  Maior consumo: "&amp;D31&amp;"  •  Mês atual: "&amp;TEXT(G31,"#,##0.00")&amp;" KG"))</f>
        <v>Total: 149097,000 KG  •  Maior consumo: JUNHO  •  Mês atual: 20040,000 KG</v>
      </c>
      <c r="K31" s="739"/>
      <c r="L31" s="739"/>
      <c r="M31" s="739"/>
      <c r="N31" s="739"/>
      <c r="O31" s="739"/>
    </row>
    <row r="32" spans="1:24" ht="10.35" customHeight="1" x14ac:dyDescent="0.3">
      <c r="A32" s="53"/>
      <c r="B32" s="53"/>
      <c r="C32" s="53"/>
      <c r="D32" s="53"/>
      <c r="E32" s="53"/>
      <c r="F32" s="53"/>
      <c r="G32" s="53"/>
      <c r="H32" s="53"/>
      <c r="I32" s="53"/>
      <c r="J32" s="53"/>
      <c r="K32" s="53"/>
      <c r="L32" s="53"/>
      <c r="M32" s="53"/>
      <c r="N32" s="53"/>
      <c r="O32" s="53"/>
    </row>
    <row r="33" spans="1:19" ht="21" customHeight="1" x14ac:dyDescent="0.3">
      <c r="A33" s="310" t="s">
        <v>915</v>
      </c>
      <c r="B33" s="315" t="s">
        <v>1336</v>
      </c>
      <c r="C33" s="314" t="s">
        <v>927</v>
      </c>
      <c r="D33" s="312" t="s">
        <v>1337</v>
      </c>
      <c r="E33" s="309"/>
      <c r="F33" s="740" t="s">
        <v>1340</v>
      </c>
      <c r="G33" s="740"/>
      <c r="H33" s="740"/>
      <c r="I33" s="740"/>
      <c r="J33" s="740"/>
      <c r="K33" s="740"/>
      <c r="L33" s="740"/>
      <c r="M33" s="740"/>
      <c r="N33" s="740"/>
      <c r="O33" s="740"/>
      <c r="P33" t="s">
        <v>862</v>
      </c>
      <c r="Q33" t="s">
        <v>1335</v>
      </c>
      <c r="R33" t="s">
        <v>1270</v>
      </c>
      <c r="S33" t="s">
        <v>970</v>
      </c>
    </row>
    <row r="34" spans="1:19" ht="19.95" customHeight="1" x14ac:dyDescent="0.3">
      <c r="A34" s="322" t="str">
        <f>RESUMO_MENSAL!A4</f>
        <v>JANEIRO</v>
      </c>
      <c r="B34" s="323">
        <f>RESUMO_MENSAL!J4</f>
        <v>17099</v>
      </c>
      <c r="C34" s="324">
        <f>IF(A31=0,0,RESUMO_MENSAL!J4/A31)</f>
        <v>0.11468372938422637</v>
      </c>
      <c r="D34" s="325">
        <f t="shared" ref="D34:D45" si="4">IF(B10=0,0,B34/B10*1000)</f>
        <v>102.8245326020939</v>
      </c>
      <c r="E34" s="309"/>
      <c r="F34" s="741"/>
      <c r="G34" s="741"/>
      <c r="H34" s="741"/>
      <c r="I34" s="741"/>
      <c r="J34" s="741"/>
      <c r="K34" s="741"/>
      <c r="L34" s="741"/>
      <c r="M34" s="741"/>
      <c r="N34" s="741"/>
      <c r="O34" s="741"/>
      <c r="P34" t="str">
        <f>A34</f>
        <v>JANEIRO</v>
      </c>
      <c r="Q34" s="333">
        <f>IF(B34=0,NA(),IF(OR(B34=_xlfn.MINIFS($B$34:$B$45,$B$34:$B$45,"&gt;0"),B34=MAX($B$34:$B$45)),NA(),B34))</f>
        <v>17099</v>
      </c>
      <c r="R34" s="333" t="e">
        <f>IF(AND(B34&gt;0,B34=_xlfn.MINIFS($B$34:$B$45,$B$34:$B$45,"&gt;0")),B34,NA())</f>
        <v>#N/A</v>
      </c>
      <c r="S34" s="333" t="e">
        <f>IF(AND(B34&gt;0,B34=MAX($B$34:$B$45)),B34,NA())</f>
        <v>#N/A</v>
      </c>
    </row>
    <row r="35" spans="1:19" ht="19.95" customHeight="1" x14ac:dyDescent="0.3">
      <c r="A35" s="326" t="str">
        <f>RESUMO_MENSAL!A5</f>
        <v>FEVEREIRO</v>
      </c>
      <c r="B35" s="327">
        <f>RESUMO_MENSAL!J5</f>
        <v>15153</v>
      </c>
      <c r="C35" s="328">
        <f>IF(A31=0,0,RESUMO_MENSAL!J5/A31)</f>
        <v>0.10163182357793919</v>
      </c>
      <c r="D35" s="329">
        <f t="shared" si="4"/>
        <v>79.286095501208678</v>
      </c>
      <c r="E35" s="309"/>
      <c r="F35" s="741"/>
      <c r="G35" s="741"/>
      <c r="H35" s="741"/>
      <c r="I35" s="741"/>
      <c r="J35" s="741"/>
      <c r="K35" s="741"/>
      <c r="L35" s="741"/>
      <c r="M35" s="741"/>
      <c r="N35" s="741"/>
      <c r="O35" s="741"/>
      <c r="P35" t="str">
        <f t="shared" ref="P35:P45" si="5">A35</f>
        <v>FEVEREIRO</v>
      </c>
      <c r="Q35" s="333" t="e">
        <f t="shared" ref="Q35:Q45" si="6">IF(B35=0,NA(),IF(OR(B35=_xlfn.MINIFS($B$34:$B$45,$B$34:$B$45,"&gt;0"),B35=MAX($B$34:$B$45)),NA(),B35))</f>
        <v>#N/A</v>
      </c>
      <c r="R35" s="333">
        <f t="shared" ref="R35:R45" si="7">IF(AND(B35&gt;0,B35=_xlfn.MINIFS($B$34:$B$45,$B$34:$B$45,"&gt;0")),B35,NA())</f>
        <v>15153</v>
      </c>
      <c r="S35" s="333" t="e">
        <f t="shared" ref="S35:S45" si="8">IF(AND(B35&gt;0,B35=MAX($B$34:$B$45)),B35,NA())</f>
        <v>#N/A</v>
      </c>
    </row>
    <row r="36" spans="1:19" ht="19.95" customHeight="1" x14ac:dyDescent="0.3">
      <c r="A36" s="322" t="str">
        <f>RESUMO_MENSAL!A6</f>
        <v>MARÇO</v>
      </c>
      <c r="B36" s="323">
        <f>RESUMO_MENSAL!J6</f>
        <v>21091</v>
      </c>
      <c r="C36" s="324">
        <f>IF(A31=0,0,RESUMO_MENSAL!J6/A31)</f>
        <v>0.1414582453033931</v>
      </c>
      <c r="D36" s="325">
        <f t="shared" si="4"/>
        <v>75.120029633428786</v>
      </c>
      <c r="E36" s="309"/>
      <c r="F36" s="741"/>
      <c r="G36" s="741"/>
      <c r="H36" s="741"/>
      <c r="I36" s="741"/>
      <c r="J36" s="741"/>
      <c r="K36" s="741"/>
      <c r="L36" s="741"/>
      <c r="M36" s="741"/>
      <c r="N36" s="741"/>
      <c r="O36" s="741"/>
      <c r="P36" t="str">
        <f t="shared" si="5"/>
        <v>MARÇO</v>
      </c>
      <c r="Q36" s="333">
        <f t="shared" si="6"/>
        <v>21091</v>
      </c>
      <c r="R36" s="333" t="e">
        <f t="shared" si="7"/>
        <v>#N/A</v>
      </c>
      <c r="S36" s="333" t="e">
        <f t="shared" si="8"/>
        <v>#N/A</v>
      </c>
    </row>
    <row r="37" spans="1:19" ht="19.95" customHeight="1" x14ac:dyDescent="0.3">
      <c r="A37" s="326" t="str">
        <f>RESUMO_MENSAL!A7</f>
        <v>ABRIL</v>
      </c>
      <c r="B37" s="327">
        <f>RESUMO_MENSAL!J7</f>
        <v>20961</v>
      </c>
      <c r="C37" s="328">
        <f>IF(A31=0,0,RESUMO_MENSAL!J7/A31)</f>
        <v>0.14058632970482304</v>
      </c>
      <c r="D37" s="329">
        <f t="shared" si="4"/>
        <v>81.725033335672677</v>
      </c>
      <c r="E37" s="309"/>
      <c r="F37" s="741"/>
      <c r="G37" s="741"/>
      <c r="H37" s="741"/>
      <c r="I37" s="741"/>
      <c r="J37" s="741"/>
      <c r="K37" s="741"/>
      <c r="L37" s="741"/>
      <c r="M37" s="741"/>
      <c r="N37" s="741"/>
      <c r="O37" s="741"/>
      <c r="P37" t="str">
        <f t="shared" si="5"/>
        <v>ABRIL</v>
      </c>
      <c r="Q37" s="333">
        <f t="shared" si="6"/>
        <v>20961</v>
      </c>
      <c r="R37" s="333" t="e">
        <f t="shared" si="7"/>
        <v>#N/A</v>
      </c>
      <c r="S37" s="333" t="e">
        <f t="shared" si="8"/>
        <v>#N/A</v>
      </c>
    </row>
    <row r="38" spans="1:19" ht="19.95" customHeight="1" x14ac:dyDescent="0.3">
      <c r="A38" s="322" t="str">
        <f>RESUMO_MENSAL!A8</f>
        <v>MAIO</v>
      </c>
      <c r="B38" s="323">
        <f>RESUMO_MENSAL!J8</f>
        <v>24551</v>
      </c>
      <c r="C38" s="324">
        <f>IF(A31=0,0,RESUMO_MENSAL!J8/A31)</f>
        <v>0.16466461431148849</v>
      </c>
      <c r="D38" s="325">
        <f t="shared" si="4"/>
        <v>88.606178720947014</v>
      </c>
      <c r="E38" s="309"/>
      <c r="F38" s="741"/>
      <c r="G38" s="741"/>
      <c r="H38" s="741"/>
      <c r="I38" s="741"/>
      <c r="J38" s="741"/>
      <c r="K38" s="741"/>
      <c r="L38" s="741"/>
      <c r="M38" s="741"/>
      <c r="N38" s="741"/>
      <c r="O38" s="741"/>
      <c r="P38" t="str">
        <f t="shared" si="5"/>
        <v>MAIO</v>
      </c>
      <c r="Q38" s="333">
        <f t="shared" si="6"/>
        <v>24551</v>
      </c>
      <c r="R38" s="333" t="e">
        <f t="shared" si="7"/>
        <v>#N/A</v>
      </c>
      <c r="S38" s="333" t="e">
        <f t="shared" si="8"/>
        <v>#N/A</v>
      </c>
    </row>
    <row r="39" spans="1:19" ht="19.95" customHeight="1" x14ac:dyDescent="0.3">
      <c r="A39" s="326" t="str">
        <f>RESUMO_MENSAL!A9</f>
        <v>JUNHO</v>
      </c>
      <c r="B39" s="327">
        <f>RESUMO_MENSAL!J9</f>
        <v>30202</v>
      </c>
      <c r="C39" s="328">
        <f>IF(A31=0,0,RESUMO_MENSAL!J9/A31)</f>
        <v>0.20256611467702235</v>
      </c>
      <c r="D39" s="329">
        <f t="shared" si="4"/>
        <v>115.25105512604273</v>
      </c>
      <c r="E39" s="309"/>
      <c r="F39" s="741"/>
      <c r="G39" s="741"/>
      <c r="H39" s="741"/>
      <c r="I39" s="741"/>
      <c r="J39" s="741"/>
      <c r="K39" s="741"/>
      <c r="L39" s="741"/>
      <c r="M39" s="741"/>
      <c r="N39" s="741"/>
      <c r="O39" s="741"/>
      <c r="P39" t="str">
        <f t="shared" si="5"/>
        <v>JUNHO</v>
      </c>
      <c r="Q39" s="333" t="e">
        <f t="shared" si="6"/>
        <v>#N/A</v>
      </c>
      <c r="R39" s="333" t="e">
        <f t="shared" si="7"/>
        <v>#N/A</v>
      </c>
      <c r="S39" s="333">
        <f t="shared" si="8"/>
        <v>30202</v>
      </c>
    </row>
    <row r="40" spans="1:19" ht="19.95" customHeight="1" x14ac:dyDescent="0.3">
      <c r="A40" s="322" t="str">
        <f>RESUMO_MENSAL!A10</f>
        <v>JULHO</v>
      </c>
      <c r="B40" s="323">
        <f>RESUMO_MENSAL!J10</f>
        <v>20040</v>
      </c>
      <c r="C40" s="324">
        <f>IF(A31=0,0,RESUMO_MENSAL!J10/A31)</f>
        <v>0.13440914304110746</v>
      </c>
      <c r="D40" s="325">
        <f t="shared" si="4"/>
        <v>83.125933300149327</v>
      </c>
      <c r="E40" s="309"/>
      <c r="F40" s="741"/>
      <c r="G40" s="741"/>
      <c r="H40" s="741"/>
      <c r="I40" s="741"/>
      <c r="J40" s="741"/>
      <c r="K40" s="741"/>
      <c r="L40" s="741"/>
      <c r="M40" s="741"/>
      <c r="N40" s="741"/>
      <c r="O40" s="741"/>
      <c r="P40" t="str">
        <f t="shared" si="5"/>
        <v>JULHO</v>
      </c>
      <c r="Q40" s="333">
        <f t="shared" si="6"/>
        <v>20040</v>
      </c>
      <c r="R40" s="333" t="e">
        <f t="shared" si="7"/>
        <v>#N/A</v>
      </c>
      <c r="S40" s="333" t="e">
        <f t="shared" si="8"/>
        <v>#N/A</v>
      </c>
    </row>
    <row r="41" spans="1:19" ht="15" customHeight="1" x14ac:dyDescent="0.3">
      <c r="A41" s="326" t="str">
        <f>RESUMO_MENSAL!A11</f>
        <v>AGOSTO</v>
      </c>
      <c r="B41" s="327">
        <f>RESUMO_MENSAL!J11</f>
        <v>0</v>
      </c>
      <c r="C41" s="328">
        <f>IF(A31=0,0,RESUMO_MENSAL!J11/A31)</f>
        <v>0</v>
      </c>
      <c r="D41" s="329">
        <f t="shared" si="4"/>
        <v>0</v>
      </c>
      <c r="E41" s="309"/>
      <c r="F41" s="309"/>
      <c r="G41" s="309"/>
      <c r="H41" s="309"/>
      <c r="I41" s="309"/>
      <c r="J41" s="309"/>
      <c r="K41" s="309"/>
      <c r="L41" s="309"/>
      <c r="M41" s="309"/>
      <c r="N41" s="309"/>
      <c r="O41" s="309"/>
      <c r="P41" t="str">
        <f t="shared" si="5"/>
        <v>AGOSTO</v>
      </c>
      <c r="Q41" s="333" t="e">
        <f t="shared" si="6"/>
        <v>#N/A</v>
      </c>
      <c r="R41" s="333" t="e">
        <f t="shared" si="7"/>
        <v>#N/A</v>
      </c>
      <c r="S41" s="333" t="e">
        <f t="shared" si="8"/>
        <v>#N/A</v>
      </c>
    </row>
    <row r="42" spans="1:19" ht="16.95" customHeight="1" x14ac:dyDescent="0.3">
      <c r="A42" s="322" t="str">
        <f>RESUMO_MENSAL!A12</f>
        <v>SETEMBRO</v>
      </c>
      <c r="B42" s="323">
        <f>RESUMO_MENSAL!J12</f>
        <v>0</v>
      </c>
      <c r="C42" s="324">
        <f>IF(A31=0,0,RESUMO_MENSAL!J12/A31)</f>
        <v>0</v>
      </c>
      <c r="D42" s="325">
        <f t="shared" si="4"/>
        <v>0</v>
      </c>
      <c r="E42" s="309"/>
      <c r="F42" s="742" t="s">
        <v>1341</v>
      </c>
      <c r="G42" s="743"/>
      <c r="H42" s="743"/>
      <c r="I42" s="743"/>
      <c r="J42" s="743"/>
      <c r="K42" s="743"/>
      <c r="L42" s="743"/>
      <c r="M42" s="743"/>
      <c r="N42" s="743"/>
      <c r="O42" s="744"/>
      <c r="P42" t="str">
        <f t="shared" si="5"/>
        <v>SETEMBRO</v>
      </c>
      <c r="Q42" s="333" t="e">
        <f t="shared" si="6"/>
        <v>#N/A</v>
      </c>
      <c r="R42" s="333" t="e">
        <f t="shared" si="7"/>
        <v>#N/A</v>
      </c>
      <c r="S42" s="333" t="e">
        <f t="shared" si="8"/>
        <v>#N/A</v>
      </c>
    </row>
    <row r="43" spans="1:19" ht="18" customHeight="1" x14ac:dyDescent="0.3">
      <c r="A43" s="326" t="str">
        <f>RESUMO_MENSAL!A13</f>
        <v>OUTUBRO</v>
      </c>
      <c r="B43" s="327">
        <f>RESUMO_MENSAL!J13</f>
        <v>0</v>
      </c>
      <c r="C43" s="328">
        <f>IF(A31=0,0,RESUMO_MENSAL!J13/A31)</f>
        <v>0</v>
      </c>
      <c r="D43" s="330">
        <f t="shared" si="4"/>
        <v>0</v>
      </c>
      <c r="E43" s="309"/>
      <c r="F43" s="745" t="s">
        <v>1342</v>
      </c>
      <c r="G43" s="746"/>
      <c r="H43" s="747" t="s">
        <v>1335</v>
      </c>
      <c r="I43" s="747"/>
      <c r="J43" s="748"/>
      <c r="K43" s="749" t="s">
        <v>1342</v>
      </c>
      <c r="L43" s="749"/>
      <c r="M43" s="747" t="s">
        <v>1270</v>
      </c>
      <c r="N43" s="747"/>
      <c r="O43" s="750"/>
      <c r="P43" t="str">
        <f t="shared" si="5"/>
        <v>OUTUBRO</v>
      </c>
      <c r="Q43" s="333" t="e">
        <f t="shared" si="6"/>
        <v>#N/A</v>
      </c>
      <c r="R43" s="333" t="e">
        <f t="shared" si="7"/>
        <v>#N/A</v>
      </c>
      <c r="S43" s="333" t="e">
        <f t="shared" si="8"/>
        <v>#N/A</v>
      </c>
    </row>
    <row r="44" spans="1:19" ht="18" customHeight="1" x14ac:dyDescent="0.3">
      <c r="A44" s="318" t="str">
        <f>RESUMO_MENSAL!A14</f>
        <v>NOVEMBRO</v>
      </c>
      <c r="B44" s="319">
        <f>RESUMO_MENSAL!J14</f>
        <v>0</v>
      </c>
      <c r="C44" s="320">
        <f>IF(A31=0,0,RESUMO_MENSAL!J14/A31)</f>
        <v>0</v>
      </c>
      <c r="D44" s="321">
        <f t="shared" si="4"/>
        <v>0</v>
      </c>
      <c r="E44" s="309"/>
      <c r="F44" s="730" t="s">
        <v>1342</v>
      </c>
      <c r="G44" s="731"/>
      <c r="H44" s="732" t="s">
        <v>970</v>
      </c>
      <c r="I44" s="732"/>
      <c r="J44" s="733"/>
      <c r="K44" s="734" t="s">
        <v>1343</v>
      </c>
      <c r="L44" s="734"/>
      <c r="M44" s="732" t="s">
        <v>1344</v>
      </c>
      <c r="N44" s="732"/>
      <c r="O44" s="735"/>
      <c r="P44" t="str">
        <f t="shared" si="5"/>
        <v>NOVEMBRO</v>
      </c>
      <c r="Q44" s="333" t="e">
        <f t="shared" si="6"/>
        <v>#N/A</v>
      </c>
      <c r="R44" s="333" t="e">
        <f t="shared" si="7"/>
        <v>#N/A</v>
      </c>
      <c r="S44" s="333" t="e">
        <f t="shared" si="8"/>
        <v>#N/A</v>
      </c>
    </row>
    <row r="45" spans="1:19" ht="7.95" customHeight="1" x14ac:dyDescent="0.3">
      <c r="A45" s="311" t="str">
        <f>RESUMO_MENSAL!A15</f>
        <v>DEZEMBRO</v>
      </c>
      <c r="B45" s="316">
        <f>RESUMO_MENSAL!J15</f>
        <v>0</v>
      </c>
      <c r="C45" s="317">
        <f>IF(A31=0,0,RESUMO_MENSAL!J15/A31)</f>
        <v>0</v>
      </c>
      <c r="D45" s="313">
        <f t="shared" si="4"/>
        <v>0</v>
      </c>
      <c r="E45" s="309"/>
      <c r="F45"/>
      <c r="G45"/>
      <c r="H45"/>
      <c r="I45"/>
      <c r="J45"/>
      <c r="K45"/>
      <c r="L45"/>
      <c r="M45"/>
      <c r="N45"/>
      <c r="O45"/>
      <c r="P45" t="str">
        <f t="shared" si="5"/>
        <v>DEZEMBRO</v>
      </c>
      <c r="Q45" s="333" t="e">
        <f t="shared" si="6"/>
        <v>#N/A</v>
      </c>
      <c r="R45" s="333" t="e">
        <f t="shared" si="7"/>
        <v>#N/A</v>
      </c>
      <c r="S45" s="333" t="e">
        <f t="shared" si="8"/>
        <v>#N/A</v>
      </c>
    </row>
    <row r="46" spans="1:19" ht="18" customHeight="1" x14ac:dyDescent="0.3">
      <c r="E46"/>
      <c r="F46"/>
      <c r="G46"/>
      <c r="H46"/>
      <c r="I46"/>
      <c r="J46"/>
      <c r="K46"/>
      <c r="L46"/>
      <c r="M46"/>
      <c r="N46"/>
      <c r="O46"/>
    </row>
    <row r="47" spans="1:19" ht="18" customHeight="1" x14ac:dyDescent="0.3">
      <c r="E47"/>
      <c r="F47"/>
      <c r="G47"/>
      <c r="H47"/>
      <c r="I47"/>
      <c r="J47"/>
      <c r="K47"/>
      <c r="L47"/>
      <c r="M47"/>
      <c r="N47"/>
      <c r="O47"/>
    </row>
    <row r="48" spans="1:19" x14ac:dyDescent="0.3">
      <c r="E48"/>
      <c r="F48"/>
      <c r="G48"/>
      <c r="H48"/>
      <c r="I48"/>
      <c r="J48"/>
      <c r="K48"/>
      <c r="L48"/>
      <c r="M48"/>
      <c r="N48"/>
      <c r="O48"/>
    </row>
    <row r="49" spans="5:15" x14ac:dyDescent="0.3">
      <c r="E49"/>
      <c r="F49"/>
      <c r="G49"/>
      <c r="H49"/>
      <c r="I49"/>
      <c r="J49"/>
      <c r="K49"/>
      <c r="L49"/>
      <c r="M49"/>
      <c r="N49"/>
      <c r="O49"/>
    </row>
    <row r="50" spans="5:15" x14ac:dyDescent="0.3">
      <c r="E50"/>
      <c r="F50"/>
      <c r="G50"/>
      <c r="H50"/>
      <c r="I50"/>
      <c r="J50"/>
      <c r="K50"/>
      <c r="L50"/>
      <c r="M50"/>
      <c r="N50"/>
      <c r="O50"/>
    </row>
  </sheetData>
  <mergeCells count="47">
    <mergeCell ref="K24:L24"/>
    <mergeCell ref="M23:N23"/>
    <mergeCell ref="M24:N24"/>
    <mergeCell ref="M1:O3"/>
    <mergeCell ref="M5:N5"/>
    <mergeCell ref="D5:E5"/>
    <mergeCell ref="F5:G5"/>
    <mergeCell ref="H5:I5"/>
    <mergeCell ref="K5:L5"/>
    <mergeCell ref="K23:L23"/>
    <mergeCell ref="D23:F23"/>
    <mergeCell ref="G23:I23"/>
    <mergeCell ref="A1:B3"/>
    <mergeCell ref="C1:L3"/>
    <mergeCell ref="D30:F30"/>
    <mergeCell ref="G30:I30"/>
    <mergeCell ref="J30:O30"/>
    <mergeCell ref="A28:O28"/>
    <mergeCell ref="B6:C6"/>
    <mergeCell ref="D6:E6"/>
    <mergeCell ref="F6:G6"/>
    <mergeCell ref="H6:I6"/>
    <mergeCell ref="K6:L6"/>
    <mergeCell ref="M6:N6"/>
    <mergeCell ref="A8:I8"/>
    <mergeCell ref="A29:O29"/>
    <mergeCell ref="B5:C5"/>
    <mergeCell ref="A23:C23"/>
    <mergeCell ref="K44:L44"/>
    <mergeCell ref="M44:O44"/>
    <mergeCell ref="A30:C30"/>
    <mergeCell ref="A31:C31"/>
    <mergeCell ref="D31:F31"/>
    <mergeCell ref="G31:I31"/>
    <mergeCell ref="J31:O31"/>
    <mergeCell ref="F33:O33"/>
    <mergeCell ref="F34:O40"/>
    <mergeCell ref="F42:O42"/>
    <mergeCell ref="F43:G43"/>
    <mergeCell ref="H43:J43"/>
    <mergeCell ref="K43:L43"/>
    <mergeCell ref="M43:O43"/>
    <mergeCell ref="A24:C24"/>
    <mergeCell ref="D24:F24"/>
    <mergeCell ref="G24:I24"/>
    <mergeCell ref="F44:G44"/>
    <mergeCell ref="H44:J44"/>
  </mergeCells>
  <conditionalFormatting sqref="B32:B43">
    <cfRule type="cellIs" dxfId="13" priority="58" operator="equal">
      <formula>MAX($B$32:$B$43)</formula>
    </cfRule>
    <cfRule type="expression" dxfId="12" priority="59">
      <formula>AND($B32&gt;0, $B32=MIN(IF($B$32:$B$43&gt;0,$B$32:$B$43)))</formula>
    </cfRule>
  </conditionalFormatting>
  <conditionalFormatting sqref="C32:C43">
    <cfRule type="dataBar" priority="62">
      <dataBar>
        <cfvo type="min"/>
        <cfvo type="max"/>
        <color rgb="FF638EC6"/>
      </dataBar>
      <extLst>
        <ext xmlns:x14="http://schemas.microsoft.com/office/spreadsheetml/2009/9/main" uri="{B025F937-C7B1-47D3-B67F-A62EFF666E3E}">
          <x14:id>{D7F9D89F-88AA-42A6-B11B-F34FB99933C0}</x14:id>
        </ext>
      </extLst>
    </cfRule>
  </conditionalFormatting>
  <conditionalFormatting sqref="D10:D21">
    <cfRule type="cellIs" dxfId="11" priority="10" operator="lessThan">
      <formula>0</formula>
    </cfRule>
    <cfRule type="cellIs" dxfId="10" priority="11" operator="greaterThan">
      <formula>0</formula>
    </cfRule>
  </conditionalFormatting>
  <conditionalFormatting sqref="D34:D45">
    <cfRule type="dataBar" priority="17">
      <dataBar>
        <cfvo type="min"/>
        <cfvo type="max"/>
        <color rgb="FF638EC6"/>
      </dataBar>
      <extLst>
        <ext xmlns:x14="http://schemas.microsoft.com/office/spreadsheetml/2009/9/main" uri="{B025F937-C7B1-47D3-B67F-A62EFF666E3E}">
          <x14:id>{0E3F0A9E-5DEF-4458-AB6C-4A6F059FA267}</x14:id>
        </ext>
      </extLst>
    </cfRule>
    <cfRule type="expression" dxfId="9" priority="18">
      <formula>D34&gt;90</formula>
    </cfRule>
    <cfRule type="expression" dxfId="8" priority="19">
      <formula>AND(D34&gt;80,D34&lt;=90)</formula>
    </cfRule>
    <cfRule type="expression" dxfId="7" priority="20">
      <formula>AND(D34&gt;0,D34&lt;=80)</formula>
    </cfRule>
  </conditionalFormatting>
  <conditionalFormatting sqref="E10:E21">
    <cfRule type="expression" dxfId="6" priority="63">
      <formula>AND(ISNUMBER(E10),E10&lt;0.7)</formula>
    </cfRule>
    <cfRule type="expression" dxfId="5" priority="64">
      <formula>AND(ISNUMBER(E10),E10&gt;=0.7,E10&lt;1)</formula>
    </cfRule>
    <cfRule type="expression" dxfId="4" priority="65">
      <formula>AND(ISNUMBER(E10),E10&gt;=1)</formula>
    </cfRule>
  </conditionalFormatting>
  <conditionalFormatting sqref="F10:F21">
    <cfRule type="expression" dxfId="3" priority="8">
      <formula>ISNUMBER(SEARCH("ACIMA",F10))</formula>
    </cfRule>
    <cfRule type="expression" dxfId="2" priority="9">
      <formula>ISNUMBER(SEARCH("ABAIXO",F10))</formula>
    </cfRule>
  </conditionalFormatting>
  <conditionalFormatting sqref="M6:N6">
    <cfRule type="expression" dxfId="1" priority="3">
      <formula>ISNUMBER(SEARCH("ACIMA",M6))</formula>
    </cfRule>
    <cfRule type="expression" dxfId="0" priority="4">
      <formula>ISNUMBER(SEARCH("ABAIXO",M6))</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D7F9D89F-88AA-42A6-B11B-F34FB99933C0}">
            <x14:dataBar minLength="0" maxLength="100" negativeBarColorSameAsPositive="1" axisPosition="none">
              <x14:cfvo type="min"/>
              <x14:cfvo type="max"/>
            </x14:dataBar>
          </x14:cfRule>
          <xm:sqref>C32:C43</xm:sqref>
        </x14:conditionalFormatting>
        <x14:conditionalFormatting xmlns:xm="http://schemas.microsoft.com/office/excel/2006/main">
          <x14:cfRule type="dataBar" id="{0E3F0A9E-5DEF-4458-AB6C-4A6F059FA267}">
            <x14:dataBar minLength="0" maxLength="100" direction="leftToRight" negativeBarColorSameAsPositive="1" axisPosition="none">
              <x14:cfvo type="min"/>
              <x14:cfvo type="max"/>
            </x14:dataBar>
          </x14:cfRule>
          <xm:sqref>D34:D45</xm:sqref>
        </x14:conditionalFormatting>
      </x14:conditionalFormatting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013C-9EB0-4B18-A62B-BA2D63AF64B1}">
  <sheetPr>
    <tabColor rgb="FF808080"/>
  </sheetPr>
  <dimension ref="A1:I5721"/>
  <sheetViews>
    <sheetView workbookViewId="0"/>
  </sheetViews>
  <sheetFormatPr defaultRowHeight="14.4" x14ac:dyDescent="0.3"/>
  <sheetData>
    <row r="1" spans="1:9" x14ac:dyDescent="0.3">
      <c r="A1" cm="1">
        <f t="array" ref="A1:I42">_xlfn.LET(_xlpm.a,'SEMANA JANEIRO'!A1:A500,_xlpm.b,'SEMANA JANEIRO'!B1:B500,_xlpm.c,'SEMANA JANEIRO'!C1:C500,_xlpm.d,'SEMANA JANEIRO'!D1:D500,_xlpm.g,'SEMANA JANEIRO'!G1:G500,_xlpm.h,'SEMANA JANEIRO'!H1:H500,_xlpm.i,'SEMANA JANEIRO'!I1:I500,_xlpm.dt,IFERROR(LOOKUP(ROW(_xlpm.a),ROW(_xlpm.a)/(_xlpm.a&gt;40000),_xlpm.a),""),_xlpm.orig,"SEMANA JANEIRO!B"&amp;ROW(_xlpm.b)&amp;":I"&amp;ROW(_xlpm.b),_xlfn._xlws.FILTER(_xlfn.HSTACK(_xlpm.dt,IF(_xlpm.b&lt;&gt;"","JANEIRO",""),TRIM(_xlpm.b),_xlpm.h,_xlpm.i,_xlpm.d,_xlpm.g,_xlpm.orig,_xlpm.c),(_xlpm.b&lt;&gt;"")*(_xlpm.b&lt;&gt;"PRODUTO")*(_xlpm.b&lt;&gt;"TOTAL")*(_xlpm.h&gt;0),_xlfn.HSTACK("","","","","","","","","")))</f>
        <v>46027</v>
      </c>
      <c r="B1" t="str">
        <v>JANEIRO</v>
      </c>
      <c r="C1" t="str">
        <v>ADIMIX (PRECISION)</v>
      </c>
      <c r="D1">
        <v>667</v>
      </c>
      <c r="E1">
        <v>8004</v>
      </c>
      <c r="F1">
        <v>665</v>
      </c>
      <c r="G1">
        <v>7</v>
      </c>
      <c r="H1" t="str">
        <v>SEMANA JANEIRO!B5:I5</v>
      </c>
      <c r="I1">
        <v>600</v>
      </c>
    </row>
    <row r="2" spans="1:9" x14ac:dyDescent="0.3">
      <c r="A2">
        <v>46027</v>
      </c>
      <c r="B2" t="str">
        <v>JANEIRO</v>
      </c>
      <c r="C2" t="str">
        <v>ADIMIX (FADEVA)</v>
      </c>
      <c r="D2">
        <v>29</v>
      </c>
      <c r="E2">
        <v>348</v>
      </c>
      <c r="F2">
        <v>665</v>
      </c>
      <c r="G2">
        <v>7</v>
      </c>
      <c r="H2" t="str">
        <v>SEMANA JANEIRO!B6:I6</v>
      </c>
      <c r="I2">
        <v>600</v>
      </c>
    </row>
    <row r="3" spans="1:9" x14ac:dyDescent="0.3">
      <c r="A3">
        <v>46028</v>
      </c>
      <c r="B3" t="str">
        <v>JANEIRO</v>
      </c>
      <c r="C3" t="str">
        <v>ADIMIX (FADEVA)</v>
      </c>
      <c r="D3">
        <v>156</v>
      </c>
      <c r="E3">
        <v>1872</v>
      </c>
      <c r="F3">
        <v>636</v>
      </c>
      <c r="G3">
        <v>7</v>
      </c>
      <c r="H3" t="str">
        <v>SEMANA JANEIRO!B13:I13</v>
      </c>
      <c r="I3">
        <v>600</v>
      </c>
    </row>
    <row r="4" spans="1:9" x14ac:dyDescent="0.3">
      <c r="A4">
        <v>46029</v>
      </c>
      <c r="B4" t="str">
        <v>JANEIRO</v>
      </c>
      <c r="C4" t="str">
        <v>ADIMIX</v>
      </c>
      <c r="D4">
        <v>494</v>
      </c>
      <c r="E4">
        <v>5928</v>
      </c>
      <c r="F4">
        <v>480</v>
      </c>
      <c r="G4">
        <v>6</v>
      </c>
      <c r="H4" t="str">
        <v>SEMANA JANEIRO!B20:I20</v>
      </c>
      <c r="I4">
        <v>600</v>
      </c>
    </row>
    <row r="5" spans="1:9" x14ac:dyDescent="0.3">
      <c r="A5">
        <v>46029</v>
      </c>
      <c r="B5" t="str">
        <v>JANEIRO</v>
      </c>
      <c r="C5" t="str">
        <v>UNTA FACIL</v>
      </c>
      <c r="D5">
        <v>509</v>
      </c>
      <c r="E5">
        <v>6108</v>
      </c>
      <c r="F5">
        <v>1348</v>
      </c>
      <c r="G5">
        <v>15</v>
      </c>
      <c r="H5" t="str">
        <v>SEMANA JANEIRO!B21:I21</v>
      </c>
      <c r="I5">
        <v>600</v>
      </c>
    </row>
    <row r="6" spans="1:9" x14ac:dyDescent="0.3">
      <c r="A6">
        <v>46030</v>
      </c>
      <c r="B6" t="str">
        <v>JANEIRO</v>
      </c>
      <c r="C6" t="str">
        <v>UNTA FACIL</v>
      </c>
      <c r="D6">
        <v>821</v>
      </c>
      <c r="E6">
        <v>9852</v>
      </c>
      <c r="F6">
        <v>839</v>
      </c>
      <c r="G6">
        <v>9</v>
      </c>
      <c r="H6" t="str">
        <v>SEMANA JANEIRO!B28:I28</v>
      </c>
      <c r="I6">
        <v>600</v>
      </c>
    </row>
    <row r="7" spans="1:9" x14ac:dyDescent="0.3">
      <c r="A7">
        <v>46031</v>
      </c>
      <c r="B7" t="str">
        <v>JANEIRO</v>
      </c>
      <c r="C7" t="str">
        <v>UNTA FACIL</v>
      </c>
      <c r="D7">
        <v>13</v>
      </c>
      <c r="E7">
        <v>156</v>
      </c>
      <c r="F7">
        <v>18</v>
      </c>
      <c r="G7">
        <v>1</v>
      </c>
      <c r="H7" t="str">
        <v>SEMANA JANEIRO!B36:I36</v>
      </c>
      <c r="I7">
        <v>600</v>
      </c>
    </row>
    <row r="8" spans="1:9" x14ac:dyDescent="0.3">
      <c r="A8">
        <v>46031</v>
      </c>
      <c r="B8" t="str">
        <v>JANEIRO</v>
      </c>
      <c r="C8" t="str">
        <v>PURATOS DESTAK</v>
      </c>
      <c r="D8">
        <v>1057</v>
      </c>
      <c r="E8">
        <v>6342</v>
      </c>
      <c r="F8">
        <v>2660</v>
      </c>
      <c r="G8">
        <v>14</v>
      </c>
      <c r="H8" t="str">
        <v>SEMANA JANEIRO!B37:I37</v>
      </c>
      <c r="I8">
        <v>600</v>
      </c>
    </row>
    <row r="9" spans="1:9" x14ac:dyDescent="0.3">
      <c r="A9">
        <v>46034</v>
      </c>
      <c r="B9" t="str">
        <v>JANEIRO</v>
      </c>
      <c r="C9" t="str">
        <v>PURATOS DESTAK</v>
      </c>
      <c r="D9">
        <v>1072</v>
      </c>
      <c r="E9">
        <v>6432</v>
      </c>
      <c r="F9">
        <v>1603</v>
      </c>
      <c r="G9">
        <v>9</v>
      </c>
      <c r="H9" t="str">
        <v>SEMANA JANEIRO!B45:I45</v>
      </c>
      <c r="I9">
        <v>600</v>
      </c>
    </row>
    <row r="10" spans="1:9" x14ac:dyDescent="0.3">
      <c r="A10">
        <v>46035</v>
      </c>
      <c r="B10" t="str">
        <v>JANEIRO</v>
      </c>
      <c r="C10" t="str">
        <v>PURATOS DESTAK</v>
      </c>
      <c r="D10">
        <v>562</v>
      </c>
      <c r="E10">
        <v>3372</v>
      </c>
      <c r="F10">
        <v>531</v>
      </c>
      <c r="G10">
        <v>3</v>
      </c>
      <c r="H10" t="str">
        <v>SEMANA JANEIRO!B53:I53</v>
      </c>
      <c r="I10">
        <v>600</v>
      </c>
    </row>
    <row r="11" spans="1:9" x14ac:dyDescent="0.3">
      <c r="A11">
        <v>46035</v>
      </c>
      <c r="B11" t="str">
        <v>JANEIRO</v>
      </c>
      <c r="C11" t="str">
        <v>PURATOS DESTAK</v>
      </c>
      <c r="D11">
        <v>240</v>
      </c>
      <c r="E11">
        <v>2400</v>
      </c>
      <c r="F11">
        <v>1140</v>
      </c>
      <c r="G11">
        <v>19</v>
      </c>
      <c r="H11" t="str">
        <v>SEMANA JANEIRO!B55:I55</v>
      </c>
      <c r="I11" t="str">
        <v>5L</v>
      </c>
    </row>
    <row r="12" spans="1:9" x14ac:dyDescent="0.3">
      <c r="A12">
        <v>46036</v>
      </c>
      <c r="B12" t="str">
        <v>JANEIRO</v>
      </c>
      <c r="C12" t="str">
        <v>PURATOS DESTAK</v>
      </c>
      <c r="D12">
        <v>900</v>
      </c>
      <c r="E12">
        <v>9000</v>
      </c>
      <c r="F12">
        <v>900</v>
      </c>
      <c r="G12">
        <v>15</v>
      </c>
      <c r="H12" t="str">
        <v>SEMANA JANEIRO!B61:I61</v>
      </c>
      <c r="I12" t="str">
        <v>5L</v>
      </c>
    </row>
    <row r="13" spans="1:9" x14ac:dyDescent="0.3">
      <c r="A13">
        <v>46037</v>
      </c>
      <c r="B13" t="str">
        <v>JANEIRO</v>
      </c>
      <c r="C13" t="str">
        <v>ITAIQUARA</v>
      </c>
      <c r="D13">
        <v>190</v>
      </c>
      <c r="E13">
        <v>2280</v>
      </c>
      <c r="F13">
        <v>190</v>
      </c>
      <c r="G13">
        <v>2</v>
      </c>
      <c r="H13" t="str">
        <v>SEMANA JANEIRO!B69:I69</v>
      </c>
      <c r="I13">
        <v>600</v>
      </c>
    </row>
    <row r="14" spans="1:9" x14ac:dyDescent="0.3">
      <c r="A14">
        <v>46037</v>
      </c>
      <c r="B14" t="str">
        <v>JANEIRO</v>
      </c>
      <c r="C14" t="str">
        <v>ALLBREAD</v>
      </c>
      <c r="D14">
        <v>216</v>
      </c>
      <c r="E14">
        <v>2592</v>
      </c>
      <c r="F14">
        <v>768</v>
      </c>
      <c r="G14">
        <v>9</v>
      </c>
      <c r="H14" t="str">
        <v>SEMANA JANEIRO!B70:I70</v>
      </c>
      <c r="I14">
        <v>600</v>
      </c>
    </row>
    <row r="15" spans="1:9" x14ac:dyDescent="0.3">
      <c r="A15">
        <v>46038</v>
      </c>
      <c r="B15" t="str">
        <v>JANEIRO</v>
      </c>
      <c r="C15" t="str">
        <v>ALLBREAD</v>
      </c>
      <c r="D15">
        <v>552</v>
      </c>
      <c r="E15">
        <v>6624</v>
      </c>
      <c r="F15">
        <v>552</v>
      </c>
      <c r="G15">
        <v>6</v>
      </c>
      <c r="H15" t="str">
        <v>SEMANA JANEIRO!B78:I78</v>
      </c>
      <c r="I15">
        <v>600</v>
      </c>
    </row>
    <row r="16" spans="1:9" x14ac:dyDescent="0.3">
      <c r="A16">
        <v>46038</v>
      </c>
      <c r="B16" t="str">
        <v>JANEIRO</v>
      </c>
      <c r="C16" t="str">
        <v>PURATOS DESTAK</v>
      </c>
      <c r="D16">
        <v>559</v>
      </c>
      <c r="E16">
        <v>3354</v>
      </c>
      <c r="F16">
        <v>950</v>
      </c>
      <c r="G16">
        <v>5</v>
      </c>
      <c r="H16" t="str">
        <v>SEMANA JANEIRO!B79:I79</v>
      </c>
      <c r="I16">
        <v>600</v>
      </c>
    </row>
    <row r="17" spans="1:9" x14ac:dyDescent="0.3">
      <c r="A17">
        <v>46041</v>
      </c>
      <c r="B17" t="str">
        <v>JANEIRO</v>
      </c>
      <c r="C17" t="str">
        <v>PURATOS DESTAK</v>
      </c>
      <c r="D17">
        <v>400</v>
      </c>
      <c r="E17">
        <v>2400</v>
      </c>
      <c r="F17">
        <v>391</v>
      </c>
      <c r="G17">
        <v>3</v>
      </c>
      <c r="H17" t="str">
        <v>SEMANA JANEIRO!B86:I86</v>
      </c>
      <c r="I17">
        <v>600</v>
      </c>
    </row>
    <row r="18" spans="1:9" x14ac:dyDescent="0.3">
      <c r="A18">
        <v>46041</v>
      </c>
      <c r="B18" t="str">
        <v>JANEIRO</v>
      </c>
      <c r="C18" t="str">
        <v>INLOCO ECO</v>
      </c>
      <c r="D18">
        <v>308</v>
      </c>
      <c r="E18">
        <v>3696</v>
      </c>
      <c r="F18">
        <v>308</v>
      </c>
      <c r="G18">
        <v>4</v>
      </c>
      <c r="H18" t="str">
        <v>SEMANA JANEIRO!B87:I87</v>
      </c>
      <c r="I18">
        <v>600</v>
      </c>
    </row>
    <row r="19" spans="1:9" x14ac:dyDescent="0.3">
      <c r="A19">
        <v>46041</v>
      </c>
      <c r="B19" t="str">
        <v>JANEIRO</v>
      </c>
      <c r="C19" t="str">
        <v>TTF</v>
      </c>
      <c r="D19">
        <v>379</v>
      </c>
      <c r="E19">
        <v>4548</v>
      </c>
      <c r="F19">
        <v>461</v>
      </c>
      <c r="G19">
        <v>5</v>
      </c>
      <c r="H19" t="str">
        <v>SEMANA JANEIRO!B88:I88</v>
      </c>
      <c r="I19">
        <v>600</v>
      </c>
    </row>
    <row r="20" spans="1:9" x14ac:dyDescent="0.3">
      <c r="A20">
        <v>46042</v>
      </c>
      <c r="B20" t="str">
        <v>JANEIRO</v>
      </c>
      <c r="C20" t="str">
        <v>TTF</v>
      </c>
      <c r="D20">
        <v>82</v>
      </c>
      <c r="E20">
        <v>984</v>
      </c>
      <c r="F20">
        <v>82</v>
      </c>
      <c r="G20">
        <v>1</v>
      </c>
      <c r="H20" t="str">
        <v>SEMANA JANEIRO!B96:I96</v>
      </c>
      <c r="I20">
        <v>600</v>
      </c>
    </row>
    <row r="21" spans="1:9" x14ac:dyDescent="0.3">
      <c r="A21">
        <v>46042</v>
      </c>
      <c r="B21" t="str">
        <v>JANEIRO</v>
      </c>
      <c r="C21" t="str">
        <v>ROCHAPAN</v>
      </c>
      <c r="D21">
        <v>250</v>
      </c>
      <c r="E21">
        <v>3000</v>
      </c>
      <c r="F21">
        <v>250</v>
      </c>
      <c r="G21">
        <v>2</v>
      </c>
      <c r="H21" t="str">
        <v>SEMANA JANEIRO!B97:I97</v>
      </c>
      <c r="I21">
        <v>400</v>
      </c>
    </row>
    <row r="22" spans="1:9" x14ac:dyDescent="0.3">
      <c r="A22">
        <v>46042</v>
      </c>
      <c r="B22" t="str">
        <v>JANEIRO</v>
      </c>
      <c r="C22" t="str">
        <v>CASA PANIFICADOR</v>
      </c>
      <c r="D22">
        <v>201</v>
      </c>
      <c r="E22">
        <v>2412</v>
      </c>
      <c r="F22">
        <v>200</v>
      </c>
      <c r="G22">
        <v>2</v>
      </c>
      <c r="H22" t="str">
        <v>SEMANA JANEIRO!B98:I98</v>
      </c>
      <c r="I22">
        <v>400</v>
      </c>
    </row>
    <row r="23" spans="1:9" x14ac:dyDescent="0.3">
      <c r="A23">
        <v>46043</v>
      </c>
      <c r="B23" t="str">
        <v>JANEIRO</v>
      </c>
      <c r="C23" t="str">
        <v>GENGIBRE INLOCO</v>
      </c>
      <c r="D23">
        <v>660</v>
      </c>
      <c r="E23">
        <v>3960</v>
      </c>
      <c r="F23">
        <v>660</v>
      </c>
      <c r="G23">
        <v>2</v>
      </c>
      <c r="H23" t="str">
        <v>SEMANA JANEIRO!B106:I106</v>
      </c>
      <c r="I23">
        <v>200</v>
      </c>
    </row>
    <row r="24" spans="1:9" x14ac:dyDescent="0.3">
      <c r="A24">
        <v>46043</v>
      </c>
      <c r="B24" t="str">
        <v>JANEIRO</v>
      </c>
      <c r="C24" t="str">
        <v>GENGIBRE DILUTE</v>
      </c>
      <c r="D24">
        <v>1020</v>
      </c>
      <c r="E24">
        <v>6120</v>
      </c>
      <c r="F24">
        <v>1320</v>
      </c>
      <c r="G24">
        <v>4</v>
      </c>
      <c r="H24" t="str">
        <v>SEMANA JANEIRO!B107:I107</v>
      </c>
      <c r="I24">
        <v>200</v>
      </c>
    </row>
    <row r="25" spans="1:9" x14ac:dyDescent="0.3">
      <c r="A25">
        <v>46044</v>
      </c>
      <c r="B25" t="str">
        <v>JANEIRO</v>
      </c>
      <c r="C25" t="str">
        <v>GENGIBRE DILUTE</v>
      </c>
      <c r="D25">
        <v>382</v>
      </c>
      <c r="E25">
        <v>2292</v>
      </c>
      <c r="F25">
        <v>300</v>
      </c>
      <c r="G25">
        <v>1</v>
      </c>
      <c r="H25" t="str">
        <v>SEMANA JANEIRO!B114:I114</v>
      </c>
      <c r="I25">
        <v>200</v>
      </c>
    </row>
    <row r="26" spans="1:9" x14ac:dyDescent="0.3">
      <c r="A26">
        <v>46044</v>
      </c>
      <c r="B26" t="str">
        <v>JANEIRO</v>
      </c>
      <c r="C26" t="str">
        <v>MAÇA VERDE DILUTE</v>
      </c>
      <c r="D26">
        <v>853</v>
      </c>
      <c r="E26">
        <v>5118</v>
      </c>
      <c r="F26">
        <v>990</v>
      </c>
      <c r="G26">
        <v>3</v>
      </c>
      <c r="H26" t="str">
        <v>SEMANA JANEIRO!B115:I115</v>
      </c>
      <c r="I26">
        <v>200</v>
      </c>
    </row>
    <row r="27" spans="1:9" x14ac:dyDescent="0.3">
      <c r="A27">
        <v>46044</v>
      </c>
      <c r="B27" t="str">
        <v>JANEIRO</v>
      </c>
      <c r="C27" t="str">
        <v>3 LIMÕES DILUTE</v>
      </c>
      <c r="D27">
        <v>813</v>
      </c>
      <c r="E27">
        <v>4878</v>
      </c>
      <c r="F27">
        <v>990</v>
      </c>
      <c r="G27">
        <v>3</v>
      </c>
      <c r="H27" t="str">
        <v>SEMANA JANEIRO!B116:I116</v>
      </c>
      <c r="I27">
        <v>200</v>
      </c>
    </row>
    <row r="28" spans="1:9" x14ac:dyDescent="0.3">
      <c r="A28">
        <v>46045</v>
      </c>
      <c r="B28" t="str">
        <v>JANEIRO</v>
      </c>
      <c r="C28" t="str">
        <v>3 LIMÕES DILUTE</v>
      </c>
      <c r="D28">
        <v>184</v>
      </c>
      <c r="E28">
        <v>1104</v>
      </c>
      <c r="F28">
        <v>177</v>
      </c>
      <c r="G28">
        <v>1</v>
      </c>
      <c r="H28" t="str">
        <v>SEMANA JANEIRO!B124:I124</v>
      </c>
      <c r="I28">
        <v>200</v>
      </c>
    </row>
    <row r="29" spans="1:9" x14ac:dyDescent="0.3">
      <c r="A29">
        <v>46045</v>
      </c>
      <c r="B29" t="str">
        <v>JANEIRO</v>
      </c>
      <c r="C29" t="str">
        <v>F. VERMELHAS DILUTE</v>
      </c>
      <c r="D29">
        <v>197</v>
      </c>
      <c r="E29">
        <v>1182</v>
      </c>
      <c r="F29">
        <v>330</v>
      </c>
      <c r="G29">
        <v>1</v>
      </c>
      <c r="H29" t="str">
        <v>SEMANA JANEIRO!B125:I125</v>
      </c>
      <c r="I29">
        <v>200</v>
      </c>
    </row>
    <row r="30" spans="1:9" x14ac:dyDescent="0.3">
      <c r="A30">
        <v>46045</v>
      </c>
      <c r="B30" t="str">
        <v>JANEIRO</v>
      </c>
      <c r="C30" t="str">
        <v>CORANTE AMARELO</v>
      </c>
      <c r="D30">
        <v>123</v>
      </c>
      <c r="E30">
        <v>1476</v>
      </c>
      <c r="F30">
        <v>120</v>
      </c>
      <c r="G30">
        <v>1</v>
      </c>
      <c r="H30" t="str">
        <v>SEMANA JANEIRO!B126:I126</v>
      </c>
      <c r="I30">
        <v>70</v>
      </c>
    </row>
    <row r="31" spans="1:9" x14ac:dyDescent="0.3">
      <c r="A31">
        <v>46045</v>
      </c>
      <c r="B31" t="str">
        <v>JANEIRO</v>
      </c>
      <c r="C31" t="str">
        <v>CORANTE AZUL</v>
      </c>
      <c r="D31">
        <v>121</v>
      </c>
      <c r="E31">
        <v>1452</v>
      </c>
      <c r="F31">
        <v>120</v>
      </c>
      <c r="G31">
        <v>1</v>
      </c>
      <c r="H31" t="str">
        <v>SEMANA JANEIRO!B127:I127</v>
      </c>
      <c r="I31">
        <v>70</v>
      </c>
    </row>
    <row r="32" spans="1:9" x14ac:dyDescent="0.3">
      <c r="A32">
        <v>46045</v>
      </c>
      <c r="B32" t="str">
        <v>JANEIRO</v>
      </c>
      <c r="C32" t="str">
        <v>CORANTE VIOLETA</v>
      </c>
      <c r="D32">
        <v>121</v>
      </c>
      <c r="E32">
        <v>1452</v>
      </c>
      <c r="F32">
        <v>120</v>
      </c>
      <c r="G32">
        <v>1</v>
      </c>
      <c r="H32" t="str">
        <v>SEMANA JANEIRO!B128:I128</v>
      </c>
      <c r="I32">
        <v>70</v>
      </c>
    </row>
    <row r="33" spans="1:9" x14ac:dyDescent="0.3">
      <c r="A33">
        <v>46045</v>
      </c>
      <c r="B33" t="str">
        <v>JANEIRO</v>
      </c>
      <c r="C33" t="str">
        <v>CORANTE VERMELHO</v>
      </c>
      <c r="D33">
        <v>122</v>
      </c>
      <c r="E33">
        <v>1464</v>
      </c>
      <c r="F33">
        <v>120</v>
      </c>
      <c r="G33">
        <v>1</v>
      </c>
      <c r="H33" t="str">
        <v>SEMANA JANEIRO!B129:I129</v>
      </c>
      <c r="I33">
        <v>70</v>
      </c>
    </row>
    <row r="34" spans="1:9" x14ac:dyDescent="0.3">
      <c r="A34">
        <v>46048</v>
      </c>
      <c r="B34" t="str">
        <v>JANEIRO</v>
      </c>
      <c r="C34" t="str">
        <v>UNTA FACIL</v>
      </c>
      <c r="D34">
        <v>722</v>
      </c>
      <c r="E34">
        <v>8664</v>
      </c>
      <c r="F34">
        <v>720</v>
      </c>
      <c r="G34">
        <v>3</v>
      </c>
      <c r="H34" t="str">
        <v>SEMANA JANEIRO!B137:I137</v>
      </c>
      <c r="I34">
        <v>180</v>
      </c>
    </row>
    <row r="35" spans="1:9" x14ac:dyDescent="0.3">
      <c r="A35">
        <v>46048</v>
      </c>
      <c r="B35" t="str">
        <v>JANEIRO</v>
      </c>
      <c r="C35" t="str">
        <v>GELINHO ICEBERG</v>
      </c>
      <c r="D35">
        <v>176.25</v>
      </c>
      <c r="E35">
        <v>2115</v>
      </c>
      <c r="F35">
        <v>233</v>
      </c>
      <c r="G35" t="str">
        <v/>
      </c>
      <c r="H35" t="str">
        <v>SEMANA JANEIRO!B138:I138</v>
      </c>
      <c r="I35">
        <v>210</v>
      </c>
    </row>
    <row r="36" spans="1:9" x14ac:dyDescent="0.3">
      <c r="A36">
        <v>46048</v>
      </c>
      <c r="B36" t="str">
        <v>JANEIRO</v>
      </c>
      <c r="C36" t="str">
        <v>UNTA FACIL</v>
      </c>
      <c r="D36">
        <v>346</v>
      </c>
      <c r="E36">
        <v>4152</v>
      </c>
      <c r="F36">
        <v>1000</v>
      </c>
      <c r="G36">
        <v>8</v>
      </c>
      <c r="H36" t="str">
        <v>SEMANA JANEIRO!B139:I139</v>
      </c>
      <c r="I36">
        <v>400</v>
      </c>
    </row>
    <row r="37" spans="1:9" x14ac:dyDescent="0.3">
      <c r="A37">
        <v>46049</v>
      </c>
      <c r="B37" t="str">
        <v>JANEIRO</v>
      </c>
      <c r="C37" t="str">
        <v>UNTA FACIL</v>
      </c>
      <c r="D37">
        <v>654</v>
      </c>
      <c r="E37">
        <v>7848</v>
      </c>
      <c r="F37">
        <v>654</v>
      </c>
      <c r="G37">
        <v>6</v>
      </c>
      <c r="H37" t="str">
        <v>SEMANA JANEIRO!B146:I146</v>
      </c>
      <c r="I37">
        <v>400</v>
      </c>
    </row>
    <row r="38" spans="1:9" x14ac:dyDescent="0.3">
      <c r="A38">
        <v>46051</v>
      </c>
      <c r="B38" t="str">
        <v>JANEIRO</v>
      </c>
      <c r="C38" t="str">
        <v>MAGIC SPRAY EMBRAPAN</v>
      </c>
      <c r="D38">
        <v>101</v>
      </c>
      <c r="E38">
        <v>1212</v>
      </c>
      <c r="F38">
        <v>100</v>
      </c>
      <c r="G38">
        <v>1</v>
      </c>
      <c r="H38" t="str">
        <v>SEMANA JANEIRO!B165:I165</v>
      </c>
      <c r="I38">
        <v>400</v>
      </c>
    </row>
    <row r="39" spans="1:9" x14ac:dyDescent="0.3">
      <c r="A39">
        <v>46051</v>
      </c>
      <c r="B39" t="str">
        <v>JANEIRO</v>
      </c>
      <c r="C39" t="str">
        <v>ADIMIX</v>
      </c>
      <c r="D39">
        <v>665</v>
      </c>
      <c r="E39">
        <v>7980</v>
      </c>
      <c r="F39">
        <v>665</v>
      </c>
      <c r="G39">
        <v>7</v>
      </c>
      <c r="H39" t="str">
        <v>SEMANA JANEIRO!B166:I166</v>
      </c>
      <c r="I39">
        <v>600</v>
      </c>
    </row>
    <row r="40" spans="1:9" x14ac:dyDescent="0.3">
      <c r="A40">
        <v>46051</v>
      </c>
      <c r="B40" t="str">
        <v>JANEIRO</v>
      </c>
      <c r="C40" t="str">
        <v>ADIMIX</v>
      </c>
      <c r="D40">
        <v>256</v>
      </c>
      <c r="E40">
        <v>3072</v>
      </c>
      <c r="F40">
        <v>665</v>
      </c>
      <c r="G40">
        <v>7</v>
      </c>
      <c r="H40" t="str">
        <v>SEMANA JANEIRO!B167:I167</v>
      </c>
      <c r="I40">
        <v>600</v>
      </c>
    </row>
    <row r="41" spans="1:9" x14ac:dyDescent="0.3">
      <c r="A41">
        <v>46052</v>
      </c>
      <c r="B41" t="str">
        <v>JANEIRO</v>
      </c>
      <c r="C41" t="str">
        <v>ADIMIX</v>
      </c>
      <c r="D41">
        <v>424</v>
      </c>
      <c r="E41">
        <v>5088</v>
      </c>
      <c r="F41">
        <v>409</v>
      </c>
      <c r="G41">
        <v>5</v>
      </c>
      <c r="H41" t="str">
        <v>SEMANA JANEIRO!B173:I173</v>
      </c>
      <c r="I41">
        <v>600</v>
      </c>
    </row>
    <row r="42" spans="1:9" x14ac:dyDescent="0.3">
      <c r="A42">
        <v>46052</v>
      </c>
      <c r="B42" t="str">
        <v>JANEIRO</v>
      </c>
      <c r="C42" t="str">
        <v>ALLBREAD</v>
      </c>
      <c r="D42">
        <v>330</v>
      </c>
      <c r="E42">
        <v>3960</v>
      </c>
      <c r="F42">
        <v>768</v>
      </c>
      <c r="G42">
        <v>9</v>
      </c>
      <c r="H42" t="str">
        <v>SEMANA JANEIRO!B174:I174</v>
      </c>
      <c r="I42">
        <v>600</v>
      </c>
    </row>
    <row r="521" spans="1:9" x14ac:dyDescent="0.3">
      <c r="A521" cm="1">
        <f t="array" ref="A521:I566">_xlfn.LET(_xlpm.a,'SEMANA FEVEREIRO'!A1:A500,_xlpm.b,'SEMANA FEVEREIRO'!B1:B500,_xlpm.c,'SEMANA FEVEREIRO'!C1:C500,_xlpm.d,'SEMANA FEVEREIRO'!D1:D500,_xlpm.g,'SEMANA FEVEREIRO'!G1:G500,_xlpm.h,'SEMANA FEVEREIRO'!H1:H500,_xlpm.i,'SEMANA FEVEREIRO'!I1:I500,_xlpm.dt,IFERROR(LOOKUP(ROW(_xlpm.a),ROW(_xlpm.a)/(_xlpm.a&gt;40000),_xlpm.a),""),_xlpm.orig,"SEMANA FEVEREIRO!B"&amp;ROW(_xlpm.b)&amp;":I"&amp;ROW(_xlpm.b),_xlfn._xlws.FILTER(_xlfn.HSTACK(_xlpm.dt,IF(_xlpm.b&lt;&gt;"","FEVEREIRO",""),TRIM(_xlpm.b),_xlpm.h,_xlpm.i,_xlpm.d,_xlpm.g,_xlpm.orig,_xlpm.c),(_xlpm.b&lt;&gt;"")*(_xlpm.b&lt;&gt;"PRODUTO")*(_xlpm.b&lt;&gt;"TOTAL")*(_xlpm.h&gt;0),_xlfn.HSTACK("","","","","","","","","")))</f>
        <v>46055</v>
      </c>
      <c r="B521" t="str">
        <v>FEVEREIRO</v>
      </c>
      <c r="C521" t="str">
        <v>ALLBREAD</v>
      </c>
      <c r="D521">
        <v>438</v>
      </c>
      <c r="E521">
        <v>5256</v>
      </c>
      <c r="F521">
        <v>438</v>
      </c>
      <c r="G521">
        <v>5</v>
      </c>
      <c r="H521" t="str">
        <v>SEMANA FEVEREIRO!B5:I5</v>
      </c>
      <c r="I521">
        <v>600</v>
      </c>
    </row>
    <row r="522" spans="1:9" x14ac:dyDescent="0.3">
      <c r="A522">
        <v>46055</v>
      </c>
      <c r="B522" t="str">
        <v>FEVEREIRO</v>
      </c>
      <c r="C522" t="str">
        <v>UNTA FACIL</v>
      </c>
      <c r="D522">
        <v>506</v>
      </c>
      <c r="E522">
        <v>6072</v>
      </c>
      <c r="F522">
        <v>1330</v>
      </c>
      <c r="G522">
        <v>14</v>
      </c>
      <c r="H522" t="str">
        <v>SEMANA FEVEREIRO!B6:I6</v>
      </c>
      <c r="I522">
        <v>600</v>
      </c>
    </row>
    <row r="523" spans="1:9" x14ac:dyDescent="0.3">
      <c r="A523">
        <v>46056</v>
      </c>
      <c r="B523" t="str">
        <v>FEVEREIRO</v>
      </c>
      <c r="C523" t="str">
        <v>UNTA FACIL</v>
      </c>
      <c r="D523">
        <v>702</v>
      </c>
      <c r="E523">
        <v>8424</v>
      </c>
      <c r="F523">
        <v>824</v>
      </c>
      <c r="G523">
        <v>9</v>
      </c>
      <c r="H523" t="str">
        <v>SEMANA FEVEREIRO!B13:I13</v>
      </c>
      <c r="I523">
        <v>600</v>
      </c>
    </row>
    <row r="524" spans="1:9" x14ac:dyDescent="0.3">
      <c r="A524">
        <v>46057</v>
      </c>
      <c r="B524" t="str">
        <v>FEVEREIRO</v>
      </c>
      <c r="C524" t="str">
        <v>UNTA FACIL</v>
      </c>
      <c r="D524">
        <v>139</v>
      </c>
      <c r="E524">
        <v>1668</v>
      </c>
      <c r="F524">
        <v>122</v>
      </c>
      <c r="G524">
        <v>2</v>
      </c>
      <c r="H524" t="str">
        <v>SEMANA FEVEREIRO!B21:I21</v>
      </c>
      <c r="I524">
        <v>600</v>
      </c>
    </row>
    <row r="525" spans="1:9" x14ac:dyDescent="0.3">
      <c r="A525">
        <v>46057</v>
      </c>
      <c r="B525" t="str">
        <v>FEVEREIRO</v>
      </c>
      <c r="C525" t="str">
        <v>PURATOS DESTAK</v>
      </c>
      <c r="D525">
        <v>1055</v>
      </c>
      <c r="E525">
        <v>6330</v>
      </c>
      <c r="F525">
        <v>1330</v>
      </c>
      <c r="G525">
        <v>7</v>
      </c>
      <c r="H525" t="str">
        <v>SEMANA FEVEREIRO!B22:I22</v>
      </c>
      <c r="I525">
        <v>600</v>
      </c>
    </row>
    <row r="526" spans="1:9" x14ac:dyDescent="0.3">
      <c r="A526">
        <v>46058</v>
      </c>
      <c r="B526" t="str">
        <v>FEVEREIRO</v>
      </c>
      <c r="C526" t="str">
        <v>PURATOS DESTAK</v>
      </c>
      <c r="D526">
        <v>357</v>
      </c>
      <c r="E526">
        <v>2142</v>
      </c>
      <c r="F526">
        <v>275</v>
      </c>
      <c r="G526">
        <v>2</v>
      </c>
      <c r="H526" t="str">
        <v>SEMANA FEVEREIRO!B29:I29</v>
      </c>
      <c r="I526">
        <v>600</v>
      </c>
    </row>
    <row r="527" spans="1:9" x14ac:dyDescent="0.3">
      <c r="A527">
        <v>46058</v>
      </c>
      <c r="B527" t="str">
        <v>FEVEREIRO</v>
      </c>
      <c r="C527" t="str">
        <v>ITAIQUARA</v>
      </c>
      <c r="D527">
        <v>117</v>
      </c>
      <c r="E527">
        <v>1404</v>
      </c>
      <c r="F527">
        <v>190</v>
      </c>
      <c r="G527">
        <v>2</v>
      </c>
      <c r="H527" t="str">
        <v>SEMANA FEVEREIRO!B30:I30</v>
      </c>
      <c r="I527">
        <v>600</v>
      </c>
    </row>
    <row r="528" spans="1:9" x14ac:dyDescent="0.3">
      <c r="A528">
        <v>46058</v>
      </c>
      <c r="B528" t="str">
        <v>FEVEREIRO</v>
      </c>
      <c r="C528" t="str">
        <v>VIA PANE</v>
      </c>
      <c r="D528">
        <v>101</v>
      </c>
      <c r="E528">
        <v>1212</v>
      </c>
      <c r="F528">
        <v>100</v>
      </c>
      <c r="G528">
        <v>2</v>
      </c>
      <c r="H528" t="str">
        <v>SEMANA FEVEREIRO!B31:I31</v>
      </c>
      <c r="I528">
        <v>600</v>
      </c>
    </row>
    <row r="529" spans="1:9" x14ac:dyDescent="0.3">
      <c r="A529">
        <v>46058</v>
      </c>
      <c r="B529" t="str">
        <v>FEVEREIRO</v>
      </c>
      <c r="C529" t="str">
        <v>ECO UNTA FACIL</v>
      </c>
      <c r="D529">
        <v>169</v>
      </c>
      <c r="E529">
        <v>2028</v>
      </c>
      <c r="F529">
        <v>440</v>
      </c>
      <c r="G529">
        <v>5</v>
      </c>
      <c r="H529" t="str">
        <v>SEMANA FEVEREIRO!B32:I32</v>
      </c>
      <c r="I529">
        <v>600</v>
      </c>
    </row>
    <row r="530" spans="1:9" x14ac:dyDescent="0.3">
      <c r="A530" t="str">
        <v>600 / 400</v>
      </c>
      <c r="B530" t="str">
        <v>FEVEREIRO</v>
      </c>
      <c r="C530" t="str">
        <v>ECO UNTA FACIL</v>
      </c>
      <c r="D530">
        <v>266</v>
      </c>
      <c r="E530">
        <v>3192</v>
      </c>
      <c r="F530">
        <v>271</v>
      </c>
      <c r="G530">
        <v>3</v>
      </c>
      <c r="H530" t="str">
        <v>SEMANA FEVEREIRO!B48:I48</v>
      </c>
      <c r="I530">
        <v>600</v>
      </c>
    </row>
    <row r="531" spans="1:9" x14ac:dyDescent="0.3">
      <c r="A531" t="str">
        <v>600 / 400</v>
      </c>
      <c r="B531" t="str">
        <v>FEVEREIRO</v>
      </c>
      <c r="C531" t="str">
        <v>ITAIQUARA</v>
      </c>
      <c r="D531">
        <v>76</v>
      </c>
      <c r="E531">
        <v>912</v>
      </c>
      <c r="F531">
        <v>73</v>
      </c>
      <c r="G531">
        <v>1</v>
      </c>
      <c r="H531" t="str">
        <v>SEMANA FEVEREIRO!B49:I49</v>
      </c>
      <c r="I531">
        <v>600</v>
      </c>
    </row>
    <row r="532" spans="1:9" x14ac:dyDescent="0.3">
      <c r="A532" t="str">
        <v>600 / 400</v>
      </c>
      <c r="B532" t="str">
        <v>FEVEREIRO</v>
      </c>
      <c r="C532" t="str">
        <v>UNTA FACIL</v>
      </c>
      <c r="D532">
        <v>869</v>
      </c>
      <c r="E532">
        <v>10428</v>
      </c>
      <c r="F532">
        <v>2500</v>
      </c>
      <c r="G532">
        <v>20</v>
      </c>
      <c r="H532" t="str">
        <v>SEMANA FEVEREIRO!B50:I50</v>
      </c>
      <c r="I532">
        <v>400</v>
      </c>
    </row>
    <row r="533" spans="1:9" x14ac:dyDescent="0.3">
      <c r="A533">
        <v>46063</v>
      </c>
      <c r="B533" t="str">
        <v>FEVEREIRO</v>
      </c>
      <c r="C533" t="str">
        <v>UNTA FACIL</v>
      </c>
      <c r="D533">
        <v>1027</v>
      </c>
      <c r="E533">
        <v>12324</v>
      </c>
      <c r="F533">
        <v>1631</v>
      </c>
      <c r="G533">
        <v>14</v>
      </c>
      <c r="H533" t="str">
        <v>SEMANA FEVEREIRO!B57:I57</v>
      </c>
      <c r="I533">
        <v>400</v>
      </c>
    </row>
    <row r="534" spans="1:9" x14ac:dyDescent="0.3">
      <c r="A534">
        <v>46064</v>
      </c>
      <c r="B534" t="str">
        <v>FEVEREIRO</v>
      </c>
      <c r="C534" t="str">
        <v>UNTA FACIL</v>
      </c>
      <c r="D534">
        <v>611</v>
      </c>
      <c r="E534">
        <v>7332</v>
      </c>
      <c r="F534">
        <v>604</v>
      </c>
      <c r="G534">
        <v>5</v>
      </c>
      <c r="H534" t="str">
        <v>SEMANA FEVEREIRO!B65:I65</v>
      </c>
      <c r="I534">
        <v>400</v>
      </c>
    </row>
    <row r="535" spans="1:9" x14ac:dyDescent="0.3">
      <c r="A535">
        <v>46064</v>
      </c>
      <c r="B535" t="str">
        <v>FEVEREIRO</v>
      </c>
      <c r="C535" t="str">
        <v>ICEBERG CHEF</v>
      </c>
      <c r="D535">
        <v>600</v>
      </c>
      <c r="E535">
        <v>7200</v>
      </c>
      <c r="F535">
        <v>2310</v>
      </c>
      <c r="G535">
        <v>21</v>
      </c>
      <c r="H535" t="str">
        <v>SEMANA FEVEREIRO!B66:I66</v>
      </c>
      <c r="I535">
        <v>400</v>
      </c>
    </row>
    <row r="536" spans="1:9" x14ac:dyDescent="0.3">
      <c r="A536">
        <v>46065</v>
      </c>
      <c r="B536" t="str">
        <v>FEVEREIRO</v>
      </c>
      <c r="C536" t="str">
        <v>ICEBERG CHEF</v>
      </c>
      <c r="D536">
        <v>1431</v>
      </c>
      <c r="E536">
        <v>17172</v>
      </c>
      <c r="F536">
        <v>1710</v>
      </c>
      <c r="G536">
        <v>16</v>
      </c>
      <c r="H536" t="str">
        <v>SEMANA FEVEREIRO!B73:I73</v>
      </c>
      <c r="I536">
        <v>400</v>
      </c>
    </row>
    <row r="537" spans="1:9" x14ac:dyDescent="0.3">
      <c r="A537">
        <v>46066</v>
      </c>
      <c r="B537" t="str">
        <v>FEVEREIRO</v>
      </c>
      <c r="C537" t="str">
        <v>ICEBERG CHEF</v>
      </c>
      <c r="D537">
        <v>287</v>
      </c>
      <c r="E537">
        <v>3444</v>
      </c>
      <c r="F537">
        <v>279</v>
      </c>
      <c r="G537">
        <v>3</v>
      </c>
      <c r="H537" t="str">
        <v>SEMANA FEVEREIRO!B81:I81</v>
      </c>
      <c r="I537">
        <v>400</v>
      </c>
    </row>
    <row r="538" spans="1:9" x14ac:dyDescent="0.3">
      <c r="A538">
        <v>46066</v>
      </c>
      <c r="B538" t="str">
        <v>FEVEREIRO</v>
      </c>
      <c r="C538" t="str">
        <v>CASA PANIFICADOR</v>
      </c>
      <c r="D538">
        <v>202</v>
      </c>
      <c r="E538">
        <v>2424</v>
      </c>
      <c r="F538">
        <v>200</v>
      </c>
      <c r="G538">
        <v>2</v>
      </c>
      <c r="H538" t="str">
        <v>SEMANA FEVEREIRO!B82:I82</v>
      </c>
      <c r="I538">
        <v>400</v>
      </c>
    </row>
    <row r="539" spans="1:9" x14ac:dyDescent="0.3">
      <c r="A539">
        <v>46066</v>
      </c>
      <c r="B539" t="str">
        <v>FEVEREIRO</v>
      </c>
      <c r="C539" t="str">
        <v>REPETECO CHEF</v>
      </c>
      <c r="D539">
        <v>252</v>
      </c>
      <c r="E539">
        <v>3024</v>
      </c>
      <c r="F539">
        <v>250</v>
      </c>
      <c r="G539">
        <v>2</v>
      </c>
      <c r="H539" t="str">
        <v>SEMANA FEVEREIRO!B83:I83</v>
      </c>
      <c r="I539">
        <v>400</v>
      </c>
    </row>
    <row r="540" spans="1:9" x14ac:dyDescent="0.3">
      <c r="A540">
        <v>46066</v>
      </c>
      <c r="B540" t="str">
        <v>FEVEREIRO</v>
      </c>
      <c r="C540" t="str">
        <v>ROCHAPAN</v>
      </c>
      <c r="D540">
        <v>61</v>
      </c>
      <c r="E540">
        <v>732</v>
      </c>
      <c r="F540">
        <v>250</v>
      </c>
      <c r="G540">
        <v>2</v>
      </c>
      <c r="H540" t="str">
        <v>SEMANA FEVEREIRO!B84:I84</v>
      </c>
      <c r="I540">
        <v>400</v>
      </c>
    </row>
    <row r="541" spans="1:9" x14ac:dyDescent="0.3">
      <c r="A541">
        <v>46071</v>
      </c>
      <c r="B541" t="str">
        <v>FEVEREIRO</v>
      </c>
      <c r="C541" t="str">
        <v>ROCHAPAN</v>
      </c>
      <c r="D541">
        <v>192</v>
      </c>
      <c r="E541">
        <v>2304</v>
      </c>
      <c r="F541">
        <v>189</v>
      </c>
      <c r="G541">
        <v>2</v>
      </c>
      <c r="H541" t="str">
        <v>SEMANA FEVEREIRO!B93:I93</v>
      </c>
      <c r="I541">
        <v>400</v>
      </c>
    </row>
    <row r="542" spans="1:9" x14ac:dyDescent="0.3">
      <c r="A542">
        <v>46071</v>
      </c>
      <c r="B542" t="str">
        <v>FEVEREIRO</v>
      </c>
      <c r="C542" t="str">
        <v>BRICOFLEX</v>
      </c>
      <c r="D542">
        <v>229</v>
      </c>
      <c r="E542">
        <v>2748</v>
      </c>
      <c r="F542">
        <v>125</v>
      </c>
      <c r="G542">
        <v>1</v>
      </c>
      <c r="H542" t="str">
        <v>SEMANA FEVEREIRO!B94:I94</v>
      </c>
      <c r="I542">
        <v>400</v>
      </c>
    </row>
    <row r="543" spans="1:9" x14ac:dyDescent="0.3">
      <c r="A543">
        <v>46071</v>
      </c>
      <c r="B543" t="str">
        <v>FEVEREIRO</v>
      </c>
      <c r="C543" t="str">
        <v>TTF</v>
      </c>
      <c r="D543">
        <v>18</v>
      </c>
      <c r="E543">
        <v>216</v>
      </c>
      <c r="F543">
        <v>125</v>
      </c>
      <c r="G543">
        <v>1</v>
      </c>
      <c r="H543" t="str">
        <v>SEMANA FEVEREIRO!B95:I95</v>
      </c>
      <c r="I543">
        <v>400</v>
      </c>
    </row>
    <row r="544" spans="1:9" x14ac:dyDescent="0.3">
      <c r="A544" t="str">
        <v>400 / 180</v>
      </c>
      <c r="B544" t="str">
        <v>FEVEREIRO</v>
      </c>
      <c r="C544" t="str">
        <v>TTF</v>
      </c>
      <c r="D544">
        <v>109</v>
      </c>
      <c r="E544">
        <v>1308</v>
      </c>
      <c r="F544">
        <v>107</v>
      </c>
      <c r="G544">
        <v>1</v>
      </c>
      <c r="H544" t="str">
        <v>SEMANA FEVEREIRO!B103:I103</v>
      </c>
      <c r="I544">
        <v>400</v>
      </c>
    </row>
    <row r="545" spans="1:9" x14ac:dyDescent="0.3">
      <c r="A545" t="str">
        <v>400 / 180</v>
      </c>
      <c r="B545" t="str">
        <v>FEVEREIRO</v>
      </c>
      <c r="C545" t="str">
        <v>DISPAN</v>
      </c>
      <c r="D545">
        <v>378</v>
      </c>
      <c r="E545">
        <v>4536</v>
      </c>
      <c r="F545">
        <v>375</v>
      </c>
      <c r="G545">
        <v>3</v>
      </c>
      <c r="H545" t="str">
        <v>SEMANA FEVEREIRO!B104:I104</v>
      </c>
      <c r="I545">
        <v>400</v>
      </c>
    </row>
    <row r="546" spans="1:9" x14ac:dyDescent="0.3">
      <c r="A546" t="str">
        <v>400 / 180</v>
      </c>
      <c r="B546" t="str">
        <v>FEVEREIRO</v>
      </c>
      <c r="C546" t="str">
        <v>ADKO</v>
      </c>
      <c r="D546">
        <v>240</v>
      </c>
      <c r="E546">
        <v>2880</v>
      </c>
      <c r="F546">
        <v>240</v>
      </c>
      <c r="G546">
        <v>1</v>
      </c>
      <c r="H546" t="str">
        <v>SEMANA FEVEREIRO!B105:I105</v>
      </c>
      <c r="I546">
        <v>180</v>
      </c>
    </row>
    <row r="547" spans="1:9" x14ac:dyDescent="0.3">
      <c r="A547" t="str">
        <v>400 / 180</v>
      </c>
      <c r="B547" t="str">
        <v>FEVEREIRO</v>
      </c>
      <c r="C547" t="str">
        <v>UNTA FACIL</v>
      </c>
      <c r="D547">
        <v>256</v>
      </c>
      <c r="E547">
        <v>3072</v>
      </c>
      <c r="F547">
        <v>480</v>
      </c>
      <c r="G547">
        <v>2</v>
      </c>
      <c r="H547" t="str">
        <v>SEMANA FEVEREIRO!B106:I106</v>
      </c>
      <c r="I547">
        <v>180</v>
      </c>
    </row>
    <row r="548" spans="1:9" x14ac:dyDescent="0.3">
      <c r="A548" t="str">
        <v>COCO</v>
      </c>
      <c r="B548" t="str">
        <v>FEVEREIRO</v>
      </c>
      <c r="C548" t="str">
        <v>UNTA FACIL</v>
      </c>
      <c r="D548">
        <v>226</v>
      </c>
      <c r="E548">
        <v>2712</v>
      </c>
      <c r="F548">
        <v>224</v>
      </c>
      <c r="G548">
        <v>1</v>
      </c>
      <c r="H548" t="str">
        <v>SEMANA FEVEREIRO!B113:I113</v>
      </c>
      <c r="I548">
        <v>180</v>
      </c>
    </row>
    <row r="549" spans="1:9" x14ac:dyDescent="0.3">
      <c r="A549" t="str">
        <v>COCO</v>
      </c>
      <c r="B549" t="str">
        <v>FEVEREIRO</v>
      </c>
      <c r="C549" t="str">
        <v>QUALICOCO MANTEIGA</v>
      </c>
      <c r="D549">
        <v>721</v>
      </c>
      <c r="E549">
        <v>8652</v>
      </c>
      <c r="F549">
        <v>720</v>
      </c>
      <c r="G549">
        <v>3</v>
      </c>
      <c r="H549" t="str">
        <v>SEMANA FEVEREIRO!B114:I114</v>
      </c>
      <c r="I549">
        <v>100</v>
      </c>
    </row>
    <row r="550" spans="1:9" x14ac:dyDescent="0.3">
      <c r="A550" t="str">
        <v>COCO</v>
      </c>
      <c r="B550" t="str">
        <v>FEVEREIRO</v>
      </c>
      <c r="C550" t="str">
        <v>QUALICOCO EXTRAVIRGEM</v>
      </c>
      <c r="D550">
        <v>150</v>
      </c>
      <c r="E550">
        <v>1800</v>
      </c>
      <c r="F550">
        <v>720</v>
      </c>
      <c r="G550">
        <v>3</v>
      </c>
      <c r="H550" t="str">
        <v>SEMANA FEVEREIRO!B115:I115</v>
      </c>
      <c r="I550">
        <v>100</v>
      </c>
    </row>
    <row r="551" spans="1:9" x14ac:dyDescent="0.3">
      <c r="A551" t="str">
        <v>COCO</v>
      </c>
      <c r="B551" t="str">
        <v>FEVEREIRO</v>
      </c>
      <c r="C551" t="str">
        <v>QUALICOCO EXTRAVIRGEM</v>
      </c>
      <c r="D551">
        <v>332</v>
      </c>
      <c r="E551">
        <v>3984</v>
      </c>
      <c r="F551">
        <v>570</v>
      </c>
      <c r="G551">
        <v>3</v>
      </c>
      <c r="H551" t="str">
        <v>SEMANA FEVEREIRO!B122:I122</v>
      </c>
      <c r="I551">
        <v>100</v>
      </c>
    </row>
    <row r="552" spans="1:9" x14ac:dyDescent="0.3">
      <c r="A552" t="str">
        <v>COCO</v>
      </c>
      <c r="B552" t="str">
        <v>FEVEREIRO</v>
      </c>
      <c r="C552" t="str">
        <v>COPRA EXTRAVIRGEM</v>
      </c>
      <c r="D552">
        <v>502</v>
      </c>
      <c r="E552">
        <v>6024</v>
      </c>
      <c r="F552">
        <v>502</v>
      </c>
      <c r="G552">
        <v>3</v>
      </c>
      <c r="H552" t="str">
        <v>SEMANA FEVEREIRO!B123:I123</v>
      </c>
      <c r="I552">
        <v>100</v>
      </c>
    </row>
    <row r="553" spans="1:9" x14ac:dyDescent="0.3">
      <c r="A553" t="str">
        <v>COCO</v>
      </c>
      <c r="B553" t="str">
        <v>FEVEREIRO</v>
      </c>
      <c r="C553" t="str">
        <v>COPRA SEM SABOR</v>
      </c>
      <c r="D553">
        <v>490</v>
      </c>
      <c r="E553">
        <v>5880</v>
      </c>
      <c r="F553">
        <v>580</v>
      </c>
      <c r="G553">
        <v>3</v>
      </c>
      <c r="H553" t="str">
        <v>SEMANA FEVEREIRO!B124:I124</v>
      </c>
      <c r="I553">
        <v>100</v>
      </c>
    </row>
    <row r="554" spans="1:9" x14ac:dyDescent="0.3">
      <c r="A554" t="str">
        <v>COCO</v>
      </c>
      <c r="B554" t="str">
        <v>FEVEREIRO</v>
      </c>
      <c r="C554" t="str">
        <v>COPRA SEM SABOR</v>
      </c>
      <c r="D554">
        <v>97</v>
      </c>
      <c r="E554">
        <v>1164</v>
      </c>
      <c r="F554">
        <v>90</v>
      </c>
      <c r="G554">
        <v>1</v>
      </c>
      <c r="H554" t="str">
        <v>SEMANA FEVEREIRO!B130:I130</v>
      </c>
      <c r="I554">
        <v>100</v>
      </c>
    </row>
    <row r="555" spans="1:9" x14ac:dyDescent="0.3">
      <c r="A555" t="str">
        <v>COCO</v>
      </c>
      <c r="B555" t="str">
        <v>FEVEREIRO</v>
      </c>
      <c r="C555" t="str">
        <v>SANTO ÓLEO SEM SABOR</v>
      </c>
      <c r="D555">
        <v>505</v>
      </c>
      <c r="E555">
        <v>6060</v>
      </c>
      <c r="F555">
        <v>500</v>
      </c>
      <c r="G555">
        <v>3</v>
      </c>
      <c r="H555" t="str">
        <v>SEMANA FEVEREIRO!B131:I131</v>
      </c>
      <c r="I555">
        <v>100</v>
      </c>
    </row>
    <row r="556" spans="1:9" x14ac:dyDescent="0.3">
      <c r="A556" t="str">
        <v>COCO</v>
      </c>
      <c r="B556" t="str">
        <v>FEVEREIRO</v>
      </c>
      <c r="C556" t="str">
        <v>SANTO ÓLEO EXTRA VIRGEM</v>
      </c>
      <c r="D556">
        <v>459</v>
      </c>
      <c r="E556">
        <v>5508</v>
      </c>
      <c r="F556">
        <v>500</v>
      </c>
      <c r="G556">
        <v>3</v>
      </c>
      <c r="H556" t="str">
        <v>SEMANA FEVEREIRO!B132:I132</v>
      </c>
      <c r="I556">
        <v>100</v>
      </c>
    </row>
    <row r="557" spans="1:9" x14ac:dyDescent="0.3">
      <c r="A557" t="str">
        <v>CORANTE</v>
      </c>
      <c r="B557" t="str">
        <v>FEVEREIRO</v>
      </c>
      <c r="C557" t="str">
        <v>SANTO ÓLEO EXTRA VIRGEM</v>
      </c>
      <c r="D557">
        <v>36</v>
      </c>
      <c r="E557">
        <v>432</v>
      </c>
      <c r="F557">
        <v>36</v>
      </c>
      <c r="G557">
        <v>1</v>
      </c>
      <c r="H557" t="str">
        <v>SEMANA FEVEREIRO!B139:I139</v>
      </c>
      <c r="I557">
        <v>100</v>
      </c>
    </row>
    <row r="558" spans="1:9" x14ac:dyDescent="0.3">
      <c r="A558" t="str">
        <v>CORANTE</v>
      </c>
      <c r="B558" t="str">
        <v>FEVEREIRO</v>
      </c>
      <c r="C558" t="str">
        <v>CORANTE AZUL INLOCO</v>
      </c>
      <c r="D558">
        <v>238</v>
      </c>
      <c r="E558">
        <v>2856</v>
      </c>
      <c r="F558">
        <v>240</v>
      </c>
      <c r="G558">
        <v>1</v>
      </c>
      <c r="H558" t="str">
        <v>SEMANA FEVEREIRO!B140:I140</v>
      </c>
      <c r="I558">
        <v>70</v>
      </c>
    </row>
    <row r="559" spans="1:9" x14ac:dyDescent="0.3">
      <c r="A559" t="str">
        <v>CORANTE</v>
      </c>
      <c r="B559" t="str">
        <v>FEVEREIRO</v>
      </c>
      <c r="C559" t="str">
        <v>CORANTE VERDE REPETECO</v>
      </c>
      <c r="D559">
        <v>122</v>
      </c>
      <c r="E559">
        <v>1464</v>
      </c>
      <c r="F559">
        <v>120</v>
      </c>
      <c r="G559">
        <v>1</v>
      </c>
      <c r="H559" t="str">
        <v>SEMANA FEVEREIRO!B141:I141</v>
      </c>
      <c r="I559">
        <v>70</v>
      </c>
    </row>
    <row r="560" spans="1:9" x14ac:dyDescent="0.3">
      <c r="A560" t="str">
        <v>CORANTE</v>
      </c>
      <c r="B560" t="str">
        <v>FEVEREIRO</v>
      </c>
      <c r="C560" t="str">
        <v>CORANTE LARANJA REPETECO</v>
      </c>
      <c r="D560">
        <v>122</v>
      </c>
      <c r="E560">
        <v>1464</v>
      </c>
      <c r="F560">
        <v>120</v>
      </c>
      <c r="G560">
        <v>1</v>
      </c>
      <c r="H560" t="str">
        <v>SEMANA FEVEREIRO!B142:I142</v>
      </c>
      <c r="I560">
        <v>70</v>
      </c>
    </row>
    <row r="561" spans="1:9" x14ac:dyDescent="0.3">
      <c r="A561" t="str">
        <v>CORANTE</v>
      </c>
      <c r="B561" t="str">
        <v>FEVEREIRO</v>
      </c>
      <c r="C561" t="str">
        <v>CORANTE VERMELHO REPETECO</v>
      </c>
      <c r="D561">
        <v>122</v>
      </c>
      <c r="E561">
        <v>1464</v>
      </c>
      <c r="F561">
        <v>120</v>
      </c>
      <c r="G561">
        <v>1</v>
      </c>
      <c r="H561" t="str">
        <v>SEMANA FEVEREIRO!B143:I143</v>
      </c>
      <c r="I561">
        <v>70</v>
      </c>
    </row>
    <row r="562" spans="1:9" x14ac:dyDescent="0.3">
      <c r="A562" t="str">
        <v>CORANTE</v>
      </c>
      <c r="B562" t="str">
        <v>FEVEREIRO</v>
      </c>
      <c r="C562" t="str">
        <v>CORANTE ROSA REPETECO</v>
      </c>
      <c r="D562">
        <v>121</v>
      </c>
      <c r="E562">
        <v>1452</v>
      </c>
      <c r="F562">
        <v>120</v>
      </c>
      <c r="G562">
        <v>1</v>
      </c>
      <c r="H562" t="str">
        <v>SEMANA FEVEREIRO!B144:I144</v>
      </c>
      <c r="I562">
        <v>70</v>
      </c>
    </row>
    <row r="563" spans="1:9" x14ac:dyDescent="0.3">
      <c r="A563" t="str">
        <v>ESPUMA</v>
      </c>
      <c r="B563" t="str">
        <v>FEVEREIRO</v>
      </c>
      <c r="C563" t="str">
        <v>ESPUMA FRUTAS VERMELHAS</v>
      </c>
      <c r="D563">
        <v>1430</v>
      </c>
      <c r="E563">
        <v>8580</v>
      </c>
      <c r="F563">
        <v>1420</v>
      </c>
      <c r="G563">
        <v>5</v>
      </c>
      <c r="H563" t="str">
        <v>SEMANA FEVEREIRO!B151:I151</v>
      </c>
      <c r="I563">
        <v>200</v>
      </c>
    </row>
    <row r="564" spans="1:9" x14ac:dyDescent="0.3">
      <c r="A564" t="str">
        <v>ESPUMA</v>
      </c>
      <c r="B564" t="str">
        <v>FEVEREIRO</v>
      </c>
      <c r="C564" t="str">
        <v>GENGIBRE</v>
      </c>
      <c r="D564">
        <v>701</v>
      </c>
      <c r="E564">
        <v>4206</v>
      </c>
      <c r="F564">
        <v>660</v>
      </c>
      <c r="G564">
        <v>2</v>
      </c>
      <c r="H564" t="str">
        <v>SEMANA FEVEREIRO!B152:I152</v>
      </c>
      <c r="I564">
        <v>200</v>
      </c>
    </row>
    <row r="565" spans="1:9" x14ac:dyDescent="0.3">
      <c r="A565">
        <v>46080</v>
      </c>
      <c r="B565" t="str">
        <v>FEVEREIRO</v>
      </c>
      <c r="C565" t="str">
        <v>VIA PANE</v>
      </c>
      <c r="D565">
        <v>91</v>
      </c>
      <c r="E565">
        <v>1092</v>
      </c>
      <c r="F565">
        <v>90</v>
      </c>
      <c r="G565">
        <v>1</v>
      </c>
      <c r="H565" t="str">
        <v>SEMANA FEVEREIRO!B160:I160</v>
      </c>
      <c r="I565">
        <v>600</v>
      </c>
    </row>
    <row r="566" spans="1:9" x14ac:dyDescent="0.3">
      <c r="A566">
        <v>46080</v>
      </c>
      <c r="B566" t="str">
        <v>FEVEREIRO</v>
      </c>
      <c r="C566" t="str">
        <v>UNTA FACIL</v>
      </c>
      <c r="D566">
        <v>545</v>
      </c>
      <c r="E566">
        <v>6540</v>
      </c>
      <c r="F566">
        <v>1330</v>
      </c>
      <c r="G566">
        <v>14</v>
      </c>
      <c r="H566" t="str">
        <v>SEMANA FEVEREIRO!B161:I161</v>
      </c>
      <c r="I566">
        <v>600</v>
      </c>
    </row>
    <row r="1041" spans="1:9" x14ac:dyDescent="0.3">
      <c r="A1041" cm="1">
        <f t="array" ref="A1041:I1090">_xlfn.LET(_xlpm.a,'SEMANA MARÇO'!A1:A500,_xlpm.b,'SEMANA MARÇO'!B1:B500,_xlpm.c,'SEMANA MARÇO'!C1:C500,_xlpm.d,'SEMANA MARÇO'!D1:D500,_xlpm.g,'SEMANA MARÇO'!G1:G500,_xlpm.h,'SEMANA MARÇO'!H1:H500,_xlpm.i,'SEMANA MARÇO'!I1:I500,_xlpm.dt,IFERROR(LOOKUP(ROW(_xlpm.a),ROW(_xlpm.a)/(_xlpm.a&gt;40000),_xlpm.a),""),_xlpm.orig,"SEMANA MARÇO!B"&amp;ROW(_xlpm.b)&amp;":I"&amp;ROW(_xlpm.b),_xlfn._xlws.FILTER(_xlfn.HSTACK(_xlpm.dt,IF(_xlpm.b&lt;&gt;"","MARÇO",""),TRIM(_xlpm.b),_xlpm.h,_xlpm.i,_xlpm.d,_xlpm.g,_xlpm.orig,_xlpm.c),(_xlpm.b&lt;&gt;"")*(_xlpm.b&lt;&gt;"PRODUTO")*(_xlpm.b&lt;&gt;"TOTAL")*(_xlpm.h&gt;0),_xlfn.HSTACK("","","","","","","","","")))</f>
        <v>46083</v>
      </c>
      <c r="B1041" t="str">
        <v>MARÇO</v>
      </c>
      <c r="C1041" t="str">
        <v>UNTA FACIL</v>
      </c>
      <c r="D1041">
        <v>802</v>
      </c>
      <c r="E1041">
        <v>9624</v>
      </c>
      <c r="F1041">
        <v>0</v>
      </c>
      <c r="G1041">
        <v>0</v>
      </c>
      <c r="H1041" t="str">
        <v>SEMANA MARÇO!B4:I4</v>
      </c>
      <c r="I1041">
        <v>600</v>
      </c>
    </row>
    <row r="1042" spans="1:9" x14ac:dyDescent="0.3">
      <c r="A1042">
        <v>46083</v>
      </c>
      <c r="B1042" t="str">
        <v>MARÇO</v>
      </c>
      <c r="C1042" t="str">
        <v>DESTAK</v>
      </c>
      <c r="D1042">
        <v>197</v>
      </c>
      <c r="E1042">
        <v>2364</v>
      </c>
      <c r="F1042">
        <v>1330</v>
      </c>
      <c r="G1042">
        <v>14</v>
      </c>
      <c r="H1042" t="str">
        <v>SEMANA MARÇO!B5:I5</v>
      </c>
      <c r="I1042">
        <v>600</v>
      </c>
    </row>
    <row r="1043" spans="1:9" x14ac:dyDescent="0.3">
      <c r="A1043">
        <v>46084</v>
      </c>
      <c r="B1043" t="str">
        <v>MARÇO</v>
      </c>
      <c r="C1043" t="str">
        <v>DESTAK</v>
      </c>
      <c r="D1043">
        <v>1133</v>
      </c>
      <c r="E1043">
        <v>13596</v>
      </c>
      <c r="F1043">
        <v>0</v>
      </c>
      <c r="G1043">
        <v>0</v>
      </c>
      <c r="H1043" t="str">
        <v>SEMANA MARÇO!B13:I13</v>
      </c>
      <c r="I1043">
        <v>600</v>
      </c>
    </row>
    <row r="1044" spans="1:9" x14ac:dyDescent="0.3">
      <c r="A1044">
        <v>46084</v>
      </c>
      <c r="B1044" t="str">
        <v>MARÇO</v>
      </c>
      <c r="C1044" t="str">
        <v>ADIMIX</v>
      </c>
      <c r="D1044">
        <v>196</v>
      </c>
      <c r="E1044">
        <v>2352</v>
      </c>
      <c r="F1044">
        <v>665</v>
      </c>
      <c r="G1044">
        <v>7</v>
      </c>
      <c r="H1044" t="str">
        <v>SEMANA MARÇO!B14:I14</v>
      </c>
      <c r="I1044">
        <v>600</v>
      </c>
    </row>
    <row r="1045" spans="1:9" x14ac:dyDescent="0.3">
      <c r="A1045">
        <v>46085</v>
      </c>
      <c r="B1045" t="str">
        <v>MARÇO</v>
      </c>
      <c r="C1045" t="str">
        <v>ADIMIX</v>
      </c>
      <c r="D1045">
        <v>469</v>
      </c>
      <c r="E1045">
        <v>5628</v>
      </c>
      <c r="F1045">
        <v>0</v>
      </c>
      <c r="G1045">
        <v>0</v>
      </c>
      <c r="H1045" t="str">
        <v>SEMANA MARÇO!B22:I22</v>
      </c>
      <c r="I1045">
        <v>600</v>
      </c>
    </row>
    <row r="1046" spans="1:9" x14ac:dyDescent="0.3">
      <c r="A1046">
        <v>46085</v>
      </c>
      <c r="B1046" t="str">
        <v>MARÇO</v>
      </c>
      <c r="C1046" t="str">
        <v>ITAIQUARA</v>
      </c>
      <c r="D1046">
        <v>288</v>
      </c>
      <c r="E1046">
        <v>3456</v>
      </c>
      <c r="F1046">
        <v>285</v>
      </c>
      <c r="G1046">
        <v>3</v>
      </c>
      <c r="H1046" t="str">
        <v>SEMANA MARÇO!B23:I23</v>
      </c>
      <c r="I1046">
        <v>600</v>
      </c>
    </row>
    <row r="1047" spans="1:9" x14ac:dyDescent="0.3">
      <c r="A1047">
        <v>46085</v>
      </c>
      <c r="B1047" t="str">
        <v>MARÇO</v>
      </c>
      <c r="C1047" t="str">
        <v>TTF MEL</v>
      </c>
      <c r="D1047">
        <v>199</v>
      </c>
      <c r="E1047">
        <v>2388</v>
      </c>
      <c r="F1047">
        <v>240</v>
      </c>
      <c r="G1047">
        <v>3</v>
      </c>
      <c r="H1047" t="str">
        <v>SEMANA MARÇO!B24:I24</v>
      </c>
      <c r="I1047">
        <v>600</v>
      </c>
    </row>
    <row r="1048" spans="1:9" x14ac:dyDescent="0.3">
      <c r="A1048">
        <v>46086</v>
      </c>
      <c r="B1048" t="str">
        <v>MARÇO</v>
      </c>
      <c r="C1048" t="str">
        <v>TTF MEL</v>
      </c>
      <c r="D1048">
        <v>42</v>
      </c>
      <c r="E1048">
        <v>504</v>
      </c>
      <c r="F1048">
        <v>285</v>
      </c>
      <c r="G1048">
        <v>3</v>
      </c>
      <c r="H1048" t="str">
        <v>SEMANA MARÇO!B31:I31</v>
      </c>
      <c r="I1048">
        <v>600</v>
      </c>
    </row>
    <row r="1049" spans="1:9" x14ac:dyDescent="0.3">
      <c r="A1049">
        <v>46086</v>
      </c>
      <c r="B1049" t="str">
        <v>MARÇO</v>
      </c>
      <c r="C1049" t="str">
        <v>UNTA FACIL ECO</v>
      </c>
      <c r="D1049">
        <v>307</v>
      </c>
      <c r="E1049">
        <v>3684</v>
      </c>
      <c r="F1049">
        <v>308</v>
      </c>
      <c r="G1049">
        <v>4</v>
      </c>
      <c r="H1049" t="str">
        <v>SEMANA MARÇO!B32:I32</v>
      </c>
      <c r="I1049">
        <v>600</v>
      </c>
    </row>
    <row r="1050" spans="1:9" x14ac:dyDescent="0.3">
      <c r="A1050">
        <v>46086</v>
      </c>
      <c r="B1050" t="str">
        <v>MARÇO</v>
      </c>
      <c r="C1050" t="str">
        <v>UNTA FORMA QUALITA</v>
      </c>
      <c r="D1050">
        <v>242</v>
      </c>
      <c r="E1050">
        <v>2904</v>
      </c>
      <c r="F1050">
        <v>240</v>
      </c>
      <c r="G1050">
        <v>1</v>
      </c>
      <c r="H1050" t="str">
        <v>SEMANA MARÇO!B33:I33</v>
      </c>
      <c r="I1050">
        <v>180</v>
      </c>
    </row>
    <row r="1051" spans="1:9" x14ac:dyDescent="0.3">
      <c r="A1051">
        <v>46086</v>
      </c>
      <c r="B1051" t="str">
        <v>MARÇO</v>
      </c>
      <c r="C1051" t="str">
        <v>UNTA FACIL</v>
      </c>
      <c r="D1051">
        <v>276</v>
      </c>
      <c r="E1051">
        <v>3312</v>
      </c>
      <c r="F1051">
        <v>240</v>
      </c>
      <c r="G1051">
        <v>1</v>
      </c>
      <c r="H1051" t="str">
        <v>SEMANA MARÇO!B34:I34</v>
      </c>
      <c r="I1051">
        <v>180</v>
      </c>
    </row>
    <row r="1052" spans="1:9" x14ac:dyDescent="0.3">
      <c r="A1052">
        <v>46086</v>
      </c>
      <c r="B1052" t="str">
        <v>MARÇO</v>
      </c>
      <c r="C1052" t="str">
        <v>UNTA FACIL AZEITE</v>
      </c>
      <c r="D1052">
        <v>242</v>
      </c>
      <c r="E1052">
        <v>2904</v>
      </c>
      <c r="F1052">
        <v>240</v>
      </c>
      <c r="G1052">
        <v>1</v>
      </c>
      <c r="H1052" t="str">
        <v>SEMANA MARÇO!B35:I35</v>
      </c>
      <c r="I1052">
        <v>180</v>
      </c>
    </row>
    <row r="1053" spans="1:9" x14ac:dyDescent="0.3">
      <c r="A1053">
        <v>46087</v>
      </c>
      <c r="B1053" t="str">
        <v>MARÇO</v>
      </c>
      <c r="C1053" t="str">
        <v>OLEO DE COCO CARREFOUR</v>
      </c>
      <c r="D1053">
        <v>241</v>
      </c>
      <c r="E1053">
        <v>2892</v>
      </c>
      <c r="F1053">
        <v>240</v>
      </c>
      <c r="G1053" t="str">
        <v/>
      </c>
      <c r="H1053" t="str">
        <v>SEMANA MARÇO!B40:I40</v>
      </c>
      <c r="I1053">
        <v>120</v>
      </c>
    </row>
    <row r="1054" spans="1:9" x14ac:dyDescent="0.3">
      <c r="A1054">
        <v>46087</v>
      </c>
      <c r="B1054" t="str">
        <v>MARÇO</v>
      </c>
      <c r="C1054" t="str">
        <v>OLEO DE COCO TEAQ</v>
      </c>
      <c r="D1054">
        <v>242</v>
      </c>
      <c r="E1054">
        <v>2904</v>
      </c>
      <c r="F1054">
        <v>240</v>
      </c>
      <c r="G1054" t="str">
        <v/>
      </c>
      <c r="H1054" t="str">
        <v>SEMANA MARÇO!B41:I41</v>
      </c>
      <c r="I1054">
        <v>120</v>
      </c>
    </row>
    <row r="1055" spans="1:9" x14ac:dyDescent="0.3">
      <c r="A1055">
        <v>46087</v>
      </c>
      <c r="B1055" t="str">
        <v>MARÇO</v>
      </c>
      <c r="C1055" t="str">
        <v>UNTA FACIL ECO</v>
      </c>
      <c r="D1055">
        <v>192</v>
      </c>
      <c r="E1055">
        <v>2304</v>
      </c>
      <c r="F1055">
        <v>193</v>
      </c>
      <c r="G1055">
        <v>2</v>
      </c>
      <c r="H1055" t="str">
        <v>SEMANA MARÇO!B42:I42</v>
      </c>
      <c r="I1055">
        <v>400</v>
      </c>
    </row>
    <row r="1056" spans="1:9" x14ac:dyDescent="0.3">
      <c r="A1056">
        <v>46087</v>
      </c>
      <c r="B1056" t="str">
        <v>MARÇO</v>
      </c>
      <c r="C1056" t="str">
        <v>DONA JURA</v>
      </c>
      <c r="D1056">
        <v>270</v>
      </c>
      <c r="E1056">
        <v>3240</v>
      </c>
      <c r="F1056">
        <v>2060</v>
      </c>
      <c r="G1056">
        <v>17</v>
      </c>
      <c r="H1056" t="str">
        <v>SEMANA MARÇO!B43:I43</v>
      </c>
      <c r="I1056">
        <v>400</v>
      </c>
    </row>
    <row r="1057" spans="1:9" x14ac:dyDescent="0.3">
      <c r="A1057">
        <v>46090</v>
      </c>
      <c r="B1057" t="str">
        <v>MARÇO</v>
      </c>
      <c r="C1057" t="str">
        <v>DONA JURA</v>
      </c>
      <c r="D1057">
        <v>1278</v>
      </c>
      <c r="E1057">
        <v>15336</v>
      </c>
      <c r="F1057">
        <v>2060</v>
      </c>
      <c r="G1057">
        <v>17</v>
      </c>
      <c r="H1057" t="str">
        <v>SEMANA MARÇO!B49:I49</v>
      </c>
      <c r="I1057">
        <v>400</v>
      </c>
    </row>
    <row r="1058" spans="1:9" x14ac:dyDescent="0.3">
      <c r="A1058">
        <v>46091</v>
      </c>
      <c r="B1058" t="str">
        <v>MARÇO</v>
      </c>
      <c r="C1058" t="str">
        <v>DONA JURA</v>
      </c>
      <c r="D1058">
        <v>526</v>
      </c>
      <c r="E1058">
        <v>6312</v>
      </c>
      <c r="F1058">
        <v>526</v>
      </c>
      <c r="G1058">
        <v>5</v>
      </c>
      <c r="H1058" t="str">
        <v>SEMANA MARÇO!B58:I58</v>
      </c>
      <c r="I1058">
        <v>400</v>
      </c>
    </row>
    <row r="1059" spans="1:9" x14ac:dyDescent="0.3">
      <c r="A1059">
        <v>46091</v>
      </c>
      <c r="B1059" t="str">
        <v>MARÇO</v>
      </c>
      <c r="C1059" t="str">
        <v>ROCHAPAN BONASSE</v>
      </c>
      <c r="D1059">
        <v>251</v>
      </c>
      <c r="E1059">
        <v>3012</v>
      </c>
      <c r="F1059">
        <v>251</v>
      </c>
      <c r="G1059">
        <v>3</v>
      </c>
      <c r="H1059" t="str">
        <v>SEMANA MARÇO!B59:I59</v>
      </c>
      <c r="I1059">
        <v>400</v>
      </c>
    </row>
    <row r="1060" spans="1:9" x14ac:dyDescent="0.3">
      <c r="A1060">
        <v>46091</v>
      </c>
      <c r="B1060" t="str">
        <v>MARÇO</v>
      </c>
      <c r="C1060" t="str">
        <v>CELEBRATE</v>
      </c>
      <c r="D1060">
        <v>252</v>
      </c>
      <c r="E1060">
        <v>3024</v>
      </c>
      <c r="F1060">
        <v>252</v>
      </c>
      <c r="G1060">
        <v>3</v>
      </c>
      <c r="H1060" t="str">
        <v>SEMANA MARÇO!B60:I60</v>
      </c>
      <c r="I1060">
        <v>400</v>
      </c>
    </row>
    <row r="1061" spans="1:9" x14ac:dyDescent="0.3">
      <c r="A1061">
        <v>46091</v>
      </c>
      <c r="B1061" t="str">
        <v>MARÇO</v>
      </c>
      <c r="C1061" t="str">
        <v>FESTPAN</v>
      </c>
      <c r="D1061">
        <v>69</v>
      </c>
      <c r="E1061">
        <v>828</v>
      </c>
      <c r="F1061">
        <v>1575</v>
      </c>
      <c r="G1061">
        <v>13</v>
      </c>
      <c r="H1061" t="str">
        <v>SEMANA MARÇO!B61:I61</v>
      </c>
      <c r="I1061">
        <v>400</v>
      </c>
    </row>
    <row r="1062" spans="1:9" x14ac:dyDescent="0.3">
      <c r="A1062">
        <v>46092</v>
      </c>
      <c r="B1062" t="str">
        <v>MARÇO</v>
      </c>
      <c r="C1062" t="str">
        <v>FESTPAN</v>
      </c>
      <c r="D1062">
        <v>1144</v>
      </c>
      <c r="E1062">
        <v>13728</v>
      </c>
      <c r="F1062">
        <v>252</v>
      </c>
      <c r="G1062">
        <v>3</v>
      </c>
      <c r="H1062" t="str">
        <v>SEMANA MARÇO!B67:I67</v>
      </c>
      <c r="I1062">
        <v>400</v>
      </c>
    </row>
    <row r="1063" spans="1:9" x14ac:dyDescent="0.3">
      <c r="A1063">
        <v>46093</v>
      </c>
      <c r="B1063" t="str">
        <v>MARÇO</v>
      </c>
      <c r="C1063" t="str">
        <v>FESTPAN</v>
      </c>
      <c r="D1063">
        <v>362</v>
      </c>
      <c r="E1063">
        <v>4344</v>
      </c>
      <c r="F1063">
        <v>252</v>
      </c>
      <c r="G1063">
        <v>3</v>
      </c>
      <c r="H1063" t="str">
        <v>SEMANA MARÇO!B76:I76</v>
      </c>
      <c r="I1063">
        <v>400</v>
      </c>
    </row>
    <row r="1064" spans="1:9" x14ac:dyDescent="0.3">
      <c r="A1064">
        <v>46093</v>
      </c>
      <c r="B1064" t="str">
        <v>MARÇO</v>
      </c>
      <c r="C1064" t="str">
        <v>UNTA FACIL</v>
      </c>
      <c r="D1064">
        <v>463</v>
      </c>
      <c r="E1064">
        <v>5556</v>
      </c>
      <c r="F1064">
        <v>3500</v>
      </c>
      <c r="G1064">
        <v>28</v>
      </c>
      <c r="H1064" t="str">
        <v>SEMANA MARÇO!B77:I77</v>
      </c>
      <c r="I1064">
        <v>400</v>
      </c>
    </row>
    <row r="1065" spans="1:9" x14ac:dyDescent="0.3">
      <c r="A1065">
        <v>46094</v>
      </c>
      <c r="B1065" t="str">
        <v>MARÇO</v>
      </c>
      <c r="C1065" t="str">
        <v>UNTA FACIL</v>
      </c>
      <c r="D1065">
        <v>1121</v>
      </c>
      <c r="E1065">
        <v>13452</v>
      </c>
      <c r="F1065">
        <v>3500</v>
      </c>
      <c r="G1065">
        <v>28</v>
      </c>
      <c r="H1065" t="str">
        <v>SEMANA MARÇO!B85:I85</v>
      </c>
      <c r="I1065">
        <v>400</v>
      </c>
    </row>
    <row r="1066" spans="1:9" x14ac:dyDescent="0.3">
      <c r="A1066">
        <v>46097</v>
      </c>
      <c r="B1066" t="str">
        <v>MARÇO</v>
      </c>
      <c r="C1066" t="str">
        <v>UNTA FACIL</v>
      </c>
      <c r="D1066">
        <v>1206</v>
      </c>
      <c r="E1066">
        <v>14472</v>
      </c>
      <c r="F1066">
        <v>0</v>
      </c>
      <c r="G1066">
        <v>0</v>
      </c>
      <c r="H1066" t="str">
        <v>SEMANA MARÇO!B94:I94</v>
      </c>
      <c r="I1066">
        <v>400</v>
      </c>
    </row>
    <row r="1067" spans="1:9" x14ac:dyDescent="0.3">
      <c r="A1067">
        <v>46097</v>
      </c>
      <c r="B1067" t="str">
        <v>MARÇO</v>
      </c>
      <c r="C1067" t="str">
        <v>ICEBERG CHEF</v>
      </c>
      <c r="D1067">
        <v>171</v>
      </c>
      <c r="E1067">
        <v>2052</v>
      </c>
      <c r="F1067">
        <v>2310</v>
      </c>
      <c r="G1067">
        <v>21</v>
      </c>
      <c r="H1067" t="str">
        <v>SEMANA MARÇO!B95:I95</v>
      </c>
      <c r="I1067">
        <v>400</v>
      </c>
    </row>
    <row r="1068" spans="1:9" x14ac:dyDescent="0.3">
      <c r="A1068">
        <v>46098</v>
      </c>
      <c r="B1068" t="str">
        <v>MARÇO</v>
      </c>
      <c r="C1068" t="str">
        <v>ICEBERG CHEF</v>
      </c>
      <c r="D1068">
        <v>1482</v>
      </c>
      <c r="E1068">
        <v>17784</v>
      </c>
      <c r="F1068">
        <v>0</v>
      </c>
      <c r="G1068">
        <v>0</v>
      </c>
      <c r="H1068" t="str">
        <v>SEMANA MARÇO!B103:I103</v>
      </c>
      <c r="I1068">
        <v>400</v>
      </c>
    </row>
    <row r="1069" spans="1:9" x14ac:dyDescent="0.3">
      <c r="A1069">
        <v>46099</v>
      </c>
      <c r="B1069" t="str">
        <v>MARÇO</v>
      </c>
      <c r="C1069" t="str">
        <v>ICEBERG CHEF</v>
      </c>
      <c r="D1069">
        <v>657</v>
      </c>
      <c r="E1069">
        <v>7884</v>
      </c>
      <c r="F1069">
        <v>0</v>
      </c>
      <c r="G1069">
        <v>0</v>
      </c>
      <c r="H1069" t="str">
        <v>SEMANA MARÇO!B112:I112</v>
      </c>
      <c r="I1069">
        <v>400</v>
      </c>
    </row>
    <row r="1070" spans="1:9" x14ac:dyDescent="0.3">
      <c r="A1070">
        <v>46099</v>
      </c>
      <c r="B1070" t="str">
        <v>MARÇO</v>
      </c>
      <c r="C1070" t="str">
        <v>AP VIOLA</v>
      </c>
      <c r="D1070">
        <v>644</v>
      </c>
      <c r="E1070">
        <v>7728</v>
      </c>
      <c r="F1070">
        <v>750</v>
      </c>
      <c r="G1070">
        <v>6</v>
      </c>
      <c r="H1070" t="str">
        <v>SEMANA MARÇO!B113:I113</v>
      </c>
      <c r="I1070">
        <v>400</v>
      </c>
    </row>
    <row r="1071" spans="1:9" x14ac:dyDescent="0.3">
      <c r="A1071">
        <v>46100</v>
      </c>
      <c r="B1071" t="str">
        <v>MARÇO</v>
      </c>
      <c r="C1071" t="str">
        <v>AP VIOLA</v>
      </c>
      <c r="D1071">
        <v>106</v>
      </c>
      <c r="E1071">
        <v>1272</v>
      </c>
      <c r="F1071">
        <v>750</v>
      </c>
      <c r="G1071">
        <v>6</v>
      </c>
      <c r="H1071" t="str">
        <v>SEMANA MARÇO!B121:I121</v>
      </c>
      <c r="I1071">
        <v>400</v>
      </c>
    </row>
    <row r="1072" spans="1:9" x14ac:dyDescent="0.3">
      <c r="A1072">
        <v>46100</v>
      </c>
      <c r="B1072" t="str">
        <v>MARÇO</v>
      </c>
      <c r="C1072" t="str">
        <v>CASA DO PANIFICADOR</v>
      </c>
      <c r="D1072">
        <v>202</v>
      </c>
      <c r="E1072">
        <v>2424</v>
      </c>
      <c r="F1072">
        <v>200</v>
      </c>
      <c r="G1072">
        <v>2</v>
      </c>
      <c r="H1072" t="str">
        <v>SEMANA MARÇO!B122:I122</v>
      </c>
      <c r="I1072">
        <v>400</v>
      </c>
    </row>
    <row r="1073" spans="1:9" x14ac:dyDescent="0.3">
      <c r="A1073">
        <v>46100</v>
      </c>
      <c r="B1073" t="str">
        <v>MARÇO</v>
      </c>
      <c r="C1073" t="str">
        <v>OLEO DE COCO SANTO OLEO</v>
      </c>
      <c r="D1073">
        <v>994</v>
      </c>
      <c r="E1073">
        <v>5964</v>
      </c>
      <c r="F1073">
        <v>990</v>
      </c>
      <c r="G1073">
        <v>3</v>
      </c>
      <c r="H1073" t="str">
        <v>SEMANA MARÇO!B123:I123</v>
      </c>
      <c r="I1073">
        <v>200</v>
      </c>
    </row>
    <row r="1074" spans="1:9" x14ac:dyDescent="0.3">
      <c r="A1074">
        <v>46100</v>
      </c>
      <c r="B1074" t="str">
        <v>MARÇO</v>
      </c>
      <c r="C1074" t="str">
        <v>NORCAU PURATOS</v>
      </c>
      <c r="D1074">
        <v>74</v>
      </c>
      <c r="E1074">
        <v>888</v>
      </c>
      <c r="F1074">
        <v>1140</v>
      </c>
      <c r="G1074">
        <v>12</v>
      </c>
      <c r="H1074" t="str">
        <v>SEMANA MARÇO!B124:I124</v>
      </c>
      <c r="I1074">
        <v>600</v>
      </c>
    </row>
    <row r="1075" spans="1:9" x14ac:dyDescent="0.3">
      <c r="A1075">
        <v>46101</v>
      </c>
      <c r="B1075" t="str">
        <v>MARÇO</v>
      </c>
      <c r="C1075" t="str">
        <v>NORCAU PURATOS</v>
      </c>
      <c r="D1075">
        <v>431</v>
      </c>
      <c r="E1075">
        <v>5172</v>
      </c>
      <c r="F1075">
        <v>1140</v>
      </c>
      <c r="G1075">
        <v>12</v>
      </c>
      <c r="H1075" t="str">
        <v>SEMANA MARÇO!B130:I130</v>
      </c>
      <c r="I1075">
        <v>600</v>
      </c>
    </row>
    <row r="1076" spans="1:9" x14ac:dyDescent="0.3">
      <c r="A1076">
        <v>46104</v>
      </c>
      <c r="B1076" t="str">
        <v>MARÇO</v>
      </c>
      <c r="C1076" t="str">
        <v>NORCAU PURATOS</v>
      </c>
      <c r="D1076">
        <v>635</v>
      </c>
      <c r="E1076">
        <v>7620</v>
      </c>
      <c r="F1076">
        <v>1140</v>
      </c>
      <c r="G1076">
        <v>12</v>
      </c>
      <c r="H1076" t="str">
        <v>SEMANA MARÇO!B139:I139</v>
      </c>
      <c r="I1076">
        <v>600</v>
      </c>
    </row>
    <row r="1077" spans="1:9" x14ac:dyDescent="0.3">
      <c r="A1077">
        <v>46104</v>
      </c>
      <c r="B1077" t="str">
        <v>MARÇO</v>
      </c>
      <c r="C1077" t="str">
        <v>ADIMIX</v>
      </c>
      <c r="D1077">
        <v>86</v>
      </c>
      <c r="E1077">
        <v>1032</v>
      </c>
      <c r="F1077">
        <v>665</v>
      </c>
      <c r="G1077">
        <v>7</v>
      </c>
      <c r="H1077" t="str">
        <v>SEMANA MARÇO!B140:I140</v>
      </c>
      <c r="I1077">
        <v>600</v>
      </c>
    </row>
    <row r="1078" spans="1:9" x14ac:dyDescent="0.3">
      <c r="A1078">
        <v>46105</v>
      </c>
      <c r="B1078" t="str">
        <v>MARÇO</v>
      </c>
      <c r="C1078" t="str">
        <v>ADIMIX</v>
      </c>
      <c r="D1078">
        <v>466</v>
      </c>
      <c r="E1078">
        <v>5592</v>
      </c>
      <c r="F1078">
        <v>579</v>
      </c>
      <c r="G1078">
        <v>7</v>
      </c>
      <c r="H1078" t="str">
        <v>SEMANA MARÇO!B148:I148</v>
      </c>
      <c r="I1078">
        <v>600</v>
      </c>
    </row>
    <row r="1079" spans="1:9" x14ac:dyDescent="0.3">
      <c r="A1079">
        <v>46106</v>
      </c>
      <c r="B1079" t="str">
        <v>MARÇO</v>
      </c>
      <c r="C1079" t="str">
        <v>ADIMIX</v>
      </c>
      <c r="D1079">
        <v>120</v>
      </c>
      <c r="E1079">
        <v>1440</v>
      </c>
      <c r="F1079">
        <v>113</v>
      </c>
      <c r="G1079">
        <v>2</v>
      </c>
      <c r="H1079" t="str">
        <v>SEMANA MARÇO!B157:I157</v>
      </c>
      <c r="I1079">
        <v>600</v>
      </c>
    </row>
    <row r="1080" spans="1:9" x14ac:dyDescent="0.3">
      <c r="A1080">
        <v>46106</v>
      </c>
      <c r="B1080" t="str">
        <v>MARÇO</v>
      </c>
      <c r="C1080" t="str">
        <v>ALLBREAD</v>
      </c>
      <c r="D1080">
        <v>384</v>
      </c>
      <c r="E1080">
        <v>4608</v>
      </c>
      <c r="F1080">
        <v>384</v>
      </c>
      <c r="G1080">
        <v>5</v>
      </c>
      <c r="H1080" t="str">
        <v>SEMANA MARÇO!B158:I158</v>
      </c>
      <c r="I1080">
        <v>600</v>
      </c>
    </row>
    <row r="1081" spans="1:9" x14ac:dyDescent="0.3">
      <c r="A1081">
        <v>46106</v>
      </c>
      <c r="B1081" t="str">
        <v>MARÇO</v>
      </c>
      <c r="C1081" t="str">
        <v>COPRA SEM SABOR</v>
      </c>
      <c r="D1081">
        <v>251</v>
      </c>
      <c r="E1081">
        <v>3012</v>
      </c>
      <c r="F1081">
        <v>875</v>
      </c>
      <c r="G1081">
        <v>4</v>
      </c>
      <c r="H1081" t="str">
        <v>SEMANA MARÇO!B159:I159</v>
      </c>
      <c r="I1081">
        <v>100</v>
      </c>
    </row>
    <row r="1082" spans="1:9" x14ac:dyDescent="0.3">
      <c r="A1082">
        <v>46107</v>
      </c>
      <c r="B1082" t="str">
        <v>MARÇO</v>
      </c>
      <c r="C1082" t="str">
        <v>COPRA SEM SABOR</v>
      </c>
      <c r="D1082">
        <v>1488</v>
      </c>
      <c r="E1082">
        <v>17856</v>
      </c>
      <c r="F1082">
        <v>624</v>
      </c>
      <c r="G1082">
        <v>3</v>
      </c>
      <c r="H1082" t="str">
        <v>SEMANA MARÇO!B166:I166</v>
      </c>
      <c r="I1082">
        <v>100</v>
      </c>
    </row>
    <row r="1083" spans="1:9" x14ac:dyDescent="0.3">
      <c r="A1083">
        <v>46108</v>
      </c>
      <c r="B1083" t="str">
        <v>MARÇO</v>
      </c>
      <c r="C1083" t="str">
        <v>COPRA SEM SABOR</v>
      </c>
      <c r="D1083">
        <v>780</v>
      </c>
      <c r="E1083">
        <v>9360</v>
      </c>
      <c r="F1083">
        <v>546</v>
      </c>
      <c r="G1083">
        <v>3</v>
      </c>
      <c r="H1083" t="str">
        <v>SEMANA MARÇO!B175:I175</v>
      </c>
      <c r="I1083">
        <v>100</v>
      </c>
    </row>
    <row r="1084" spans="1:9" x14ac:dyDescent="0.3">
      <c r="A1084">
        <v>46108</v>
      </c>
      <c r="B1084" t="str">
        <v>MARÇO</v>
      </c>
      <c r="C1084" t="str">
        <v>COPRA EXTRAVIRGEM</v>
      </c>
      <c r="D1084">
        <v>255</v>
      </c>
      <c r="E1084">
        <v>3060</v>
      </c>
      <c r="F1084">
        <v>835</v>
      </c>
      <c r="G1084">
        <v>4</v>
      </c>
      <c r="H1084" t="str">
        <v>SEMANA MARÇO!B176:I176</v>
      </c>
      <c r="I1084">
        <v>100</v>
      </c>
    </row>
    <row r="1085" spans="1:9" x14ac:dyDescent="0.3">
      <c r="A1085">
        <v>46111</v>
      </c>
      <c r="B1085" t="str">
        <v>MARÇO</v>
      </c>
      <c r="C1085" t="str">
        <v>COPRA EXTRAVIRGEM</v>
      </c>
      <c r="D1085">
        <v>571</v>
      </c>
      <c r="E1085">
        <v>6852</v>
      </c>
      <c r="F1085">
        <v>580</v>
      </c>
      <c r="G1085">
        <v>3</v>
      </c>
      <c r="H1085" t="str">
        <v>SEMANA MARÇO!B184:I184</v>
      </c>
      <c r="I1085">
        <v>100</v>
      </c>
    </row>
    <row r="1086" spans="1:9" x14ac:dyDescent="0.3">
      <c r="A1086">
        <v>46111</v>
      </c>
      <c r="B1086" t="str">
        <v>MARÇO</v>
      </c>
      <c r="C1086" t="str">
        <v>UNTA FACIL</v>
      </c>
      <c r="D1086">
        <v>896</v>
      </c>
      <c r="E1086">
        <v>10752</v>
      </c>
      <c r="F1086">
        <v>1200</v>
      </c>
      <c r="G1086">
        <v>5</v>
      </c>
      <c r="H1086" t="str">
        <v>SEMANA MARÇO!B185:I185</v>
      </c>
      <c r="I1086">
        <v>180</v>
      </c>
    </row>
    <row r="1087" spans="1:9" x14ac:dyDescent="0.3">
      <c r="A1087">
        <v>46112</v>
      </c>
      <c r="B1087" t="str">
        <v>MARÇO</v>
      </c>
      <c r="C1087" t="str">
        <v>UNTA FACIL</v>
      </c>
      <c r="D1087">
        <v>306</v>
      </c>
      <c r="E1087">
        <v>3672</v>
      </c>
      <c r="F1087">
        <v>304</v>
      </c>
      <c r="G1087">
        <v>2</v>
      </c>
      <c r="H1087" t="str">
        <v>SEMANA MARÇO!B193:I193</v>
      </c>
      <c r="I1087">
        <v>180</v>
      </c>
    </row>
    <row r="1088" spans="1:9" x14ac:dyDescent="0.3">
      <c r="A1088">
        <v>46112</v>
      </c>
      <c r="B1088" t="str">
        <v>MARÇO</v>
      </c>
      <c r="C1088" t="str">
        <v>ADKO</v>
      </c>
      <c r="D1088">
        <v>480</v>
      </c>
      <c r="E1088">
        <v>5760</v>
      </c>
      <c r="F1088">
        <v>480</v>
      </c>
      <c r="G1088">
        <v>2</v>
      </c>
      <c r="H1088" t="str">
        <v>SEMANA MARÇO!B194:I194</v>
      </c>
      <c r="I1088">
        <v>180</v>
      </c>
    </row>
    <row r="1089" spans="1:9" x14ac:dyDescent="0.3">
      <c r="A1089">
        <v>46112</v>
      </c>
      <c r="B1089" t="str">
        <v>MARÇO</v>
      </c>
      <c r="C1089" t="str">
        <v>CORANTE AMARELO IN LOCO</v>
      </c>
      <c r="D1089">
        <v>243</v>
      </c>
      <c r="E1089">
        <v>2916</v>
      </c>
      <c r="F1089">
        <v>240</v>
      </c>
      <c r="G1089">
        <v>1</v>
      </c>
      <c r="H1089" t="str">
        <v>SEMANA MARÇO!B195:I195</v>
      </c>
      <c r="I1089">
        <v>70</v>
      </c>
    </row>
    <row r="1090" spans="1:9" x14ac:dyDescent="0.3">
      <c r="A1090">
        <v>46112</v>
      </c>
      <c r="B1090" t="str">
        <v>MARÇO</v>
      </c>
      <c r="C1090" t="str">
        <v>CORANTE AMARELO REPETECO</v>
      </c>
      <c r="D1090">
        <v>162</v>
      </c>
      <c r="E1090">
        <v>1944</v>
      </c>
      <c r="F1090">
        <v>240</v>
      </c>
      <c r="G1090">
        <v>1</v>
      </c>
      <c r="H1090" t="str">
        <v>SEMANA MARÇO!B196:I196</v>
      </c>
      <c r="I1090">
        <v>70</v>
      </c>
    </row>
    <row r="1561" spans="1:9" x14ac:dyDescent="0.3">
      <c r="A1561" cm="1">
        <f t="array" ref="A1561:I1612">_xlfn.LET(_xlpm.a,'SEMANA ABRIL'!A1:A500,_xlpm.b,'SEMANA ABRIL'!B1:B500,_xlpm.c,'SEMANA ABRIL'!C1:C500,_xlpm.d,'SEMANA ABRIL'!D1:D500,_xlpm.g,'SEMANA ABRIL'!G1:G500,_xlpm.h,'SEMANA ABRIL'!H1:H500,_xlpm.i,'SEMANA ABRIL'!I1:I500,_xlpm.dt,IFERROR(LOOKUP(ROW(_xlpm.a),ROW(_xlpm.a)/(_xlpm.a&gt;40000),_xlpm.a),""),_xlpm.orig,"SEMANA ABRIL!B"&amp;ROW(_xlpm.b)&amp;":I"&amp;ROW(_xlpm.b),_xlfn._xlws.FILTER(_xlfn.HSTACK(_xlpm.dt,IF(_xlpm.b&lt;&gt;"","ABRIL",""),TRIM(_xlpm.b),_xlpm.h,_xlpm.i,_xlpm.d,_xlpm.g,_xlpm.orig,_xlpm.c),(_xlpm.b&lt;&gt;"")*(_xlpm.b&lt;&gt;"PRODUTO")*(_xlpm.b&lt;&gt;"TOTAL")*(_xlpm.h&gt;0),_xlfn.HSTACK("","","","","","","","","")))</f>
        <v>46113</v>
      </c>
      <c r="B1561" t="str">
        <v>ABRIL</v>
      </c>
      <c r="C1561" t="str">
        <v>CORANTE AMARELO REPETECO</v>
      </c>
      <c r="D1561">
        <v>71</v>
      </c>
      <c r="E1561">
        <v>852</v>
      </c>
      <c r="F1561">
        <v>78</v>
      </c>
      <c r="G1561">
        <v>1</v>
      </c>
      <c r="H1561" t="str">
        <v>SEMANA ABRIL!B4:I4</v>
      </c>
      <c r="I1561">
        <v>70</v>
      </c>
    </row>
    <row r="1562" spans="1:9" x14ac:dyDescent="0.3">
      <c r="A1562">
        <v>46113</v>
      </c>
      <c r="B1562" t="str">
        <v>ABRIL</v>
      </c>
      <c r="C1562" t="str">
        <v>CORANTE AZUL CEU REPETECO</v>
      </c>
      <c r="D1562">
        <v>122</v>
      </c>
      <c r="E1562">
        <v>1464</v>
      </c>
      <c r="F1562">
        <v>120</v>
      </c>
      <c r="G1562">
        <v>1</v>
      </c>
      <c r="H1562" t="str">
        <v>SEMANA ABRIL!B5:I5</v>
      </c>
      <c r="I1562">
        <v>70</v>
      </c>
    </row>
    <row r="1563" spans="1:9" x14ac:dyDescent="0.3">
      <c r="A1563">
        <v>46113</v>
      </c>
      <c r="B1563" t="str">
        <v>ABRIL</v>
      </c>
      <c r="C1563" t="str">
        <v>CORANTE VERDE IN LOCO</v>
      </c>
      <c r="D1563">
        <v>241</v>
      </c>
      <c r="E1563">
        <v>2892</v>
      </c>
      <c r="F1563">
        <v>240</v>
      </c>
      <c r="G1563">
        <v>1</v>
      </c>
      <c r="H1563" t="str">
        <v>SEMANA ABRIL!B6:I6</v>
      </c>
      <c r="I1563">
        <v>70</v>
      </c>
    </row>
    <row r="1564" spans="1:9" x14ac:dyDescent="0.3">
      <c r="A1564">
        <v>46113</v>
      </c>
      <c r="B1564" t="str">
        <v>ABRIL</v>
      </c>
      <c r="C1564" t="str">
        <v>CORANTE ROSA IN LOCO</v>
      </c>
      <c r="D1564">
        <v>240</v>
      </c>
      <c r="E1564">
        <v>2880</v>
      </c>
      <c r="F1564">
        <v>240</v>
      </c>
      <c r="G1564">
        <v>1</v>
      </c>
      <c r="H1564" t="str">
        <v>SEMANA ABRIL!B7:I7</v>
      </c>
      <c r="I1564">
        <v>70</v>
      </c>
    </row>
    <row r="1565" spans="1:9" x14ac:dyDescent="0.3">
      <c r="A1565">
        <v>46113</v>
      </c>
      <c r="B1565" t="str">
        <v>ABRIL</v>
      </c>
      <c r="C1565" t="str">
        <v>CORANTE ROSA REPETECO</v>
      </c>
      <c r="D1565">
        <v>227</v>
      </c>
      <c r="E1565">
        <v>2724</v>
      </c>
      <c r="F1565">
        <v>240</v>
      </c>
      <c r="G1565">
        <v>1</v>
      </c>
      <c r="H1565" t="str">
        <v>SEMANA ABRIL!B8:I8</v>
      </c>
      <c r="I1565">
        <v>70</v>
      </c>
    </row>
    <row r="1566" spans="1:9" x14ac:dyDescent="0.3">
      <c r="A1566">
        <v>46113</v>
      </c>
      <c r="B1566" t="str">
        <v>ABRIL</v>
      </c>
      <c r="C1566" t="str">
        <v>CORANTE VERMELHO INLOCO</v>
      </c>
      <c r="D1566">
        <v>219</v>
      </c>
      <c r="E1566">
        <v>2628</v>
      </c>
      <c r="F1566">
        <v>240</v>
      </c>
      <c r="G1566">
        <v>1</v>
      </c>
      <c r="H1566" t="str">
        <v>SEMANA ABRIL!B9:I9</v>
      </c>
      <c r="I1566">
        <v>70</v>
      </c>
    </row>
    <row r="1567" spans="1:9" x14ac:dyDescent="0.3">
      <c r="A1567">
        <v>46113</v>
      </c>
      <c r="B1567" t="str">
        <v>ABRIL</v>
      </c>
      <c r="C1567" t="str">
        <v>CORANTE VIOLETA REPETECO</v>
      </c>
      <c r="D1567">
        <v>36</v>
      </c>
      <c r="E1567">
        <v>432</v>
      </c>
      <c r="F1567">
        <v>80</v>
      </c>
      <c r="G1567">
        <v>1</v>
      </c>
      <c r="H1567" t="str">
        <v>SEMANA ABRIL!B10:I10</v>
      </c>
      <c r="I1567">
        <v>70</v>
      </c>
    </row>
    <row r="1568" spans="1:9" x14ac:dyDescent="0.3">
      <c r="A1568">
        <v>46114</v>
      </c>
      <c r="B1568" t="str">
        <v>ABRIL</v>
      </c>
      <c r="C1568" t="str">
        <v>ESPUMA GENGIBRE IN LOCO</v>
      </c>
      <c r="D1568">
        <v>1650</v>
      </c>
      <c r="E1568">
        <v>9900</v>
      </c>
      <c r="F1568">
        <v>1650</v>
      </c>
      <c r="G1568">
        <v>5</v>
      </c>
      <c r="H1568" t="str">
        <v>SEMANA ABRIL!B17:I17</v>
      </c>
      <c r="I1568">
        <v>200</v>
      </c>
    </row>
    <row r="1569" spans="1:9" x14ac:dyDescent="0.3">
      <c r="A1569">
        <v>46114</v>
      </c>
      <c r="B1569" t="str">
        <v>ABRIL</v>
      </c>
      <c r="C1569" t="str">
        <v>ESPUMA GENGIBRE DILUTE</v>
      </c>
      <c r="D1569">
        <v>450</v>
      </c>
      <c r="E1569">
        <v>2700</v>
      </c>
      <c r="F1569">
        <v>660</v>
      </c>
      <c r="G1569">
        <v>2</v>
      </c>
      <c r="H1569" t="str">
        <v>SEMANA ABRIL!B18:I18</v>
      </c>
      <c r="I1569">
        <v>200</v>
      </c>
    </row>
    <row r="1570" spans="1:9" x14ac:dyDescent="0.3">
      <c r="A1570">
        <v>46118</v>
      </c>
      <c r="B1570" t="str">
        <v>ABRIL</v>
      </c>
      <c r="C1570" t="str">
        <v>ESPUMA GENGIBRE DILUTE</v>
      </c>
      <c r="D1570">
        <v>210</v>
      </c>
      <c r="E1570">
        <v>1260</v>
      </c>
      <c r="F1570">
        <v>210</v>
      </c>
      <c r="G1570">
        <v>1</v>
      </c>
      <c r="H1570" t="str">
        <v>SEMANA ABRIL!B33:I33</v>
      </c>
      <c r="I1570">
        <v>200</v>
      </c>
    </row>
    <row r="1571" spans="1:9" x14ac:dyDescent="0.3">
      <c r="A1571">
        <v>46118</v>
      </c>
      <c r="B1571" t="str">
        <v>ABRIL</v>
      </c>
      <c r="C1571" t="str">
        <v>ESPUMA GENGIBRE GIN SABORES</v>
      </c>
      <c r="D1571">
        <v>279</v>
      </c>
      <c r="E1571">
        <v>1674</v>
      </c>
      <c r="F1571">
        <v>330</v>
      </c>
      <c r="G1571">
        <v>1</v>
      </c>
      <c r="H1571" t="str">
        <v>SEMANA ABRIL!B34:I34</v>
      </c>
      <c r="I1571">
        <v>200</v>
      </c>
    </row>
    <row r="1572" spans="1:9" x14ac:dyDescent="0.3">
      <c r="A1572">
        <v>46118</v>
      </c>
      <c r="B1572" t="str">
        <v>ABRIL</v>
      </c>
      <c r="C1572" t="str">
        <v>ESPUMA MAÇA VERDE IN LOCO</v>
      </c>
      <c r="D1572">
        <v>314</v>
      </c>
      <c r="E1572">
        <v>1884</v>
      </c>
      <c r="F1572">
        <v>330</v>
      </c>
      <c r="G1572">
        <v>1</v>
      </c>
      <c r="H1572" t="str">
        <v>SEMANA ABRIL!B35:I35</v>
      </c>
      <c r="I1572">
        <v>200</v>
      </c>
    </row>
    <row r="1573" spans="1:9" x14ac:dyDescent="0.3">
      <c r="A1573">
        <v>46118</v>
      </c>
      <c r="B1573" t="str">
        <v>ABRIL</v>
      </c>
      <c r="C1573" t="str">
        <v>ESPUMA LIMÃO GIN SABORES</v>
      </c>
      <c r="D1573">
        <v>329</v>
      </c>
      <c r="E1573">
        <v>1974</v>
      </c>
      <c r="F1573">
        <v>330</v>
      </c>
      <c r="G1573">
        <v>1</v>
      </c>
      <c r="H1573" t="str">
        <v>SEMANA ABRIL!B36:I36</v>
      </c>
      <c r="I1573">
        <v>200</v>
      </c>
    </row>
    <row r="1574" spans="1:9" x14ac:dyDescent="0.3">
      <c r="A1574">
        <v>46118</v>
      </c>
      <c r="B1574" t="str">
        <v>ABRIL</v>
      </c>
      <c r="C1574" t="str">
        <v>ESPUMA LIMÃO SICILIANO IN LOCO</v>
      </c>
      <c r="D1574">
        <v>321</v>
      </c>
      <c r="E1574">
        <v>1926</v>
      </c>
      <c r="F1574">
        <v>330</v>
      </c>
      <c r="G1574">
        <v>1</v>
      </c>
      <c r="H1574" t="str">
        <v>SEMANA ABRIL!B37:I37</v>
      </c>
      <c r="I1574">
        <v>200</v>
      </c>
    </row>
    <row r="1575" spans="1:9" x14ac:dyDescent="0.3">
      <c r="A1575">
        <v>46118</v>
      </c>
      <c r="B1575" t="str">
        <v>ABRIL</v>
      </c>
      <c r="C1575" t="str">
        <v>ESPUMA BANANA GIN SABORES</v>
      </c>
      <c r="D1575">
        <v>318</v>
      </c>
      <c r="E1575">
        <v>1908</v>
      </c>
      <c r="F1575">
        <v>330</v>
      </c>
      <c r="G1575">
        <v>1</v>
      </c>
      <c r="H1575" t="str">
        <v>SEMANA ABRIL!B38:I38</v>
      </c>
      <c r="I1575">
        <v>200</v>
      </c>
    </row>
    <row r="1576" spans="1:9" x14ac:dyDescent="0.3">
      <c r="A1576">
        <v>46118</v>
      </c>
      <c r="B1576" t="str">
        <v>ABRIL</v>
      </c>
      <c r="C1576" t="str">
        <v>ESPUMA TANGERINA IN LOCO</v>
      </c>
      <c r="D1576">
        <v>296</v>
      </c>
      <c r="E1576">
        <v>1776</v>
      </c>
      <c r="F1576">
        <v>330</v>
      </c>
      <c r="G1576">
        <v>1</v>
      </c>
      <c r="H1576" t="str">
        <v>SEMANA ABRIL!B39:I39</v>
      </c>
      <c r="I1576">
        <v>200</v>
      </c>
    </row>
    <row r="1577" spans="1:9" x14ac:dyDescent="0.3">
      <c r="A1577">
        <v>46118</v>
      </c>
      <c r="B1577" t="str">
        <v>ABRIL</v>
      </c>
      <c r="C1577" t="str">
        <v>ESPUMA MORANGO IN LOCO</v>
      </c>
      <c r="D1577">
        <v>63</v>
      </c>
      <c r="E1577">
        <v>378</v>
      </c>
      <c r="F1577">
        <v>330</v>
      </c>
      <c r="G1577">
        <v>1</v>
      </c>
      <c r="H1577" t="str">
        <v>SEMANA ABRIL!B40:I40</v>
      </c>
      <c r="I1577">
        <v>200</v>
      </c>
    </row>
    <row r="1578" spans="1:9" x14ac:dyDescent="0.3">
      <c r="A1578">
        <v>46119</v>
      </c>
      <c r="B1578" t="str">
        <v>ABRIL</v>
      </c>
      <c r="C1578" t="str">
        <v>ESPUMA MORANGO IN LOCO</v>
      </c>
      <c r="D1578">
        <v>267</v>
      </c>
      <c r="E1578">
        <v>1602</v>
      </c>
      <c r="F1578">
        <v>267</v>
      </c>
      <c r="G1578">
        <v>1</v>
      </c>
      <c r="H1578" t="str">
        <v>SEMANA ABRIL!B45:I45</v>
      </c>
      <c r="I1578">
        <v>200</v>
      </c>
    </row>
    <row r="1579" spans="1:9" x14ac:dyDescent="0.3">
      <c r="A1579">
        <v>46119</v>
      </c>
      <c r="B1579" t="str">
        <v>ABRIL</v>
      </c>
      <c r="C1579" t="str">
        <v>ESPUMA MORANGO GIN SABORES</v>
      </c>
      <c r="D1579">
        <v>315</v>
      </c>
      <c r="E1579">
        <v>1890</v>
      </c>
      <c r="F1579">
        <v>330</v>
      </c>
      <c r="G1579">
        <v>1</v>
      </c>
      <c r="H1579" t="str">
        <v>SEMANA ABRIL!B46:I46</v>
      </c>
      <c r="I1579">
        <v>200</v>
      </c>
    </row>
    <row r="1580" spans="1:9" x14ac:dyDescent="0.3">
      <c r="A1580">
        <v>46119</v>
      </c>
      <c r="B1580" t="str">
        <v>ABRIL</v>
      </c>
      <c r="C1580" t="str">
        <v>ESPUMA FRUTAS VERMELHAS GIN SABORES</v>
      </c>
      <c r="D1580">
        <v>329</v>
      </c>
      <c r="E1580">
        <v>1974</v>
      </c>
      <c r="F1580">
        <v>330</v>
      </c>
      <c r="G1580">
        <v>1</v>
      </c>
      <c r="H1580" t="str">
        <v>SEMANA ABRIL!B47:I47</v>
      </c>
      <c r="I1580">
        <v>200</v>
      </c>
    </row>
    <row r="1581" spans="1:9" x14ac:dyDescent="0.3">
      <c r="A1581">
        <v>46119</v>
      </c>
      <c r="B1581" t="str">
        <v>ABRIL</v>
      </c>
      <c r="C1581" t="str">
        <v>ESPUMA FRUTAS VERMELHAS IN LOCO</v>
      </c>
      <c r="D1581">
        <v>330</v>
      </c>
      <c r="E1581">
        <v>1980</v>
      </c>
      <c r="F1581">
        <v>330</v>
      </c>
      <c r="G1581">
        <v>1</v>
      </c>
      <c r="H1581" t="str">
        <v>SEMANA ABRIL!B48:I48</v>
      </c>
      <c r="I1581">
        <v>200</v>
      </c>
    </row>
    <row r="1582" spans="1:9" x14ac:dyDescent="0.3">
      <c r="A1582">
        <v>46119</v>
      </c>
      <c r="B1582" t="str">
        <v>ABRIL</v>
      </c>
      <c r="C1582" t="str">
        <v>ANTIMOFO IN LOCO</v>
      </c>
      <c r="D1582">
        <v>106</v>
      </c>
      <c r="E1582">
        <v>1272</v>
      </c>
      <c r="F1582">
        <v>106</v>
      </c>
      <c r="G1582">
        <v>2</v>
      </c>
      <c r="H1582" t="str">
        <v>SEMANA ABRIL!B49:I49</v>
      </c>
      <c r="I1582">
        <v>600</v>
      </c>
    </row>
    <row r="1583" spans="1:9" x14ac:dyDescent="0.3">
      <c r="A1583">
        <v>46119</v>
      </c>
      <c r="B1583" t="str">
        <v>ABRIL</v>
      </c>
      <c r="C1583" t="str">
        <v>UNTA FACIL IN LOCO</v>
      </c>
      <c r="D1583">
        <v>194</v>
      </c>
      <c r="E1583">
        <v>2328</v>
      </c>
      <c r="F1583">
        <v>2625</v>
      </c>
      <c r="G1583">
        <v>21</v>
      </c>
      <c r="H1583" t="str">
        <v>SEMANA ABRIL!B50:I50</v>
      </c>
      <c r="I1583">
        <v>400</v>
      </c>
    </row>
    <row r="1584" spans="1:9" x14ac:dyDescent="0.3">
      <c r="A1584">
        <v>46120</v>
      </c>
      <c r="B1584" t="str">
        <v>ABRIL</v>
      </c>
      <c r="C1584" t="str">
        <v>UNTA FACIL IN LOCO</v>
      </c>
      <c r="D1584">
        <v>1503</v>
      </c>
      <c r="E1584">
        <v>18036</v>
      </c>
      <c r="F1584">
        <v>2431</v>
      </c>
      <c r="G1584">
        <v>20</v>
      </c>
      <c r="H1584" t="str">
        <v>SEMANA ABRIL!B55:I55</v>
      </c>
      <c r="I1584">
        <v>400</v>
      </c>
    </row>
    <row r="1585" spans="1:9" x14ac:dyDescent="0.3">
      <c r="A1585">
        <v>46121</v>
      </c>
      <c r="B1585" t="str">
        <v>ABRIL</v>
      </c>
      <c r="C1585" t="str">
        <v>UNTA FACIL IN LOCO</v>
      </c>
      <c r="D1585">
        <v>1005</v>
      </c>
      <c r="E1585">
        <v>12060</v>
      </c>
      <c r="F1585">
        <v>928</v>
      </c>
      <c r="G1585">
        <v>8</v>
      </c>
      <c r="H1585" t="str">
        <v>SEMANA ABRIL!B63:I63</v>
      </c>
      <c r="I1585">
        <v>400</v>
      </c>
    </row>
    <row r="1586" spans="1:9" x14ac:dyDescent="0.3">
      <c r="A1586">
        <v>46122</v>
      </c>
      <c r="B1586" t="str">
        <v>ABRIL</v>
      </c>
      <c r="C1586" t="str">
        <v>DESMOLDANTE CHEF ICEBERG</v>
      </c>
      <c r="D1586">
        <v>560</v>
      </c>
      <c r="E1586">
        <v>6720</v>
      </c>
      <c r="F1586">
        <v>2310</v>
      </c>
      <c r="G1586">
        <v>21</v>
      </c>
      <c r="H1586" t="str">
        <v>SEMANA ABRIL!B71:I71</v>
      </c>
      <c r="I1586">
        <v>400</v>
      </c>
    </row>
    <row r="1587" spans="1:9" x14ac:dyDescent="0.3">
      <c r="A1587">
        <v>46125</v>
      </c>
      <c r="B1587" t="str">
        <v>ABRIL</v>
      </c>
      <c r="C1587" t="str">
        <v>DESMOLDANTE CHEF ICEBERG</v>
      </c>
      <c r="D1587">
        <v>993</v>
      </c>
      <c r="E1587">
        <v>11916</v>
      </c>
      <c r="F1587">
        <v>1750</v>
      </c>
      <c r="G1587">
        <v>16</v>
      </c>
      <c r="H1587" t="str">
        <v>SEMANA ABRIL!B79:I79</v>
      </c>
      <c r="I1587">
        <v>400</v>
      </c>
    </row>
    <row r="1588" spans="1:9" x14ac:dyDescent="0.3">
      <c r="A1588">
        <v>46126</v>
      </c>
      <c r="B1588" t="str">
        <v>ABRIL</v>
      </c>
      <c r="C1588" t="str">
        <v>DESMOLDANTE CHEF ICEBERG</v>
      </c>
      <c r="D1588">
        <v>427</v>
      </c>
      <c r="E1588">
        <v>5124</v>
      </c>
      <c r="F1588">
        <v>757</v>
      </c>
      <c r="G1588">
        <v>7</v>
      </c>
      <c r="H1588" t="str">
        <v>SEMANA ABRIL!B87:I87</v>
      </c>
      <c r="I1588">
        <v>400</v>
      </c>
    </row>
    <row r="1589" spans="1:9" x14ac:dyDescent="0.3">
      <c r="A1589">
        <v>46126</v>
      </c>
      <c r="B1589" t="str">
        <v>ABRIL</v>
      </c>
      <c r="C1589" t="str">
        <v>PURATOS DESTAK</v>
      </c>
      <c r="D1589">
        <v>853</v>
      </c>
      <c r="E1589">
        <v>5118</v>
      </c>
      <c r="F1589">
        <v>1900</v>
      </c>
      <c r="G1589">
        <v>10</v>
      </c>
      <c r="H1589" t="str">
        <v>SEMANA ABRIL!B88:I88</v>
      </c>
      <c r="I1589">
        <v>600</v>
      </c>
    </row>
    <row r="1590" spans="1:9" x14ac:dyDescent="0.3">
      <c r="A1590">
        <v>46127</v>
      </c>
      <c r="B1590" t="str">
        <v>ABRIL</v>
      </c>
      <c r="C1590" t="str">
        <v>PURATOS DESTAK</v>
      </c>
      <c r="D1590">
        <v>1166</v>
      </c>
      <c r="E1590">
        <v>6996</v>
      </c>
      <c r="F1590">
        <v>1047</v>
      </c>
      <c r="G1590">
        <v>6</v>
      </c>
      <c r="H1590" t="str">
        <v>SEMANA ABRIL!B95:I95</v>
      </c>
      <c r="I1590">
        <v>600</v>
      </c>
    </row>
    <row r="1591" spans="1:9" x14ac:dyDescent="0.3">
      <c r="A1591">
        <v>46127</v>
      </c>
      <c r="B1591" t="str">
        <v>ABRIL</v>
      </c>
      <c r="C1591" t="str">
        <v>ITAIQUARA</v>
      </c>
      <c r="D1591">
        <v>306</v>
      </c>
      <c r="E1591">
        <v>3672</v>
      </c>
      <c r="F1591">
        <v>380</v>
      </c>
      <c r="G1591">
        <v>4</v>
      </c>
      <c r="H1591" t="str">
        <v>SEMANA ABRIL!B96:I96</v>
      </c>
      <c r="I1591">
        <v>600</v>
      </c>
    </row>
    <row r="1592" spans="1:9" x14ac:dyDescent="0.3">
      <c r="A1592">
        <v>46128</v>
      </c>
      <c r="B1592" t="str">
        <v>ABRIL</v>
      </c>
      <c r="C1592" t="str">
        <v>ITAIQUARA</v>
      </c>
      <c r="D1592">
        <v>74</v>
      </c>
      <c r="E1592">
        <v>888</v>
      </c>
      <c r="F1592">
        <v>74</v>
      </c>
      <c r="G1592">
        <v>1</v>
      </c>
      <c r="H1592" t="str">
        <v>SEMANA ABRIL!B103:I103</v>
      </c>
      <c r="I1592">
        <v>600</v>
      </c>
    </row>
    <row r="1593" spans="1:9" x14ac:dyDescent="0.3">
      <c r="A1593">
        <v>46128</v>
      </c>
      <c r="B1593" t="str">
        <v>ABRIL</v>
      </c>
      <c r="C1593" t="str">
        <v>OLEO DE COCO TAEQ</v>
      </c>
      <c r="D1593">
        <v>469</v>
      </c>
      <c r="E1593">
        <v>5628</v>
      </c>
      <c r="F1593">
        <v>480</v>
      </c>
      <c r="G1593">
        <v>2</v>
      </c>
      <c r="H1593" t="str">
        <v>SEMANA ABRIL!B104:I104</v>
      </c>
      <c r="I1593">
        <v>125</v>
      </c>
    </row>
    <row r="1594" spans="1:9" x14ac:dyDescent="0.3">
      <c r="A1594">
        <v>46128</v>
      </c>
      <c r="B1594" t="str">
        <v>ABRIL</v>
      </c>
      <c r="C1594" t="str">
        <v>OLEO DE COCO COPRA MANTEIGA</v>
      </c>
      <c r="D1594">
        <v>454</v>
      </c>
      <c r="E1594">
        <v>5448</v>
      </c>
      <c r="F1594">
        <v>500</v>
      </c>
      <c r="G1594">
        <v>3</v>
      </c>
      <c r="H1594" t="str">
        <v>SEMANA ABRIL!B105:I105</v>
      </c>
      <c r="I1594">
        <v>100</v>
      </c>
    </row>
    <row r="1595" spans="1:9" x14ac:dyDescent="0.3">
      <c r="A1595">
        <v>46130</v>
      </c>
      <c r="B1595" t="str">
        <v>ABRIL</v>
      </c>
      <c r="C1595" t="str">
        <v>ALL BREAD MANTEIGA</v>
      </c>
      <c r="D1595">
        <v>51</v>
      </c>
      <c r="E1595">
        <v>612</v>
      </c>
      <c r="F1595">
        <v>50</v>
      </c>
      <c r="G1595">
        <v>1</v>
      </c>
      <c r="H1595" t="str">
        <v>SEMANA ABRIL!B119:I119</v>
      </c>
      <c r="I1595">
        <v>600</v>
      </c>
    </row>
    <row r="1596" spans="1:9" x14ac:dyDescent="0.3">
      <c r="A1596">
        <v>46130</v>
      </c>
      <c r="B1596" t="str">
        <v>ABRIL</v>
      </c>
      <c r="C1596" t="str">
        <v>ALL BREAD</v>
      </c>
      <c r="D1596">
        <v>605</v>
      </c>
      <c r="E1596">
        <v>7260</v>
      </c>
      <c r="F1596">
        <v>859</v>
      </c>
      <c r="G1596">
        <v>10</v>
      </c>
      <c r="H1596" t="str">
        <v>SEMANA ABRIL!B120:I120</v>
      </c>
      <c r="I1596">
        <v>600</v>
      </c>
    </row>
    <row r="1597" spans="1:9" x14ac:dyDescent="0.3">
      <c r="A1597">
        <v>46132</v>
      </c>
      <c r="B1597" t="str">
        <v>ABRIL</v>
      </c>
      <c r="C1597" t="str">
        <v>ALL BREAD</v>
      </c>
      <c r="D1597">
        <v>254</v>
      </c>
      <c r="E1597">
        <v>3048</v>
      </c>
      <c r="F1597">
        <v>254</v>
      </c>
      <c r="G1597">
        <v>3</v>
      </c>
      <c r="H1597" t="str">
        <v>SEMANA ABRIL!B127:I127</v>
      </c>
      <c r="I1597">
        <v>600</v>
      </c>
    </row>
    <row r="1598" spans="1:9" x14ac:dyDescent="0.3">
      <c r="A1598">
        <v>46132</v>
      </c>
      <c r="B1598" t="str">
        <v>ABRIL</v>
      </c>
      <c r="C1598" t="str">
        <v>ADIMIX</v>
      </c>
      <c r="D1598">
        <v>672</v>
      </c>
      <c r="E1598">
        <v>8064</v>
      </c>
      <c r="F1598">
        <v>665</v>
      </c>
      <c r="G1598">
        <v>7</v>
      </c>
      <c r="H1598" t="str">
        <v>SEMANA ABRIL!B128:I128</v>
      </c>
      <c r="I1598">
        <v>600</v>
      </c>
    </row>
    <row r="1599" spans="1:9" x14ac:dyDescent="0.3">
      <c r="A1599">
        <v>46133</v>
      </c>
      <c r="B1599" t="str">
        <v>ABRIL</v>
      </c>
      <c r="C1599" t="str">
        <v>IN LOCO</v>
      </c>
      <c r="D1599">
        <v>672</v>
      </c>
      <c r="E1599">
        <v>8064</v>
      </c>
      <c r="F1599">
        <v>665</v>
      </c>
      <c r="G1599">
        <v>7</v>
      </c>
      <c r="H1599" t="str">
        <v>SEMANA ABRIL!B135:I135</v>
      </c>
      <c r="I1599">
        <v>600</v>
      </c>
    </row>
    <row r="1600" spans="1:9" x14ac:dyDescent="0.3">
      <c r="A1600">
        <v>46133</v>
      </c>
      <c r="B1600" t="str">
        <v>ABRIL</v>
      </c>
      <c r="C1600" t="str">
        <v>PURATOS DESTAK</v>
      </c>
      <c r="D1600">
        <v>652</v>
      </c>
      <c r="E1600">
        <v>3912</v>
      </c>
      <c r="F1600">
        <v>2470</v>
      </c>
      <c r="G1600">
        <v>13</v>
      </c>
      <c r="H1600" t="str">
        <v>SEMANA ABRIL!B136:I136</v>
      </c>
      <c r="I1600">
        <v>600</v>
      </c>
    </row>
    <row r="1601" spans="1:9" x14ac:dyDescent="0.3">
      <c r="A1601">
        <v>46134</v>
      </c>
      <c r="B1601" t="str">
        <v>ABRIL</v>
      </c>
      <c r="C1601" t="str">
        <v>PURATOS DESTAK</v>
      </c>
      <c r="D1601">
        <v>1435</v>
      </c>
      <c r="E1601">
        <v>8610</v>
      </c>
      <c r="F1601">
        <v>1818</v>
      </c>
      <c r="G1601">
        <v>10</v>
      </c>
      <c r="H1601" t="str">
        <v>SEMANA ABRIL!B143:I143</v>
      </c>
      <c r="I1601">
        <v>600</v>
      </c>
    </row>
    <row r="1602" spans="1:9" x14ac:dyDescent="0.3">
      <c r="A1602">
        <v>46135</v>
      </c>
      <c r="B1602" t="str">
        <v>ABRIL</v>
      </c>
      <c r="C1602" t="str">
        <v>PURATOS DESTAK</v>
      </c>
      <c r="D1602">
        <v>383</v>
      </c>
      <c r="E1602">
        <v>2298</v>
      </c>
      <c r="F1602">
        <v>383</v>
      </c>
      <c r="G1602">
        <v>3</v>
      </c>
      <c r="H1602" t="str">
        <v>SEMANA ABRIL!B151:I151</v>
      </c>
      <c r="I1602">
        <v>600</v>
      </c>
    </row>
    <row r="1603" spans="1:9" x14ac:dyDescent="0.3">
      <c r="A1603">
        <v>46135</v>
      </c>
      <c r="B1603" t="str">
        <v>ABRIL</v>
      </c>
      <c r="C1603" t="str">
        <v>PURATOS NORCAU</v>
      </c>
      <c r="D1603">
        <v>506</v>
      </c>
      <c r="E1603">
        <v>6072</v>
      </c>
      <c r="F1603">
        <v>570</v>
      </c>
      <c r="G1603">
        <v>6</v>
      </c>
      <c r="H1603" t="str">
        <v>SEMANA ABRIL!B152:I152</v>
      </c>
      <c r="I1603">
        <v>600</v>
      </c>
    </row>
    <row r="1604" spans="1:9" x14ac:dyDescent="0.3">
      <c r="A1604">
        <v>46136</v>
      </c>
      <c r="B1604" t="str">
        <v>ABRIL</v>
      </c>
      <c r="C1604" t="str">
        <v>PURATOS NORCAU</v>
      </c>
      <c r="D1604">
        <v>64</v>
      </c>
      <c r="E1604">
        <v>768</v>
      </c>
      <c r="F1604">
        <v>64</v>
      </c>
      <c r="G1604">
        <v>1</v>
      </c>
      <c r="H1604" t="str">
        <v>SEMANA ABRIL!B160:I160</v>
      </c>
      <c r="I1604">
        <v>600</v>
      </c>
    </row>
    <row r="1605" spans="1:9" x14ac:dyDescent="0.3">
      <c r="A1605">
        <v>46136</v>
      </c>
      <c r="B1605" t="str">
        <v>ABRIL</v>
      </c>
      <c r="C1605" t="str">
        <v>COPRA SEM SABOR</v>
      </c>
      <c r="D1605">
        <v>783</v>
      </c>
      <c r="E1605">
        <v>9396</v>
      </c>
      <c r="F1605">
        <v>1920</v>
      </c>
      <c r="G1605">
        <v>8</v>
      </c>
      <c r="H1605" t="str">
        <v>SEMANA ABRIL!B161:I161</v>
      </c>
      <c r="I1605">
        <v>100</v>
      </c>
    </row>
    <row r="1606" spans="1:9" x14ac:dyDescent="0.3">
      <c r="A1606">
        <v>46137</v>
      </c>
      <c r="B1606" t="str">
        <v>ABRIL</v>
      </c>
      <c r="C1606" t="str">
        <v>COPRA SEM SABOR</v>
      </c>
      <c r="D1606">
        <v>1141</v>
      </c>
      <c r="E1606">
        <v>13692</v>
      </c>
      <c r="F1606">
        <v>1137</v>
      </c>
      <c r="G1606">
        <v>5</v>
      </c>
      <c r="H1606" t="str">
        <v>SEMANA ABRIL!B168:I168</v>
      </c>
      <c r="I1606">
        <v>100</v>
      </c>
    </row>
    <row r="1607" spans="1:9" x14ac:dyDescent="0.3">
      <c r="A1607">
        <v>46139</v>
      </c>
      <c r="B1607" t="str">
        <v>ABRIL</v>
      </c>
      <c r="C1607" t="str">
        <v>COPRA EXTRAVIRGEM</v>
      </c>
      <c r="D1607">
        <v>1683</v>
      </c>
      <c r="E1607">
        <v>20196</v>
      </c>
      <c r="F1607">
        <v>1670</v>
      </c>
      <c r="G1607">
        <v>7</v>
      </c>
      <c r="H1607" t="str">
        <v>SEMANA ABRIL!B176:I176</v>
      </c>
      <c r="I1607">
        <v>180</v>
      </c>
    </row>
    <row r="1608" spans="1:9" x14ac:dyDescent="0.3">
      <c r="A1608">
        <v>46140</v>
      </c>
      <c r="B1608" t="str">
        <v>ABRIL</v>
      </c>
      <c r="C1608" t="str">
        <v>UNTA FACIL</v>
      </c>
      <c r="D1608">
        <v>481</v>
      </c>
      <c r="E1608">
        <v>5772</v>
      </c>
      <c r="F1608">
        <v>480</v>
      </c>
      <c r="G1608">
        <v>2</v>
      </c>
      <c r="H1608" t="str">
        <v>SEMANA ABRIL!B185:I185</v>
      </c>
      <c r="I1608">
        <v>180</v>
      </c>
    </row>
    <row r="1609" spans="1:9" x14ac:dyDescent="0.3">
      <c r="A1609">
        <v>46140</v>
      </c>
      <c r="B1609" t="str">
        <v>ABRIL</v>
      </c>
      <c r="C1609" t="str">
        <v>PURATOS DESTAK</v>
      </c>
      <c r="D1609">
        <v>911</v>
      </c>
      <c r="E1609">
        <v>5466</v>
      </c>
      <c r="F1609">
        <v>3990</v>
      </c>
      <c r="G1609">
        <v>21</v>
      </c>
      <c r="H1609" t="str">
        <v>SEMANA ABRIL!B186:I186</v>
      </c>
      <c r="I1609">
        <v>600</v>
      </c>
    </row>
    <row r="1610" spans="1:9" x14ac:dyDescent="0.3">
      <c r="A1610">
        <v>46141</v>
      </c>
      <c r="B1610" t="str">
        <v>ABRIL</v>
      </c>
      <c r="C1610" t="str">
        <v>PURATOS DESTAK</v>
      </c>
      <c r="D1610">
        <v>1578</v>
      </c>
      <c r="E1610">
        <v>9468</v>
      </c>
      <c r="F1610">
        <v>3079</v>
      </c>
      <c r="G1610">
        <v>17</v>
      </c>
      <c r="H1610" t="str">
        <v>SEMANA ABRIL!B192:I192</v>
      </c>
      <c r="I1610">
        <v>600</v>
      </c>
    </row>
    <row r="1611" spans="1:9" x14ac:dyDescent="0.3">
      <c r="A1611">
        <v>46142</v>
      </c>
      <c r="B1611" t="str">
        <v>ABRIL</v>
      </c>
      <c r="C1611" t="str">
        <v>PURATOS DESTAK</v>
      </c>
      <c r="D1611">
        <v>1140</v>
      </c>
      <c r="E1611">
        <v>6840</v>
      </c>
      <c r="F1611">
        <v>1501</v>
      </c>
      <c r="G1611">
        <v>8</v>
      </c>
      <c r="H1611" t="str">
        <v>SEMANA ABRIL!B200:I200</v>
      </c>
      <c r="I1611">
        <v>600</v>
      </c>
    </row>
    <row r="1612" spans="1:9" x14ac:dyDescent="0.3">
      <c r="A1612">
        <v>46142</v>
      </c>
      <c r="B1612" t="str">
        <v>ABRIL</v>
      </c>
      <c r="C1612" t="str">
        <v>ADIMIX LISSE</v>
      </c>
      <c r="D1612">
        <v>420</v>
      </c>
      <c r="E1612">
        <v>5040</v>
      </c>
      <c r="F1612">
        <v>665</v>
      </c>
      <c r="G1612">
        <v>7</v>
      </c>
      <c r="H1612" t="str">
        <v>SEMANA ABRIL!B201:I201</v>
      </c>
      <c r="I1612">
        <v>600</v>
      </c>
    </row>
    <row r="2081" spans="1:9" x14ac:dyDescent="0.3">
      <c r="A2081" cm="1">
        <f t="array" ref="A2081:I2147">_xlfn.LET(_xlpm.a,'SEMANA MAIO'!A1:A500,_xlpm.b,'SEMANA MAIO'!B1:B500,_xlpm.c,'SEMANA MAIO'!C1:C500,_xlpm.d,'SEMANA MAIO'!D1:D500,_xlpm.g,'SEMANA MAIO'!G1:G500,_xlpm.h,'SEMANA MAIO'!H1:H500,_xlpm.i,'SEMANA MAIO'!I1:I500,_xlpm.dt,IFERROR(LOOKUP(ROW(_xlpm.a),ROW(_xlpm.a)/(_xlpm.a&gt;40000),_xlpm.a),""),_xlpm.orig,"SEMANA MAIO!B"&amp;ROW(_xlpm.b)&amp;":I"&amp;ROW(_xlpm.b),_xlfn._xlws.FILTER(_xlfn.HSTACK(_xlpm.dt,IF(_xlpm.b&lt;&gt;"","MAIO",""),TRIM(_xlpm.b),_xlpm.h,_xlpm.i,_xlpm.d,_xlpm.g,_xlpm.orig,_xlpm.c),(_xlpm.b&lt;&gt;"")*(_xlpm.b&lt;&gt;"PRODUTO")*(_xlpm.b&lt;&gt;"TOTAL")*(_xlpm.h&gt;0),_xlfn.HSTACK("","","","","","","","","")))</f>
        <v>46143</v>
      </c>
      <c r="B2081" t="str">
        <v>MAIO</v>
      </c>
      <c r="C2081" t="str">
        <v>ADIMIX LISSE</v>
      </c>
      <c r="D2081">
        <v>255</v>
      </c>
      <c r="E2081">
        <v>3060</v>
      </c>
      <c r="F2081">
        <v>245</v>
      </c>
      <c r="G2081">
        <v>3</v>
      </c>
      <c r="H2081" t="str">
        <v>SEMANA MAIO!B4:I4</v>
      </c>
      <c r="I2081">
        <v>600</v>
      </c>
    </row>
    <row r="2082" spans="1:9" x14ac:dyDescent="0.3">
      <c r="A2082">
        <v>46143</v>
      </c>
      <c r="B2082" t="str">
        <v>MAIO</v>
      </c>
      <c r="C2082" t="str">
        <v>PURATOS DESTAK</v>
      </c>
      <c r="D2082">
        <v>361</v>
      </c>
      <c r="E2082">
        <v>2166</v>
      </c>
      <c r="F2082">
        <v>361</v>
      </c>
      <c r="G2082">
        <v>2</v>
      </c>
      <c r="H2082" t="str">
        <v>SEMANA MAIO!B5:I5</v>
      </c>
      <c r="I2082">
        <v>600</v>
      </c>
    </row>
    <row r="2083" spans="1:9" x14ac:dyDescent="0.3">
      <c r="A2083">
        <v>46143</v>
      </c>
      <c r="B2083" t="str">
        <v>MAIO</v>
      </c>
      <c r="C2083" t="str">
        <v>UNTA FACIL</v>
      </c>
      <c r="D2083">
        <v>534</v>
      </c>
      <c r="E2083">
        <v>6408</v>
      </c>
      <c r="F2083">
        <v>875</v>
      </c>
      <c r="G2083">
        <v>7</v>
      </c>
      <c r="H2083" t="str">
        <v>SEMANA MAIO!B6:I6</v>
      </c>
      <c r="I2083">
        <v>400</v>
      </c>
    </row>
    <row r="2084" spans="1:9" x14ac:dyDescent="0.3">
      <c r="A2084">
        <v>46144</v>
      </c>
      <c r="B2084" t="str">
        <v>MAIO</v>
      </c>
      <c r="C2084" t="str">
        <v>UNTA FACIL</v>
      </c>
      <c r="D2084">
        <v>341</v>
      </c>
      <c r="E2084">
        <v>4092</v>
      </c>
      <c r="F2084">
        <v>341</v>
      </c>
      <c r="G2084">
        <v>3</v>
      </c>
      <c r="H2084" t="str">
        <v>SEMANA MAIO!B13:I13</v>
      </c>
      <c r="I2084">
        <v>400</v>
      </c>
    </row>
    <row r="2085" spans="1:9" x14ac:dyDescent="0.3">
      <c r="A2085">
        <v>46144</v>
      </c>
      <c r="B2085" t="str">
        <v>MAIO</v>
      </c>
      <c r="C2085" t="str">
        <v>ICEBERG</v>
      </c>
      <c r="D2085">
        <v>686</v>
      </c>
      <c r="E2085">
        <v>8232</v>
      </c>
      <c r="F2085">
        <v>2330</v>
      </c>
      <c r="G2085">
        <v>22</v>
      </c>
      <c r="H2085" t="str">
        <v>SEMANA MAIO!B14:I14</v>
      </c>
      <c r="I2085">
        <v>400</v>
      </c>
    </row>
    <row r="2086" spans="1:9" x14ac:dyDescent="0.3">
      <c r="A2086">
        <v>46146</v>
      </c>
      <c r="B2086" t="str">
        <v>MAIO</v>
      </c>
      <c r="C2086" t="str">
        <v>ICEBERG</v>
      </c>
      <c r="D2086">
        <v>1479</v>
      </c>
      <c r="E2086">
        <v>17748</v>
      </c>
      <c r="F2086">
        <v>1644</v>
      </c>
      <c r="G2086">
        <v>15</v>
      </c>
      <c r="H2086" t="str">
        <v>SEMANA MAIO!B21:I21</v>
      </c>
      <c r="I2086">
        <v>400</v>
      </c>
    </row>
    <row r="2087" spans="1:9" x14ac:dyDescent="0.3">
      <c r="A2087">
        <v>46147</v>
      </c>
      <c r="B2087" t="str">
        <v>MAIO</v>
      </c>
      <c r="C2087" t="str">
        <v>REPETECO CHEF MASTER</v>
      </c>
      <c r="D2087">
        <v>251</v>
      </c>
      <c r="E2087">
        <v>3012</v>
      </c>
      <c r="F2087">
        <v>250</v>
      </c>
      <c r="G2087">
        <v>2</v>
      </c>
      <c r="H2087" t="str">
        <v>SEMANA MAIO!B29:I29</v>
      </c>
      <c r="I2087">
        <v>400</v>
      </c>
    </row>
    <row r="2088" spans="1:9" x14ac:dyDescent="0.3">
      <c r="A2088">
        <v>46147</v>
      </c>
      <c r="B2088" t="str">
        <v>MAIO</v>
      </c>
      <c r="C2088" t="str">
        <v>ROCHAPAN BONASSE</v>
      </c>
      <c r="D2088">
        <v>50</v>
      </c>
      <c r="E2088">
        <v>600</v>
      </c>
      <c r="F2088">
        <v>250</v>
      </c>
      <c r="G2088">
        <v>2</v>
      </c>
      <c r="H2088" t="str">
        <v>SEMANA MAIO!B30:I30</v>
      </c>
      <c r="I2088">
        <v>400</v>
      </c>
    </row>
    <row r="2089" spans="1:9" x14ac:dyDescent="0.3">
      <c r="A2089">
        <v>46147</v>
      </c>
      <c r="B2089" t="str">
        <v>MAIO</v>
      </c>
      <c r="C2089" t="str">
        <v>ESPUMA ABACAXI TM</v>
      </c>
      <c r="D2089">
        <v>333</v>
      </c>
      <c r="E2089">
        <v>1998</v>
      </c>
      <c r="F2089">
        <v>330</v>
      </c>
      <c r="G2089">
        <v>1</v>
      </c>
      <c r="H2089" t="str">
        <v>SEMANA MAIO!B31:I31</v>
      </c>
      <c r="I2089">
        <v>200</v>
      </c>
    </row>
    <row r="2090" spans="1:9" x14ac:dyDescent="0.3">
      <c r="A2090">
        <v>46147</v>
      </c>
      <c r="B2090" t="str">
        <v>MAIO</v>
      </c>
      <c r="C2090" t="str">
        <v>ESPUMA ABACAXI TM COPA</v>
      </c>
      <c r="D2090">
        <v>331</v>
      </c>
      <c r="E2090">
        <v>1986</v>
      </c>
      <c r="F2090">
        <v>330</v>
      </c>
      <c r="G2090">
        <v>1</v>
      </c>
      <c r="H2090" t="str">
        <v>SEMANA MAIO!B32:I32</v>
      </c>
      <c r="I2090">
        <v>200</v>
      </c>
    </row>
    <row r="2091" spans="1:9" x14ac:dyDescent="0.3">
      <c r="A2091">
        <v>46147</v>
      </c>
      <c r="B2091" t="str">
        <v>MAIO</v>
      </c>
      <c r="C2091" t="str">
        <v>ESPUMA T. FRUTTI TM COPA</v>
      </c>
      <c r="D2091">
        <v>174</v>
      </c>
      <c r="E2091">
        <v>1044</v>
      </c>
      <c r="F2091">
        <v>330</v>
      </c>
      <c r="G2091">
        <v>1</v>
      </c>
      <c r="H2091" t="str">
        <v>SEMANA MAIO!B33:I33</v>
      </c>
      <c r="I2091">
        <v>200</v>
      </c>
    </row>
    <row r="2092" spans="1:9" x14ac:dyDescent="0.3">
      <c r="A2092">
        <v>46148</v>
      </c>
      <c r="B2092" t="str">
        <v>MAIO</v>
      </c>
      <c r="C2092" t="str">
        <v>ESPUMA T. FRUTTI TM COPA</v>
      </c>
      <c r="D2092">
        <v>156</v>
      </c>
      <c r="E2092">
        <v>936</v>
      </c>
      <c r="F2092">
        <v>156</v>
      </c>
      <c r="G2092">
        <v>1</v>
      </c>
      <c r="H2092" t="str">
        <v>SEMANA MAIO!B38:I38</v>
      </c>
      <c r="I2092">
        <v>200</v>
      </c>
    </row>
    <row r="2093" spans="1:9" x14ac:dyDescent="0.3">
      <c r="A2093">
        <v>46148</v>
      </c>
      <c r="B2093" t="str">
        <v>MAIO</v>
      </c>
      <c r="C2093" t="str">
        <v>ESPUMA TUTTI FRUTTI TM</v>
      </c>
      <c r="D2093">
        <v>334</v>
      </c>
      <c r="E2093">
        <v>2004</v>
      </c>
      <c r="F2093">
        <v>330</v>
      </c>
      <c r="G2093">
        <v>1</v>
      </c>
      <c r="H2093" t="str">
        <v>SEMANA MAIO!B39:I39</v>
      </c>
      <c r="I2093">
        <v>200</v>
      </c>
    </row>
    <row r="2094" spans="1:9" x14ac:dyDescent="0.3">
      <c r="A2094">
        <v>46148</v>
      </c>
      <c r="B2094" t="str">
        <v>MAIO</v>
      </c>
      <c r="C2094" t="str">
        <v>ESPUMA MELANCIA TM</v>
      </c>
      <c r="D2094">
        <v>333</v>
      </c>
      <c r="E2094">
        <v>1998</v>
      </c>
      <c r="F2094">
        <v>330</v>
      </c>
      <c r="G2094">
        <v>1</v>
      </c>
      <c r="H2094" t="str">
        <v>SEMANA MAIO!B40:I40</v>
      </c>
      <c r="I2094">
        <v>200</v>
      </c>
    </row>
    <row r="2095" spans="1:9" x14ac:dyDescent="0.3">
      <c r="A2095">
        <v>46148</v>
      </c>
      <c r="B2095" t="str">
        <v>MAIO</v>
      </c>
      <c r="C2095" t="str">
        <v>ESPUMA MELANCIA TM COPA</v>
      </c>
      <c r="D2095">
        <v>330</v>
      </c>
      <c r="E2095">
        <v>1980</v>
      </c>
      <c r="F2095">
        <v>330</v>
      </c>
      <c r="G2095">
        <v>1</v>
      </c>
      <c r="H2095" t="str">
        <v>SEMANA MAIO!B41:I41</v>
      </c>
      <c r="I2095">
        <v>200</v>
      </c>
    </row>
    <row r="2096" spans="1:9" x14ac:dyDescent="0.3">
      <c r="A2096">
        <v>46148</v>
      </c>
      <c r="B2096" t="str">
        <v>MAIO</v>
      </c>
      <c r="C2096" t="str">
        <v>ESPUMA MORANGO TM</v>
      </c>
      <c r="D2096">
        <v>332</v>
      </c>
      <c r="E2096">
        <v>1992</v>
      </c>
      <c r="F2096">
        <v>330</v>
      </c>
      <c r="G2096">
        <v>1</v>
      </c>
      <c r="H2096" t="str">
        <v>SEMANA MAIO!B42:I42</v>
      </c>
      <c r="I2096">
        <v>200</v>
      </c>
    </row>
    <row r="2097" spans="1:9" x14ac:dyDescent="0.3">
      <c r="A2097">
        <v>46148</v>
      </c>
      <c r="B2097" t="str">
        <v>MAIO</v>
      </c>
      <c r="C2097" t="str">
        <v>ESPUMA MORANGO TM COPA</v>
      </c>
      <c r="D2097">
        <v>336</v>
      </c>
      <c r="E2097">
        <v>2016</v>
      </c>
      <c r="F2097">
        <v>330</v>
      </c>
      <c r="G2097">
        <v>1</v>
      </c>
      <c r="H2097" t="str">
        <v>SEMANA MAIO!B43:I43</v>
      </c>
      <c r="I2097">
        <v>200</v>
      </c>
    </row>
    <row r="2098" spans="1:9" x14ac:dyDescent="0.3">
      <c r="A2098">
        <v>46148</v>
      </c>
      <c r="B2098" t="str">
        <v>MAIO</v>
      </c>
      <c r="C2098" t="str">
        <v>ESPUMA UVA TM</v>
      </c>
      <c r="D2098">
        <v>64</v>
      </c>
      <c r="E2098">
        <v>384</v>
      </c>
      <c r="F2098">
        <v>330</v>
      </c>
      <c r="G2098">
        <v>1</v>
      </c>
      <c r="H2098" t="str">
        <v>SEMANA MAIO!B44:I44</v>
      </c>
      <c r="I2098">
        <v>200</v>
      </c>
    </row>
    <row r="2099" spans="1:9" x14ac:dyDescent="0.3">
      <c r="A2099">
        <v>46148</v>
      </c>
      <c r="B2099" t="str">
        <v>MAIO</v>
      </c>
      <c r="C2099" t="str">
        <v>ESPUMA UVA TM COPA</v>
      </c>
      <c r="D2099">
        <v>208</v>
      </c>
      <c r="E2099">
        <v>1248</v>
      </c>
      <c r="F2099">
        <v>330</v>
      </c>
      <c r="G2099">
        <v>1</v>
      </c>
      <c r="H2099" t="str">
        <v>SEMANA MAIO!B45:I45</v>
      </c>
      <c r="I2099">
        <v>200</v>
      </c>
    </row>
    <row r="2100" spans="1:9" x14ac:dyDescent="0.3">
      <c r="A2100">
        <v>46149</v>
      </c>
      <c r="B2100" t="str">
        <v>MAIO</v>
      </c>
      <c r="C2100" t="str">
        <v>ESPUMA UVA TM COPA</v>
      </c>
      <c r="D2100">
        <v>123</v>
      </c>
      <c r="E2100">
        <v>738</v>
      </c>
      <c r="F2100">
        <v>122</v>
      </c>
      <c r="G2100">
        <v>1</v>
      </c>
      <c r="H2100" t="str">
        <v>SEMANA MAIO!B50:I50</v>
      </c>
      <c r="I2100">
        <v>200</v>
      </c>
    </row>
    <row r="2101" spans="1:9" x14ac:dyDescent="0.3">
      <c r="A2101">
        <v>46149</v>
      </c>
      <c r="B2101" t="str">
        <v>MAIO</v>
      </c>
      <c r="C2101" t="str">
        <v>ESPUMA UVA TM</v>
      </c>
      <c r="D2101">
        <v>269</v>
      </c>
      <c r="E2101">
        <v>1614</v>
      </c>
      <c r="F2101">
        <v>266</v>
      </c>
      <c r="G2101">
        <v>1</v>
      </c>
      <c r="H2101" t="str">
        <v>SEMANA MAIO!B51:I51</v>
      </c>
      <c r="I2101">
        <v>200</v>
      </c>
    </row>
    <row r="2102" spans="1:9" x14ac:dyDescent="0.3">
      <c r="A2102">
        <v>46149</v>
      </c>
      <c r="B2102" t="str">
        <v>MAIO</v>
      </c>
      <c r="C2102" t="str">
        <v>ESPUMA DILUTE 3 LIMÕES</v>
      </c>
      <c r="D2102">
        <v>668</v>
      </c>
      <c r="E2102">
        <v>4008</v>
      </c>
      <c r="F2102">
        <v>660</v>
      </c>
      <c r="G2102">
        <v>2</v>
      </c>
      <c r="H2102" t="str">
        <v>SEMANA MAIO!B52:I52</v>
      </c>
      <c r="I2102">
        <v>200</v>
      </c>
    </row>
    <row r="2103" spans="1:9" x14ac:dyDescent="0.3">
      <c r="A2103">
        <v>46149</v>
      </c>
      <c r="B2103" t="str">
        <v>MAIO</v>
      </c>
      <c r="C2103" t="str">
        <v>ROCHAPAN BONASSE</v>
      </c>
      <c r="D2103">
        <v>200</v>
      </c>
      <c r="E2103">
        <v>2400</v>
      </c>
      <c r="F2103">
        <v>200</v>
      </c>
      <c r="G2103">
        <v>2</v>
      </c>
      <c r="H2103" t="str">
        <v>SEMANA MAIO!B53:I53</v>
      </c>
      <c r="I2103">
        <v>400</v>
      </c>
    </row>
    <row r="2104" spans="1:9" x14ac:dyDescent="0.3">
      <c r="A2104">
        <v>46149</v>
      </c>
      <c r="B2104" t="str">
        <v>MAIO</v>
      </c>
      <c r="C2104" t="str">
        <v>CELEBRATE</v>
      </c>
      <c r="D2104">
        <v>252</v>
      </c>
      <c r="E2104">
        <v>3024</v>
      </c>
      <c r="F2104">
        <v>250</v>
      </c>
      <c r="G2104">
        <v>2</v>
      </c>
      <c r="H2104" t="str">
        <v>SEMANA MAIO!B54:I54</v>
      </c>
      <c r="I2104">
        <v>400</v>
      </c>
    </row>
    <row r="2105" spans="1:9" x14ac:dyDescent="0.3">
      <c r="A2105">
        <v>46149</v>
      </c>
      <c r="B2105" t="str">
        <v>MAIO</v>
      </c>
      <c r="C2105" t="str">
        <v>UNTA FACIL</v>
      </c>
      <c r="D2105">
        <v>105</v>
      </c>
      <c r="E2105">
        <v>1260</v>
      </c>
      <c r="F2105">
        <v>665</v>
      </c>
      <c r="G2105">
        <v>7</v>
      </c>
      <c r="H2105" t="str">
        <v>SEMANA MAIO!B55:I55</v>
      </c>
      <c r="I2105">
        <v>600</v>
      </c>
    </row>
    <row r="2106" spans="1:9" x14ac:dyDescent="0.3">
      <c r="A2106">
        <v>46150</v>
      </c>
      <c r="B2106" t="str">
        <v>MAIO</v>
      </c>
      <c r="C2106" t="str">
        <v>UNTA FACIL</v>
      </c>
      <c r="D2106">
        <v>531</v>
      </c>
      <c r="E2106">
        <v>6372</v>
      </c>
      <c r="F2106">
        <v>560</v>
      </c>
      <c r="G2106">
        <v>6</v>
      </c>
      <c r="H2106" t="str">
        <v>SEMANA MAIO!B60:I60</v>
      </c>
      <c r="I2106">
        <v>600</v>
      </c>
    </row>
    <row r="2107" spans="1:9" x14ac:dyDescent="0.3">
      <c r="A2107">
        <v>46151</v>
      </c>
      <c r="B2107" t="str">
        <v>MAIO</v>
      </c>
      <c r="C2107" t="str">
        <v>UNTA FACIL</v>
      </c>
      <c r="D2107">
        <v>37</v>
      </c>
      <c r="E2107">
        <v>444</v>
      </c>
      <c r="F2107">
        <v>29</v>
      </c>
      <c r="G2107">
        <v>1</v>
      </c>
      <c r="H2107" t="str">
        <v>SEMANA MAIO!B68:I68</v>
      </c>
      <c r="I2107">
        <v>600</v>
      </c>
    </row>
    <row r="2108" spans="1:9" x14ac:dyDescent="0.3">
      <c r="A2108">
        <v>46151</v>
      </c>
      <c r="B2108" t="str">
        <v>MAIO</v>
      </c>
      <c r="C2108" t="str">
        <v>ADIMIX LISSE</v>
      </c>
      <c r="D2108">
        <v>641</v>
      </c>
      <c r="E2108">
        <v>7692</v>
      </c>
      <c r="F2108">
        <v>650</v>
      </c>
      <c r="G2108">
        <v>7</v>
      </c>
      <c r="H2108" t="str">
        <v>SEMANA MAIO!B69:I69</v>
      </c>
      <c r="I2108">
        <v>600</v>
      </c>
    </row>
    <row r="2109" spans="1:9" x14ac:dyDescent="0.3">
      <c r="A2109">
        <v>46153</v>
      </c>
      <c r="B2109" t="str">
        <v>MAIO</v>
      </c>
      <c r="C2109" t="str">
        <v>VIA PANE</v>
      </c>
      <c r="D2109">
        <v>202</v>
      </c>
      <c r="E2109">
        <v>2424</v>
      </c>
      <c r="F2109">
        <v>200</v>
      </c>
      <c r="G2109">
        <v>3</v>
      </c>
      <c r="H2109" t="str">
        <v>SEMANA MAIO!B76:I76</v>
      </c>
      <c r="I2109">
        <v>600</v>
      </c>
    </row>
    <row r="2110" spans="1:9" x14ac:dyDescent="0.3">
      <c r="A2110">
        <v>46153</v>
      </c>
      <c r="B2110" t="str">
        <v>MAIO</v>
      </c>
      <c r="C2110" t="str">
        <v>CLEIDE DOCES</v>
      </c>
      <c r="D2110">
        <v>81</v>
      </c>
      <c r="E2110">
        <v>972</v>
      </c>
      <c r="F2110">
        <v>285</v>
      </c>
      <c r="G2110">
        <v>3</v>
      </c>
      <c r="H2110" t="str">
        <v>SEMANA MAIO!B77:I77</v>
      </c>
      <c r="I2110">
        <v>600</v>
      </c>
    </row>
    <row r="2111" spans="1:9" x14ac:dyDescent="0.3">
      <c r="A2111">
        <v>46154</v>
      </c>
      <c r="B2111" t="str">
        <v>MAIO</v>
      </c>
      <c r="C2111" t="str">
        <v>CLEIDE DOCES</v>
      </c>
      <c r="D2111">
        <v>205</v>
      </c>
      <c r="E2111">
        <v>2460</v>
      </c>
      <c r="F2111">
        <v>204</v>
      </c>
      <c r="G2111">
        <v>3</v>
      </c>
      <c r="H2111" t="str">
        <v>SEMANA MAIO!B85:I85</v>
      </c>
      <c r="I2111">
        <v>600</v>
      </c>
    </row>
    <row r="2112" spans="1:9" x14ac:dyDescent="0.3">
      <c r="A2112">
        <v>46154</v>
      </c>
      <c r="B2112" t="str">
        <v>MAIO</v>
      </c>
      <c r="C2112" t="str">
        <v>PURATOS NORCAU</v>
      </c>
      <c r="D2112">
        <v>700</v>
      </c>
      <c r="E2112">
        <v>8400</v>
      </c>
      <c r="F2112">
        <v>1045</v>
      </c>
      <c r="G2112">
        <v>11</v>
      </c>
      <c r="H2112" t="str">
        <v>SEMANA MAIO!B86:I86</v>
      </c>
      <c r="I2112">
        <v>600</v>
      </c>
    </row>
    <row r="2113" spans="1:9" x14ac:dyDescent="0.3">
      <c r="A2113">
        <v>46155</v>
      </c>
      <c r="B2113" t="str">
        <v>MAIO</v>
      </c>
      <c r="C2113" t="str">
        <v>PURATOS NORCAU</v>
      </c>
      <c r="D2113">
        <v>345</v>
      </c>
      <c r="E2113">
        <v>4140</v>
      </c>
      <c r="F2113">
        <v>345</v>
      </c>
      <c r="G2113">
        <v>4</v>
      </c>
      <c r="H2113" t="str">
        <v>SEMANA MAIO!B93:I93</v>
      </c>
      <c r="I2113">
        <v>600</v>
      </c>
    </row>
    <row r="2114" spans="1:9" x14ac:dyDescent="0.3">
      <c r="A2114">
        <v>46155</v>
      </c>
      <c r="B2114" t="str">
        <v>MAIO</v>
      </c>
      <c r="C2114" t="str">
        <v>PURATOS DESTAK</v>
      </c>
      <c r="D2114">
        <v>1127</v>
      </c>
      <c r="E2114">
        <v>6762</v>
      </c>
      <c r="F2114">
        <v>1900</v>
      </c>
      <c r="G2114">
        <v>10</v>
      </c>
      <c r="H2114" t="str">
        <v>SEMANA MAIO!B94:I94</v>
      </c>
      <c r="I2114">
        <v>600</v>
      </c>
    </row>
    <row r="2115" spans="1:9" x14ac:dyDescent="0.3">
      <c r="A2115">
        <v>46156</v>
      </c>
      <c r="B2115" t="str">
        <v>MAIO</v>
      </c>
      <c r="C2115" t="str">
        <v>PURATOS DESTAK</v>
      </c>
      <c r="D2115">
        <v>773</v>
      </c>
      <c r="E2115">
        <v>4638</v>
      </c>
      <c r="F2115">
        <v>773</v>
      </c>
      <c r="G2115">
        <v>5</v>
      </c>
      <c r="H2115" t="str">
        <v>SEMANA MAIO!B101:I101</v>
      </c>
      <c r="I2115">
        <v>600</v>
      </c>
    </row>
    <row r="2116" spans="1:9" x14ac:dyDescent="0.3">
      <c r="A2116">
        <v>46156</v>
      </c>
      <c r="B2116" t="str">
        <v>MAIO</v>
      </c>
      <c r="C2116" t="str">
        <v>UNTA FACIL</v>
      </c>
      <c r="D2116">
        <v>269</v>
      </c>
      <c r="E2116">
        <v>3228</v>
      </c>
      <c r="F2116">
        <v>1140</v>
      </c>
      <c r="G2116">
        <v>12</v>
      </c>
      <c r="H2116" t="str">
        <v>SEMANA MAIO!B102:I102</v>
      </c>
      <c r="I2116">
        <v>600</v>
      </c>
    </row>
    <row r="2117" spans="1:9" x14ac:dyDescent="0.3">
      <c r="A2117">
        <v>46157</v>
      </c>
      <c r="B2117" t="str">
        <v>MAIO</v>
      </c>
      <c r="C2117" t="str">
        <v>UNTA FACIL</v>
      </c>
      <c r="D2117">
        <v>449</v>
      </c>
      <c r="E2117">
        <v>5388</v>
      </c>
      <c r="F2117">
        <v>871</v>
      </c>
      <c r="G2117">
        <v>10</v>
      </c>
      <c r="H2117" t="str">
        <v>SEMANA MAIO!B109:I109</v>
      </c>
      <c r="I2117">
        <v>600</v>
      </c>
    </row>
    <row r="2118" spans="1:9" x14ac:dyDescent="0.3">
      <c r="A2118">
        <v>46157</v>
      </c>
      <c r="B2118" t="str">
        <v>MAIO</v>
      </c>
      <c r="C2118" t="str">
        <v>ADIMIX</v>
      </c>
      <c r="D2118">
        <v>39</v>
      </c>
      <c r="E2118">
        <v>468</v>
      </c>
      <c r="F2118">
        <v>665</v>
      </c>
      <c r="G2118">
        <v>7</v>
      </c>
      <c r="H2118" t="str">
        <v>SEMANA MAIO!B110:I110</v>
      </c>
      <c r="I2118">
        <v>600</v>
      </c>
    </row>
    <row r="2119" spans="1:9" x14ac:dyDescent="0.3">
      <c r="A2119">
        <v>46158</v>
      </c>
      <c r="B2119" t="str">
        <v>MAIO</v>
      </c>
      <c r="C2119" t="str">
        <v>ADIMIX</v>
      </c>
      <c r="D2119">
        <v>633</v>
      </c>
      <c r="E2119">
        <v>7596</v>
      </c>
      <c r="F2119">
        <v>626</v>
      </c>
      <c r="G2119">
        <v>7</v>
      </c>
      <c r="H2119" t="str">
        <v>SEMANA MAIO!B117:I117</v>
      </c>
      <c r="I2119">
        <v>600</v>
      </c>
    </row>
    <row r="2120" spans="1:9" x14ac:dyDescent="0.3">
      <c r="A2120">
        <v>46160</v>
      </c>
      <c r="B2120" t="str">
        <v>MAIO</v>
      </c>
      <c r="C2120" t="str">
        <v>CORANTE REPETECO VERDE</v>
      </c>
      <c r="D2120">
        <v>241</v>
      </c>
      <c r="E2120">
        <v>2892</v>
      </c>
      <c r="F2120">
        <v>240</v>
      </c>
      <c r="G2120">
        <v>1</v>
      </c>
      <c r="H2120" t="str">
        <v>SEMANA MAIO!B124:I124</v>
      </c>
      <c r="I2120">
        <v>70</v>
      </c>
    </row>
    <row r="2121" spans="1:9" x14ac:dyDescent="0.3">
      <c r="A2121">
        <v>46160</v>
      </c>
      <c r="B2121" t="str">
        <v>MAIO</v>
      </c>
      <c r="C2121" t="str">
        <v>CORANTE REPETECO LARANJA</v>
      </c>
      <c r="D2121">
        <v>243</v>
      </c>
      <c r="E2121">
        <v>2916</v>
      </c>
      <c r="F2121">
        <v>240</v>
      </c>
      <c r="G2121">
        <v>1</v>
      </c>
      <c r="H2121" t="str">
        <v>SEMANA MAIO!B125:I125</v>
      </c>
      <c r="I2121">
        <v>70</v>
      </c>
    </row>
    <row r="2122" spans="1:9" x14ac:dyDescent="0.3">
      <c r="A2122">
        <v>46160</v>
      </c>
      <c r="B2122" t="str">
        <v>MAIO</v>
      </c>
      <c r="C2122" t="str">
        <v>CORANTE REPETECO VIOLETA</v>
      </c>
      <c r="D2122">
        <v>242</v>
      </c>
      <c r="E2122">
        <v>2904</v>
      </c>
      <c r="F2122">
        <v>240</v>
      </c>
      <c r="G2122">
        <v>1</v>
      </c>
      <c r="H2122" t="str">
        <v>SEMANA MAIO!B126:I126</v>
      </c>
      <c r="I2122">
        <v>70</v>
      </c>
    </row>
    <row r="2123" spans="1:9" x14ac:dyDescent="0.3">
      <c r="A2123">
        <v>46160</v>
      </c>
      <c r="B2123" t="str">
        <v>MAIO</v>
      </c>
      <c r="C2123" t="str">
        <v>CARREFOUR COCO</v>
      </c>
      <c r="D2123">
        <v>239</v>
      </c>
      <c r="E2123">
        <v>2868</v>
      </c>
      <c r="F2123">
        <v>250</v>
      </c>
      <c r="G2123">
        <v>2</v>
      </c>
      <c r="H2123" t="str">
        <v>SEMANA MAIO!B127:I127</v>
      </c>
      <c r="I2123">
        <v>100</v>
      </c>
    </row>
    <row r="2124" spans="1:9" x14ac:dyDescent="0.3">
      <c r="A2124">
        <v>46161</v>
      </c>
      <c r="B2124" t="str">
        <v>MAIO</v>
      </c>
      <c r="C2124" t="str">
        <v>GPA QUALITA</v>
      </c>
      <c r="D2124">
        <v>240</v>
      </c>
      <c r="E2124">
        <v>2880</v>
      </c>
      <c r="F2124">
        <v>240</v>
      </c>
      <c r="G2124">
        <v>1</v>
      </c>
      <c r="H2124" t="str">
        <v>SEMANA MAIO!B134:I134</v>
      </c>
      <c r="I2124">
        <v>180</v>
      </c>
    </row>
    <row r="2125" spans="1:9" x14ac:dyDescent="0.3">
      <c r="A2125">
        <v>46161</v>
      </c>
      <c r="B2125" t="str">
        <v>MAIO</v>
      </c>
      <c r="C2125" t="str">
        <v>UNTA FACIL</v>
      </c>
      <c r="D2125">
        <v>551</v>
      </c>
      <c r="E2125">
        <v>6612</v>
      </c>
      <c r="F2125">
        <v>500</v>
      </c>
      <c r="G2125">
        <v>3</v>
      </c>
      <c r="H2125" t="str">
        <v>SEMANA MAIO!B135:I135</v>
      </c>
      <c r="I2125">
        <v>180</v>
      </c>
    </row>
    <row r="2126" spans="1:9" x14ac:dyDescent="0.3">
      <c r="A2126">
        <v>46161</v>
      </c>
      <c r="B2126" t="str">
        <v>MAIO</v>
      </c>
      <c r="C2126" t="str">
        <v>UNTA FACIL</v>
      </c>
      <c r="D2126">
        <v>464</v>
      </c>
      <c r="E2126">
        <v>5568</v>
      </c>
      <c r="F2126">
        <v>875</v>
      </c>
      <c r="G2126">
        <v>7</v>
      </c>
      <c r="H2126" t="str">
        <v>SEMANA MAIO!B136:I136</v>
      </c>
      <c r="I2126">
        <v>400</v>
      </c>
    </row>
    <row r="2127" spans="1:9" x14ac:dyDescent="0.3">
      <c r="A2127">
        <v>46162</v>
      </c>
      <c r="B2127" t="str">
        <v>MAIO</v>
      </c>
      <c r="C2127" t="str">
        <v>UNTA FACIL</v>
      </c>
      <c r="D2127">
        <v>536</v>
      </c>
      <c r="E2127">
        <v>6432</v>
      </c>
      <c r="F2127">
        <v>411</v>
      </c>
      <c r="G2127">
        <v>4</v>
      </c>
      <c r="H2127" t="str">
        <v>SEMANA MAIO!B142:I142</v>
      </c>
      <c r="I2127">
        <v>400</v>
      </c>
    </row>
    <row r="2128" spans="1:9" x14ac:dyDescent="0.3">
      <c r="A2128">
        <v>46162</v>
      </c>
      <c r="B2128" t="str">
        <v>MAIO</v>
      </c>
      <c r="C2128" t="str">
        <v>EMBRAPAN MAGIC SPRAY</v>
      </c>
      <c r="D2128">
        <v>251</v>
      </c>
      <c r="E2128">
        <v>3012</v>
      </c>
      <c r="F2128">
        <v>250</v>
      </c>
      <c r="G2128">
        <v>2</v>
      </c>
      <c r="H2128" t="str">
        <v>SEMANA MAIO!B143:I143</v>
      </c>
      <c r="I2128">
        <v>400</v>
      </c>
    </row>
    <row r="2129" spans="1:9" x14ac:dyDescent="0.3">
      <c r="A2129">
        <v>46162</v>
      </c>
      <c r="B2129" t="str">
        <v>MAIO</v>
      </c>
      <c r="C2129" t="str">
        <v>DISPAN UNTA TUDO</v>
      </c>
      <c r="D2129">
        <v>340</v>
      </c>
      <c r="E2129">
        <v>4080</v>
      </c>
      <c r="F2129">
        <v>375</v>
      </c>
      <c r="G2129">
        <v>3</v>
      </c>
      <c r="H2129" t="str">
        <v>SEMANA MAIO!B144:I144</v>
      </c>
      <c r="I2129">
        <v>400</v>
      </c>
    </row>
    <row r="2130" spans="1:9" x14ac:dyDescent="0.3">
      <c r="A2130">
        <v>46163</v>
      </c>
      <c r="B2130" t="str">
        <v>MAIO</v>
      </c>
      <c r="C2130" t="str">
        <v>DISPAN UNTA TUDO</v>
      </c>
      <c r="D2130">
        <v>37</v>
      </c>
      <c r="E2130">
        <v>444</v>
      </c>
      <c r="F2130">
        <v>35</v>
      </c>
      <c r="G2130">
        <v>1</v>
      </c>
      <c r="H2130" t="str">
        <v>SEMANA MAIO!B150:I150</v>
      </c>
      <c r="I2130">
        <v>400</v>
      </c>
    </row>
    <row r="2131" spans="1:9" x14ac:dyDescent="0.3">
      <c r="A2131">
        <v>46163</v>
      </c>
      <c r="B2131" t="str">
        <v>MAIO</v>
      </c>
      <c r="C2131" t="str">
        <v>FESTPAN GRILL</v>
      </c>
      <c r="D2131">
        <v>1534</v>
      </c>
      <c r="E2131">
        <v>18408</v>
      </c>
      <c r="F2131">
        <v>2060</v>
      </c>
      <c r="G2131">
        <v>17</v>
      </c>
      <c r="H2131" t="str">
        <v>SEMANA MAIO!B151:I151</v>
      </c>
      <c r="I2131">
        <v>400</v>
      </c>
    </row>
    <row r="2132" spans="1:9" x14ac:dyDescent="0.3">
      <c r="A2132">
        <v>46164</v>
      </c>
      <c r="B2132" t="str">
        <v>MAIO</v>
      </c>
      <c r="C2132" t="str">
        <v>FESTPAN GRILL</v>
      </c>
      <c r="D2132">
        <v>527</v>
      </c>
      <c r="E2132">
        <v>6324</v>
      </c>
      <c r="F2132">
        <v>526</v>
      </c>
      <c r="G2132">
        <v>5</v>
      </c>
      <c r="H2132" t="str">
        <v>SEMANA MAIO!B158:I158</v>
      </c>
      <c r="I2132">
        <v>400</v>
      </c>
    </row>
    <row r="2133" spans="1:9" x14ac:dyDescent="0.3">
      <c r="A2133">
        <v>46165</v>
      </c>
      <c r="B2133" t="str">
        <v>MAIO</v>
      </c>
      <c r="C2133" t="str">
        <v>DONA LELLA</v>
      </c>
      <c r="D2133">
        <v>875</v>
      </c>
      <c r="E2133">
        <v>10500</v>
      </c>
      <c r="F2133">
        <v>1650</v>
      </c>
      <c r="G2133">
        <v>14</v>
      </c>
      <c r="H2133" t="str">
        <v>SEMANA MAIO!B167:I167</v>
      </c>
      <c r="I2133">
        <v>400</v>
      </c>
    </row>
    <row r="2134" spans="1:9" x14ac:dyDescent="0.3">
      <c r="A2134">
        <v>46167</v>
      </c>
      <c r="B2134" t="str">
        <v>MAIO</v>
      </c>
      <c r="C2134" t="str">
        <v>DONA LELLA</v>
      </c>
      <c r="D2134">
        <v>775</v>
      </c>
      <c r="E2134">
        <v>9300</v>
      </c>
      <c r="F2134">
        <v>775</v>
      </c>
      <c r="G2134">
        <v>7</v>
      </c>
      <c r="H2134" t="str">
        <v>SEMANA MAIO!B175:I175</v>
      </c>
      <c r="I2134">
        <v>400</v>
      </c>
    </row>
    <row r="2135" spans="1:9" x14ac:dyDescent="0.3">
      <c r="A2135">
        <v>46167</v>
      </c>
      <c r="B2135" t="str">
        <v>MAIO</v>
      </c>
      <c r="C2135" t="str">
        <v>ICEBERG</v>
      </c>
      <c r="D2135">
        <v>261</v>
      </c>
      <c r="E2135">
        <v>3132</v>
      </c>
      <c r="F2135">
        <v>240</v>
      </c>
      <c r="G2135">
        <v>3</v>
      </c>
      <c r="H2135" t="str">
        <v>SEMANA MAIO!B176:I176</v>
      </c>
      <c r="I2135">
        <v>400</v>
      </c>
    </row>
    <row r="2136" spans="1:9" x14ac:dyDescent="0.3">
      <c r="A2136">
        <v>46167</v>
      </c>
      <c r="B2136" t="str">
        <v>MAIO</v>
      </c>
      <c r="C2136" t="str">
        <v>UNTA FACIL MEL</v>
      </c>
      <c r="D2136">
        <v>72</v>
      </c>
      <c r="E2136">
        <v>864</v>
      </c>
      <c r="F2136">
        <v>125</v>
      </c>
      <c r="G2136">
        <v>1</v>
      </c>
      <c r="H2136" t="str">
        <v>SEMANA MAIO!B177:I177</v>
      </c>
      <c r="I2136">
        <v>400</v>
      </c>
    </row>
    <row r="2137" spans="1:9" x14ac:dyDescent="0.3">
      <c r="A2137">
        <v>46168</v>
      </c>
      <c r="B2137" t="str">
        <v>MAIO</v>
      </c>
      <c r="C2137" t="str">
        <v>UNTA FACIL MEL</v>
      </c>
      <c r="D2137">
        <v>53</v>
      </c>
      <c r="E2137">
        <v>636</v>
      </c>
      <c r="F2137">
        <v>53</v>
      </c>
      <c r="G2137">
        <v>1</v>
      </c>
      <c r="H2137" t="str">
        <v>SEMANA MAIO!B183:I183</v>
      </c>
      <c r="I2137">
        <v>400</v>
      </c>
    </row>
    <row r="2138" spans="1:9" x14ac:dyDescent="0.3">
      <c r="A2138">
        <v>46168</v>
      </c>
      <c r="B2138" t="str">
        <v>MAIO</v>
      </c>
      <c r="C2138" t="str">
        <v>UNTA FACIL MEL</v>
      </c>
      <c r="D2138">
        <v>380</v>
      </c>
      <c r="E2138">
        <v>4560</v>
      </c>
      <c r="F2138">
        <v>380</v>
      </c>
      <c r="G2138">
        <v>4</v>
      </c>
      <c r="H2138" t="str">
        <v>SEMANA MAIO!B184:I184</v>
      </c>
      <c r="I2138">
        <v>600</v>
      </c>
    </row>
    <row r="2139" spans="1:9" x14ac:dyDescent="0.3">
      <c r="A2139">
        <v>46168</v>
      </c>
      <c r="B2139" t="str">
        <v>MAIO</v>
      </c>
      <c r="C2139" t="str">
        <v>TTF MEL</v>
      </c>
      <c r="D2139">
        <v>322</v>
      </c>
      <c r="E2139">
        <v>3864</v>
      </c>
      <c r="F2139">
        <v>285</v>
      </c>
      <c r="G2139">
        <v>3</v>
      </c>
      <c r="H2139" t="str">
        <v>SEMANA MAIO!B185:I185</v>
      </c>
      <c r="I2139">
        <v>600</v>
      </c>
    </row>
    <row r="2140" spans="1:9" x14ac:dyDescent="0.3">
      <c r="A2140">
        <v>46169</v>
      </c>
      <c r="B2140" t="str">
        <v>MAIO</v>
      </c>
      <c r="C2140" t="str">
        <v>ADIMIX LISSE</v>
      </c>
      <c r="D2140">
        <v>673</v>
      </c>
      <c r="E2140">
        <v>8076</v>
      </c>
      <c r="F2140">
        <v>665</v>
      </c>
      <c r="G2140">
        <v>7</v>
      </c>
      <c r="H2140" t="str">
        <v>SEMANA MAIO!B193:I193</v>
      </c>
      <c r="I2140">
        <v>600</v>
      </c>
    </row>
    <row r="2141" spans="1:9" x14ac:dyDescent="0.3">
      <c r="A2141">
        <v>46169</v>
      </c>
      <c r="B2141" t="str">
        <v>MAIO</v>
      </c>
      <c r="C2141" t="str">
        <v>QUALICOCO EXTRA VIRGEM</v>
      </c>
      <c r="D2141">
        <v>47</v>
      </c>
      <c r="E2141">
        <v>564</v>
      </c>
      <c r="F2141">
        <v>840</v>
      </c>
      <c r="G2141">
        <v>4</v>
      </c>
      <c r="H2141" t="str">
        <v>SEMANA MAIO!B194:I194</v>
      </c>
      <c r="I2141">
        <v>100</v>
      </c>
    </row>
    <row r="2142" spans="1:9" x14ac:dyDescent="0.3">
      <c r="A2142">
        <v>46170</v>
      </c>
      <c r="B2142" t="str">
        <v>MAIO</v>
      </c>
      <c r="C2142" t="str">
        <v>QUALICOCO EXTRA VIRGEM</v>
      </c>
      <c r="D2142">
        <v>747</v>
      </c>
      <c r="E2142">
        <v>8964</v>
      </c>
      <c r="F2142">
        <v>793</v>
      </c>
      <c r="G2142">
        <v>4</v>
      </c>
      <c r="H2142" t="str">
        <v>SEMANA MAIO!B202:I202</v>
      </c>
      <c r="I2142">
        <v>100</v>
      </c>
    </row>
    <row r="2143" spans="1:9" x14ac:dyDescent="0.3">
      <c r="A2143">
        <v>46170</v>
      </c>
      <c r="B2143" t="str">
        <v>MAIO</v>
      </c>
      <c r="C2143" t="str">
        <v>QUALICOCO MANTEIGA</v>
      </c>
      <c r="D2143">
        <v>690</v>
      </c>
      <c r="E2143">
        <v>8280</v>
      </c>
      <c r="F2143">
        <v>840</v>
      </c>
      <c r="G2143">
        <v>4</v>
      </c>
      <c r="H2143" t="str">
        <v>SEMANA MAIO!B203:I203</v>
      </c>
      <c r="I2143">
        <v>100</v>
      </c>
    </row>
    <row r="2144" spans="1:9" x14ac:dyDescent="0.3">
      <c r="A2144">
        <v>46171</v>
      </c>
      <c r="B2144" t="str">
        <v>MAIO</v>
      </c>
      <c r="C2144" t="str">
        <v>QUALICOCO MANTEIGA</v>
      </c>
      <c r="D2144">
        <v>147</v>
      </c>
      <c r="E2144">
        <v>1764</v>
      </c>
      <c r="F2144">
        <v>150</v>
      </c>
      <c r="G2144">
        <v>1</v>
      </c>
      <c r="H2144" t="str">
        <v>SEMANA MAIO!B210:I210</v>
      </c>
      <c r="I2144">
        <v>100</v>
      </c>
    </row>
    <row r="2145" spans="1:9" x14ac:dyDescent="0.3">
      <c r="A2145">
        <v>46171</v>
      </c>
      <c r="B2145" t="str">
        <v>MAIO</v>
      </c>
      <c r="C2145" t="str">
        <v>COPRA MANTEIGA</v>
      </c>
      <c r="D2145">
        <v>610</v>
      </c>
      <c r="E2145">
        <v>7320</v>
      </c>
      <c r="F2145">
        <v>500</v>
      </c>
      <c r="G2145">
        <v>3</v>
      </c>
      <c r="H2145" t="str">
        <v>SEMANA MAIO!B211:I211</v>
      </c>
      <c r="I2145">
        <v>100</v>
      </c>
    </row>
    <row r="2146" spans="1:9" x14ac:dyDescent="0.3">
      <c r="A2146">
        <v>46172</v>
      </c>
      <c r="B2146" t="str">
        <v>MAIO</v>
      </c>
      <c r="C2146" t="str">
        <v>VIA PANE</v>
      </c>
      <c r="D2146">
        <v>201</v>
      </c>
      <c r="E2146">
        <v>2412</v>
      </c>
      <c r="F2146">
        <v>200</v>
      </c>
      <c r="G2146">
        <v>3</v>
      </c>
      <c r="H2146" t="str">
        <v>SEMANA MAIO!B219:I219</v>
      </c>
      <c r="I2146">
        <v>600</v>
      </c>
    </row>
    <row r="2147" spans="1:9" x14ac:dyDescent="0.3">
      <c r="A2147">
        <v>46172</v>
      </c>
      <c r="B2147" t="str">
        <v>MAIO</v>
      </c>
      <c r="C2147" t="str">
        <v>ITAIQUARA</v>
      </c>
      <c r="D2147">
        <v>381</v>
      </c>
      <c r="E2147">
        <v>4572</v>
      </c>
      <c r="F2147">
        <v>380</v>
      </c>
      <c r="G2147">
        <v>4</v>
      </c>
      <c r="H2147" t="str">
        <v>SEMANA MAIO!B220:I220</v>
      </c>
      <c r="I2147">
        <v>600</v>
      </c>
    </row>
    <row r="2601" spans="1:9" x14ac:dyDescent="0.3">
      <c r="A2601" cm="1">
        <f t="array" ref="A2601:I2652">_xlfn.LET(_xlpm.a,'SEMANA JUNHO'!A1:A500,_xlpm.b,'SEMANA JUNHO'!B1:B500,_xlpm.c,'SEMANA JUNHO'!C1:C500,_xlpm.d,'SEMANA JUNHO'!D1:D500,_xlpm.g,'SEMANA JUNHO'!G1:G500,_xlpm.h,'SEMANA JUNHO'!H1:H500,_xlpm.i,'SEMANA JUNHO'!I1:I500,_xlpm.dt,IFERROR(LOOKUP(ROW(_xlpm.a),ROW(_xlpm.a)/(_xlpm.a&gt;40000),_xlpm.a),""),_xlpm.orig,"SEMANA JUNHO!B"&amp;ROW(_xlpm.b)&amp;":I"&amp;ROW(_xlpm.b),_xlfn._xlws.FILTER(_xlfn.HSTACK(_xlpm.dt,IF(_xlpm.b&lt;&gt;"","JUNHO",""),TRIM(_xlpm.b),_xlpm.h,_xlpm.i,_xlpm.d,_xlpm.g,_xlpm.orig,_xlpm.c),(_xlpm.b&lt;&gt;"")*(_xlpm.b&lt;&gt;"PRODUTO")*(_xlpm.b&lt;&gt;"TOTAL")*(_xlpm.h&gt;0),_xlfn.HSTACK("","","","","","","","","")))</f>
        <v>46174</v>
      </c>
      <c r="B2601" t="str">
        <v>JUNHO</v>
      </c>
      <c r="C2601" t="str">
        <v>PURATOS DESTAK</v>
      </c>
      <c r="D2601">
        <v>1463</v>
      </c>
      <c r="E2601">
        <v>8778</v>
      </c>
      <c r="F2601">
        <v>3990</v>
      </c>
      <c r="G2601">
        <v>21</v>
      </c>
      <c r="H2601" t="str">
        <v>SEMANA JUNHO!B4:I4</v>
      </c>
      <c r="I2601">
        <v>600</v>
      </c>
    </row>
    <row r="2602" spans="1:9" x14ac:dyDescent="0.3">
      <c r="A2602">
        <v>46175</v>
      </c>
      <c r="B2602" t="str">
        <v>JUNHO</v>
      </c>
      <c r="C2602" t="str">
        <v>PURATOS DESTAK</v>
      </c>
      <c r="D2602">
        <v>1416</v>
      </c>
      <c r="E2602">
        <v>8496</v>
      </c>
      <c r="F2602">
        <v>2527</v>
      </c>
      <c r="G2602">
        <v>14</v>
      </c>
      <c r="H2602" t="str">
        <v>SEMANA JUNHO!B12:I12</v>
      </c>
      <c r="I2602">
        <v>600</v>
      </c>
    </row>
    <row r="2603" spans="1:9" x14ac:dyDescent="0.3">
      <c r="A2603">
        <v>46176</v>
      </c>
      <c r="B2603" t="str">
        <v>JUNHO</v>
      </c>
      <c r="C2603" t="str">
        <v>PURATOS DESTAK</v>
      </c>
      <c r="D2603">
        <v>1111</v>
      </c>
      <c r="E2603">
        <v>6666</v>
      </c>
      <c r="F2603">
        <v>1111</v>
      </c>
      <c r="G2603">
        <v>6</v>
      </c>
      <c r="H2603" t="str">
        <v>SEMANA JUNHO!B20:I20</v>
      </c>
      <c r="I2603">
        <v>600</v>
      </c>
    </row>
    <row r="2604" spans="1:9" x14ac:dyDescent="0.3">
      <c r="A2604">
        <v>46176</v>
      </c>
      <c r="B2604" t="str">
        <v>JUNHO</v>
      </c>
      <c r="C2604" t="str">
        <v>PURATOS NORCAU</v>
      </c>
      <c r="D2604">
        <v>330</v>
      </c>
      <c r="E2604">
        <v>3960</v>
      </c>
      <c r="F2604">
        <v>1995</v>
      </c>
      <c r="G2604">
        <v>21</v>
      </c>
      <c r="H2604" t="str">
        <v>SEMANA JUNHO!B21:I21</v>
      </c>
      <c r="I2604">
        <v>600</v>
      </c>
    </row>
    <row r="2605" spans="1:9" x14ac:dyDescent="0.3">
      <c r="A2605">
        <v>46177</v>
      </c>
      <c r="B2605" t="str">
        <v>JUNHO</v>
      </c>
      <c r="C2605" t="str">
        <v>PURATOS NORCAU</v>
      </c>
      <c r="D2605">
        <v>929</v>
      </c>
      <c r="E2605">
        <v>11148</v>
      </c>
      <c r="F2605">
        <v>1665</v>
      </c>
      <c r="G2605">
        <v>18</v>
      </c>
      <c r="H2605" t="str">
        <v>SEMANA JUNHO!B28:I28</v>
      </c>
      <c r="I2605">
        <v>600</v>
      </c>
    </row>
    <row r="2606" spans="1:9" x14ac:dyDescent="0.3">
      <c r="A2606">
        <v>46181</v>
      </c>
      <c r="B2606" t="str">
        <v>JUNHO</v>
      </c>
      <c r="C2606" t="str">
        <v>PURATOS NORCAU</v>
      </c>
      <c r="D2606">
        <v>619</v>
      </c>
      <c r="E2606">
        <v>7428</v>
      </c>
      <c r="F2606">
        <v>736</v>
      </c>
      <c r="G2606">
        <v>8</v>
      </c>
      <c r="H2606" t="str">
        <v>SEMANA JUNHO!B52:I52</v>
      </c>
      <c r="I2606">
        <v>600</v>
      </c>
    </row>
    <row r="2607" spans="1:9" x14ac:dyDescent="0.3">
      <c r="A2607">
        <v>46182</v>
      </c>
      <c r="B2607" t="str">
        <v>JUNHO</v>
      </c>
      <c r="C2607" t="str">
        <v>PURATOS NORCAU</v>
      </c>
      <c r="D2607">
        <v>117</v>
      </c>
      <c r="E2607">
        <v>1404</v>
      </c>
      <c r="F2607">
        <v>117</v>
      </c>
      <c r="G2607">
        <v>2</v>
      </c>
      <c r="H2607" t="str">
        <v>SEMANA JUNHO!B60:I60</v>
      </c>
      <c r="I2607">
        <v>600</v>
      </c>
    </row>
    <row r="2608" spans="1:9" x14ac:dyDescent="0.3">
      <c r="A2608">
        <v>46182</v>
      </c>
      <c r="B2608" t="str">
        <v>JUNHO</v>
      </c>
      <c r="C2608" t="str">
        <v>ADIMIX LISSE</v>
      </c>
      <c r="D2608">
        <v>598</v>
      </c>
      <c r="E2608">
        <v>7176</v>
      </c>
      <c r="F2608">
        <v>665</v>
      </c>
      <c r="G2608">
        <v>7</v>
      </c>
      <c r="H2608" t="str">
        <v>SEMANA JUNHO!B61:I61</v>
      </c>
      <c r="I2608">
        <v>600</v>
      </c>
    </row>
    <row r="2609" spans="1:9" x14ac:dyDescent="0.3">
      <c r="A2609">
        <v>46183</v>
      </c>
      <c r="B2609" t="str">
        <v>JUNHO</v>
      </c>
      <c r="C2609" t="str">
        <v>ADIMIX LISSE</v>
      </c>
      <c r="D2609">
        <v>74</v>
      </c>
      <c r="E2609">
        <v>888</v>
      </c>
      <c r="F2609">
        <v>67</v>
      </c>
      <c r="G2609">
        <v>1</v>
      </c>
      <c r="H2609" t="str">
        <v>SEMANA JUNHO!B69:I69</v>
      </c>
      <c r="I2609">
        <v>600</v>
      </c>
    </row>
    <row r="2610" spans="1:9" x14ac:dyDescent="0.3">
      <c r="A2610">
        <v>46183</v>
      </c>
      <c r="B2610" t="str">
        <v>JUNHO</v>
      </c>
      <c r="C2610" t="str">
        <v>UNTA FACIL</v>
      </c>
      <c r="D2610">
        <v>866</v>
      </c>
      <c r="E2610">
        <v>10392</v>
      </c>
      <c r="F2610">
        <v>1330</v>
      </c>
      <c r="G2610">
        <v>14</v>
      </c>
      <c r="H2610" t="str">
        <v>SEMANA JUNHO!B70:I70</v>
      </c>
      <c r="I2610">
        <v>600</v>
      </c>
    </row>
    <row r="2611" spans="1:9" x14ac:dyDescent="0.3">
      <c r="A2611">
        <v>46184</v>
      </c>
      <c r="B2611" t="str">
        <v>JUNHO</v>
      </c>
      <c r="C2611" t="str">
        <v>UNTA FACIL</v>
      </c>
      <c r="D2611">
        <v>480</v>
      </c>
      <c r="E2611">
        <v>5760</v>
      </c>
      <c r="F2611">
        <v>464</v>
      </c>
      <c r="G2611">
        <v>5</v>
      </c>
      <c r="H2611" t="str">
        <v>SEMANA JUNHO!B78:I78</v>
      </c>
      <c r="I2611">
        <v>600</v>
      </c>
    </row>
    <row r="2612" spans="1:9" x14ac:dyDescent="0.3">
      <c r="A2612">
        <v>46184</v>
      </c>
      <c r="B2612" t="str">
        <v>JUNHO</v>
      </c>
      <c r="C2612" t="str">
        <v>ALLBREAD</v>
      </c>
      <c r="D2612">
        <v>449</v>
      </c>
      <c r="E2612">
        <v>5388</v>
      </c>
      <c r="F2612">
        <v>768</v>
      </c>
      <c r="G2612">
        <v>9</v>
      </c>
      <c r="H2612" t="str">
        <v>SEMANA JUNHO!B79:I79</v>
      </c>
      <c r="I2612">
        <v>600</v>
      </c>
    </row>
    <row r="2613" spans="1:9" x14ac:dyDescent="0.3">
      <c r="A2613">
        <v>46185</v>
      </c>
      <c r="B2613" t="str">
        <v>JUNHO</v>
      </c>
      <c r="C2613" t="str">
        <v>ALLBREAD</v>
      </c>
      <c r="D2613">
        <v>319</v>
      </c>
      <c r="E2613">
        <v>3828</v>
      </c>
      <c r="F2613">
        <v>319</v>
      </c>
      <c r="G2613">
        <v>4</v>
      </c>
      <c r="H2613" t="str">
        <v>SEMANA JUNHO!B86:I86</v>
      </c>
      <c r="I2613">
        <v>600</v>
      </c>
    </row>
    <row r="2614" spans="1:9" x14ac:dyDescent="0.3">
      <c r="A2614">
        <v>46185</v>
      </c>
      <c r="B2614" t="str">
        <v>JUNHO</v>
      </c>
      <c r="C2614" t="str">
        <v>ALLBREAD MANTEIGA</v>
      </c>
      <c r="D2614">
        <v>221</v>
      </c>
      <c r="E2614">
        <v>2652</v>
      </c>
      <c r="F2614">
        <v>218</v>
      </c>
      <c r="G2614">
        <v>3</v>
      </c>
      <c r="H2614" t="str">
        <v>SEMANA JUNHO!B87:I87</v>
      </c>
      <c r="I2614">
        <v>600</v>
      </c>
    </row>
    <row r="2615" spans="1:9" x14ac:dyDescent="0.3">
      <c r="A2615">
        <v>46185</v>
      </c>
      <c r="B2615" t="str">
        <v>JUNHO</v>
      </c>
      <c r="C2615" t="str">
        <v>UNTA FACIL ECO</v>
      </c>
      <c r="D2615">
        <v>262</v>
      </c>
      <c r="E2615">
        <v>3144</v>
      </c>
      <c r="F2615">
        <v>475</v>
      </c>
      <c r="G2615">
        <v>5</v>
      </c>
      <c r="H2615" t="str">
        <v>SEMANA JUNHO!B88:I88</v>
      </c>
      <c r="I2615">
        <v>600</v>
      </c>
    </row>
    <row r="2616" spans="1:9" x14ac:dyDescent="0.3">
      <c r="A2616">
        <v>46186</v>
      </c>
      <c r="B2616" t="str">
        <v>JUNHO</v>
      </c>
      <c r="C2616" t="str">
        <v>UNTA FACIL ECO</v>
      </c>
      <c r="D2616">
        <v>213</v>
      </c>
      <c r="E2616">
        <v>2556</v>
      </c>
      <c r="F2616">
        <v>213</v>
      </c>
      <c r="G2616">
        <v>3</v>
      </c>
      <c r="H2616" t="str">
        <v>SEMANA JUNHO!B95:I95</v>
      </c>
      <c r="I2616">
        <v>600</v>
      </c>
    </row>
    <row r="2617" spans="1:9" x14ac:dyDescent="0.3">
      <c r="A2617">
        <v>46186</v>
      </c>
      <c r="B2617" t="str">
        <v>JUNHO</v>
      </c>
      <c r="C2617" t="str">
        <v>TTF MEL</v>
      </c>
      <c r="D2617">
        <v>285</v>
      </c>
      <c r="E2617">
        <v>3420</v>
      </c>
      <c r="F2617">
        <v>285</v>
      </c>
      <c r="G2617">
        <v>3</v>
      </c>
      <c r="H2617" t="str">
        <v>SEMANA JUNHO!B96:I96</v>
      </c>
      <c r="I2617">
        <v>600</v>
      </c>
    </row>
    <row r="2618" spans="1:9" x14ac:dyDescent="0.3">
      <c r="A2618">
        <v>46186</v>
      </c>
      <c r="B2618" t="str">
        <v>JUNHO</v>
      </c>
      <c r="C2618" t="str">
        <v>ICE ICEBERG</v>
      </c>
      <c r="D2618">
        <v>10</v>
      </c>
      <c r="E2618">
        <v>1200</v>
      </c>
      <c r="F2618">
        <v>17</v>
      </c>
      <c r="G2618">
        <v>1</v>
      </c>
      <c r="H2618" t="str">
        <v>SEMANA JUNHO!B97:I97</v>
      </c>
      <c r="I2618">
        <v>210</v>
      </c>
    </row>
    <row r="2619" spans="1:9" x14ac:dyDescent="0.3">
      <c r="A2619">
        <v>46188</v>
      </c>
      <c r="B2619" t="str">
        <v>JUNHO</v>
      </c>
      <c r="C2619" t="str">
        <v>ICE ICEBERG</v>
      </c>
      <c r="D2619">
        <v>10</v>
      </c>
      <c r="E2619">
        <v>1216</v>
      </c>
      <c r="F2619">
        <v>7</v>
      </c>
      <c r="G2619">
        <v>1</v>
      </c>
      <c r="H2619" t="str">
        <v>SEMANA JUNHO!B106:I106</v>
      </c>
      <c r="I2619">
        <v>210</v>
      </c>
    </row>
    <row r="2620" spans="1:9" x14ac:dyDescent="0.3">
      <c r="A2620">
        <v>46188</v>
      </c>
      <c r="B2620" t="str">
        <v>JUNHO</v>
      </c>
      <c r="C2620" t="str">
        <v>UNTA FACIL ECO</v>
      </c>
      <c r="D2620">
        <v>196</v>
      </c>
      <c r="E2620">
        <v>2352</v>
      </c>
      <c r="F2620">
        <v>195</v>
      </c>
      <c r="G2620">
        <v>2</v>
      </c>
      <c r="H2620" t="str">
        <v>SEMANA JUNHO!B107:I107</v>
      </c>
      <c r="I2620">
        <v>400</v>
      </c>
    </row>
    <row r="2621" spans="1:9" x14ac:dyDescent="0.3">
      <c r="A2621">
        <v>46188</v>
      </c>
      <c r="B2621" t="str">
        <v>JUNHO</v>
      </c>
      <c r="C2621" t="str">
        <v>UNTA FACIL</v>
      </c>
      <c r="D2621">
        <v>895</v>
      </c>
      <c r="E2621">
        <v>10740</v>
      </c>
      <c r="F2621">
        <v>1750</v>
      </c>
      <c r="G2621">
        <v>14</v>
      </c>
      <c r="H2621" t="str">
        <v>SEMANA JUNHO!B108:I108</v>
      </c>
      <c r="I2621">
        <v>400</v>
      </c>
    </row>
    <row r="2622" spans="1:9" x14ac:dyDescent="0.3">
      <c r="A2622">
        <v>46189</v>
      </c>
      <c r="B2622" t="str">
        <v>JUNHO</v>
      </c>
      <c r="C2622" t="str">
        <v>UNTA FACIL</v>
      </c>
      <c r="D2622">
        <v>844</v>
      </c>
      <c r="E2622">
        <v>10128</v>
      </c>
      <c r="F2622">
        <v>855</v>
      </c>
      <c r="G2622">
        <v>7</v>
      </c>
      <c r="H2622" t="str">
        <v>SEMANA JUNHO!B114:I114</v>
      </c>
      <c r="I2622">
        <v>400</v>
      </c>
    </row>
    <row r="2623" spans="1:9" x14ac:dyDescent="0.3">
      <c r="A2623">
        <v>46189</v>
      </c>
      <c r="B2623" t="str">
        <v>JUNHO</v>
      </c>
      <c r="C2623" t="str">
        <v>CASA DO PANIFICADOR</v>
      </c>
      <c r="D2623">
        <v>201</v>
      </c>
      <c r="E2623">
        <v>2412</v>
      </c>
      <c r="F2623">
        <v>200</v>
      </c>
      <c r="G2623">
        <v>2</v>
      </c>
      <c r="H2623" t="str">
        <v>SEMANA JUNHO!B115:I115</v>
      </c>
      <c r="I2623">
        <v>400</v>
      </c>
    </row>
    <row r="2624" spans="1:9" x14ac:dyDescent="0.3">
      <c r="A2624">
        <v>46189</v>
      </c>
      <c r="B2624" t="str">
        <v>JUNHO</v>
      </c>
      <c r="C2624" t="str">
        <v>BONASSE</v>
      </c>
      <c r="D2624">
        <v>250</v>
      </c>
      <c r="E2624">
        <v>3000</v>
      </c>
      <c r="F2624">
        <v>250</v>
      </c>
      <c r="G2624">
        <v>2</v>
      </c>
      <c r="H2624" t="str">
        <v>SEMANA JUNHO!B116:I116</v>
      </c>
      <c r="I2624">
        <v>400</v>
      </c>
    </row>
    <row r="2625" spans="1:9" x14ac:dyDescent="0.3">
      <c r="A2625">
        <v>46189</v>
      </c>
      <c r="B2625" t="str">
        <v>JUNHO</v>
      </c>
      <c r="C2625" t="str">
        <v>TTF</v>
      </c>
      <c r="D2625">
        <v>47</v>
      </c>
      <c r="E2625">
        <v>564</v>
      </c>
      <c r="F2625">
        <v>125</v>
      </c>
      <c r="G2625">
        <v>1</v>
      </c>
      <c r="H2625" t="str">
        <v>SEMANA JUNHO!B117:I117</v>
      </c>
      <c r="I2625">
        <v>400</v>
      </c>
    </row>
    <row r="2626" spans="1:9" x14ac:dyDescent="0.3">
      <c r="A2626">
        <v>46190</v>
      </c>
      <c r="B2626" t="str">
        <v>JUNHO</v>
      </c>
      <c r="C2626" t="str">
        <v>TTF</v>
      </c>
      <c r="D2626">
        <v>80</v>
      </c>
      <c r="E2626">
        <v>960</v>
      </c>
      <c r="F2626">
        <v>78</v>
      </c>
      <c r="G2626">
        <v>1</v>
      </c>
      <c r="H2626" t="str">
        <v>SEMANA JUNHO!B125:I125</v>
      </c>
      <c r="I2626">
        <v>400</v>
      </c>
    </row>
    <row r="2627" spans="1:9" x14ac:dyDescent="0.3">
      <c r="A2627">
        <v>46190</v>
      </c>
      <c r="B2627" t="str">
        <v>JUNHO</v>
      </c>
      <c r="C2627" t="str">
        <v>ICEBERG</v>
      </c>
      <c r="D2627">
        <v>1066</v>
      </c>
      <c r="E2627">
        <v>12792</v>
      </c>
      <c r="F2627">
        <v>1540</v>
      </c>
      <c r="G2627">
        <v>14</v>
      </c>
      <c r="H2627" t="str">
        <v>SEMANA JUNHO!B126:I126</v>
      </c>
      <c r="I2627">
        <v>400</v>
      </c>
    </row>
    <row r="2628" spans="1:9" x14ac:dyDescent="0.3">
      <c r="A2628">
        <v>46191</v>
      </c>
      <c r="B2628" t="str">
        <v>JUNHO</v>
      </c>
      <c r="C2628" t="str">
        <v>ICEBERG</v>
      </c>
      <c r="D2628">
        <v>478</v>
      </c>
      <c r="E2628">
        <v>5736</v>
      </c>
      <c r="F2628">
        <v>474</v>
      </c>
      <c r="G2628">
        <v>5</v>
      </c>
      <c r="H2628" t="str">
        <v>SEMANA JUNHO!B133:I133</v>
      </c>
      <c r="I2628">
        <v>400</v>
      </c>
    </row>
    <row r="2629" spans="1:9" x14ac:dyDescent="0.3">
      <c r="A2629">
        <v>46191</v>
      </c>
      <c r="B2629" t="str">
        <v>JUNHO</v>
      </c>
      <c r="C2629" t="str">
        <v>DISPAN</v>
      </c>
      <c r="D2629">
        <v>378</v>
      </c>
      <c r="E2629">
        <v>4536</v>
      </c>
      <c r="F2629">
        <v>377</v>
      </c>
      <c r="G2629">
        <v>4</v>
      </c>
      <c r="H2629" t="str">
        <v>SEMANA JUNHO!B134:I134</v>
      </c>
      <c r="I2629">
        <v>400</v>
      </c>
    </row>
    <row r="2630" spans="1:9" x14ac:dyDescent="0.3">
      <c r="A2630">
        <v>46191</v>
      </c>
      <c r="B2630" t="str">
        <v>JUNHO</v>
      </c>
      <c r="C2630" t="str">
        <v>CELEBRATE</v>
      </c>
      <c r="D2630">
        <v>251</v>
      </c>
      <c r="E2630">
        <v>3012</v>
      </c>
      <c r="F2630">
        <v>250</v>
      </c>
      <c r="G2630">
        <v>2</v>
      </c>
      <c r="H2630" t="str">
        <v>SEMANA JUNHO!B135:I135</v>
      </c>
      <c r="I2630">
        <v>400</v>
      </c>
    </row>
    <row r="2631" spans="1:9" x14ac:dyDescent="0.3">
      <c r="A2631">
        <v>46191</v>
      </c>
      <c r="B2631" t="str">
        <v>JUNHO</v>
      </c>
      <c r="C2631" t="str">
        <v>PURATOS DESTAK</v>
      </c>
      <c r="D2631">
        <v>40</v>
      </c>
      <c r="E2631">
        <v>240</v>
      </c>
      <c r="F2631">
        <v>1330</v>
      </c>
      <c r="G2631">
        <v>7</v>
      </c>
      <c r="H2631" t="str">
        <v>SEMANA JUNHO!B136:I136</v>
      </c>
      <c r="I2631">
        <v>600</v>
      </c>
    </row>
    <row r="2632" spans="1:9" x14ac:dyDescent="0.3">
      <c r="A2632">
        <v>46192</v>
      </c>
      <c r="B2632" t="str">
        <v>JUNHO</v>
      </c>
      <c r="C2632" t="str">
        <v>PURATOS DESTAK</v>
      </c>
      <c r="D2632">
        <v>1290</v>
      </c>
      <c r="E2632">
        <v>7740</v>
      </c>
      <c r="F2632">
        <v>1290</v>
      </c>
      <c r="G2632">
        <v>7</v>
      </c>
      <c r="H2632" t="str">
        <v>SEMANA JUNHO!B141:I141</v>
      </c>
      <c r="I2632">
        <v>600</v>
      </c>
    </row>
    <row r="2633" spans="1:9" x14ac:dyDescent="0.3">
      <c r="A2633">
        <v>46192</v>
      </c>
      <c r="B2633" t="str">
        <v>JUNHO</v>
      </c>
      <c r="C2633" t="str">
        <v>PURATOS NORCAU</v>
      </c>
      <c r="D2633">
        <v>185</v>
      </c>
      <c r="E2633">
        <v>2220</v>
      </c>
      <c r="F2633">
        <v>665</v>
      </c>
      <c r="G2633">
        <v>7</v>
      </c>
      <c r="H2633" t="str">
        <v>SEMANA JUNHO!B142:I142</v>
      </c>
      <c r="I2633">
        <v>600</v>
      </c>
    </row>
    <row r="2634" spans="1:9" x14ac:dyDescent="0.3">
      <c r="A2634">
        <v>46193</v>
      </c>
      <c r="B2634" t="str">
        <v>JUNHO</v>
      </c>
      <c r="C2634" t="str">
        <v>PURATOS NORCAU</v>
      </c>
      <c r="D2634">
        <v>480</v>
      </c>
      <c r="E2634">
        <v>5760</v>
      </c>
      <c r="F2634">
        <v>480</v>
      </c>
      <c r="G2634">
        <v>6</v>
      </c>
      <c r="H2634" t="str">
        <v>SEMANA JUNHO!B149:I149</v>
      </c>
      <c r="I2634">
        <v>600</v>
      </c>
    </row>
    <row r="2635" spans="1:9" x14ac:dyDescent="0.3">
      <c r="A2635">
        <v>46193</v>
      </c>
      <c r="B2635" t="str">
        <v>JUNHO</v>
      </c>
      <c r="C2635" t="str">
        <v>ITAIQUARA</v>
      </c>
      <c r="D2635">
        <v>137</v>
      </c>
      <c r="E2635">
        <v>1644</v>
      </c>
      <c r="F2635">
        <v>285</v>
      </c>
      <c r="G2635">
        <v>3</v>
      </c>
      <c r="H2635" t="str">
        <v>SEMANA JUNHO!B150:I150</v>
      </c>
      <c r="I2635">
        <v>600</v>
      </c>
    </row>
    <row r="2636" spans="1:9" x14ac:dyDescent="0.3">
      <c r="A2636">
        <v>46195</v>
      </c>
      <c r="B2636" t="str">
        <v>JUNHO</v>
      </c>
      <c r="C2636" t="str">
        <v>ITAIQUARA</v>
      </c>
      <c r="D2636">
        <v>149</v>
      </c>
      <c r="E2636">
        <v>1788</v>
      </c>
      <c r="F2636">
        <v>148</v>
      </c>
      <c r="G2636">
        <v>2</v>
      </c>
      <c r="H2636" t="str">
        <v>SEMANA JUNHO!B157:I157</v>
      </c>
      <c r="I2636">
        <v>600</v>
      </c>
    </row>
    <row r="2637" spans="1:9" x14ac:dyDescent="0.3">
      <c r="A2637">
        <v>46195</v>
      </c>
      <c r="B2637" t="str">
        <v>JUNHO</v>
      </c>
      <c r="C2637" t="str">
        <v>UNTA FACIL</v>
      </c>
      <c r="D2637">
        <v>673</v>
      </c>
      <c r="E2637">
        <v>8076</v>
      </c>
      <c r="F2637">
        <v>665</v>
      </c>
      <c r="G2637">
        <v>7</v>
      </c>
      <c r="H2637" t="str">
        <v>SEMANA JUNHO!B158:I158</v>
      </c>
      <c r="I2637">
        <v>600</v>
      </c>
    </row>
    <row r="2638" spans="1:9" x14ac:dyDescent="0.3">
      <c r="A2638">
        <v>46195</v>
      </c>
      <c r="B2638" t="str">
        <v>JUNHO</v>
      </c>
      <c r="C2638" t="str">
        <v>ADIMIX</v>
      </c>
      <c r="D2638">
        <v>103</v>
      </c>
      <c r="E2638">
        <v>1236</v>
      </c>
      <c r="F2638">
        <v>665</v>
      </c>
      <c r="G2638">
        <v>7</v>
      </c>
      <c r="H2638" t="str">
        <v>SEMANA JUNHO!B159:I159</v>
      </c>
      <c r="I2638">
        <v>600</v>
      </c>
    </row>
    <row r="2639" spans="1:9" x14ac:dyDescent="0.3">
      <c r="A2639">
        <v>46196</v>
      </c>
      <c r="B2639" t="str">
        <v>JUNHO</v>
      </c>
      <c r="C2639" t="str">
        <v>ADIMIX</v>
      </c>
      <c r="D2639">
        <v>513</v>
      </c>
      <c r="E2639">
        <v>6156</v>
      </c>
      <c r="F2639">
        <v>562</v>
      </c>
      <c r="G2639">
        <v>6</v>
      </c>
      <c r="H2639" t="str">
        <v>SEMANA JUNHO!B165:I165</v>
      </c>
      <c r="I2639">
        <v>600</v>
      </c>
    </row>
    <row r="2640" spans="1:9" x14ac:dyDescent="0.3">
      <c r="A2640">
        <v>46197</v>
      </c>
      <c r="B2640" t="str">
        <v>JUNHO</v>
      </c>
      <c r="C2640" t="str">
        <v>ADIMIX</v>
      </c>
      <c r="D2640">
        <v>57</v>
      </c>
      <c r="E2640">
        <v>684</v>
      </c>
      <c r="F2640">
        <v>49</v>
      </c>
      <c r="G2640">
        <v>1</v>
      </c>
      <c r="H2640" t="str">
        <v>SEMANA JUNHO!B173:I173</v>
      </c>
      <c r="I2640">
        <v>600</v>
      </c>
    </row>
    <row r="2641" spans="1:9" x14ac:dyDescent="0.3">
      <c r="A2641">
        <v>46197</v>
      </c>
      <c r="B2641" t="str">
        <v>JUNHO</v>
      </c>
      <c r="C2641" t="str">
        <v>UNTA FACIL</v>
      </c>
      <c r="D2641">
        <v>977</v>
      </c>
      <c r="E2641">
        <v>11724</v>
      </c>
      <c r="F2641">
        <v>1750</v>
      </c>
      <c r="G2641">
        <v>14</v>
      </c>
      <c r="H2641" t="str">
        <v>SEMANA JUNHO!B174:I174</v>
      </c>
      <c r="I2641">
        <v>400</v>
      </c>
    </row>
    <row r="2642" spans="1:9" x14ac:dyDescent="0.3">
      <c r="A2642">
        <v>46198</v>
      </c>
      <c r="B2642" t="str">
        <v>JUNHO</v>
      </c>
      <c r="C2642" t="str">
        <v>UNTA FACIL</v>
      </c>
      <c r="D2642">
        <v>757</v>
      </c>
      <c r="E2642">
        <v>9084</v>
      </c>
      <c r="F2642">
        <v>773</v>
      </c>
      <c r="G2642">
        <v>7</v>
      </c>
      <c r="H2642" t="str">
        <v>SEMANA JUNHO!B182:I182</v>
      </c>
      <c r="I2642">
        <v>400</v>
      </c>
    </row>
    <row r="2643" spans="1:9" x14ac:dyDescent="0.3">
      <c r="A2643">
        <v>46198</v>
      </c>
      <c r="B2643" t="str">
        <v>JUNHO</v>
      </c>
      <c r="C2643" t="str">
        <v>ICEBERG</v>
      </c>
      <c r="D2643">
        <v>590</v>
      </c>
      <c r="E2643">
        <v>7080</v>
      </c>
      <c r="F2643">
        <v>770</v>
      </c>
      <c r="G2643">
        <v>7</v>
      </c>
      <c r="H2643" t="str">
        <v>SEMANA JUNHO!B183:I183</v>
      </c>
      <c r="I2643">
        <v>400</v>
      </c>
    </row>
    <row r="2644" spans="1:9" x14ac:dyDescent="0.3">
      <c r="A2644">
        <v>46199</v>
      </c>
      <c r="B2644" t="str">
        <v>JUNHO</v>
      </c>
      <c r="C2644" t="str">
        <v>ICEBERG</v>
      </c>
      <c r="D2644">
        <v>180</v>
      </c>
      <c r="E2644">
        <v>2160</v>
      </c>
      <c r="F2644">
        <v>180</v>
      </c>
      <c r="G2644">
        <v>2</v>
      </c>
      <c r="H2644" t="str">
        <v>SEMANA JUNHO!B190:I190</v>
      </c>
      <c r="I2644">
        <v>400</v>
      </c>
    </row>
    <row r="2645" spans="1:9" x14ac:dyDescent="0.3">
      <c r="A2645">
        <v>46199</v>
      </c>
      <c r="B2645" t="str">
        <v>JUNHO</v>
      </c>
      <c r="C2645" t="str">
        <v>BRICOFLEX</v>
      </c>
      <c r="D2645">
        <v>250</v>
      </c>
      <c r="E2645">
        <v>3000</v>
      </c>
      <c r="F2645">
        <v>250</v>
      </c>
      <c r="G2645">
        <v>2</v>
      </c>
      <c r="H2645" t="str">
        <v>SEMANA JUNHO!B191:I191</v>
      </c>
      <c r="I2645">
        <v>400</v>
      </c>
    </row>
    <row r="2646" spans="1:9" x14ac:dyDescent="0.3">
      <c r="A2646">
        <v>46199</v>
      </c>
      <c r="B2646" t="str">
        <v>JUNHO</v>
      </c>
      <c r="C2646" t="str">
        <v>ADKO UNTA FORMA</v>
      </c>
      <c r="D2646">
        <v>481</v>
      </c>
      <c r="E2646">
        <v>5772</v>
      </c>
      <c r="F2646">
        <v>480</v>
      </c>
      <c r="G2646">
        <v>2</v>
      </c>
      <c r="H2646" t="str">
        <v>SEMANA JUNHO!B192:I192</v>
      </c>
      <c r="I2646">
        <v>180</v>
      </c>
    </row>
    <row r="2647" spans="1:9" x14ac:dyDescent="0.3">
      <c r="A2647">
        <v>46199</v>
      </c>
      <c r="B2647" t="str">
        <v>JUNHO</v>
      </c>
      <c r="C2647" t="str">
        <v>UNTA FACIL</v>
      </c>
      <c r="D2647">
        <v>273</v>
      </c>
      <c r="E2647">
        <v>3276</v>
      </c>
      <c r="F2647">
        <v>1200</v>
      </c>
      <c r="G2647">
        <v>5</v>
      </c>
      <c r="H2647" t="str">
        <v>SEMANA JUNHO!B193:I193</v>
      </c>
      <c r="I2647">
        <v>180</v>
      </c>
    </row>
    <row r="2648" spans="1:9" x14ac:dyDescent="0.3">
      <c r="A2648">
        <v>46200</v>
      </c>
      <c r="B2648" t="str">
        <v>JUNHO</v>
      </c>
      <c r="C2648" t="str">
        <v>UNTA FACIL</v>
      </c>
      <c r="D2648">
        <v>928</v>
      </c>
      <c r="E2648">
        <v>11136</v>
      </c>
      <c r="F2648">
        <v>927</v>
      </c>
      <c r="G2648">
        <v>4</v>
      </c>
      <c r="H2648" t="str">
        <v>SEMANA JUNHO!B199:I199</v>
      </c>
      <c r="I2648">
        <v>180</v>
      </c>
    </row>
    <row r="2649" spans="1:9" x14ac:dyDescent="0.3">
      <c r="A2649">
        <v>46200</v>
      </c>
      <c r="B2649" t="str">
        <v>JUNHO</v>
      </c>
      <c r="C2649" t="str">
        <v>UNTA FACIL MANTEIGA</v>
      </c>
      <c r="D2649">
        <v>242</v>
      </c>
      <c r="E2649">
        <v>2904</v>
      </c>
      <c r="F2649">
        <v>350</v>
      </c>
      <c r="G2649">
        <v>2</v>
      </c>
      <c r="H2649" t="str">
        <v>SEMANA JUNHO!B200:I200</v>
      </c>
      <c r="I2649">
        <v>180</v>
      </c>
    </row>
    <row r="2650" spans="1:9" x14ac:dyDescent="0.3">
      <c r="A2650">
        <v>46202</v>
      </c>
      <c r="B2650" t="str">
        <v>JUNHO</v>
      </c>
      <c r="C2650" t="str">
        <v>UNTA FACIL MANTEIGA</v>
      </c>
      <c r="D2650">
        <v>109</v>
      </c>
      <c r="E2650">
        <v>1308</v>
      </c>
      <c r="F2650">
        <v>108</v>
      </c>
      <c r="G2650">
        <v>1</v>
      </c>
      <c r="H2650" t="str">
        <v>SEMANA JUNHO!B207:I207</v>
      </c>
      <c r="I2650">
        <v>180</v>
      </c>
    </row>
    <row r="2651" spans="1:9" x14ac:dyDescent="0.3">
      <c r="A2651">
        <v>46202</v>
      </c>
      <c r="B2651" t="str">
        <v>JUNHO</v>
      </c>
      <c r="C2651" t="str">
        <v>PURATOS DESTAK</v>
      </c>
      <c r="D2651">
        <v>1565</v>
      </c>
      <c r="E2651">
        <v>9390</v>
      </c>
      <c r="F2651">
        <v>3990</v>
      </c>
      <c r="G2651">
        <v>21</v>
      </c>
      <c r="H2651" t="str">
        <v>SEMANA JUNHO!B208:I208</v>
      </c>
      <c r="I2651">
        <v>600</v>
      </c>
    </row>
    <row r="2652" spans="1:9" x14ac:dyDescent="0.3">
      <c r="A2652">
        <v>46203</v>
      </c>
      <c r="B2652" t="str">
        <v>JUNHO</v>
      </c>
      <c r="C2652" t="str">
        <v>PURATOS DESTAK</v>
      </c>
      <c r="D2652">
        <v>1324</v>
      </c>
      <c r="E2652">
        <v>7944</v>
      </c>
      <c r="F2652">
        <v>2425</v>
      </c>
      <c r="G2652">
        <v>13</v>
      </c>
      <c r="H2652" t="str">
        <v>SEMANA JUNHO!B215:I215</v>
      </c>
      <c r="I2652">
        <v>600</v>
      </c>
    </row>
    <row r="3121" spans="1:9" x14ac:dyDescent="0.3">
      <c r="A3121" cm="1">
        <f t="array" ref="A3121:I3167">_xlfn.LET(_xlpm.a,'SEMANA JULHO'!A1:A500,_xlpm.b,'SEMANA JULHO'!B1:B500,_xlpm.c,'SEMANA JULHO'!C1:C500,_xlpm.d,'SEMANA JULHO'!D1:D500,_xlpm.g,'SEMANA JULHO'!G1:G500,_xlpm.h,'SEMANA JULHO'!H1:H500,_xlpm.i,'SEMANA JULHO'!I1:I500,_xlpm.dt,IFERROR(LOOKUP(ROW(_xlpm.a),ROW(_xlpm.a)/(_xlpm.a&gt;40000),_xlpm.a),""),_xlpm.orig,"SEMANA JULHO!B"&amp;ROW(_xlpm.b)&amp;":I"&amp;ROW(_xlpm.b),_xlfn._xlws.FILTER(_xlfn.HSTACK(_xlpm.dt,IF(_xlpm.b&lt;&gt;"","JULHO",""),TRIM(_xlpm.b),_xlpm.h,_xlpm.i,_xlpm.d,_xlpm.g,_xlpm.orig,_xlpm.c),(_xlpm.b&lt;&gt;"")*(_xlpm.b&lt;&gt;"PRODUTO")*(_xlpm.b&lt;&gt;"TOTAL")*(_xlpm.h&gt;0),_xlfn.HSTACK("","","","","","","","","")))</f>
        <v>46204</v>
      </c>
      <c r="B3121" t="str">
        <v>JULHO</v>
      </c>
      <c r="C3121" t="str">
        <v>PURATOS DESTAK</v>
      </c>
      <c r="D3121">
        <v>1101</v>
      </c>
      <c r="E3121">
        <v>6606</v>
      </c>
      <c r="F3121">
        <v>1101</v>
      </c>
      <c r="G3121">
        <v>6</v>
      </c>
      <c r="H3121" t="str">
        <v>SEMANA JULHO!B4:I4</v>
      </c>
      <c r="I3121">
        <v>600</v>
      </c>
    </row>
    <row r="3122" spans="1:9" x14ac:dyDescent="0.3">
      <c r="A3122">
        <v>46204</v>
      </c>
      <c r="B3122" t="str">
        <v>JULHO</v>
      </c>
      <c r="C3122" t="str">
        <v>PURATOS NORCAU</v>
      </c>
      <c r="D3122">
        <v>335</v>
      </c>
      <c r="E3122">
        <v>4020</v>
      </c>
      <c r="F3122">
        <v>950</v>
      </c>
      <c r="G3122">
        <v>10</v>
      </c>
      <c r="H3122" t="str">
        <v>SEMANA JULHO!B5:I5</v>
      </c>
      <c r="I3122">
        <v>600</v>
      </c>
    </row>
    <row r="3123" spans="1:9" x14ac:dyDescent="0.3">
      <c r="A3123">
        <v>46205</v>
      </c>
      <c r="B3123" t="str">
        <v>JULHO</v>
      </c>
      <c r="C3123" t="str">
        <v>PURATOS NORCAU</v>
      </c>
      <c r="D3123">
        <v>615</v>
      </c>
      <c r="E3123">
        <v>7380</v>
      </c>
      <c r="F3123">
        <v>615</v>
      </c>
      <c r="G3123">
        <v>7</v>
      </c>
      <c r="H3123" t="str">
        <v>SEMANA JULHO!B12:I12</v>
      </c>
      <c r="I3123">
        <v>600</v>
      </c>
    </row>
    <row r="3124" spans="1:9" x14ac:dyDescent="0.3">
      <c r="A3124">
        <v>46205</v>
      </c>
      <c r="B3124" t="str">
        <v>JULHO</v>
      </c>
      <c r="C3124" t="str">
        <v>ALLBREAD</v>
      </c>
      <c r="D3124">
        <v>41</v>
      </c>
      <c r="E3124">
        <v>492</v>
      </c>
      <c r="F3124">
        <v>768</v>
      </c>
      <c r="G3124">
        <v>9</v>
      </c>
      <c r="H3124" t="str">
        <v>SEMANA JULHO!B13:I13</v>
      </c>
      <c r="I3124">
        <v>600</v>
      </c>
    </row>
    <row r="3125" spans="1:9" x14ac:dyDescent="0.3">
      <c r="A3125">
        <v>46206</v>
      </c>
      <c r="B3125" t="str">
        <v>JULHO</v>
      </c>
      <c r="C3125" t="str">
        <v>ALLBREAD</v>
      </c>
      <c r="D3125">
        <v>727</v>
      </c>
      <c r="E3125">
        <v>8724</v>
      </c>
      <c r="F3125">
        <v>727</v>
      </c>
      <c r="G3125">
        <v>8</v>
      </c>
      <c r="H3125" t="str">
        <v>SEMANA JULHO!B20:I20</v>
      </c>
      <c r="I3125">
        <v>600</v>
      </c>
    </row>
    <row r="3126" spans="1:9" x14ac:dyDescent="0.3">
      <c r="A3126">
        <v>46206</v>
      </c>
      <c r="B3126" t="str">
        <v>JULHO</v>
      </c>
      <c r="C3126" t="str">
        <v>UNTA FACIL</v>
      </c>
      <c r="D3126">
        <v>63</v>
      </c>
      <c r="E3126">
        <v>756</v>
      </c>
      <c r="F3126">
        <v>2625</v>
      </c>
      <c r="G3126">
        <v>21</v>
      </c>
      <c r="H3126" t="str">
        <v>SEMANA JULHO!B21:I21</v>
      </c>
      <c r="I3126">
        <v>400</v>
      </c>
    </row>
    <row r="3127" spans="1:9" x14ac:dyDescent="0.3">
      <c r="A3127">
        <v>46207</v>
      </c>
      <c r="B3127" t="str">
        <v>JULHO</v>
      </c>
      <c r="C3127" t="str">
        <v>UNTA FACIL</v>
      </c>
      <c r="D3127">
        <v>892</v>
      </c>
      <c r="E3127">
        <v>10704</v>
      </c>
      <c r="F3127">
        <v>2562</v>
      </c>
      <c r="G3127">
        <v>21</v>
      </c>
      <c r="H3127" t="str">
        <v>SEMANA JULHO!B28:I28</v>
      </c>
      <c r="I3127">
        <v>400</v>
      </c>
    </row>
    <row r="3128" spans="1:9" x14ac:dyDescent="0.3">
      <c r="A3128">
        <v>46209</v>
      </c>
      <c r="B3128" t="str">
        <v>JULHO</v>
      </c>
      <c r="C3128" t="str">
        <v>UNTA FACIL</v>
      </c>
      <c r="D3128">
        <v>1245</v>
      </c>
      <c r="E3128">
        <v>14940</v>
      </c>
      <c r="F3128">
        <v>1670</v>
      </c>
      <c r="G3128">
        <v>14</v>
      </c>
      <c r="H3128" t="str">
        <v>SEMANA JULHO!B36:I36</v>
      </c>
      <c r="I3128">
        <v>400</v>
      </c>
    </row>
    <row r="3129" spans="1:9" x14ac:dyDescent="0.3">
      <c r="A3129">
        <v>46210</v>
      </c>
      <c r="B3129" t="str">
        <v>JULHO</v>
      </c>
      <c r="C3129" t="str">
        <v>UNTA FACIL</v>
      </c>
      <c r="D3129">
        <v>425</v>
      </c>
      <c r="E3129">
        <v>5100</v>
      </c>
      <c r="F3129">
        <v>425</v>
      </c>
      <c r="G3129">
        <v>4</v>
      </c>
      <c r="H3129" t="str">
        <v>SEMANA JULHO!B44:I44</v>
      </c>
      <c r="I3129">
        <v>400</v>
      </c>
    </row>
    <row r="3130" spans="1:9" x14ac:dyDescent="0.3">
      <c r="A3130">
        <v>46210</v>
      </c>
      <c r="B3130" t="str">
        <v>JULHO</v>
      </c>
      <c r="C3130" t="str">
        <v>CONSERVANTE INLOCO</v>
      </c>
      <c r="D3130">
        <v>106</v>
      </c>
      <c r="E3130">
        <v>1272</v>
      </c>
      <c r="F3130">
        <v>106</v>
      </c>
      <c r="G3130">
        <v>2</v>
      </c>
      <c r="H3130" t="str">
        <v>SEMANA JULHO!B45:I45</v>
      </c>
      <c r="I3130">
        <v>600</v>
      </c>
    </row>
    <row r="3131" spans="1:9" x14ac:dyDescent="0.3">
      <c r="A3131">
        <v>46210</v>
      </c>
      <c r="B3131" t="str">
        <v>JULHO</v>
      </c>
      <c r="C3131" t="str">
        <v>ESPUMA GENGIBRE GIN</v>
      </c>
      <c r="D3131">
        <v>330</v>
      </c>
      <c r="E3131">
        <v>1980</v>
      </c>
      <c r="F3131">
        <v>330</v>
      </c>
      <c r="G3131">
        <v>1</v>
      </c>
      <c r="H3131" t="str">
        <v>SEMANA JULHO!B46:I46</v>
      </c>
      <c r="I3131">
        <v>200</v>
      </c>
    </row>
    <row r="3132" spans="1:9" x14ac:dyDescent="0.3">
      <c r="A3132">
        <v>46211</v>
      </c>
      <c r="B3132" t="str">
        <v>JULHO</v>
      </c>
      <c r="C3132" t="str">
        <v>ESPUMA GENGIBRE INLOCO</v>
      </c>
      <c r="D3132">
        <v>335</v>
      </c>
      <c r="E3132">
        <v>2010</v>
      </c>
      <c r="F3132">
        <v>330</v>
      </c>
      <c r="G3132">
        <v>1</v>
      </c>
      <c r="H3132" t="str">
        <v>SEMANA JULHO!B53:I53</v>
      </c>
      <c r="I3132">
        <v>200</v>
      </c>
    </row>
    <row r="3133" spans="1:9" x14ac:dyDescent="0.3">
      <c r="A3133">
        <v>46211</v>
      </c>
      <c r="B3133" t="str">
        <v>JULHO</v>
      </c>
      <c r="C3133" t="str">
        <v>ESPUMA LIMÃO GIN</v>
      </c>
      <c r="D3133">
        <v>330</v>
      </c>
      <c r="E3133">
        <v>1980</v>
      </c>
      <c r="F3133">
        <v>330</v>
      </c>
      <c r="G3133">
        <v>1</v>
      </c>
      <c r="H3133" t="str">
        <v>SEMANA JULHO!B54:I54</v>
      </c>
      <c r="I3133">
        <v>200</v>
      </c>
    </row>
    <row r="3134" spans="1:9" x14ac:dyDescent="0.3">
      <c r="A3134">
        <v>46211</v>
      </c>
      <c r="B3134" t="str">
        <v>JULHO</v>
      </c>
      <c r="C3134" t="str">
        <v>ESPUMA LIMÃO SIL. INLOCO</v>
      </c>
      <c r="D3134">
        <v>669</v>
      </c>
      <c r="E3134">
        <v>4014</v>
      </c>
      <c r="F3134">
        <v>660</v>
      </c>
      <c r="G3134">
        <v>2</v>
      </c>
      <c r="H3134" t="str">
        <v>SEMANA JULHO!B55:I55</v>
      </c>
      <c r="I3134">
        <v>200</v>
      </c>
    </row>
    <row r="3135" spans="1:9" x14ac:dyDescent="0.3">
      <c r="A3135">
        <v>46211</v>
      </c>
      <c r="B3135" t="str">
        <v>JULHO</v>
      </c>
      <c r="C3135" t="str">
        <v>ESPUMA ABACAXI INLOCO</v>
      </c>
      <c r="D3135">
        <v>338</v>
      </c>
      <c r="E3135">
        <v>2028</v>
      </c>
      <c r="F3135">
        <v>330</v>
      </c>
      <c r="G3135">
        <v>1</v>
      </c>
      <c r="H3135" t="str">
        <v>SEMANA JULHO!B56:I56</v>
      </c>
      <c r="I3135">
        <v>200</v>
      </c>
    </row>
    <row r="3136" spans="1:9" x14ac:dyDescent="0.3">
      <c r="A3136">
        <v>46211</v>
      </c>
      <c r="B3136" t="str">
        <v>JULHO</v>
      </c>
      <c r="C3136" t="str">
        <v>ESPUMA MORANGO GIN</v>
      </c>
      <c r="D3136">
        <v>339</v>
      </c>
      <c r="E3136">
        <v>2034</v>
      </c>
      <c r="F3136">
        <v>330</v>
      </c>
      <c r="G3136">
        <v>1</v>
      </c>
      <c r="H3136" t="str">
        <v>SEMANA JULHO!B57:I57</v>
      </c>
      <c r="I3136">
        <v>200</v>
      </c>
    </row>
    <row r="3137" spans="1:9" x14ac:dyDescent="0.3">
      <c r="A3137">
        <v>46212</v>
      </c>
      <c r="B3137" t="str">
        <v>JULHO</v>
      </c>
      <c r="C3137" t="str">
        <v>CORANTE AZUL INLOCO</v>
      </c>
      <c r="D3137">
        <v>242</v>
      </c>
      <c r="E3137">
        <v>2904</v>
      </c>
      <c r="F3137">
        <v>240</v>
      </c>
      <c r="G3137">
        <v>1</v>
      </c>
      <c r="H3137" t="str">
        <v>SEMANA JULHO!B62:I62</v>
      </c>
      <c r="I3137">
        <v>70</v>
      </c>
    </row>
    <row r="3138" spans="1:9" x14ac:dyDescent="0.3">
      <c r="A3138">
        <v>46212</v>
      </c>
      <c r="B3138" t="str">
        <v>JULHO</v>
      </c>
      <c r="C3138" t="str">
        <v>CORANTE AZUL CEU REPETECO</v>
      </c>
      <c r="D3138">
        <v>241</v>
      </c>
      <c r="E3138">
        <v>2892</v>
      </c>
      <c r="F3138">
        <v>240</v>
      </c>
      <c r="G3138">
        <v>1</v>
      </c>
      <c r="H3138" t="str">
        <v>SEMANA JULHO!B63:I63</v>
      </c>
      <c r="I3138">
        <v>70</v>
      </c>
    </row>
    <row r="3139" spans="1:9" x14ac:dyDescent="0.3">
      <c r="A3139">
        <v>46212</v>
      </c>
      <c r="B3139" t="str">
        <v>JULHO</v>
      </c>
      <c r="C3139" t="str">
        <v>CORANTE AZUL TURQUESA REP</v>
      </c>
      <c r="D3139">
        <v>175</v>
      </c>
      <c r="E3139">
        <v>2100</v>
      </c>
      <c r="F3139">
        <v>175</v>
      </c>
      <c r="G3139">
        <v>1</v>
      </c>
      <c r="H3139" t="str">
        <v>SEMANA JULHO!B64:I64</v>
      </c>
      <c r="I3139">
        <v>70</v>
      </c>
    </row>
    <row r="3140" spans="1:9" x14ac:dyDescent="0.3">
      <c r="A3140">
        <v>46212</v>
      </c>
      <c r="B3140" t="str">
        <v>JULHO</v>
      </c>
      <c r="C3140" t="str">
        <v>COCO EXTRAVIRGEM COPRA</v>
      </c>
      <c r="D3140">
        <v>776</v>
      </c>
      <c r="E3140">
        <v>9312</v>
      </c>
      <c r="F3140">
        <v>1680</v>
      </c>
      <c r="G3140">
        <v>7</v>
      </c>
      <c r="H3140" t="str">
        <v>SEMANA JULHO!B65:I65</v>
      </c>
      <c r="I3140">
        <v>100</v>
      </c>
    </row>
    <row r="3141" spans="1:9" x14ac:dyDescent="0.3">
      <c r="A3141">
        <v>46213</v>
      </c>
      <c r="B3141" t="str">
        <v>JULHO</v>
      </c>
      <c r="C3141" t="str">
        <v>COCO EXTRAVIRGEM COPRA</v>
      </c>
      <c r="D3141">
        <v>894</v>
      </c>
      <c r="E3141">
        <v>10728</v>
      </c>
      <c r="F3141">
        <v>904</v>
      </c>
      <c r="G3141">
        <v>4</v>
      </c>
      <c r="H3141" t="str">
        <v>SEMANA JULHO!B70:I70</v>
      </c>
      <c r="I3141">
        <v>100</v>
      </c>
    </row>
    <row r="3142" spans="1:9" x14ac:dyDescent="0.3">
      <c r="A3142">
        <v>46213</v>
      </c>
      <c r="B3142" t="str">
        <v>JULHO</v>
      </c>
      <c r="C3142" t="str">
        <v>COCO SEM SABOR COPRA</v>
      </c>
      <c r="D3142">
        <v>406</v>
      </c>
      <c r="E3142">
        <v>4872</v>
      </c>
      <c r="F3142">
        <v>2500</v>
      </c>
      <c r="G3142">
        <v>11</v>
      </c>
      <c r="H3142" t="str">
        <v>SEMANA JULHO!B71:I71</v>
      </c>
      <c r="I3142">
        <v>100</v>
      </c>
    </row>
    <row r="3143" spans="1:9" x14ac:dyDescent="0.3">
      <c r="A3143">
        <v>46214</v>
      </c>
      <c r="B3143" t="str">
        <v>JULHO</v>
      </c>
      <c r="C3143" t="str">
        <v>COCO SEM SABOR COPRA</v>
      </c>
      <c r="D3143">
        <v>1022</v>
      </c>
      <c r="E3143">
        <v>12264</v>
      </c>
      <c r="F3143">
        <v>2094</v>
      </c>
      <c r="G3143">
        <v>9</v>
      </c>
      <c r="H3143" t="str">
        <v>SEMANA JULHO!B78:I78</v>
      </c>
      <c r="I3143">
        <v>100</v>
      </c>
    </row>
    <row r="3144" spans="1:9" x14ac:dyDescent="0.3">
      <c r="A3144">
        <v>46216</v>
      </c>
      <c r="B3144" t="str">
        <v>JULHO</v>
      </c>
      <c r="C3144" t="str">
        <v>COCO SEM SABOR COPRA</v>
      </c>
      <c r="D3144">
        <v>1074</v>
      </c>
      <c r="E3144">
        <v>12888</v>
      </c>
      <c r="F3144">
        <v>1072</v>
      </c>
      <c r="G3144">
        <v>5</v>
      </c>
      <c r="H3144" t="str">
        <v>SEMANA JULHO!B86:I86</v>
      </c>
      <c r="I3144">
        <v>100</v>
      </c>
    </row>
    <row r="3145" spans="1:9" x14ac:dyDescent="0.3">
      <c r="A3145">
        <v>46216</v>
      </c>
      <c r="B3145" t="str">
        <v>JULHO</v>
      </c>
      <c r="C3145" t="str">
        <v>AZEITE TURMA DA MONICA</v>
      </c>
      <c r="D3145">
        <v>118</v>
      </c>
      <c r="E3145">
        <v>1416</v>
      </c>
      <c r="F3145">
        <v>120</v>
      </c>
      <c r="G3145">
        <v>1</v>
      </c>
      <c r="H3145" t="str">
        <v>SEMANA JULHO!B87:I87</v>
      </c>
      <c r="I3145">
        <v>100</v>
      </c>
    </row>
    <row r="3146" spans="1:9" x14ac:dyDescent="0.3">
      <c r="A3146">
        <v>46216</v>
      </c>
      <c r="B3146" t="str">
        <v>JULHO</v>
      </c>
      <c r="C3146" t="str">
        <v>L. PEPPER TURMA DA MONICA</v>
      </c>
      <c r="D3146">
        <v>118</v>
      </c>
      <c r="E3146">
        <v>1416</v>
      </c>
      <c r="F3146">
        <v>120</v>
      </c>
      <c r="G3146">
        <v>1</v>
      </c>
      <c r="H3146" t="str">
        <v>SEMANA JULHO!B88:I88</v>
      </c>
      <c r="I3146">
        <v>100</v>
      </c>
    </row>
    <row r="3147" spans="1:9" x14ac:dyDescent="0.3">
      <c r="A3147">
        <v>46216</v>
      </c>
      <c r="B3147" t="str">
        <v>JULHO</v>
      </c>
      <c r="C3147" t="str">
        <v>MANTEIGA TURMA DA MONICA</v>
      </c>
      <c r="D3147">
        <v>73</v>
      </c>
      <c r="E3147">
        <v>876</v>
      </c>
      <c r="F3147">
        <v>120</v>
      </c>
      <c r="G3147">
        <v>1</v>
      </c>
      <c r="H3147" t="str">
        <v>SEMANA JULHO!B89:I89</v>
      </c>
      <c r="I3147">
        <v>100</v>
      </c>
    </row>
    <row r="3148" spans="1:9" x14ac:dyDescent="0.3">
      <c r="A3148">
        <v>46217</v>
      </c>
      <c r="B3148" t="str">
        <v>JULHO</v>
      </c>
      <c r="C3148" t="str">
        <v>MANTEIGA TURMA DA MONICA</v>
      </c>
      <c r="D3148">
        <v>24</v>
      </c>
      <c r="E3148">
        <v>288</v>
      </c>
      <c r="F3148">
        <v>47</v>
      </c>
      <c r="G3148">
        <v>1</v>
      </c>
      <c r="H3148" t="str">
        <v>SEMANA JULHO!B95:I95</v>
      </c>
      <c r="I3148">
        <v>100</v>
      </c>
    </row>
    <row r="3149" spans="1:9" x14ac:dyDescent="0.3">
      <c r="A3149">
        <v>46217</v>
      </c>
      <c r="B3149" t="str">
        <v>JULHO</v>
      </c>
      <c r="C3149" t="str">
        <v>DESMOLDANTE INLOCO 180</v>
      </c>
      <c r="D3149">
        <v>1112</v>
      </c>
      <c r="E3149">
        <v>13344</v>
      </c>
      <c r="F3149">
        <v>1200</v>
      </c>
      <c r="G3149">
        <v>5</v>
      </c>
      <c r="H3149" t="str">
        <v>SEMANA JULHO!B96:I96</v>
      </c>
      <c r="I3149">
        <v>180</v>
      </c>
    </row>
    <row r="3150" spans="1:9" x14ac:dyDescent="0.3">
      <c r="A3150">
        <v>46217</v>
      </c>
      <c r="B3150" t="str">
        <v>JULHO</v>
      </c>
      <c r="C3150" t="str">
        <v>ADIMIX</v>
      </c>
      <c r="D3150">
        <v>66</v>
      </c>
      <c r="E3150">
        <v>792</v>
      </c>
      <c r="F3150">
        <v>665</v>
      </c>
      <c r="G3150">
        <v>7</v>
      </c>
      <c r="H3150" t="str">
        <v>SEMANA JULHO!B97:I97</v>
      </c>
      <c r="I3150">
        <v>600</v>
      </c>
    </row>
    <row r="3151" spans="1:9" x14ac:dyDescent="0.3">
      <c r="A3151">
        <v>46218</v>
      </c>
      <c r="B3151" t="str">
        <v>JULHO</v>
      </c>
      <c r="C3151" t="str">
        <v>ADIMIX</v>
      </c>
      <c r="D3151">
        <v>607</v>
      </c>
      <c r="E3151">
        <v>7284</v>
      </c>
      <c r="F3151">
        <v>599</v>
      </c>
      <c r="G3151">
        <v>7</v>
      </c>
      <c r="H3151" t="str">
        <v>SEMANA JULHO!B103:I103</v>
      </c>
      <c r="I3151">
        <v>600</v>
      </c>
    </row>
    <row r="3152" spans="1:9" x14ac:dyDescent="0.3">
      <c r="A3152">
        <v>46218</v>
      </c>
      <c r="B3152" t="str">
        <v>JULHO</v>
      </c>
      <c r="C3152" t="str">
        <v>INLOCO</v>
      </c>
      <c r="D3152">
        <v>291</v>
      </c>
      <c r="E3152">
        <v>3492</v>
      </c>
      <c r="F3152">
        <v>1330</v>
      </c>
      <c r="G3152">
        <v>14</v>
      </c>
      <c r="H3152" t="str">
        <v>SEMANA JULHO!B104:I104</v>
      </c>
      <c r="I3152">
        <v>600</v>
      </c>
    </row>
    <row r="3153" spans="1:9" x14ac:dyDescent="0.3">
      <c r="A3153">
        <v>46219</v>
      </c>
      <c r="B3153" t="str">
        <v>JULHO</v>
      </c>
      <c r="C3153" t="str">
        <v>INLOCO</v>
      </c>
      <c r="D3153">
        <v>961</v>
      </c>
      <c r="E3153">
        <v>11532</v>
      </c>
      <c r="F3153">
        <v>1039</v>
      </c>
      <c r="G3153">
        <v>11</v>
      </c>
      <c r="H3153" t="str">
        <v>SEMANA JULHO!B111:I111</v>
      </c>
      <c r="I3153">
        <v>600</v>
      </c>
    </row>
    <row r="3154" spans="1:9" x14ac:dyDescent="0.3">
      <c r="A3154">
        <v>46220</v>
      </c>
      <c r="B3154" t="str">
        <v>JULHO</v>
      </c>
      <c r="C3154" t="str">
        <v>INLOCO</v>
      </c>
      <c r="D3154">
        <v>94</v>
      </c>
      <c r="E3154">
        <v>1128</v>
      </c>
      <c r="F3154">
        <v>78</v>
      </c>
      <c r="G3154">
        <v>1</v>
      </c>
      <c r="H3154" t="str">
        <v>SEMANA JULHO!B119:I119</v>
      </c>
      <c r="I3154">
        <v>600</v>
      </c>
    </row>
    <row r="3155" spans="1:9" x14ac:dyDescent="0.3">
      <c r="A3155">
        <v>46220</v>
      </c>
      <c r="B3155" t="str">
        <v>JULHO</v>
      </c>
      <c r="C3155" t="str">
        <v>ITAIQUARA</v>
      </c>
      <c r="D3155">
        <v>380</v>
      </c>
      <c r="E3155">
        <v>4560</v>
      </c>
      <c r="F3155">
        <v>380</v>
      </c>
      <c r="G3155">
        <v>4</v>
      </c>
      <c r="H3155" t="str">
        <v>SEMANA JULHO!B120:I120</v>
      </c>
      <c r="I3155">
        <v>600</v>
      </c>
    </row>
    <row r="3156" spans="1:9" x14ac:dyDescent="0.3">
      <c r="A3156">
        <v>46220</v>
      </c>
      <c r="B3156" t="str">
        <v>JULHO</v>
      </c>
      <c r="C3156" t="str">
        <v>VIA PANE</v>
      </c>
      <c r="D3156">
        <v>124</v>
      </c>
      <c r="E3156">
        <v>1488</v>
      </c>
      <c r="F3156">
        <v>400</v>
      </c>
      <c r="G3156">
        <v>5</v>
      </c>
      <c r="H3156" t="str">
        <v>SEMANA JULHO!B121:I121</v>
      </c>
      <c r="I3156">
        <v>600</v>
      </c>
    </row>
    <row r="3157" spans="1:9" x14ac:dyDescent="0.3">
      <c r="A3157">
        <v>46221</v>
      </c>
      <c r="B3157" t="str">
        <v>JULHO</v>
      </c>
      <c r="C3157" t="str">
        <v>VIA PANE</v>
      </c>
      <c r="D3157">
        <v>279</v>
      </c>
      <c r="E3157">
        <v>3348</v>
      </c>
      <c r="F3157">
        <v>276</v>
      </c>
      <c r="G3157">
        <v>3</v>
      </c>
      <c r="H3157" t="str">
        <v>SEMANA JULHO!B128:I128</v>
      </c>
      <c r="I3157">
        <v>600</v>
      </c>
    </row>
    <row r="3158" spans="1:9" x14ac:dyDescent="0.3">
      <c r="A3158">
        <v>46221</v>
      </c>
      <c r="B3158" t="str">
        <v>JULHO</v>
      </c>
      <c r="C3158" t="str">
        <v>ADIMIX</v>
      </c>
      <c r="D3158">
        <v>429</v>
      </c>
      <c r="E3158">
        <v>5148</v>
      </c>
      <c r="F3158">
        <v>665</v>
      </c>
      <c r="G3158">
        <v>7</v>
      </c>
      <c r="H3158" t="str">
        <v>SEMANA JULHO!B129:I129</v>
      </c>
      <c r="I3158">
        <v>600</v>
      </c>
    </row>
    <row r="3159" spans="1:9" x14ac:dyDescent="0.3">
      <c r="A3159">
        <v>46223</v>
      </c>
      <c r="B3159" t="str">
        <v>JULHO</v>
      </c>
      <c r="C3159" t="str">
        <v>ADIMIX</v>
      </c>
      <c r="D3159">
        <v>244</v>
      </c>
      <c r="E3159">
        <v>2928</v>
      </c>
      <c r="F3159">
        <v>236</v>
      </c>
      <c r="G3159">
        <v>3</v>
      </c>
      <c r="H3159" t="str">
        <v>SEMANA JULHO!B136:I136</v>
      </c>
      <c r="I3159">
        <v>600</v>
      </c>
    </row>
    <row r="3160" spans="1:9" x14ac:dyDescent="0.3">
      <c r="A3160">
        <v>46223</v>
      </c>
      <c r="B3160" t="str">
        <v>JULHO</v>
      </c>
      <c r="C3160" t="str">
        <v>MEL TTF</v>
      </c>
      <c r="D3160">
        <v>195</v>
      </c>
      <c r="E3160">
        <v>2340</v>
      </c>
      <c r="F3160">
        <v>190</v>
      </c>
      <c r="G3160">
        <v>2</v>
      </c>
      <c r="H3160" t="str">
        <v>SEMANA JULHO!B137:I137</v>
      </c>
      <c r="I3160">
        <v>600</v>
      </c>
    </row>
    <row r="3161" spans="1:9" x14ac:dyDescent="0.3">
      <c r="A3161">
        <v>46223</v>
      </c>
      <c r="B3161" t="str">
        <v>JULHO</v>
      </c>
      <c r="C3161" t="str">
        <v>INLOCO MEL</v>
      </c>
      <c r="D3161">
        <v>465</v>
      </c>
      <c r="E3161">
        <v>5580</v>
      </c>
      <c r="F3161">
        <v>475</v>
      </c>
      <c r="G3161">
        <v>5</v>
      </c>
      <c r="H3161" t="str">
        <v>SEMANA JULHO!B138:I138</v>
      </c>
      <c r="I3161">
        <v>600</v>
      </c>
    </row>
    <row r="3162" spans="1:9" x14ac:dyDescent="0.3">
      <c r="A3162">
        <v>46224</v>
      </c>
      <c r="B3162" t="str">
        <v>JULHO</v>
      </c>
      <c r="C3162" t="str">
        <v>BONASSE</v>
      </c>
      <c r="D3162">
        <v>750</v>
      </c>
      <c r="E3162">
        <v>9000</v>
      </c>
      <c r="F3162">
        <v>750</v>
      </c>
      <c r="G3162">
        <v>6</v>
      </c>
      <c r="H3162" t="str">
        <v>SEMANA JULHO!B145:I145</v>
      </c>
      <c r="I3162">
        <v>400</v>
      </c>
    </row>
    <row r="3163" spans="1:9" x14ac:dyDescent="0.3">
      <c r="A3163">
        <v>46224</v>
      </c>
      <c r="B3163" t="str">
        <v>JULHO</v>
      </c>
      <c r="C3163" t="str">
        <v>REPETECO</v>
      </c>
      <c r="D3163">
        <v>250</v>
      </c>
      <c r="E3163">
        <v>3000</v>
      </c>
      <c r="F3163">
        <v>250</v>
      </c>
      <c r="G3163">
        <v>2</v>
      </c>
      <c r="H3163" t="str">
        <v>SEMANA JULHO!B146:I146</v>
      </c>
      <c r="I3163">
        <v>400</v>
      </c>
    </row>
    <row r="3164" spans="1:9" x14ac:dyDescent="0.3">
      <c r="A3164">
        <v>46224</v>
      </c>
      <c r="B3164" t="str">
        <v>JULHO</v>
      </c>
      <c r="C3164" t="str">
        <v>ICEBERG CHEF</v>
      </c>
      <c r="D3164">
        <v>277</v>
      </c>
      <c r="E3164">
        <v>3324</v>
      </c>
      <c r="F3164">
        <v>2310</v>
      </c>
      <c r="G3164">
        <v>21</v>
      </c>
      <c r="H3164" t="str">
        <v>SEMANA JULHO!B147:I147</v>
      </c>
      <c r="I3164">
        <v>400</v>
      </c>
    </row>
    <row r="3165" spans="1:9" x14ac:dyDescent="0.3">
      <c r="A3165">
        <v>46225</v>
      </c>
      <c r="B3165" t="str">
        <v>JULHO</v>
      </c>
      <c r="C3165" t="str">
        <v>ICEBERG CHEF</v>
      </c>
      <c r="D3165">
        <v>1673</v>
      </c>
      <c r="E3165">
        <v>20076</v>
      </c>
      <c r="F3165">
        <v>2033</v>
      </c>
      <c r="G3165">
        <v>19</v>
      </c>
      <c r="H3165" t="str">
        <v>SEMANA JULHO!B153:I153</v>
      </c>
      <c r="I3165">
        <v>400</v>
      </c>
    </row>
    <row r="3166" spans="1:9" x14ac:dyDescent="0.3">
      <c r="A3166">
        <v>46226</v>
      </c>
      <c r="B3166" t="str">
        <v>JULHO</v>
      </c>
      <c r="C3166" t="str">
        <v>ICEBERG CHEF</v>
      </c>
      <c r="D3166">
        <v>360</v>
      </c>
      <c r="E3166">
        <v>4320</v>
      </c>
      <c r="F3166">
        <v>360</v>
      </c>
      <c r="G3166">
        <v>4</v>
      </c>
      <c r="H3166" t="str">
        <v>SEMANA JULHO!B163:I163</v>
      </c>
      <c r="I3166">
        <v>400</v>
      </c>
    </row>
    <row r="3167" spans="1:9" x14ac:dyDescent="0.3">
      <c r="A3167">
        <v>46226</v>
      </c>
      <c r="B3167" t="str">
        <v>JULHO</v>
      </c>
      <c r="C3167" t="str">
        <v>CASA DO PANIFICADOR</v>
      </c>
      <c r="D3167">
        <v>200</v>
      </c>
      <c r="E3167">
        <v>2400</v>
      </c>
      <c r="F3167">
        <v>200</v>
      </c>
      <c r="G3167">
        <v>2</v>
      </c>
      <c r="H3167" t="str">
        <v>SEMANA JULHO!B164:I164</v>
      </c>
      <c r="I3167">
        <v>400</v>
      </c>
    </row>
    <row r="3641" spans="1:9" x14ac:dyDescent="0.3">
      <c r="A3641" t="str" cm="1">
        <f t="array" ref="A3641:I3641">_xlfn.LET(_xlpm.a,'SEMANA AGOSTO'!A1:A500,_xlpm.b,'SEMANA AGOSTO'!B1:B500,_xlpm.c,'SEMANA AGOSTO'!C1:C500,_xlpm.d,'SEMANA AGOSTO'!D1:D500,_xlpm.g,'SEMANA AGOSTO'!G1:G500,_xlpm.h,'SEMANA AGOSTO'!H1:H500,_xlpm.i,'SEMANA AGOSTO'!I1:I500,_xlpm.dt,IFERROR(LOOKUP(ROW(_xlpm.a),ROW(_xlpm.a)/(_xlpm.a&gt;40000),_xlpm.a),""),_xlpm.orig,"SEMANA AGOSTO!B"&amp;ROW(_xlpm.b)&amp;":I"&amp;ROW(_xlpm.b),_xlfn._xlws.FILTER(_xlfn.HSTACK(_xlpm.dt,IF(_xlpm.b&lt;&gt;"","AGOSTO",""),TRIM(_xlpm.b),_xlpm.h,_xlpm.i,_xlpm.d,_xlpm.g,_xlpm.orig,_xlpm.c),(_xlpm.b&lt;&gt;"")*(_xlpm.b&lt;&gt;"PRODUTO")*(_xlpm.b&lt;&gt;"TOTAL")*(_xlpm.h&gt;0),_xlfn.HSTACK("","","","","","","","","")))</f>
        <v/>
      </c>
      <c r="B3641" t="str">
        <v/>
      </c>
      <c r="C3641" t="str">
        <v/>
      </c>
      <c r="D3641" t="str">
        <v/>
      </c>
      <c r="E3641" t="str">
        <v/>
      </c>
      <c r="F3641" t="str">
        <v/>
      </c>
      <c r="G3641" t="str">
        <v/>
      </c>
      <c r="H3641" t="str">
        <v/>
      </c>
      <c r="I3641" t="str">
        <v/>
      </c>
    </row>
    <row r="4161" spans="1:9" x14ac:dyDescent="0.3">
      <c r="A4161" t="str" cm="1">
        <f t="array" ref="A4161:I4161">_xlfn.LET(_xlpm.a,'SEMANA SETEMBRO'!A1:A500,_xlpm.b,'SEMANA SETEMBRO'!B1:B500,_xlpm.c,'SEMANA SETEMBRO'!C1:C500,_xlpm.d,'SEMANA SETEMBRO'!D1:D500,_xlpm.g,'SEMANA SETEMBRO'!G1:G500,_xlpm.h,'SEMANA SETEMBRO'!H1:H500,_xlpm.i,'SEMANA SETEMBRO'!I1:I500,_xlpm.dt,IFERROR(LOOKUP(ROW(_xlpm.a),ROW(_xlpm.a)/(_xlpm.a&gt;40000),_xlpm.a),""),_xlpm.orig,"SEMANA SETEMBRO!B"&amp;ROW(_xlpm.b)&amp;":I"&amp;ROW(_xlpm.b),_xlfn._xlws.FILTER(_xlfn.HSTACK(_xlpm.dt,IF(_xlpm.b&lt;&gt;"","SETEMBRO",""),TRIM(_xlpm.b),_xlpm.h,_xlpm.i,_xlpm.d,_xlpm.g,_xlpm.orig,_xlpm.c),(_xlpm.b&lt;&gt;"")*(_xlpm.b&lt;&gt;"PRODUTO")*(_xlpm.b&lt;&gt;"TOTAL")*(_xlpm.h&gt;0),_xlfn.HSTACK("","","","","","","","","")))</f>
        <v/>
      </c>
      <c r="B4161" t="str">
        <v/>
      </c>
      <c r="C4161" t="str">
        <v/>
      </c>
      <c r="D4161" t="str">
        <v/>
      </c>
      <c r="E4161" t="str">
        <v/>
      </c>
      <c r="F4161" t="str">
        <v/>
      </c>
      <c r="G4161" t="str">
        <v/>
      </c>
      <c r="H4161" t="str">
        <v/>
      </c>
      <c r="I4161" t="str">
        <v/>
      </c>
    </row>
    <row r="4681" spans="1:9" x14ac:dyDescent="0.3">
      <c r="A4681" t="str" cm="1">
        <f t="array" ref="A4681:I4681">_xlfn.LET(_xlpm.a,'SEMANA OUTUBRO'!A1:A500,_xlpm.b,'SEMANA OUTUBRO'!B1:B500,_xlpm.c,'SEMANA OUTUBRO'!C1:C500,_xlpm.d,'SEMANA OUTUBRO'!D1:D500,_xlpm.g,'SEMANA OUTUBRO'!G1:G500,_xlpm.h,'SEMANA OUTUBRO'!H1:H500,_xlpm.i,'SEMANA OUTUBRO'!I1:I500,_xlpm.dt,IFERROR(LOOKUP(ROW(_xlpm.a),ROW(_xlpm.a)/(_xlpm.a&gt;40000),_xlpm.a),""),_xlpm.orig,"SEMANA OUTUBRO!B"&amp;ROW(_xlpm.b)&amp;":I"&amp;ROW(_xlpm.b),_xlfn._xlws.FILTER(_xlfn.HSTACK(_xlpm.dt,IF(_xlpm.b&lt;&gt;"","OUTUBRO",""),TRIM(_xlpm.b),_xlpm.h,_xlpm.i,_xlpm.d,_xlpm.g,_xlpm.orig,_xlpm.c),(_xlpm.b&lt;&gt;"")*(_xlpm.b&lt;&gt;"PRODUTO")*(_xlpm.b&lt;&gt;"TOTAL")*(_xlpm.h&gt;0),_xlfn.HSTACK("","","","","","","","","")))</f>
        <v/>
      </c>
      <c r="B4681" t="str">
        <v/>
      </c>
      <c r="C4681" t="str">
        <v/>
      </c>
      <c r="D4681" t="str">
        <v/>
      </c>
      <c r="E4681" t="str">
        <v/>
      </c>
      <c r="F4681" t="str">
        <v/>
      </c>
      <c r="G4681" t="str">
        <v/>
      </c>
      <c r="H4681" t="str">
        <v/>
      </c>
      <c r="I4681" t="str">
        <v/>
      </c>
    </row>
    <row r="5201" spans="1:9" x14ac:dyDescent="0.3">
      <c r="A5201" t="str" cm="1">
        <f t="array" ref="A5201:I5201">_xlfn.LET(_xlpm.a,'SEMANA NOVEMBRO'!A1:A500,_xlpm.b,'SEMANA NOVEMBRO'!B1:B500,_xlpm.c,'SEMANA NOVEMBRO'!C1:C500,_xlpm.d,'SEMANA NOVEMBRO'!D1:D500,_xlpm.g,'SEMANA NOVEMBRO'!G1:G500,_xlpm.h,'SEMANA NOVEMBRO'!H1:H500,_xlpm.i,'SEMANA NOVEMBRO'!I1:I500,_xlpm.dt,IFERROR(LOOKUP(ROW(_xlpm.a),ROW(_xlpm.a)/(_xlpm.a&gt;40000),_xlpm.a),""),_xlpm.orig,"SEMANA NOVEMBRO!B"&amp;ROW(_xlpm.b)&amp;":I"&amp;ROW(_xlpm.b),_xlfn._xlws.FILTER(_xlfn.HSTACK(_xlpm.dt,IF(_xlpm.b&lt;&gt;"","NOVEMBRO",""),TRIM(_xlpm.b),_xlpm.h,_xlpm.i,_xlpm.d,_xlpm.g,_xlpm.orig,_xlpm.c),(_xlpm.b&lt;&gt;"")*(_xlpm.b&lt;&gt;"PRODUTO")*(_xlpm.b&lt;&gt;"TOTAL")*(_xlpm.h&gt;0),_xlfn.HSTACK("","","","","","","","","")))</f>
        <v/>
      </c>
      <c r="B5201" t="str">
        <v/>
      </c>
      <c r="C5201" t="str">
        <v/>
      </c>
      <c r="D5201" t="str">
        <v/>
      </c>
      <c r="E5201" t="str">
        <v/>
      </c>
      <c r="F5201" t="str">
        <v/>
      </c>
      <c r="G5201" t="str">
        <v/>
      </c>
      <c r="H5201" t="str">
        <v/>
      </c>
      <c r="I5201" t="str">
        <v/>
      </c>
    </row>
    <row r="5721" spans="1:9" x14ac:dyDescent="0.3">
      <c r="A5721" t="str" cm="1">
        <f t="array" ref="A5721:I5721">_xlfn.LET(_xlpm.a,'SEMANA DEZEMBRO'!A1:A500,_xlpm.b,'SEMANA DEZEMBRO'!B1:B500,_xlpm.c,'SEMANA DEZEMBRO'!C1:C500,_xlpm.d,'SEMANA DEZEMBRO'!D1:D500,_xlpm.g,'SEMANA DEZEMBRO'!G1:G500,_xlpm.h,'SEMANA DEZEMBRO'!H1:H500,_xlpm.i,'SEMANA DEZEMBRO'!I1:I500,_xlpm.dt,IFERROR(LOOKUP(ROW(_xlpm.a),ROW(_xlpm.a)/(_xlpm.a&gt;40000),_xlpm.a),""),_xlpm.orig,"SEMANA DEZEMBRO!B"&amp;ROW(_xlpm.b)&amp;":I"&amp;ROW(_xlpm.b),_xlfn._xlws.FILTER(_xlfn.HSTACK(_xlpm.dt,IF(_xlpm.b&lt;&gt;"","DEZEMBRO",""),TRIM(_xlpm.b),_xlpm.h,_xlpm.i,_xlpm.d,_xlpm.g,_xlpm.orig,_xlpm.c),(_xlpm.b&lt;&gt;"")*(_xlpm.b&lt;&gt;"PRODUTO")*(_xlpm.b&lt;&gt;"TOTAL")*(_xlpm.h&gt;0),_xlfn.HSTACK("","","","","","","","","")))</f>
        <v/>
      </c>
      <c r="B5721" t="str">
        <v/>
      </c>
      <c r="C5721" t="str">
        <v/>
      </c>
      <c r="D5721" t="str">
        <v/>
      </c>
      <c r="E5721" t="str">
        <v/>
      </c>
      <c r="F5721" t="str">
        <v/>
      </c>
      <c r="G5721" t="str">
        <v/>
      </c>
      <c r="H5721" t="str">
        <v/>
      </c>
      <c r="I5721" t="str">
        <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50</vt:i4>
      </vt:variant>
      <vt:variant>
        <vt:lpstr>Intervalos Nomeados</vt:lpstr>
      </vt:variant>
      <vt:variant>
        <vt:i4>20</vt:i4>
      </vt:variant>
    </vt:vector>
  </HeadingPairs>
  <TitlesOfParts>
    <vt:vector size="70" baseType="lpstr">
      <vt:lpstr>INSTRUÇÕES </vt:lpstr>
      <vt:lpstr>CAPA </vt:lpstr>
      <vt:lpstr>CLASSIFICAÇÃO</vt:lpstr>
      <vt:lpstr>JANEIRO</vt:lpstr>
      <vt:lpstr>SEMANA JANEIRO</vt:lpstr>
      <vt:lpstr>GRAFICO JANEIRO</vt:lpstr>
      <vt:lpstr>FEVEREIRO</vt:lpstr>
      <vt:lpstr>SEMANA FEVEREIRO</vt:lpstr>
      <vt:lpstr>GRAFICO FEVEREIRO</vt:lpstr>
      <vt:lpstr>MARÇO</vt:lpstr>
      <vt:lpstr>SEMANA MARÇO</vt:lpstr>
      <vt:lpstr>GRAFICO MARÇO</vt:lpstr>
      <vt:lpstr>ABRIL</vt:lpstr>
      <vt:lpstr>SEMANA ABRIL</vt:lpstr>
      <vt:lpstr>GRAFICO ABRIL</vt:lpstr>
      <vt:lpstr>MAIO</vt:lpstr>
      <vt:lpstr>SEMANA MAIO</vt:lpstr>
      <vt:lpstr>GRAFICO MAIO</vt:lpstr>
      <vt:lpstr>_BASE_GRAFICO_ABRIL</vt:lpstr>
      <vt:lpstr>JUNHO</vt:lpstr>
      <vt:lpstr>SEMANA JUNHO</vt:lpstr>
      <vt:lpstr>GRAFICO JUNHO</vt:lpstr>
      <vt:lpstr>JULHO</vt:lpstr>
      <vt:lpstr>SEMANA JULHO</vt:lpstr>
      <vt:lpstr>GRAFICO JULHO</vt:lpstr>
      <vt:lpstr>AGOSTO</vt:lpstr>
      <vt:lpstr>SEMANA AGOSTO</vt:lpstr>
      <vt:lpstr>GRAFICO AGOSTO</vt:lpstr>
      <vt:lpstr>SETEMBRO</vt:lpstr>
      <vt:lpstr>SEMANA SETEMBRO</vt:lpstr>
      <vt:lpstr>GRAFICO SETEMBRO</vt:lpstr>
      <vt:lpstr>OUTUBRO</vt:lpstr>
      <vt:lpstr>SEMANA OUTUBRO</vt:lpstr>
      <vt:lpstr>GRAFICO OUTUBRO</vt:lpstr>
      <vt:lpstr>NOVEMBRO</vt:lpstr>
      <vt:lpstr>SEMANA NOVEMBRO</vt:lpstr>
      <vt:lpstr>GRAFICO NOVEMBRO</vt:lpstr>
      <vt:lpstr>DEZEMBRO</vt:lpstr>
      <vt:lpstr>SEMANA DEZEMBRO</vt:lpstr>
      <vt:lpstr>GRAFICO DEZEMBRO</vt:lpstr>
      <vt:lpstr>CADASTRO PRODUTOS</vt:lpstr>
      <vt:lpstr>GÁS</vt:lpstr>
      <vt:lpstr>CONFIG</vt:lpstr>
      <vt:lpstr>BASE_DADOS</vt:lpstr>
      <vt:lpstr>RESUMO_MENSAL</vt:lpstr>
      <vt:lpstr>CONFIG_PALETES</vt:lpstr>
      <vt:lpstr>CONFIG_LISTAS</vt:lpstr>
      <vt:lpstr>PAINEL_EXEC</vt:lpstr>
      <vt:lpstr>PAINEL</vt:lpstr>
      <vt:lpstr>_AUTO_BASE</vt:lpstr>
      <vt:lpstr>'CAPA '!EMB_600</vt:lpstr>
      <vt:lpstr>CLASSIFICAÇÃO!EMB_600</vt:lpstr>
      <vt:lpstr>'INSTRUÇÕES '!EMB_600</vt:lpstr>
      <vt:lpstr>PAINEL!EMB_600</vt:lpstr>
      <vt:lpstr>EMB_600</vt:lpstr>
      <vt:lpstr>'CAPA '!EMB_COCO</vt:lpstr>
      <vt:lpstr>CLASSIFICAÇÃO!EMB_COCO</vt:lpstr>
      <vt:lpstr>'INSTRUÇÕES '!EMB_COCO</vt:lpstr>
      <vt:lpstr>PAINEL!EMB_COCO</vt:lpstr>
      <vt:lpstr>EMB_COCO</vt:lpstr>
      <vt:lpstr>'CAPA '!EMB_CORANTE</vt:lpstr>
      <vt:lpstr>CLASSIFICAÇÃO!EMB_CORANTE</vt:lpstr>
      <vt:lpstr>'INSTRUÇÕES '!EMB_CORANTE</vt:lpstr>
      <vt:lpstr>PAINEL!EMB_CORANTE</vt:lpstr>
      <vt:lpstr>EMB_CORANTE</vt:lpstr>
      <vt:lpstr>'CAPA '!EMB_TODAS</vt:lpstr>
      <vt:lpstr>CLASSIFICAÇÃO!EMB_TODAS</vt:lpstr>
      <vt:lpstr>'INSTRUÇÕES '!EMB_TODAS</vt:lpstr>
      <vt:lpstr>PAINEL!EMB_TODAS</vt:lpstr>
      <vt:lpstr>EMB_TODAS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 - AIDU Smart Choice</cp:lastModifiedBy>
  <cp:revision>6</cp:revision>
  <cp:lastPrinted>2026-07-06T13:05:57Z</cp:lastPrinted>
  <dcterms:created xsi:type="dcterms:W3CDTF">2026-04-24T14:31:01Z</dcterms:created>
  <dcterms:modified xsi:type="dcterms:W3CDTF">2026-07-23T14:50:42Z</dcterms:modified>
  <dc:language>en-US</dc:language>
</cp:coreProperties>
</file>