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bath_clamp_v1/"/>
    </mc:Choice>
  </mc:AlternateContent>
  <xr:revisionPtr revIDLastSave="0" documentId="8_{E5E424E2-87FF-5646-9490-5F2193C63112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my_design. " sheetId="1" r:id="rId1"/>
  </sheets>
  <definedNames>
    <definedName name="arrow_part_data">'my_design. '!$I$5:$M$54</definedName>
    <definedName name="BoardQty">'my_design. '!$H$1</definedName>
    <definedName name="digikey_part_data">'my_design. '!$N$5:$R$54</definedName>
    <definedName name="farnell_part_data">'my_design. '!$S$5:$W$54</definedName>
    <definedName name="global_part_data">'my_design. '!$A$5:$H$54</definedName>
    <definedName name="lcsc_part_data">'my_design. '!$X$5:$AB$54</definedName>
    <definedName name="mouser_part_data">'my_design. '!$AC$5:$AG$54</definedName>
    <definedName name="newark_part_data">'my_design. '!$AH$5:$AL$54</definedName>
    <definedName name="PURCHASE_DESCRIPTION">'my_design. '!$H$57</definedName>
    <definedName name="rs_part_data">'my_design. '!$AM$5:$AQ$54</definedName>
    <definedName name="tme_part_data">'my_design. '!$AR$5:$AV$54</definedName>
    <definedName name="TotalCost">'my_design. '!$H$3</definedName>
    <definedName name="USD_GBP">'my_design. '!$C$57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5" i="1" l="1" a="1"/>
  <c r="Y105" i="1" s="1"/>
  <c r="AS104" i="1" a="1"/>
  <c r="AS104" i="1" s="1"/>
  <c r="AN104" i="1" a="1"/>
  <c r="AN104" i="1" s="1"/>
  <c r="AI104" i="1" a="1"/>
  <c r="AI104" i="1" s="1"/>
  <c r="AD104" i="1" a="1"/>
  <c r="AD104" i="1" s="1"/>
  <c r="Y104" i="1" a="1"/>
  <c r="Y104" i="1" s="1"/>
  <c r="T104" i="1" a="1"/>
  <c r="T104" i="1" s="1"/>
  <c r="O104" i="1" a="1"/>
  <c r="O104" i="1" s="1"/>
  <c r="J104" i="1" a="1"/>
  <c r="J104" i="1" s="1"/>
  <c r="AS103" i="1" a="1"/>
  <c r="AS103" i="1" s="1"/>
  <c r="AN103" i="1" a="1"/>
  <c r="AN103" i="1" s="1"/>
  <c r="AI103" i="1" a="1"/>
  <c r="AI103" i="1" s="1"/>
  <c r="AD103" i="1" a="1"/>
  <c r="AD103" i="1" s="1"/>
  <c r="Y103" i="1" a="1"/>
  <c r="Y103" i="1" s="1"/>
  <c r="T103" i="1" a="1"/>
  <c r="T103" i="1" s="1"/>
  <c r="O103" i="1" a="1"/>
  <c r="O103" i="1" s="1"/>
  <c r="J103" i="1" a="1"/>
  <c r="J103" i="1" s="1"/>
  <c r="AS102" i="1" a="1"/>
  <c r="AS102" i="1" s="1"/>
  <c r="AN102" i="1" a="1"/>
  <c r="AN102" i="1" s="1"/>
  <c r="AI102" i="1" a="1"/>
  <c r="AI102" i="1" s="1"/>
  <c r="AD102" i="1" a="1"/>
  <c r="AD102" i="1" s="1"/>
  <c r="Y102" i="1" a="1"/>
  <c r="Y102" i="1" s="1"/>
  <c r="T102" i="1" a="1"/>
  <c r="T102" i="1" s="1"/>
  <c r="O102" i="1" a="1"/>
  <c r="O102" i="1" s="1"/>
  <c r="J102" i="1" a="1"/>
  <c r="J102" i="1" s="1"/>
  <c r="AS101" i="1" a="1"/>
  <c r="AS101" i="1" s="1"/>
  <c r="AN101" i="1" a="1"/>
  <c r="AN101" i="1" s="1"/>
  <c r="AI101" i="1" a="1"/>
  <c r="AI101" i="1" s="1"/>
  <c r="AD101" i="1" a="1"/>
  <c r="AD101" i="1" s="1"/>
  <c r="Y101" i="1" a="1"/>
  <c r="Y101" i="1" s="1"/>
  <c r="T101" i="1" a="1"/>
  <c r="T101" i="1" s="1"/>
  <c r="O101" i="1" a="1"/>
  <c r="O101" i="1" s="1"/>
  <c r="J101" i="1" a="1"/>
  <c r="J101" i="1" s="1"/>
  <c r="AS100" i="1" a="1"/>
  <c r="AS100" i="1" s="1"/>
  <c r="AN100" i="1" a="1"/>
  <c r="AN100" i="1" s="1"/>
  <c r="AI100" i="1" a="1"/>
  <c r="AI100" i="1" s="1"/>
  <c r="AD100" i="1" a="1"/>
  <c r="AD100" i="1" s="1"/>
  <c r="Y100" i="1" a="1"/>
  <c r="Y100" i="1" s="1"/>
  <c r="T100" i="1" a="1"/>
  <c r="T100" i="1" s="1"/>
  <c r="O100" i="1" a="1"/>
  <c r="O100" i="1" s="1"/>
  <c r="J100" i="1" a="1"/>
  <c r="J100" i="1" s="1"/>
  <c r="AS99" i="1" a="1"/>
  <c r="AS99" i="1" s="1"/>
  <c r="AN99" i="1" a="1"/>
  <c r="AN99" i="1" s="1"/>
  <c r="AI99" i="1" a="1"/>
  <c r="AI99" i="1"/>
  <c r="AD99" i="1" a="1"/>
  <c r="AD99" i="1" s="1"/>
  <c r="Y99" i="1" a="1"/>
  <c r="Y99" i="1" s="1"/>
  <c r="T99" i="1" a="1"/>
  <c r="T99" i="1" s="1"/>
  <c r="O99" i="1" a="1"/>
  <c r="O99" i="1" s="1"/>
  <c r="J99" i="1" a="1"/>
  <c r="J99" i="1" s="1"/>
  <c r="AS98" i="1" a="1"/>
  <c r="AS98" i="1" s="1"/>
  <c r="AN98" i="1" a="1"/>
  <c r="AN98" i="1" s="1"/>
  <c r="AI98" i="1" a="1"/>
  <c r="AI98" i="1"/>
  <c r="AD98" i="1" a="1"/>
  <c r="AD98" i="1" s="1"/>
  <c r="Y98" i="1" a="1"/>
  <c r="Y98" i="1" s="1"/>
  <c r="T98" i="1" a="1"/>
  <c r="T98" i="1" s="1"/>
  <c r="O98" i="1" a="1"/>
  <c r="O98" i="1" s="1"/>
  <c r="J98" i="1" a="1"/>
  <c r="J98" i="1" s="1"/>
  <c r="AS97" i="1" a="1"/>
  <c r="AS97" i="1" s="1"/>
  <c r="AN97" i="1" a="1"/>
  <c r="AN97" i="1" s="1"/>
  <c r="AI97" i="1" a="1"/>
  <c r="AI97" i="1"/>
  <c r="AD97" i="1" a="1"/>
  <c r="AD97" i="1" s="1"/>
  <c r="Y97" i="1" a="1"/>
  <c r="Y97" i="1" s="1"/>
  <c r="T97" i="1" a="1"/>
  <c r="T97" i="1" s="1"/>
  <c r="O97" i="1" a="1"/>
  <c r="O97" i="1" s="1"/>
  <c r="J97" i="1" a="1"/>
  <c r="J97" i="1" s="1"/>
  <c r="AS96" i="1" a="1"/>
  <c r="AS96" i="1" s="1"/>
  <c r="AN96" i="1" a="1"/>
  <c r="AN96" i="1" s="1"/>
  <c r="AI96" i="1" a="1"/>
  <c r="AI96" i="1"/>
  <c r="AD96" i="1" a="1"/>
  <c r="AD96" i="1" s="1"/>
  <c r="Y96" i="1" a="1"/>
  <c r="Y96" i="1" s="1"/>
  <c r="T96" i="1" a="1"/>
  <c r="T96" i="1" s="1"/>
  <c r="O96" i="1" a="1"/>
  <c r="O96" i="1" s="1"/>
  <c r="J96" i="1" a="1"/>
  <c r="J96" i="1" s="1"/>
  <c r="AS95" i="1" a="1"/>
  <c r="AS95" i="1" s="1"/>
  <c r="AN95" i="1" a="1"/>
  <c r="AN95" i="1" s="1"/>
  <c r="AI95" i="1" a="1"/>
  <c r="AI95" i="1"/>
  <c r="AD95" i="1" a="1"/>
  <c r="AD95" i="1" s="1"/>
  <c r="Y95" i="1" a="1"/>
  <c r="Y95" i="1" s="1"/>
  <c r="T95" i="1" a="1"/>
  <c r="T95" i="1" s="1"/>
  <c r="O95" i="1" a="1"/>
  <c r="O95" i="1" s="1"/>
  <c r="J95" i="1" a="1"/>
  <c r="J95" i="1" s="1"/>
  <c r="AS94" i="1" a="1"/>
  <c r="AS94" i="1" s="1"/>
  <c r="AN94" i="1" a="1"/>
  <c r="AN94" i="1" s="1"/>
  <c r="AI94" i="1" a="1"/>
  <c r="AI94" i="1"/>
  <c r="AD94" i="1" a="1"/>
  <c r="AD94" i="1" s="1"/>
  <c r="Y94" i="1" a="1"/>
  <c r="Y94" i="1" s="1"/>
  <c r="T94" i="1" a="1"/>
  <c r="T94" i="1" s="1"/>
  <c r="O94" i="1" a="1"/>
  <c r="O94" i="1" s="1"/>
  <c r="J94" i="1" a="1"/>
  <c r="J94" i="1" s="1"/>
  <c r="AS93" i="1" a="1"/>
  <c r="AS93" i="1" s="1"/>
  <c r="AN93" i="1" a="1"/>
  <c r="AN93" i="1" s="1"/>
  <c r="AI93" i="1" a="1"/>
  <c r="AI93" i="1"/>
  <c r="AD93" i="1" a="1"/>
  <c r="AD93" i="1" s="1"/>
  <c r="Y93" i="1" a="1"/>
  <c r="Y93" i="1" s="1"/>
  <c r="T93" i="1" a="1"/>
  <c r="T93" i="1" s="1"/>
  <c r="O93" i="1" a="1"/>
  <c r="O93" i="1" s="1"/>
  <c r="J93" i="1" a="1"/>
  <c r="J93" i="1" s="1"/>
  <c r="AS92" i="1" a="1"/>
  <c r="AS92" i="1" s="1"/>
  <c r="AN92" i="1" a="1"/>
  <c r="AN92" i="1" s="1"/>
  <c r="AI92" i="1" a="1"/>
  <c r="AI92" i="1"/>
  <c r="AD92" i="1" a="1"/>
  <c r="AD92" i="1" s="1"/>
  <c r="Y92" i="1" a="1"/>
  <c r="Y92" i="1" s="1"/>
  <c r="T92" i="1" a="1"/>
  <c r="T92" i="1" s="1"/>
  <c r="O92" i="1" a="1"/>
  <c r="O92" i="1" s="1"/>
  <c r="J92" i="1" a="1"/>
  <c r="J92" i="1" s="1"/>
  <c r="AS91" i="1" a="1"/>
  <c r="AS91" i="1" s="1"/>
  <c r="AN91" i="1" a="1"/>
  <c r="AN91" i="1" s="1"/>
  <c r="AI91" i="1" a="1"/>
  <c r="AI91" i="1"/>
  <c r="AD91" i="1" a="1"/>
  <c r="AD91" i="1" s="1"/>
  <c r="Y91" i="1" a="1"/>
  <c r="Y91" i="1" s="1"/>
  <c r="T91" i="1" a="1"/>
  <c r="T91" i="1" s="1"/>
  <c r="O91" i="1" a="1"/>
  <c r="O91" i="1" s="1"/>
  <c r="J91" i="1" a="1"/>
  <c r="J91" i="1" s="1"/>
  <c r="AS90" i="1" a="1"/>
  <c r="AS90" i="1" s="1"/>
  <c r="AN90" i="1" a="1"/>
  <c r="AN90" i="1" s="1"/>
  <c r="AI90" i="1" a="1"/>
  <c r="AI90" i="1"/>
  <c r="AD90" i="1" a="1"/>
  <c r="AD90" i="1" s="1"/>
  <c r="Y90" i="1" a="1"/>
  <c r="Y90" i="1" s="1"/>
  <c r="T90" i="1" a="1"/>
  <c r="T90" i="1" s="1"/>
  <c r="O90" i="1" a="1"/>
  <c r="O90" i="1" s="1"/>
  <c r="J90" i="1" a="1"/>
  <c r="J90" i="1" s="1"/>
  <c r="AS89" i="1" a="1"/>
  <c r="AS89" i="1" s="1"/>
  <c r="AN89" i="1" a="1"/>
  <c r="AN89" i="1" s="1"/>
  <c r="AI89" i="1" a="1"/>
  <c r="AI89" i="1"/>
  <c r="AD89" i="1" a="1"/>
  <c r="AD89" i="1" s="1"/>
  <c r="Y89" i="1" a="1"/>
  <c r="Y89" i="1" s="1"/>
  <c r="T89" i="1" a="1"/>
  <c r="T89" i="1" s="1"/>
  <c r="O89" i="1" a="1"/>
  <c r="O89" i="1" s="1"/>
  <c r="J89" i="1" a="1"/>
  <c r="J89" i="1" s="1"/>
  <c r="AS88" i="1" a="1"/>
  <c r="AS88" i="1" s="1"/>
  <c r="AN88" i="1" a="1"/>
  <c r="AN88" i="1" s="1"/>
  <c r="AI88" i="1" a="1"/>
  <c r="AI88" i="1"/>
  <c r="AD88" i="1" a="1"/>
  <c r="AD88" i="1" s="1"/>
  <c r="Y88" i="1" a="1"/>
  <c r="Y88" i="1" s="1"/>
  <c r="T88" i="1" a="1"/>
  <c r="T88" i="1" s="1"/>
  <c r="O88" i="1" a="1"/>
  <c r="O88" i="1" s="1"/>
  <c r="J88" i="1" a="1"/>
  <c r="J88" i="1" s="1"/>
  <c r="AS87" i="1" a="1"/>
  <c r="AS87" i="1" s="1"/>
  <c r="AN87" i="1" a="1"/>
  <c r="AN87" i="1" s="1"/>
  <c r="AI87" i="1" a="1"/>
  <c r="AI87" i="1"/>
  <c r="AD87" i="1" a="1"/>
  <c r="AD87" i="1" s="1"/>
  <c r="Y87" i="1" a="1"/>
  <c r="Y87" i="1" s="1"/>
  <c r="T87" i="1" a="1"/>
  <c r="T87" i="1" s="1"/>
  <c r="O87" i="1" a="1"/>
  <c r="O87" i="1" s="1"/>
  <c r="J87" i="1" a="1"/>
  <c r="J87" i="1" s="1"/>
  <c r="AS86" i="1" a="1"/>
  <c r="AS86" i="1" s="1"/>
  <c r="AN86" i="1" a="1"/>
  <c r="AN86" i="1" s="1"/>
  <c r="AI86" i="1" a="1"/>
  <c r="AI86" i="1"/>
  <c r="AD86" i="1" a="1"/>
  <c r="AD86" i="1" s="1"/>
  <c r="Y86" i="1" a="1"/>
  <c r="Y86" i="1" s="1"/>
  <c r="T86" i="1" a="1"/>
  <c r="T86" i="1" s="1"/>
  <c r="O86" i="1" a="1"/>
  <c r="O86" i="1" s="1"/>
  <c r="J86" i="1" a="1"/>
  <c r="J86" i="1" s="1"/>
  <c r="AS85" i="1" a="1"/>
  <c r="AS85" i="1" s="1"/>
  <c r="AN85" i="1" a="1"/>
  <c r="AN85" i="1" s="1"/>
  <c r="AI85" i="1" a="1"/>
  <c r="AI85" i="1"/>
  <c r="AD85" i="1" a="1"/>
  <c r="AD85" i="1"/>
  <c r="Y85" i="1" a="1"/>
  <c r="Y85" i="1" s="1"/>
  <c r="T85" i="1" a="1"/>
  <c r="T85" i="1" s="1"/>
  <c r="O85" i="1" a="1"/>
  <c r="O85" i="1"/>
  <c r="J85" i="1" a="1"/>
  <c r="J85" i="1"/>
  <c r="AS84" i="1" a="1"/>
  <c r="AS84" i="1" s="1"/>
  <c r="AN84" i="1" a="1"/>
  <c r="AN84" i="1" s="1"/>
  <c r="AI84" i="1" a="1"/>
  <c r="AI84" i="1"/>
  <c r="AD84" i="1" a="1"/>
  <c r="AD84" i="1"/>
  <c r="Y84" i="1" a="1"/>
  <c r="Y84" i="1" s="1"/>
  <c r="T84" i="1" a="1"/>
  <c r="T84" i="1" s="1"/>
  <c r="O84" i="1" a="1"/>
  <c r="O84" i="1"/>
  <c r="J84" i="1" a="1"/>
  <c r="J84" i="1"/>
  <c r="AS83" i="1" a="1"/>
  <c r="AS83" i="1" s="1"/>
  <c r="AN83" i="1" a="1"/>
  <c r="AN83" i="1" s="1"/>
  <c r="AI83" i="1" a="1"/>
  <c r="AI83" i="1"/>
  <c r="AD83" i="1" a="1"/>
  <c r="AD83" i="1"/>
  <c r="Y83" i="1" a="1"/>
  <c r="Y83" i="1" s="1"/>
  <c r="T83" i="1" a="1"/>
  <c r="T83" i="1" s="1"/>
  <c r="O83" i="1" a="1"/>
  <c r="O83" i="1"/>
  <c r="J83" i="1" a="1"/>
  <c r="J83" i="1"/>
  <c r="AS82" i="1" a="1"/>
  <c r="AS82" i="1" s="1"/>
  <c r="AN82" i="1" a="1"/>
  <c r="AN82" i="1" s="1"/>
  <c r="AI82" i="1" a="1"/>
  <c r="AI82" i="1"/>
  <c r="AD82" i="1" a="1"/>
  <c r="AD82" i="1" s="1"/>
  <c r="Y82" i="1" a="1"/>
  <c r="Y82" i="1" s="1"/>
  <c r="T82" i="1" a="1"/>
  <c r="T82" i="1" s="1"/>
  <c r="O82" i="1" a="1"/>
  <c r="O82" i="1"/>
  <c r="J82" i="1" a="1"/>
  <c r="J82" i="1"/>
  <c r="AS81" i="1" a="1"/>
  <c r="AS81" i="1" s="1"/>
  <c r="AN81" i="1" a="1"/>
  <c r="AN81" i="1" s="1"/>
  <c r="AI81" i="1" a="1"/>
  <c r="AI81" i="1"/>
  <c r="AD81" i="1" a="1"/>
  <c r="AD81" i="1"/>
  <c r="Y81" i="1" a="1"/>
  <c r="Y81" i="1" s="1"/>
  <c r="T81" i="1" a="1"/>
  <c r="T81" i="1" s="1"/>
  <c r="O81" i="1" a="1"/>
  <c r="O81" i="1" s="1"/>
  <c r="J81" i="1" a="1"/>
  <c r="J81" i="1"/>
  <c r="AS80" i="1" a="1"/>
  <c r="AS80" i="1" s="1"/>
  <c r="AN80" i="1" a="1"/>
  <c r="AN80" i="1" s="1"/>
  <c r="AI80" i="1" a="1"/>
  <c r="AI80" i="1"/>
  <c r="AD80" i="1" a="1"/>
  <c r="AD80" i="1" s="1"/>
  <c r="Y80" i="1" a="1"/>
  <c r="Y80" i="1" s="1"/>
  <c r="T80" i="1" a="1"/>
  <c r="T80" i="1" s="1"/>
  <c r="O80" i="1" a="1"/>
  <c r="O80" i="1"/>
  <c r="J80" i="1" a="1"/>
  <c r="J80" i="1"/>
  <c r="AS79" i="1" a="1"/>
  <c r="AS79" i="1" s="1"/>
  <c r="AN79" i="1" a="1"/>
  <c r="AN79" i="1" s="1"/>
  <c r="AI79" i="1" a="1"/>
  <c r="AI79" i="1"/>
  <c r="AD79" i="1" a="1"/>
  <c r="AD79" i="1"/>
  <c r="Y79" i="1" a="1"/>
  <c r="Y79" i="1" s="1"/>
  <c r="T79" i="1" a="1"/>
  <c r="T79" i="1" s="1"/>
  <c r="O79" i="1" a="1"/>
  <c r="O79" i="1" s="1"/>
  <c r="J79" i="1" a="1"/>
  <c r="J79" i="1"/>
  <c r="AS78" i="1" a="1"/>
  <c r="AS78" i="1" s="1"/>
  <c r="AN78" i="1" a="1"/>
  <c r="AN78" i="1" s="1"/>
  <c r="AI78" i="1" a="1"/>
  <c r="AI78" i="1"/>
  <c r="AD78" i="1" a="1"/>
  <c r="AD78" i="1" s="1"/>
  <c r="Y78" i="1" a="1"/>
  <c r="Y78" i="1" s="1"/>
  <c r="T78" i="1" a="1"/>
  <c r="T78" i="1" s="1"/>
  <c r="O78" i="1" a="1"/>
  <c r="O78" i="1"/>
  <c r="J78" i="1" a="1"/>
  <c r="J78" i="1"/>
  <c r="AS77" i="1" a="1"/>
  <c r="AS77" i="1" s="1"/>
  <c r="AN77" i="1" a="1"/>
  <c r="AN77" i="1" s="1"/>
  <c r="AI77" i="1" a="1"/>
  <c r="AI77" i="1" s="1"/>
  <c r="AD77" i="1" a="1"/>
  <c r="AD77" i="1"/>
  <c r="Y77" i="1" a="1"/>
  <c r="Y77" i="1" s="1"/>
  <c r="T77" i="1" a="1"/>
  <c r="T77" i="1" s="1"/>
  <c r="O77" i="1" a="1"/>
  <c r="O77" i="1" s="1"/>
  <c r="J77" i="1" a="1"/>
  <c r="J77" i="1" s="1"/>
  <c r="AS76" i="1" a="1"/>
  <c r="AS76" i="1" s="1"/>
  <c r="AN76" i="1" a="1"/>
  <c r="AN76" i="1" s="1"/>
  <c r="AI76" i="1" a="1"/>
  <c r="AI76" i="1"/>
  <c r="AD76" i="1" a="1"/>
  <c r="AD76" i="1" s="1"/>
  <c r="Y76" i="1" a="1"/>
  <c r="Y76" i="1" s="1"/>
  <c r="T76" i="1" a="1"/>
  <c r="T76" i="1" s="1"/>
  <c r="O76" i="1" a="1"/>
  <c r="O76" i="1"/>
  <c r="J76" i="1" a="1"/>
  <c r="J76" i="1"/>
  <c r="AS75" i="1" a="1"/>
  <c r="AS75" i="1" s="1"/>
  <c r="AN75" i="1" a="1"/>
  <c r="AN75" i="1" s="1"/>
  <c r="AI75" i="1" a="1"/>
  <c r="AI75" i="1" s="1"/>
  <c r="AD75" i="1" a="1"/>
  <c r="AD75" i="1" s="1"/>
  <c r="Y75" i="1" a="1"/>
  <c r="Y75" i="1" s="1"/>
  <c r="T75" i="1" a="1"/>
  <c r="T75" i="1" s="1"/>
  <c r="O75" i="1" a="1"/>
  <c r="O75" i="1" s="1"/>
  <c r="J75" i="1" a="1"/>
  <c r="J75" i="1" s="1"/>
  <c r="AS74" i="1" a="1"/>
  <c r="AS74" i="1" s="1"/>
  <c r="AN74" i="1" a="1"/>
  <c r="AN74" i="1" s="1"/>
  <c r="AI74" i="1" a="1"/>
  <c r="AI74" i="1"/>
  <c r="AD74" i="1" a="1"/>
  <c r="AD74" i="1" s="1"/>
  <c r="Y74" i="1" a="1"/>
  <c r="Y74" i="1" s="1"/>
  <c r="T74" i="1" a="1"/>
  <c r="T74" i="1" s="1"/>
  <c r="O74" i="1" a="1"/>
  <c r="O74" i="1" s="1"/>
  <c r="J74" i="1" a="1"/>
  <c r="J74" i="1"/>
  <c r="AS73" i="1" a="1"/>
  <c r="AS73" i="1" s="1"/>
  <c r="AN73" i="1" a="1"/>
  <c r="AN73" i="1" s="1"/>
  <c r="AI73" i="1" a="1"/>
  <c r="AI73" i="1" s="1"/>
  <c r="AD73" i="1" a="1"/>
  <c r="AD73" i="1" s="1"/>
  <c r="Y73" i="1" a="1"/>
  <c r="Y73" i="1" s="1"/>
  <c r="T73" i="1" a="1"/>
  <c r="T73" i="1" s="1"/>
  <c r="O73" i="1" a="1"/>
  <c r="O73" i="1" s="1"/>
  <c r="J73" i="1" a="1"/>
  <c r="J73" i="1" s="1"/>
  <c r="AS72" i="1" a="1"/>
  <c r="AS72" i="1" s="1"/>
  <c r="AN72" i="1" a="1"/>
  <c r="AN72" i="1" s="1"/>
  <c r="AI72" i="1" a="1"/>
  <c r="AI72" i="1"/>
  <c r="AD72" i="1" a="1"/>
  <c r="AD72" i="1" s="1"/>
  <c r="Y72" i="1" a="1"/>
  <c r="Y72" i="1" s="1"/>
  <c r="T72" i="1" a="1"/>
  <c r="T72" i="1" s="1"/>
  <c r="O72" i="1" a="1"/>
  <c r="O72" i="1" s="1"/>
  <c r="J72" i="1" a="1"/>
  <c r="J72" i="1"/>
  <c r="AS71" i="1" a="1"/>
  <c r="AS71" i="1" s="1"/>
  <c r="AN71" i="1" a="1"/>
  <c r="AN71" i="1" s="1"/>
  <c r="AI71" i="1" a="1"/>
  <c r="AI71" i="1" s="1"/>
  <c r="AD71" i="1" a="1"/>
  <c r="AD71" i="1" s="1"/>
  <c r="Y71" i="1" a="1"/>
  <c r="Y71" i="1" s="1"/>
  <c r="T71" i="1" a="1"/>
  <c r="T71" i="1" s="1"/>
  <c r="O71" i="1" a="1"/>
  <c r="O71" i="1" s="1"/>
  <c r="J71" i="1" a="1"/>
  <c r="J71" i="1" s="1"/>
  <c r="AS70" i="1" a="1"/>
  <c r="AS70" i="1" s="1"/>
  <c r="AN70" i="1" a="1"/>
  <c r="AN70" i="1" s="1"/>
  <c r="AI70" i="1" a="1"/>
  <c r="AI70" i="1"/>
  <c r="AD70" i="1" a="1"/>
  <c r="AD70" i="1" s="1"/>
  <c r="Y70" i="1" a="1"/>
  <c r="Y70" i="1" s="1"/>
  <c r="T70" i="1" a="1"/>
  <c r="T70" i="1" s="1"/>
  <c r="O70" i="1" a="1"/>
  <c r="O70" i="1" s="1"/>
  <c r="J70" i="1" a="1"/>
  <c r="J70" i="1"/>
  <c r="AS69" i="1" a="1"/>
  <c r="AS69" i="1" s="1"/>
  <c r="AN69" i="1" a="1"/>
  <c r="AN69" i="1" s="1"/>
  <c r="AI69" i="1" a="1"/>
  <c r="AI69" i="1" s="1"/>
  <c r="AD69" i="1" a="1"/>
  <c r="AD69" i="1" s="1"/>
  <c r="Y69" i="1" a="1"/>
  <c r="Y69" i="1" s="1"/>
  <c r="T69" i="1" a="1"/>
  <c r="T69" i="1" s="1"/>
  <c r="O69" i="1" a="1"/>
  <c r="O69" i="1" s="1"/>
  <c r="J69" i="1" a="1"/>
  <c r="J69" i="1" s="1"/>
  <c r="AS68" i="1" a="1"/>
  <c r="AS68" i="1" s="1"/>
  <c r="AN68" i="1" a="1"/>
  <c r="AN68" i="1" s="1"/>
  <c r="AI68" i="1" a="1"/>
  <c r="AI68" i="1"/>
  <c r="AD68" i="1" a="1"/>
  <c r="AD68" i="1" s="1"/>
  <c r="Y68" i="1" a="1"/>
  <c r="Y68" i="1" s="1"/>
  <c r="T68" i="1" a="1"/>
  <c r="T68" i="1" s="1"/>
  <c r="O68" i="1" a="1"/>
  <c r="O68" i="1" s="1"/>
  <c r="J68" i="1" a="1"/>
  <c r="J68" i="1"/>
  <c r="AS67" i="1" a="1"/>
  <c r="AS67" i="1" s="1"/>
  <c r="AN67" i="1" a="1"/>
  <c r="AN67" i="1" s="1"/>
  <c r="AI67" i="1" a="1"/>
  <c r="AI67" i="1" s="1"/>
  <c r="AD67" i="1" a="1"/>
  <c r="AD67" i="1" s="1"/>
  <c r="Y67" i="1" a="1"/>
  <c r="Y67" i="1" s="1"/>
  <c r="T67" i="1" a="1"/>
  <c r="T67" i="1" s="1"/>
  <c r="O67" i="1" a="1"/>
  <c r="O67" i="1" s="1"/>
  <c r="J67" i="1" a="1"/>
  <c r="J67" i="1" s="1"/>
  <c r="AS66" i="1" a="1"/>
  <c r="AS66" i="1" s="1"/>
  <c r="AN66" i="1" a="1"/>
  <c r="AN66" i="1" s="1"/>
  <c r="AI66" i="1" a="1"/>
  <c r="AI66" i="1"/>
  <c r="AD66" i="1" a="1"/>
  <c r="AD66" i="1" s="1"/>
  <c r="Y66" i="1" a="1"/>
  <c r="Y66" i="1" s="1"/>
  <c r="T66" i="1" a="1"/>
  <c r="T66" i="1" s="1"/>
  <c r="O66" i="1" a="1"/>
  <c r="O66" i="1" s="1"/>
  <c r="J66" i="1" a="1"/>
  <c r="J66" i="1" s="1"/>
  <c r="AS65" i="1" a="1"/>
  <c r="AS65" i="1" s="1"/>
  <c r="AN65" i="1" a="1"/>
  <c r="AN65" i="1" s="1"/>
  <c r="AI65" i="1" a="1"/>
  <c r="AI65" i="1" s="1"/>
  <c r="AD65" i="1" a="1"/>
  <c r="AD65" i="1" s="1"/>
  <c r="Y65" i="1" a="1"/>
  <c r="Y65" i="1" s="1"/>
  <c r="T65" i="1" a="1"/>
  <c r="T65" i="1" s="1"/>
  <c r="O65" i="1" a="1"/>
  <c r="O65" i="1" s="1"/>
  <c r="J65" i="1" a="1"/>
  <c r="J65" i="1" s="1"/>
  <c r="AS64" i="1" a="1"/>
  <c r="AS64" i="1" s="1"/>
  <c r="AN64" i="1" a="1"/>
  <c r="AN64" i="1" s="1"/>
  <c r="AI64" i="1" a="1"/>
  <c r="AI64" i="1"/>
  <c r="AD64" i="1" a="1"/>
  <c r="AD64" i="1" s="1"/>
  <c r="Y64" i="1" a="1"/>
  <c r="Y64" i="1" s="1"/>
  <c r="T64" i="1" a="1"/>
  <c r="T64" i="1" s="1"/>
  <c r="O64" i="1" a="1"/>
  <c r="O64" i="1" s="1"/>
  <c r="J64" i="1" a="1"/>
  <c r="J64" i="1"/>
  <c r="AS63" i="1" a="1"/>
  <c r="AS63" i="1" s="1"/>
  <c r="AN63" i="1" a="1"/>
  <c r="AN63" i="1" s="1"/>
  <c r="AI63" i="1" a="1"/>
  <c r="AI63" i="1" s="1"/>
  <c r="AD63" i="1" a="1"/>
  <c r="AD63" i="1" s="1"/>
  <c r="Y63" i="1" a="1"/>
  <c r="Y63" i="1" s="1"/>
  <c r="T63" i="1" a="1"/>
  <c r="T63" i="1" s="1"/>
  <c r="O63" i="1" a="1"/>
  <c r="O63" i="1"/>
  <c r="J63" i="1" a="1"/>
  <c r="J63" i="1"/>
  <c r="AS62" i="1" a="1"/>
  <c r="AS62" i="1"/>
  <c r="AN62" i="1" a="1"/>
  <c r="AN62" i="1" s="1"/>
  <c r="AI62" i="1" a="1"/>
  <c r="AI62" i="1" s="1"/>
  <c r="AD62" i="1" a="1"/>
  <c r="AD62" i="1" s="1"/>
  <c r="Y62" i="1" a="1"/>
  <c r="Y62" i="1" s="1"/>
  <c r="T62" i="1" a="1"/>
  <c r="T62" i="1" s="1"/>
  <c r="O62" i="1" a="1"/>
  <c r="O62" i="1" s="1"/>
  <c r="J62" i="1" a="1"/>
  <c r="J62" i="1" s="1"/>
  <c r="AS61" i="1" a="1"/>
  <c r="AS61" i="1" s="1"/>
  <c r="AN61" i="1" a="1"/>
  <c r="AN61" i="1" s="1"/>
  <c r="AI61" i="1" a="1"/>
  <c r="AI61" i="1" s="1"/>
  <c r="AD61" i="1" a="1"/>
  <c r="AD61" i="1" s="1"/>
  <c r="Y61" i="1" a="1"/>
  <c r="Y61" i="1" s="1"/>
  <c r="T61" i="1" a="1"/>
  <c r="T61" i="1"/>
  <c r="O61" i="1" a="1"/>
  <c r="O61" i="1" s="1"/>
  <c r="J61" i="1" a="1"/>
  <c r="J61" i="1" s="1"/>
  <c r="AS60" i="1" a="1"/>
  <c r="AS60" i="1" s="1"/>
  <c r="AN60" i="1" a="1"/>
  <c r="AN60" i="1" s="1"/>
  <c r="AI60" i="1" a="1"/>
  <c r="AI60" i="1" s="1"/>
  <c r="AD60" i="1" a="1"/>
  <c r="AD60" i="1" s="1"/>
  <c r="Y60" i="1" a="1"/>
  <c r="Y60" i="1" s="1"/>
  <c r="T60" i="1" a="1"/>
  <c r="T60" i="1" s="1"/>
  <c r="O60" i="1" a="1"/>
  <c r="O60" i="1" s="1"/>
  <c r="J60" i="1" a="1"/>
  <c r="J60" i="1" s="1"/>
  <c r="AS59" i="1" a="1"/>
  <c r="AS59" i="1" s="1"/>
  <c r="AN59" i="1" a="1"/>
  <c r="AN59" i="1"/>
  <c r="AI59" i="1" a="1"/>
  <c r="AI59" i="1" s="1"/>
  <c r="AD59" i="1" a="1"/>
  <c r="AD59" i="1" s="1"/>
  <c r="Y59" i="1" a="1"/>
  <c r="Y59" i="1" s="1"/>
  <c r="T59" i="1" a="1"/>
  <c r="T59" i="1"/>
  <c r="O59" i="1" a="1"/>
  <c r="O59" i="1" s="1"/>
  <c r="J59" i="1" a="1"/>
  <c r="J59" i="1" s="1"/>
  <c r="AS58" i="1" a="1"/>
  <c r="AS58" i="1" s="1"/>
  <c r="AN58" i="1" a="1"/>
  <c r="AN58" i="1"/>
  <c r="AI58" i="1" a="1"/>
  <c r="AI58" i="1" s="1"/>
  <c r="AD58" i="1" a="1"/>
  <c r="AD58" i="1" s="1"/>
  <c r="Y58" i="1" a="1"/>
  <c r="Y58" i="1" s="1"/>
  <c r="T58" i="1" a="1"/>
  <c r="T58" i="1" s="1"/>
  <c r="O58" i="1" a="1"/>
  <c r="O58" i="1" s="1"/>
  <c r="J58" i="1" a="1"/>
  <c r="J58" i="1" s="1"/>
  <c r="AS57" i="1" a="1"/>
  <c r="AS57" i="1" s="1"/>
  <c r="AN57" i="1" a="1"/>
  <c r="AN57" i="1" s="1"/>
  <c r="AI57" i="1" a="1"/>
  <c r="AI57" i="1" s="1"/>
  <c r="AD57" i="1" a="1"/>
  <c r="AD57" i="1" s="1"/>
  <c r="Y57" i="1"/>
  <c r="T57" i="1" a="1"/>
  <c r="T57" i="1"/>
  <c r="O57" i="1" a="1"/>
  <c r="O57" i="1" s="1"/>
  <c r="J57" i="1" a="1"/>
  <c r="J57" i="1"/>
  <c r="AU56" i="1"/>
  <c r="AS56" i="1"/>
  <c r="AP56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AJ54" i="1"/>
  <c r="AK54" i="1" s="1"/>
  <c r="P54" i="1"/>
  <c r="Q54" i="1" s="1"/>
  <c r="F54" i="1"/>
  <c r="AT53" i="1"/>
  <c r="AU53" i="1" s="1"/>
  <c r="AO53" i="1"/>
  <c r="AP53" i="1" s="1"/>
  <c r="AJ53" i="1"/>
  <c r="AK53" i="1" s="1"/>
  <c r="AE53" i="1"/>
  <c r="AF53" i="1" s="1"/>
  <c r="U53" i="1"/>
  <c r="V53" i="1" s="1"/>
  <c r="P53" i="1"/>
  <c r="Q53" i="1" s="1"/>
  <c r="F53" i="1"/>
  <c r="F52" i="1"/>
  <c r="P52" i="1" s="1"/>
  <c r="Q52" i="1" s="1"/>
  <c r="AT51" i="1"/>
  <c r="AU51" i="1" s="1"/>
  <c r="U51" i="1"/>
  <c r="V51" i="1" s="1"/>
  <c r="P51" i="1"/>
  <c r="Q51" i="1" s="1"/>
  <c r="F51" i="1"/>
  <c r="AJ51" i="1" s="1"/>
  <c r="AK51" i="1" s="1"/>
  <c r="P50" i="1"/>
  <c r="Q50" i="1" s="1"/>
  <c r="F50" i="1"/>
  <c r="AE50" i="1" s="1"/>
  <c r="AF50" i="1" s="1"/>
  <c r="AK49" i="1"/>
  <c r="AJ49" i="1"/>
  <c r="AE49" i="1"/>
  <c r="AF49" i="1" s="1"/>
  <c r="P49" i="1"/>
  <c r="Q49" i="1" s="1"/>
  <c r="F49" i="1"/>
  <c r="F48" i="1"/>
  <c r="AE47" i="1"/>
  <c r="AF47" i="1" s="1"/>
  <c r="V47" i="1"/>
  <c r="U47" i="1"/>
  <c r="P47" i="1"/>
  <c r="Q47" i="1" s="1"/>
  <c r="F47" i="1"/>
  <c r="F46" i="1"/>
  <c r="P46" i="1" s="1"/>
  <c r="Q46" i="1" s="1"/>
  <c r="AT45" i="1"/>
  <c r="AU45" i="1" s="1"/>
  <c r="AO45" i="1"/>
  <c r="AP45" i="1" s="1"/>
  <c r="AJ45" i="1"/>
  <c r="AK45" i="1" s="1"/>
  <c r="AF45" i="1"/>
  <c r="AE45" i="1"/>
  <c r="Z45" i="1"/>
  <c r="AA45" i="1" s="1"/>
  <c r="U45" i="1"/>
  <c r="V45" i="1" s="1"/>
  <c r="P45" i="1"/>
  <c r="Q45" i="1" s="1"/>
  <c r="F45" i="1"/>
  <c r="AJ44" i="1"/>
  <c r="AK44" i="1" s="1"/>
  <c r="U44" i="1"/>
  <c r="V44" i="1" s="1"/>
  <c r="F44" i="1"/>
  <c r="F43" i="1"/>
  <c r="F42" i="1"/>
  <c r="P42" i="1" s="1"/>
  <c r="Q42" i="1" s="1"/>
  <c r="AT41" i="1"/>
  <c r="AU41" i="1" s="1"/>
  <c r="AO41" i="1"/>
  <c r="AP41" i="1" s="1"/>
  <c r="AJ41" i="1"/>
  <c r="AK41" i="1" s="1"/>
  <c r="AE41" i="1"/>
  <c r="AF41" i="1" s="1"/>
  <c r="Z41" i="1"/>
  <c r="AA41" i="1" s="1"/>
  <c r="V41" i="1"/>
  <c r="U41" i="1"/>
  <c r="P41" i="1"/>
  <c r="Q41" i="1" s="1"/>
  <c r="F41" i="1"/>
  <c r="F40" i="1"/>
  <c r="P40" i="1" s="1"/>
  <c r="Q40" i="1" s="1"/>
  <c r="AT39" i="1"/>
  <c r="AU39" i="1" s="1"/>
  <c r="AJ39" i="1"/>
  <c r="AK39" i="1" s="1"/>
  <c r="AE39" i="1"/>
  <c r="AF39" i="1" s="1"/>
  <c r="V39" i="1"/>
  <c r="U39" i="1"/>
  <c r="P39" i="1"/>
  <c r="Q39" i="1" s="1"/>
  <c r="F39" i="1"/>
  <c r="AJ38" i="1"/>
  <c r="AK38" i="1" s="1"/>
  <c r="F38" i="1"/>
  <c r="AE37" i="1"/>
  <c r="AF37" i="1" s="1"/>
  <c r="P37" i="1"/>
  <c r="Q37" i="1" s="1"/>
  <c r="F37" i="1"/>
  <c r="U36" i="1"/>
  <c r="V36" i="1" s="1"/>
  <c r="F36" i="1"/>
  <c r="AE35" i="1"/>
  <c r="AF35" i="1" s="1"/>
  <c r="U35" i="1"/>
  <c r="V35" i="1" s="1"/>
  <c r="F35" i="1"/>
  <c r="AJ35" i="1" s="1"/>
  <c r="AK35" i="1" s="1"/>
  <c r="F34" i="1"/>
  <c r="AO34" i="1" s="1"/>
  <c r="AP34" i="1" s="1"/>
  <c r="AU33" i="1"/>
  <c r="AT33" i="1"/>
  <c r="AO33" i="1"/>
  <c r="AP33" i="1" s="1"/>
  <c r="AJ33" i="1"/>
  <c r="AK33" i="1" s="1"/>
  <c r="AE33" i="1"/>
  <c r="AF33" i="1" s="1"/>
  <c r="U33" i="1"/>
  <c r="V33" i="1" s="1"/>
  <c r="P33" i="1"/>
  <c r="Q33" i="1" s="1"/>
  <c r="F33" i="1"/>
  <c r="AJ32" i="1"/>
  <c r="AK32" i="1" s="1"/>
  <c r="F32" i="1"/>
  <c r="AJ31" i="1"/>
  <c r="AK31" i="1" s="1"/>
  <c r="F31" i="1"/>
  <c r="AJ30" i="1"/>
  <c r="AK30" i="1" s="1"/>
  <c r="V30" i="1"/>
  <c r="U30" i="1"/>
  <c r="F30" i="1"/>
  <c r="AT29" i="1"/>
  <c r="AU29" i="1" s="1"/>
  <c r="AJ29" i="1"/>
  <c r="AK29" i="1" s="1"/>
  <c r="AE29" i="1"/>
  <c r="AF29" i="1" s="1"/>
  <c r="U29" i="1"/>
  <c r="V29" i="1" s="1"/>
  <c r="P29" i="1"/>
  <c r="Q29" i="1" s="1"/>
  <c r="F29" i="1"/>
  <c r="AF28" i="1"/>
  <c r="P28" i="1"/>
  <c r="Q28" i="1" s="1"/>
  <c r="F28" i="1"/>
  <c r="AE28" i="1" s="1"/>
  <c r="AT27" i="1"/>
  <c r="AU27" i="1" s="1"/>
  <c r="AO27" i="1"/>
  <c r="AP27" i="1" s="1"/>
  <c r="AJ27" i="1"/>
  <c r="AK27" i="1" s="1"/>
  <c r="AE27" i="1"/>
  <c r="AF27" i="1" s="1"/>
  <c r="V27" i="1"/>
  <c r="U27" i="1"/>
  <c r="Q27" i="1"/>
  <c r="P27" i="1"/>
  <c r="F27" i="1"/>
  <c r="AJ26" i="1"/>
  <c r="AK26" i="1" s="1"/>
  <c r="AF26" i="1"/>
  <c r="F26" i="1"/>
  <c r="AE26" i="1" s="1"/>
  <c r="AE25" i="1"/>
  <c r="AF25" i="1" s="1"/>
  <c r="F25" i="1"/>
  <c r="P25" i="1" s="1"/>
  <c r="Q25" i="1" s="1"/>
  <c r="AO24" i="1"/>
  <c r="AP24" i="1" s="1"/>
  <c r="P24" i="1"/>
  <c r="Q24" i="1" s="1"/>
  <c r="F24" i="1"/>
  <c r="AE24" i="1" s="1"/>
  <c r="AF24" i="1" s="1"/>
  <c r="AE23" i="1"/>
  <c r="AF23" i="1" s="1"/>
  <c r="F23" i="1"/>
  <c r="AJ23" i="1" s="1"/>
  <c r="AK23" i="1" s="1"/>
  <c r="AE22" i="1"/>
  <c r="AF22" i="1" s="1"/>
  <c r="F22" i="1"/>
  <c r="P22" i="1" s="1"/>
  <c r="Q22" i="1" s="1"/>
  <c r="AT21" i="1"/>
  <c r="AU21" i="1" s="1"/>
  <c r="AJ21" i="1"/>
  <c r="AK21" i="1" s="1"/>
  <c r="AE21" i="1"/>
  <c r="AF21" i="1" s="1"/>
  <c r="V21" i="1"/>
  <c r="U21" i="1"/>
  <c r="Q21" i="1"/>
  <c r="P21" i="1"/>
  <c r="F21" i="1"/>
  <c r="AA20" i="1"/>
  <c r="F20" i="1"/>
  <c r="Z20" i="1" s="1"/>
  <c r="AT19" i="1"/>
  <c r="AU19" i="1" s="1"/>
  <c r="AK19" i="1"/>
  <c r="AJ19" i="1"/>
  <c r="AF19" i="1"/>
  <c r="AE19" i="1"/>
  <c r="P19" i="1"/>
  <c r="Q19" i="1" s="1"/>
  <c r="F19" i="1"/>
  <c r="AO19" i="1" s="1"/>
  <c r="AP19" i="1" s="1"/>
  <c r="F18" i="1"/>
  <c r="AE18" i="1" s="1"/>
  <c r="AF18" i="1" s="1"/>
  <c r="F17" i="1"/>
  <c r="F16" i="1"/>
  <c r="AT15" i="1"/>
  <c r="AU15" i="1" s="1"/>
  <c r="AO15" i="1"/>
  <c r="AP15" i="1" s="1"/>
  <c r="AJ15" i="1"/>
  <c r="AK15" i="1" s="1"/>
  <c r="AE15" i="1"/>
  <c r="AF15" i="1" s="1"/>
  <c r="V15" i="1"/>
  <c r="U15" i="1"/>
  <c r="P15" i="1"/>
  <c r="Q15" i="1" s="1"/>
  <c r="F15" i="1"/>
  <c r="AE14" i="1"/>
  <c r="AF14" i="1" s="1"/>
  <c r="F14" i="1"/>
  <c r="U14" i="1" s="1"/>
  <c r="V14" i="1" s="1"/>
  <c r="AJ13" i="1"/>
  <c r="AK13" i="1" s="1"/>
  <c r="AE13" i="1"/>
  <c r="AF13" i="1" s="1"/>
  <c r="V13" i="1"/>
  <c r="U13" i="1"/>
  <c r="Q13" i="1"/>
  <c r="P13" i="1"/>
  <c r="F13" i="1"/>
  <c r="F12" i="1"/>
  <c r="AE12" i="1" s="1"/>
  <c r="AF12" i="1" s="1"/>
  <c r="AE11" i="1"/>
  <c r="AF11" i="1" s="1"/>
  <c r="F11" i="1"/>
  <c r="P11" i="1" s="1"/>
  <c r="Q11" i="1" s="1"/>
  <c r="AF10" i="1"/>
  <c r="P10" i="1"/>
  <c r="Q10" i="1" s="1"/>
  <c r="F10" i="1"/>
  <c r="AE10" i="1" s="1"/>
  <c r="AU9" i="1"/>
  <c r="AT9" i="1"/>
  <c r="AO9" i="1"/>
  <c r="AP9" i="1" s="1"/>
  <c r="AJ9" i="1"/>
  <c r="AK9" i="1" s="1"/>
  <c r="AE9" i="1"/>
  <c r="AF9" i="1" s="1"/>
  <c r="U9" i="1"/>
  <c r="V9" i="1" s="1"/>
  <c r="P9" i="1"/>
  <c r="Q9" i="1" s="1"/>
  <c r="F9" i="1"/>
  <c r="F8" i="1"/>
  <c r="AE8" i="1" s="1"/>
  <c r="AF8" i="1" s="1"/>
  <c r="F7" i="1"/>
  <c r="L3" i="1"/>
  <c r="H56" i="1"/>
  <c r="G16" i="1"/>
  <c r="G45" i="1"/>
  <c r="G37" i="1"/>
  <c r="G17" i="1"/>
  <c r="G15" i="1"/>
  <c r="G33" i="1"/>
  <c r="G29" i="1"/>
  <c r="G10" i="1"/>
  <c r="G7" i="1"/>
  <c r="G42" i="1"/>
  <c r="G25" i="1"/>
  <c r="G22" i="1"/>
  <c r="G11" i="1"/>
  <c r="G47" i="1"/>
  <c r="G41" i="1"/>
  <c r="G9" i="1"/>
  <c r="G27" i="1"/>
  <c r="G13" i="1"/>
  <c r="G53" i="1"/>
  <c r="G49" i="1"/>
  <c r="G39" i="1"/>
  <c r="G19" i="1"/>
  <c r="G21" i="1"/>
  <c r="H21" i="1" l="1"/>
  <c r="H19" i="1"/>
  <c r="H39" i="1"/>
  <c r="H53" i="1"/>
  <c r="H13" i="1"/>
  <c r="H27" i="1"/>
  <c r="H9" i="1"/>
  <c r="H41" i="1"/>
  <c r="H47" i="1"/>
  <c r="H29" i="1"/>
  <c r="H33" i="1"/>
  <c r="H15" i="1"/>
  <c r="H17" i="1"/>
  <c r="H45" i="1"/>
  <c r="H7" i="1"/>
  <c r="H16" i="1"/>
  <c r="AJ8" i="1"/>
  <c r="AK8" i="1" s="1"/>
  <c r="AJ34" i="1"/>
  <c r="AK34" i="1" s="1"/>
  <c r="AT34" i="1"/>
  <c r="AU34" i="1" s="1"/>
  <c r="U34" i="1"/>
  <c r="V34" i="1" s="1"/>
  <c r="AJ48" i="1"/>
  <c r="AK48" i="1" s="1"/>
  <c r="P48" i="1"/>
  <c r="AE32" i="1"/>
  <c r="AF32" i="1" s="1"/>
  <c r="AO32" i="1"/>
  <c r="AP32" i="1" s="1"/>
  <c r="P32" i="1"/>
  <c r="P8" i="1"/>
  <c r="AO8" i="1"/>
  <c r="AP8" i="1" s="1"/>
  <c r="AT28" i="1"/>
  <c r="P31" i="1"/>
  <c r="AT32" i="1"/>
  <c r="AU32" i="1" s="1"/>
  <c r="P34" i="1"/>
  <c r="AJ36" i="1"/>
  <c r="AK36" i="1" s="1"/>
  <c r="AO38" i="1"/>
  <c r="AP38" i="1" s="1"/>
  <c r="P38" i="1"/>
  <c r="AE38" i="1"/>
  <c r="AF38" i="1" s="1"/>
  <c r="AE51" i="1"/>
  <c r="Z54" i="1"/>
  <c r="AA54" i="1" s="1"/>
  <c r="AA3" i="1" s="1"/>
  <c r="AO54" i="1"/>
  <c r="AP54" i="1" s="1"/>
  <c r="U54" i="1"/>
  <c r="AE54" i="1"/>
  <c r="AF54" i="1" s="1"/>
  <c r="AE48" i="1"/>
  <c r="AF48" i="1" s="1"/>
  <c r="P43" i="1"/>
  <c r="AO14" i="1"/>
  <c r="AP14" i="1" s="1"/>
  <c r="AJ20" i="1"/>
  <c r="AK20" i="1" s="1"/>
  <c r="AO23" i="1"/>
  <c r="AP23" i="1" s="1"/>
  <c r="U8" i="1"/>
  <c r="V8" i="1" s="1"/>
  <c r="AT8" i="1"/>
  <c r="AU8" i="1" s="1"/>
  <c r="H11" i="1"/>
  <c r="P14" i="1"/>
  <c r="AJ18" i="1"/>
  <c r="P20" i="1"/>
  <c r="P23" i="1"/>
  <c r="AT23" i="1"/>
  <c r="AU23" i="1" s="1"/>
  <c r="P26" i="1"/>
  <c r="U31" i="1"/>
  <c r="V31" i="1" s="1"/>
  <c r="U32" i="1"/>
  <c r="V32" i="1" s="1"/>
  <c r="AT38" i="1"/>
  <c r="AU38" i="1" s="1"/>
  <c r="AE40" i="1"/>
  <c r="P44" i="1"/>
  <c r="AE44" i="1"/>
  <c r="AF44" i="1" s="1"/>
  <c r="U52" i="1"/>
  <c r="AE20" i="1"/>
  <c r="AF20" i="1" s="1"/>
  <c r="AT20" i="1"/>
  <c r="AU20" i="1" s="1"/>
  <c r="H22" i="1"/>
  <c r="U23" i="1"/>
  <c r="V23" i="1" s="1"/>
  <c r="H25" i="1"/>
  <c r="AT26" i="1"/>
  <c r="AU26" i="1" s="1"/>
  <c r="AE31" i="1"/>
  <c r="AF31" i="1" s="1"/>
  <c r="AE34" i="1"/>
  <c r="AF34" i="1" s="1"/>
  <c r="P35" i="1"/>
  <c r="H37" i="1"/>
  <c r="H42" i="1"/>
  <c r="U50" i="1"/>
  <c r="AJ50" i="1"/>
  <c r="AK50" i="1" s="1"/>
  <c r="AO51" i="1"/>
  <c r="AP51" i="1" s="1"/>
  <c r="AJ14" i="1"/>
  <c r="AK14" i="1" s="1"/>
  <c r="P12" i="1"/>
  <c r="AO26" i="1"/>
  <c r="AP26" i="1" s="1"/>
  <c r="AE36" i="1"/>
  <c r="AF36" i="1" s="1"/>
  <c r="AT36" i="1"/>
  <c r="AU36" i="1" s="1"/>
  <c r="P36" i="1"/>
  <c r="AE43" i="1"/>
  <c r="AF43" i="1" s="1"/>
  <c r="H10" i="1"/>
  <c r="U20" i="1"/>
  <c r="V20" i="1" s="1"/>
  <c r="AT24" i="1"/>
  <c r="AU24" i="1" s="1"/>
  <c r="U24" i="1"/>
  <c r="AJ24" i="1"/>
  <c r="AK24" i="1" s="1"/>
  <c r="U26" i="1"/>
  <c r="V26" i="1" s="1"/>
  <c r="AE30" i="1"/>
  <c r="AF30" i="1" s="1"/>
  <c r="AT30" i="1"/>
  <c r="AU30" i="1" s="1"/>
  <c r="P30" i="1"/>
  <c r="U38" i="1"/>
  <c r="V38" i="1" s="1"/>
  <c r="AE46" i="1"/>
  <c r="H49" i="1"/>
  <c r="G38" i="1"/>
  <c r="G52" i="1"/>
  <c r="G30" i="1"/>
  <c r="G48" i="1"/>
  <c r="G28" i="1"/>
  <c r="G24" i="1"/>
  <c r="G46" i="1"/>
  <c r="G12" i="1"/>
  <c r="G31" i="1"/>
  <c r="G43" i="1"/>
  <c r="G14" i="1"/>
  <c r="G50" i="1"/>
  <c r="G32" i="1"/>
  <c r="G36" i="1"/>
  <c r="G44" i="1"/>
  <c r="G54" i="1"/>
  <c r="G51" i="1"/>
  <c r="G18" i="1"/>
  <c r="G40" i="1"/>
  <c r="G35" i="1"/>
  <c r="G20" i="1"/>
  <c r="G23" i="1"/>
  <c r="G26" i="1"/>
  <c r="G8" i="1"/>
  <c r="G34" i="1"/>
  <c r="H34" i="1" l="1"/>
  <c r="H8" i="1"/>
  <c r="H26" i="1"/>
  <c r="H23" i="1"/>
  <c r="H20" i="1"/>
  <c r="H35" i="1"/>
  <c r="H40" i="1"/>
  <c r="H18" i="1"/>
  <c r="H51" i="1"/>
  <c r="H54" i="1"/>
  <c r="H44" i="1"/>
  <c r="H36" i="1"/>
  <c r="H32" i="1"/>
  <c r="H50" i="1"/>
  <c r="H14" i="1"/>
  <c r="H43" i="1"/>
  <c r="H31" i="1"/>
  <c r="H12" i="1"/>
  <c r="H46" i="1"/>
  <c r="H24" i="1"/>
  <c r="H28" i="1"/>
  <c r="H48" i="1"/>
  <c r="H30" i="1"/>
  <c r="H52" i="1"/>
  <c r="H38" i="1"/>
  <c r="AP3" i="1"/>
  <c r="Q34" i="1"/>
  <c r="Q8" i="1"/>
  <c r="Q26" i="1"/>
  <c r="Q23" i="1"/>
  <c r="Q20" i="1"/>
  <c r="Q35" i="1"/>
  <c r="AF40" i="1"/>
  <c r="AK18" i="1"/>
  <c r="AF51" i="1"/>
  <c r="AF3" i="1" s="1"/>
  <c r="V54" i="1"/>
  <c r="Q44" i="1"/>
  <c r="Q36" i="1"/>
  <c r="Q32" i="1"/>
  <c r="V50" i="1"/>
  <c r="Q14" i="1"/>
  <c r="Q43" i="1"/>
  <c r="Q31" i="1"/>
  <c r="AK3" i="1"/>
  <c r="Q12" i="1"/>
  <c r="AF46" i="1"/>
  <c r="V24" i="1"/>
  <c r="V3" i="1" s="1"/>
  <c r="AU28" i="1"/>
  <c r="Q48" i="1"/>
  <c r="Q30" i="1"/>
  <c r="V52" i="1"/>
  <c r="AU3" i="1"/>
  <c r="Q38" i="1"/>
  <c r="H3" i="1" l="1"/>
  <c r="H2" i="1" s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 shapeId="0" xr:uid="{00000000-0006-0000-0000-00003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8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$2.77
   500   $0.02      $9.90
  1000   $0.02     $15.56
  4000   $0.01     $52.04</t>
        </r>
      </text>
    </comment>
    <comment ref="U8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£0.36
   100   £0.02      £2.24
   150   £0.02      £3.36
   500   £0.02      £8.70
  1000   £0.01     £13.10
  2000   £0.01     £22.80
  4000   £0.01     £38.80
 20000   £0.01    £164.00</t>
        </r>
      </text>
    </comment>
    <comment ref="AE8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$0.03      $1.65
   100   $0.02      $1.90
  1000   $0.02     $15.00
 10000   $0.01     $90.00</t>
        </r>
      </text>
    </comment>
    <comment ref="AJ8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$0.05      $1.18
    50   $0.04      $1.75
   100   $0.02      $2.20</t>
        </r>
      </text>
    </comment>
    <comment ref="AO8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£44.00
 12000   £0.01    £132.00
 40000   £0.01    £440.00</t>
        </r>
      </text>
    </comment>
    <comment ref="AT8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£1.11
   300   £0.01      £2.48
  1000   £0.01      £5.43
  4000   £0.00     £16.00
 12000   £0.00     £46.32</t>
        </r>
      </text>
    </comment>
    <comment ref="P9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U9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£0.02      £2.36
   150   £0.02      £3.54
   500   £0.02      £8.45
  1000   £0.02     £15.10
  2000   £0.01     £29.60
  4000   £0.01     £37.20
 20000   £0.01    £182.00</t>
        </r>
      </text>
    </comment>
    <comment ref="AE9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$0.37
    50   $0.04      $1.85
   100   $0.02      $2.20
  1000   $0.02     $17.00
 10000   $0.01    $120.00</t>
        </r>
      </text>
    </comment>
    <comment ref="AJ9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$0.06      $1.60
    50   $0.05      $2.35
   100   $0.03      $2.90
  4000   $0.02     $68.00</t>
        </r>
      </text>
    </comment>
    <comment ref="AO9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T9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£1.34
   300   £0.01      £2.94
  1000   £0.01      £6.55
  4000   £0.01     £20.40
 12000   £0.00     £59.16</t>
        </r>
      </text>
    </comment>
    <comment ref="P10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$0.10      $5.16
   100   $0.09      $8.72
   500   $0.06     $29.83
  1000   $0.05     $52.77
  4000   $0.05    $183.56</t>
        </r>
      </text>
    </comment>
    <comment ref="AE10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$0.16      $1.60
    50   $0.16      $8.00
   100   $0.08      $7.70
  1000   $0.07     $69.00
 10000   $0.05    $490.00</t>
        </r>
      </text>
    </comment>
    <comment ref="P11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$1.57
    50   $0.09      $4.70
   100   $0.08      $7.93
   500   $0.05     $27.13
  1000   $0.05     $48.01
  2000   $0.05     $91.84</t>
        </r>
      </text>
    </comment>
    <comment ref="AE11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$0.09      $0.90
    50   $0.09      $4.50
   100   $0.08      $7.60
  1000   $0.05     $46.00
 10000   $0.04    $350.00</t>
        </r>
      </text>
    </comment>
    <comment ref="P12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AE12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$0.03      $1.65
   100   $0.02      $2.00
  1000   $0.02     $16.00
 10000   $0.01    $140.00</t>
        </r>
      </text>
    </comment>
    <comment ref="P13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$0.88
    50   $0.05      $2.49
   100   $0.04      $4.13
   500   $0.03     $14.47
  1000   $0.02     $23.96
  4000   $0.02     $81.60</t>
        </r>
      </text>
    </comment>
    <comment ref="U13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£0.92
   100   £0.04      £4.04
   150   £0.04      £6.06
   500   £0.03     £13.40
  1000   £0.02     £22.50
  2000   £0.02     £38.60
  4000   £0.02     £68.40
 20000   £0.01    £244.00</t>
        </r>
      </text>
    </comment>
    <comment ref="AE13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$0.48
    50   $0.05      $2.40
   100   $0.03      $2.80
  1000   $0.03     $28.00
 10000   $0.03    $270.00</t>
        </r>
      </text>
    </comment>
    <comment ref="AJ13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$0.36
   250   $0.03      $6.75
   500   $0.02     $12.00
  1000   $0.02     $22.00
  4000   $0.03    $120.00
  5000   $0.02    $100.00
  8000   $0.03    $232.00</t>
        </r>
      </text>
    </comment>
    <comment ref="P14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U14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£0.74
   100   £0.02      £2.08
   150   £0.02      £3.12
   500   £0.02      £9.30
  1000   £0.02     £16.30
  2000   £0.01     £28.00
  4000   £0.01     £48.00
 20000   £0.01    £236.00</t>
        </r>
      </text>
    </comment>
    <comment ref="AC14" authorId="0" shapeId="0" xr:uid="{00000000-0006-0000-0000-00005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4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$0.63
    50   $0.06      $3.15
   100   $0.03      $2.60
  1000   $0.02     $22.00
 10000   $0.01    $140.00</t>
        </r>
      </text>
    </comment>
    <comment ref="AJ14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$0.29
   250   $0.02      $5.50
   500   $0.02      $9.50
  1000   $0.02     $17.00
  4000   $0.02     $64.00
  5000   $0.02     $80.00
  8000   $0.02    $120.00</t>
        </r>
      </text>
    </comment>
    <comment ref="AO14" authorId="0" shapeId="0" xr:uid="{00000000-0006-0000-0000-000055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P15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$0.02      $1.09
   100   $0.02      $1.79
   500   $0.01      $6.38
  1000   $0.01     $10.03
  4000   $0.01     $33.56</t>
        </r>
      </text>
    </comment>
    <comment ref="U15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£0.24
   100   £0.01      £1.43
   150   £0.01      £2.14
   500   £0.01      £5.35
  1000   £0.01      £9.00
  2000   £0.01     £16.60
  4000   £0.01     £28.80
 20000   £0.01    £116.00</t>
        </r>
      </text>
    </comment>
    <comment ref="AE15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$1.30
  1000   $0.01     $10.00
 10000   $0.01    $100.00</t>
        </r>
      </text>
    </comment>
    <comment ref="AJ15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$0.04      $0.98
    50   $0.03      $1.30
   100   $0.01      $1.30</t>
        </r>
      </text>
    </comment>
    <comment ref="AO15" authorId="0" shapeId="0" xr:uid="{00000000-0006-0000-0000-00005A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£0.00     £20.00
 12000   £0.00     £60.00
 40000   £0.00    £200.00
200000   £0.00  £1,000.00</t>
        </r>
      </text>
    </comment>
    <comment ref="AR15" authorId="0" shapeId="0" xr:uid="{00000000-0006-0000-0000-00005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5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£1.02
   300   £0.01      £2.07
  1000   £0.00      £4.29
  4000   £0.00     £10.52
 12000   £0.00     £30.36</t>
        </r>
      </text>
    </comment>
    <comment ref="AE18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$1.13      $1.13
    10   $0.90      $8.97
    50   $0.90     $44.85
   100   $0.78     $78.00
  1000   $0.62    $624.00
 10000   $0.51  $5,070.00</t>
        </r>
      </text>
    </comment>
    <comment ref="AJ18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50   $1.18     $59.00
   100   $1.06    $106.00
   250   $0.93    $232.25
   500   $0.83    $413.50
  1000   $0.77    $773.00
  2500   $0.71  $1,785.00</t>
        </r>
      </text>
    </comment>
    <comment ref="P19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$4.29      $4.29
    10   $4.02     $40.22
    25   $3.58     $89.38
    50   $3.40    $169.83
   100   $3.22    $321.79
   250   $2.86    $715.08
   500   $2.68  $1,340.78
  1000   $2.50  $2,502.78
  3000   $2.46  $7,374.27</t>
        </r>
      </text>
    </comment>
    <comment ref="AE19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$3.55      $3.55
    10   $3.33     $33.30
    50   $2.82    $141.00
   100   $2.67    $267.00
  1000   $2.07  $2,070.00
 10000   $2.07 $20,700.00</t>
        </r>
      </text>
    </comment>
    <comment ref="AJ19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1000   $2.22  $2,220.00</t>
        </r>
      </text>
    </comment>
    <comment ref="AO19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£1.79      £1.79
    10   £1.70     £17.00
    20   £1.63     £32.60</t>
        </r>
      </text>
    </comment>
    <comment ref="AR19" authorId="0" shapeId="0" xr:uid="{00000000-0006-0000-0000-00006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9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£2.71      £2.71
     5   £2.17     £10.85
    25   £1.63     £40.75
   100   £1.52    £152.00
   500   £1.43    £715.00</t>
        </r>
      </text>
    </comment>
    <comment ref="N20" authorId="0" shapeId="0" xr:uid="{00000000-0006-0000-0000-00006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0" authorId="0" shapeId="0" xr:uid="{00000000-0006-0000-0000-00006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$1.86
    25   $0.16      $3.89
   100   $0.10      $9.85
   500   $0.06     $32.40
  1000   $0.04     $44.06
  3000   $0.04    $119.22
  6000   $0.03    $207.36
 15000   $0.03    $440.55
 30000   $0.03    $855.90</t>
        </r>
      </text>
    </comment>
    <comment ref="U20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£0.18      £0.92
    10   £0.13      £1.27
   100   £0.05      £5.00
   150   £0.05      £7.50
   500   £0.05     £24.45
  3000   £0.02     £72.60</t>
        </r>
      </text>
    </comment>
    <comment ref="Z20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$0.44
   100   $0.03      $3.47
   300   $0.03      $9.90
  1000   $0.03     $31.30
  5000   $0.03    $152.50
 10000   $0.03    $301.00</t>
        </r>
      </text>
    </comment>
    <comment ref="AC20" authorId="0" shapeId="0" xr:uid="{00000000-0006-0000-0000-00006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0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$0.15      $1.47
    50   $0.15      $7.35
   100   $0.06      $6.40
  1000   $0.04     $45.00
 10000   $0.03    $290.00</t>
        </r>
      </text>
    </comment>
    <comment ref="AH20" authorId="0" shapeId="0" xr:uid="{00000000-0006-0000-0000-00006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0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 (USD):
  Qty  -  Unit$  -  Ext$
================
  3000   $0.03     $90.00
  6000   $0.03    $174.00
 12000   $0.03    $348.00
 18000   $0.03    $522.00
 30000   $0.03    $840.00</t>
        </r>
      </text>
    </comment>
    <comment ref="AR20" authorId="0" shapeId="0" xr:uid="{00000000-0006-0000-0000-00006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0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£0.61
   100   £0.02      £2.10
   500   £0.02      £9.40
  3000   £0.02     £49.89
 12000   £0.01    £179.88</t>
        </r>
      </text>
    </comment>
    <comment ref="N21" authorId="0" shapeId="0" xr:uid="{00000000-0006-0000-0000-00006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1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U21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C21" authorId="0" shapeId="0" xr:uid="{00000000-0006-0000-0000-00007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1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J21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$0.10
    25   $0.01      $0.20
    50   $0.01      $0.30
   100   $0.00      $0.40
  5000   $0.00     $15.00</t>
        </r>
      </text>
    </comment>
    <comment ref="AR21" authorId="0" shapeId="0" xr:uid="{00000000-0006-0000-0000-00007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1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£2.77
  5000   £0.00      £6.00
 15000   £0.00     £16.50</t>
        </r>
      </text>
    </comment>
    <comment ref="P22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22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P23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23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£0.82
   150   £0.01      £1.23
   500   £0.01      £3.30
  1000   £0.00      £5.00
  2500   £0.00     £11.00
  5000   £0.00     £21.50
 25000   £0.00     £75.00</t>
        </r>
      </text>
    </comment>
    <comment ref="AE23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23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$0.02      $0.45
    50   $0.01      $0.60
   100   $0.01      $0.60
  5000   $0.00     $15.00</t>
        </r>
      </text>
    </comment>
    <comment ref="AO23" authorId="0" shapeId="0" xr:uid="{00000000-0006-0000-0000-00007D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23" authorId="0" shapeId="0" xr:uid="{00000000-0006-0000-0000-00007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3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24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24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E24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24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24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24" authorId="0" shapeId="0" xr:uid="{00000000-0006-0000-0000-00008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4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25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25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P26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26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£0.00     £18.50
 25000   £0.00     £65.00</t>
        </r>
      </text>
    </comment>
    <comment ref="AE26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26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26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26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27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27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27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H27" authorId="0" shapeId="0" xr:uid="{00000000-0006-0000-0000-00009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7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$0.23
    25   $0.02      $0.48
    50   $0.01      $0.70
   100   $0.01      $1.00</t>
        </r>
      </text>
    </comment>
    <comment ref="AO27" authorId="0" shapeId="0" xr:uid="{00000000-0006-0000-0000-000094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27" authorId="0" shapeId="0" xr:uid="{00000000-0006-0000-0000-00009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7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28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28" authorId="0" shapeId="0" xr:uid="{00000000-0006-0000-0000-00009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R28" authorId="0" shapeId="0" xr:uid="{00000000-0006-0000-0000-00009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28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29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29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£0.18
   100   £0.01      £0.65
   150   £0.01      £0.98
   500   £0.01      £2.75
  1000   £0.00      £4.50
  2500   £0.00      £9.75
  5000   £0.00     £18.00
 25000   £0.00     £62.50</t>
        </r>
      </text>
    </comment>
    <comment ref="AE29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H29" authorId="0" shapeId="0" xr:uid="{00000000-0006-0000-0000-00009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9" authorId="0" shapeId="0" xr:uid="{00000000-0006-0000-0000-00009F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$15.00</t>
        </r>
      </text>
    </comment>
    <comment ref="AT29" authorId="0" shapeId="0" xr:uid="{00000000-0006-0000-0000-0000A0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30" authorId="0" shapeId="0" xr:uid="{00000000-0006-0000-0000-0000A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0" authorId="0" shapeId="0" xr:uid="{00000000-0006-0000-0000-0000A2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£0.18
   100   £0.01      £0.65
   150   £0.01      £0.98
   500   £0.01      £2.75
  1000   £0.00      £4.50
  2500   £0.00      £9.75
  5000   £0.01     £26.50
 25000   £0.00     £62.50</t>
        </r>
      </text>
    </comment>
    <comment ref="AE30" authorId="0" shapeId="0" xr:uid="{00000000-0006-0000-0000-0000A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$0.90
  1000   $0.00      $4.00
 10000   $0.00     $20.00</t>
        </r>
      </text>
    </comment>
    <comment ref="AH30" authorId="0" shapeId="0" xr:uid="{00000000-0006-0000-0000-0000A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0" authorId="0" shapeId="0" xr:uid="{00000000-0006-0000-0000-0000A5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$25.00</t>
        </r>
      </text>
    </comment>
    <comment ref="AT30" authorId="0" shapeId="0" xr:uid="{00000000-0006-0000-0000-0000A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31" authorId="0" shapeId="0" xr:uid="{00000000-0006-0000-0000-0000A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1" authorId="0" shapeId="0" xr:uid="{00000000-0006-0000-0000-0000A8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31" authorId="0" shapeId="0" xr:uid="{00000000-0006-0000-0000-0000A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H31" authorId="0" shapeId="0" xr:uid="{00000000-0006-0000-0000-0000A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1" authorId="0" shapeId="0" xr:uid="{00000000-0006-0000-0000-0000AB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P32" authorId="0" shapeId="0" xr:uid="{00000000-0006-0000-0000-0000A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2" authorId="0" shapeId="0" xr:uid="{00000000-0006-0000-0000-0000AD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£0.00     £22.50
 25000   £0.00     £77.50</t>
        </r>
      </text>
    </comment>
    <comment ref="AE32" authorId="0" shapeId="0" xr:uid="{00000000-0006-0000-0000-0000A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$0.01      $0.90
  1000   $0.00      $5.00
 10000   $0.00     $30.00</t>
        </r>
      </text>
    </comment>
    <comment ref="AJ32" authorId="0" shapeId="0" xr:uid="{00000000-0006-0000-0000-0000A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25   $0.02      $0.52
    50   $0.02      $0.75
   100   $0.01      $0.90
  5000   $0.00     $15.00
 10000   $0.00     $20.00</t>
        </r>
      </text>
    </comment>
    <comment ref="AO32" authorId="0" shapeId="0" xr:uid="{00000000-0006-0000-0000-0000B0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32" authorId="0" shapeId="0" xr:uid="{00000000-0006-0000-0000-0000B1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£2.05
  1000   £0.00      £4.73
  5000   £0.00      £8.95
 15000   £0.00     £25.50
 50000   £0.00     £82.00</t>
        </r>
      </text>
    </comment>
    <comment ref="P33" authorId="0" shapeId="0" xr:uid="{00000000-0006-0000-0000-0000B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3" authorId="0" shapeId="0" xr:uid="{00000000-0006-0000-0000-0000B3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£0.84
   150   £0.01      £1.26
   500   £0.01      £3.40
  1000   £0.01      £5.10
  2500   £0.00     £11.25
  5000   £0.01     £36.00
 25000   £0.00     £90.00</t>
        </r>
      </text>
    </comment>
    <comment ref="AE33" authorId="0" shapeId="0" xr:uid="{00000000-0006-0000-0000-0000B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33" authorId="0" shapeId="0" xr:uid="{00000000-0006-0000-0000-0000B5000000}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$30.00</t>
        </r>
      </text>
    </comment>
    <comment ref="AO33" authorId="0" shapeId="0" xr:uid="{00000000-0006-0000-0000-0000B6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33" authorId="0" shapeId="0" xr:uid="{00000000-0006-0000-0000-0000B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33" authorId="0" shapeId="0" xr:uid="{00000000-0006-0000-0000-0000B8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P34" authorId="0" shapeId="0" xr:uid="{00000000-0006-0000-0000-0000B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4" authorId="0" shapeId="0" xr:uid="{00000000-0006-0000-0000-0000BA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34" authorId="0" shapeId="0" xr:uid="{00000000-0006-0000-0000-0000B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$0.20
    50   $0.02      $1.00
   100   $0.01      $0.70
  1000   $0.00      $4.00
 10000   $0.00     $20.00</t>
        </r>
      </text>
    </comment>
    <comment ref="AH34" authorId="0" shapeId="0" xr:uid="{00000000-0006-0000-0000-0000B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4" authorId="0" shapeId="0" xr:uid="{00000000-0006-0000-0000-0000BD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AO34" authorId="0" shapeId="0" xr:uid="{00000000-0006-0000-0000-0000BE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34" authorId="0" shapeId="0" xr:uid="{00000000-0006-0000-0000-0000B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34" authorId="0" shapeId="0" xr:uid="{00000000-0006-0000-0000-0000C0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35" authorId="0" shapeId="0" xr:uid="{00000000-0006-0000-0000-0000C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5" authorId="0" shapeId="0" xr:uid="{00000000-0006-0000-0000-0000C2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35" authorId="0" shapeId="0" xr:uid="{00000000-0006-0000-0000-0000C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H35" authorId="0" shapeId="0" xr:uid="{00000000-0006-0000-0000-0000C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5" authorId="0" shapeId="0" xr:uid="{00000000-0006-0000-0000-0000C5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P36" authorId="0" shapeId="0" xr:uid="{00000000-0006-0000-0000-0000C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6" authorId="0" shapeId="0" xr:uid="{00000000-0006-0000-0000-0000C7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£0.77
   150   £0.01      £1.16
   500   £0.01      £3.25
  1000   £0.01      £5.10
  2500   £0.00     £11.25
  5000   £0.00     £22.00
 25000   £0.00     £77.50</t>
        </r>
      </text>
    </comment>
    <comment ref="AE36" authorId="0" shapeId="0" xr:uid="{00000000-0006-0000-0000-0000C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36" authorId="0" shapeId="0" xr:uid="{00000000-0006-0000-0000-0000C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$0.02      $0.45
    50   $0.01      $0.60
   100   $0.01      $0.60
  5000   $0.00     $15.00</t>
        </r>
      </text>
    </comment>
    <comment ref="AT36" authorId="0" shapeId="0" xr:uid="{00000000-0006-0000-0000-0000CA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37" authorId="0" shapeId="0" xr:uid="{00000000-0006-0000-0000-0000C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37" authorId="0" shapeId="0" xr:uid="{00000000-0006-0000-0000-0000C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P38" authorId="0" shapeId="0" xr:uid="{00000000-0006-0000-0000-0000C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8" authorId="0" shapeId="0" xr:uid="{00000000-0006-0000-0000-0000CE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£0.76
   150   £0.01      £1.14
   500   £0.01      £3.15
  1000   £0.00      £5.00
  2500   £0.00     £11.00
  5000   £0.00     £21.50
 25000   £0.00     £75.00</t>
        </r>
      </text>
    </comment>
    <comment ref="AE38" authorId="0" shapeId="0" xr:uid="{00000000-0006-0000-0000-0000C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38" authorId="0" shapeId="0" xr:uid="{00000000-0006-0000-0000-0000D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$0.35
    50   $0.01      $0.50
   100   $0.01      $0.60
  5000   $0.00     $15.00</t>
        </r>
      </text>
    </comment>
    <comment ref="AO38" authorId="0" shapeId="0" xr:uid="{00000000-0006-0000-0000-0000D1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</t>
        </r>
      </text>
    </comment>
    <comment ref="AT38" authorId="0" shapeId="0" xr:uid="{00000000-0006-0000-0000-0000D2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£1.38
  1000   £0.00      £3.01
  5000   £0.00      £6.55
 15000   £0.00     £18.00</t>
        </r>
      </text>
    </comment>
    <comment ref="P39" authorId="0" shapeId="0" xr:uid="{00000000-0006-0000-0000-0000D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39" authorId="0" shapeId="0" xr:uid="{00000000-0006-0000-0000-0000D4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£1.21
   150   £0.01      £1.82
   500   £0.01      £4.75
  1000   £0.01      £7.60
  2500   £0.01     £15.50
  5000   £0.01     £26.50
 25000   £0.00     £90.00</t>
        </r>
      </text>
    </comment>
    <comment ref="AE39" authorId="0" shapeId="0" xr:uid="{00000000-0006-0000-0000-0000D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H39" authorId="0" shapeId="0" xr:uid="{00000000-0006-0000-0000-0000D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9" authorId="0" shapeId="0" xr:uid="{00000000-0006-0000-0000-0000D7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$0.19
    25   $0.02      $0.38
    50   $0.01      $0.55
   100   $0.01      $0.70</t>
        </r>
      </text>
    </comment>
    <comment ref="AR39" authorId="0" shapeId="0" xr:uid="{00000000-0006-0000-0000-0000D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39" authorId="0" shapeId="0" xr:uid="{00000000-0006-0000-0000-0000D9000000}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0" authorId="0" shapeId="0" xr:uid="{00000000-0006-0000-0000-0000D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$7.99      $7.99
    10   $7.22     $72.20
    25   $6.88    $172.10
   100   $5.98    $597.74
   250   $5.71  $1,427.18
   500   $5.29  $2,645.28</t>
        </r>
      </text>
    </comment>
    <comment ref="AE40" authorId="0" shapeId="0" xr:uid="{00000000-0006-0000-0000-0000D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$7.99      $7.99
    10   $7.22     $72.20
    50   $6.89    $344.50
   100   $5.97    $597.00
  1000   $4.75  $4,750.00
 10000   $4.75 $47,500.00</t>
        </r>
      </text>
    </comment>
    <comment ref="N41" authorId="0" shapeId="0" xr:uid="{00000000-0006-0000-0000-0000DC000000}">
      <text>
        <r>
          <rPr>
            <sz val="8"/>
            <color rgb="FF000000"/>
            <rFont val="Tahoma"/>
            <family val="2"/>
          </rPr>
          <t>This part is listed but is not normally stocked.</t>
        </r>
      </text>
    </comment>
    <comment ref="P41" authorId="0" shapeId="0" xr:uid="{00000000-0006-0000-0000-0000D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$0.42      $4.17
    25   $0.39      $9.74
   100   $0.31     $31.16
   250   $0.29     $72.34
   500   $0.24    $122.43
  1000   $0.19    $189.21
  2500   $0.18    $459.38</t>
        </r>
      </text>
    </comment>
    <comment ref="S41" authorId="0" shapeId="0" xr:uid="{00000000-0006-0000-0000-0000D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1" authorId="0" shapeId="0" xr:uid="{00000000-0006-0000-0000-0000DF000000}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£0.44      £2.18
    10   £0.34      £3.39
   100   £0.18     £18.10
   150   £0.18     £27.15
   500   £0.15     £75.50
  1000   £0.12    £122.00
  5000   £0.12    £600.00
 10000   £0.12  £1,170.00</t>
        </r>
      </text>
    </comment>
    <comment ref="Z41" authorId="0" shapeId="0" xr:uid="{00000000-0006-0000-0000-0000E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$0.21      $2.11
    30   $0.20      $5.98
   100   $0.19     $18.84
   500   $0.18     $91.70
  1000   $0.18    $180.90</t>
        </r>
      </text>
    </comment>
    <comment ref="AE41" authorId="0" shapeId="0" xr:uid="{00000000-0006-0000-0000-0000E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$0.42      $4.18
    50   $0.42     $20.90
   100   $0.29     $29.00
  1000   $0.19    $190.00
 10000   $0.17  $1,720.00</t>
        </r>
      </text>
    </comment>
    <comment ref="AJ41" authorId="0" shapeId="0" xr:uid="{00000000-0006-0000-0000-0000E2000000}">
      <text>
        <r>
          <rPr>
            <sz val="8"/>
            <color indexed="81"/>
            <rFont val="Tahoma"/>
            <family val="2"/>
          </rPr>
          <t>Qty/Price Breaks (USD):
  Qty  -  Unit$  -  Ext$
================
     5   $0.58      $2.88
    10   $0.46      $4.59
   100   $0.28     $27.50
   500   $0.24    $119.50
  1000   $0.20    $203.00
  2500   $0.12    $302.50
  5000   $0.12    $600.00
 10000   $0.12  $1,170.00
 15000   $0.12  $1,740.00
 20000   $0.11  $2,280.00
 25000   $0.11  $2,800.00
250000   $0.11 $27,750.00</t>
        </r>
      </text>
    </comment>
    <comment ref="AO41" authorId="0" shapeId="0" xr:uid="{00000000-0006-0000-0000-0000E3000000}">
      <text>
        <r>
          <rPr>
            <sz val="8"/>
            <color indexed="81"/>
            <rFont val="Tahoma"/>
            <family val="2"/>
          </rPr>
          <t>Qty/Price Breaks (GBP):
  Qty  -  Unit£  -  Ext£
================
  2500   £0.11    £282.50
  5000   £0.11    £550.00
  7500   £0.11    £802.50
 10000   £0.10  £1,040.00</t>
        </r>
      </text>
    </comment>
    <comment ref="AT41" authorId="0" shapeId="0" xr:uid="{00000000-0006-0000-0000-0000E4000000}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£0.21      £0.62
    25   £0.17      £4.19
   100   £0.14     £13.60
   250   £0.12     £28.80
  1000   £0.11    £107.40</t>
        </r>
      </text>
    </comment>
    <comment ref="P42" authorId="0" shapeId="0" xr:uid="{00000000-0006-0000-0000-0000E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$1.50     $15.04
    25   $1.43     $35.69
   100   $1.17    $117.27
   250   $1.10    $274.05
   500   $0.97    $484.37
  1000   $0.80    $803.27</t>
        </r>
      </text>
    </comment>
    <comment ref="P43" authorId="0" shapeId="0" xr:uid="{00000000-0006-0000-0000-0000E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$3.15     $31.54
    25   $2.98     $74.53
   100   $2.37    $237.18
   250   $2.25    $563.12
   500   $2.09  $1,043.75
  2000   $2.09  $4,175.00</t>
        </r>
      </text>
    </comment>
    <comment ref="AE43" authorId="0" shapeId="0" xr:uid="{00000000-0006-0000-0000-0000E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$3.51      $3.51
    10   $3.16     $31.60
    50   $2.99    $149.50
   100   $2.38    $238.00
  1000   $1.88  $1,880.00
 10000   $1.74 $17,400.00</t>
        </r>
      </text>
    </comment>
    <comment ref="P44" authorId="0" shapeId="0" xr:uid="{00000000-0006-0000-0000-0000E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$4.30      $4.30
    10   $3.86     $38.65
    25   $3.65     $91.35
   100   $3.36    $336.00</t>
        </r>
      </text>
    </comment>
    <comment ref="U44" authorId="0" shapeId="0" xr:uid="{00000000-0006-0000-0000-0000E9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£3.08      £3.08
    10   £2.76     £27.60
    25   £2.62     £65.50
    50   £2.61    £130.50
   100   £2.50    £250.00
   250   £2.40    £600.00
   500   £2.29  £1,145.00</t>
        </r>
      </text>
    </comment>
    <comment ref="AE44" authorId="0" shapeId="0" xr:uid="{00000000-0006-0000-0000-0000E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$4.30      $4.30
    10   $3.87     $38.70
    50   $3.66    $183.00
   100   $3.01    $301.00
  1000   $2.98  $2,980.00
 10000   $2.98 $29,800.00</t>
        </r>
      </text>
    </comment>
    <comment ref="AJ44" authorId="0" shapeId="0" xr:uid="{00000000-0006-0000-0000-0000E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$4.11      $4.11
    10   $3.69     $36.90
    25   $3.53     $88.25
    50   $3.43    $171.50
   100   $2.87    $287.00
   250   $2.69    $672.50</t>
        </r>
      </text>
    </comment>
    <comment ref="N45" authorId="0" shapeId="0" xr:uid="{00000000-0006-0000-0000-0000E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5" authorId="0" shapeId="0" xr:uid="{00000000-0006-0000-0000-0000E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$7.39      $7.39
    10   $6.68     $66.77
    25   $6.37    $159.17
   100   $5.53    $552.83
   250   $5.28  $1,319.96
   500   $4.81  $2,407.00
  1000   $4.40  $4,395.00</t>
        </r>
      </text>
    </comment>
    <comment ref="U45" authorId="0" shapeId="0" xr:uid="{00000000-0006-0000-0000-0000E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£6.70      £6.70
    10   £5.52     £55.20
    25   £5.26    £131.50
    50   £4.74    £237.00
   100   £4.37    £437.00</t>
        </r>
      </text>
    </comment>
    <comment ref="Z45" authorId="0" shapeId="0" xr:uid="{00000000-0006-0000-0000-0000E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$6.75      $6.75
    10   $5.93     $59.26
    30   $5.77    $173.17
   100   $5.62    $562.09
   500   $5.55  $2,776.15
  1000   $5.47  $5,469.40</t>
        </r>
      </text>
    </comment>
    <comment ref="AE45" authorId="0" shapeId="0" xr:uid="{00000000-0006-0000-0000-0000F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$7.40      $7.40
    10   $6.68     $66.80
    50   $6.37    $318.50
   100   $5.52    $552.00
  1000   $4.39  $4,390.00
 10000   $4.39 $43,900.00</t>
        </r>
      </text>
    </comment>
    <comment ref="AJ45" authorId="0" shapeId="0" xr:uid="{00000000-0006-0000-0000-0000F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$7.23      $7.23
    10   $6.58     $65.80
    25   $6.23    $155.75
    50   $5.90    $295.00
   100   $5.63    $563.00
   250   $5.34  $1,335.00
   500   $4.91  $2,455.00</t>
        </r>
      </text>
    </comment>
    <comment ref="AO45" authorId="0" shapeId="0" xr:uid="{00000000-0006-0000-0000-0000F2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£5.31      £5.31
    10   £4.80     £48.00
    25   £4.57    £114.25
    50   £4.12    £206.00
   100   £3.80    £380.00</t>
        </r>
      </text>
    </comment>
    <comment ref="AR45" authorId="0" shapeId="0" xr:uid="{00000000-0006-0000-0000-0000F3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5" authorId="0" shapeId="0" xr:uid="{00000000-0006-0000-0000-0000F4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£5.10      £5.10
     3   £4.51     £13.53
    10   £4.05     £40.50
    25   £3.78     £94.50</t>
        </r>
      </text>
    </comment>
    <comment ref="N46" authorId="0" shapeId="0" xr:uid="{00000000-0006-0000-0000-0000F5000000}">
      <text>
        <r>
          <rPr>
            <sz val="8"/>
            <color rgb="FF000000"/>
            <rFont val="Tahoma"/>
            <family val="2"/>
          </rPr>
          <t>This part is listed but is not normally stocked.</t>
        </r>
      </text>
    </comment>
    <comment ref="P46" authorId="0" shapeId="0" xr:uid="{00000000-0006-0000-0000-0000F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$7.44      $7.44
    10   $6.72     $67.23
    25   $6.41    $160.26
   100   $5.57    $556.61
   250   $5.32  $1,328.98
   500   $4.85  $2,423.42
  1500   $4.42  $6,637.50</t>
        </r>
      </text>
    </comment>
    <comment ref="AE46" authorId="0" shapeId="0" xr:uid="{00000000-0006-0000-0000-0000F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$7.44      $7.44
    10   $6.73     $67.30
    50   $6.41    $320.50
   100   $5.57    $557.00
  1000   $4.43  $4,430.00
 10000   $4.43 $44,300.00</t>
        </r>
      </text>
    </comment>
    <comment ref="AH46" authorId="0" shapeId="0" xr:uid="{00000000-0006-0000-0000-0000F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47" authorId="0" shapeId="0" xr:uid="{00000000-0006-0000-0000-0000F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$6.96      $6.96
    10   $6.29     $62.90
    25   $6.00    $149.94
   100   $5.21    $520.76
   250   $4.97  $1,243.38
   500   $4.53  $2,267.34
  1500   $4.14  $6,210.00</t>
        </r>
      </text>
    </comment>
    <comment ref="S47" authorId="0" shapeId="0" xr:uid="{00000000-0006-0000-0000-0000F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7" authorId="0" shapeId="0" xr:uid="{00000000-0006-0000-0000-0000F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£5.15      £5.15
    10   £4.19     £41.90
    25   £3.95     £98.75
    50   £3.71    £185.50
   100   £3.52    £352.00
   250   £3.31    £827.50
   500   £2.96  £1,480.00</t>
        </r>
      </text>
    </comment>
    <comment ref="AE47" authorId="0" shapeId="0" xr:uid="{00000000-0006-0000-0000-0000F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$6.96      $6.96
    10   $6.29     $62.90
    50   $6.00    $300.00
   100   $5.21    $521.00
  1000   $4.14  $4,140.00
 10000   $4.00 $40,000.00</t>
        </r>
      </text>
    </comment>
    <comment ref="P48" authorId="0" shapeId="0" xr:uid="{00000000-0006-0000-0000-0000F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$3.11      $3.11
    10   $2.92     $29.19
    25   $2.59     $64.87
    50   $2.46    $123.25
   100   $2.34    $233.52
   250   $2.08    $518.94
   500   $1.95    $973.01
  1000   $1.82  $1,816.28
  3000   $1.78  $5,351.55
  5000   $1.75  $8,757.10</t>
        </r>
      </text>
    </comment>
    <comment ref="AE48" authorId="0" shapeId="0" xr:uid="{00000000-0006-0000-0000-0000F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$2.94      $2.94
    10   $2.33     $23.30
    50   $2.33    $116.50
   100   $1.96    $196.00
  1000   $1.71  $1,710.00
 10000   $1.71 $17,100.00</t>
        </r>
      </text>
    </comment>
    <comment ref="AH48" authorId="0" shapeId="0" xr:uid="{00000000-0006-0000-0000-0000FF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8" authorId="0" shapeId="0" xr:uid="{00000000-0006-0000-0000-000000010000}">
      <text>
        <r>
          <rPr>
            <sz val="8"/>
            <color indexed="81"/>
            <rFont val="Tahoma"/>
            <family val="2"/>
          </rPr>
          <t>Qty/Price Breaks (USD):
  Qty  -  Unit$  -  Ext$
================
     1 $2,134.67  $2,134.67
     5 $2,061.27 $10,306.35
    10 $2,024.57 $20,245.70
    25 $1,987.87 $49,696.75
    50 $1,926.71 $96,335.50</t>
        </r>
      </text>
    </comment>
    <comment ref="P49" authorId="0" shapeId="0" xr:uid="{00000000-0006-0000-0000-00000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$3.11      $3.11
    10   $2.92     $29.19
    25   $2.59     $64.87
    50   $2.46    $123.25
   100   $2.34    $233.52
   250   $2.08    $518.94
   500   $1.95    $973.01
  1000   $1.82  $1,816.28
  3000   $1.78  $5,351.55
  5000   $1.75  $8,757.10</t>
        </r>
      </text>
    </comment>
    <comment ref="AE49" authorId="0" shapeId="0" xr:uid="{00000000-0006-0000-0000-000002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$2.94      $2.94
    10   $2.33     $23.30
    50   $2.33    $116.50
   100   $1.96    $196.00
  1000   $1.71  $1,710.00
 10000   $1.71 $17,100.00</t>
        </r>
      </text>
    </comment>
    <comment ref="AH49" authorId="0" shapeId="0" xr:uid="{00000000-0006-0000-0000-000003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9" authorId="0" shapeId="0" xr:uid="{00000000-0006-0000-0000-000004010000}">
      <text>
        <r>
          <rPr>
            <sz val="8"/>
            <color indexed="81"/>
            <rFont val="Tahoma"/>
            <family val="2"/>
          </rPr>
          <t>Qty/Price Breaks (USD):
  Qty  -  Unit$  -  Ext$
================
     1 $2,134.67  $2,134.67
     5 $2,061.27 $10,306.35
    10 $2,024.57 $20,245.70
    25 $1,987.87 $49,696.75
    50 $1,926.71 $96,335.50</t>
        </r>
      </text>
    </comment>
    <comment ref="P50" authorId="0" shapeId="0" xr:uid="{00000000-0006-0000-0000-000005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25   $0.26      $6.50
   100   $0.25     $25.00
  3300   $0.25    $825.00</t>
        </r>
      </text>
    </comment>
    <comment ref="S50" authorId="0" shapeId="0" xr:uid="{00000000-0006-0000-0000-000006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50" authorId="0" shapeId="0" xr:uid="{00000000-0006-0000-0000-000007010000}">
      <text>
        <r>
          <rPr>
            <sz val="8"/>
            <color indexed="81"/>
            <rFont val="Tahoma"/>
            <family val="2"/>
          </rPr>
          <t>Qty/Price Breaks (GBP):
  Qty  -  Unit£  -  Ext£
================
  3300   £0.18    £603.90</t>
        </r>
      </text>
    </comment>
    <comment ref="AE50" authorId="0" shapeId="0" xr:uid="{00000000-0006-0000-0000-000008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$0.27      $2.70
    50   $0.26     $13.00
   100   $0.25     $25.00
  1000   $0.25    $250.00
 10000   $0.25  $2,500.00</t>
        </r>
      </text>
    </comment>
    <comment ref="AH50" authorId="0" shapeId="0" xr:uid="{00000000-0006-0000-0000-000009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50" authorId="0" shapeId="0" xr:uid="{00000000-0006-0000-0000-00000A010000}">
      <text>
        <r>
          <rPr>
            <sz val="8"/>
            <color indexed="81"/>
            <rFont val="Tahoma"/>
            <family val="2"/>
          </rPr>
          <t>Qty/Price Breaks (USD):
  Qty  -  Unit$  -  Ext$
================
  3300   $0.25    $825.00</t>
        </r>
      </text>
    </comment>
    <comment ref="P51" authorId="0" shapeId="0" xr:uid="{00000000-0006-0000-0000-00000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$0.96      $0.96
    10   $0.86      $8.60
    25   $0.82     $20.40
   100   $0.67     $67.04
   250   $0.63    $156.68
   500   $0.55    $276.92
  1000   $0.46    $459.25</t>
        </r>
      </text>
    </comment>
    <comment ref="U51" authorId="0" shapeId="0" xr:uid="{00000000-0006-0000-0000-00000C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10   £0.63      £6.32
    50   £0.54     £27.10
   100   £0.35     £34.90
   250   £0.33     £81.50
   500   £0.30    £151.50
  1000   £0.28    £280.00
  2500   £0.27    £672.50
  5000   £0.26  £1,285.00</t>
        </r>
      </text>
    </comment>
    <comment ref="AE51" authorId="0" shapeId="0" xr:uid="{00000000-0006-0000-0000-00000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$0.96      $0.96
    10   $0.86      $8.60
    50   $0.82     $40.80
   100   $0.67     $67.00
  1000   $0.45    $449.00
 10000   $0.38  $3,840.00</t>
        </r>
      </text>
    </comment>
    <comment ref="AJ51" authorId="0" shapeId="0" xr:uid="{00000000-0006-0000-0000-00000E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$1.12      $1.12
    10   $1.04     $10.40
   100   $0.94     $94.30
   500   $0.90    $448.00
  1000   $0.85    $849.00
  2500   $0.80  $2,002.50</t>
        </r>
      </text>
    </comment>
    <comment ref="AO51" authorId="0" shapeId="0" xr:uid="{00000000-0006-0000-0000-00000F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£0.70      £0.70</t>
        </r>
      </text>
    </comment>
    <comment ref="AT51" authorId="0" shapeId="0" xr:uid="{00000000-0006-0000-0000-000010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£0.60      £0.60
     5   £0.55      £2.75
    25   £0.51     £12.77
    95   £0.43     £41.06
   450   £0.35    £159.12</t>
        </r>
      </text>
    </comment>
    <comment ref="P52" authorId="0" shapeId="0" xr:uid="{00000000-0006-0000-0000-000011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$2.38      $2.38
    10   $2.14     $21.35
    25   $2.01     $50.35
   100   $1.72    $171.59
   250   $1.61    $402.80
   500   $1.41    $704.90
  1000   $1.17  $1,168.12
  2500   $1.14  $2,850.00
 10000   $1.14 $11,400.00</t>
        </r>
      </text>
    </comment>
    <comment ref="S52" authorId="0" shapeId="0" xr:uid="{00000000-0006-0000-0000-000012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52" authorId="0" shapeId="0" xr:uid="{00000000-0006-0000-0000-000013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£1.66      £1.66
    10   £1.66     £16.60
    25   £1.57     £39.25
    50   £1.42     £71.00
   100   £1.26    £126.00
   250   £1.10    £275.00
   500   £1.07    £535.00
  1000   £0.91    £911.00
  2500   £0.89  £2,232.50</t>
        </r>
      </text>
    </comment>
    <comment ref="P53" authorId="0" shapeId="0" xr:uid="{00000000-0006-0000-0000-000014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25   $0.59     $14.75
   100   $0.54     $54.00
  3000   $0.54  $1,620.00</t>
        </r>
      </text>
    </comment>
    <comment ref="U53" authorId="0" shapeId="0" xr:uid="{00000000-0006-0000-0000-000015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£0.55      £0.55
    25   £0.46     £11.55
   100   £0.42     £42.10
   150   £0.42     £63.15</t>
        </r>
      </text>
    </comment>
    <comment ref="AE53" authorId="0" shapeId="0" xr:uid="{00000000-0006-0000-0000-000016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$0.70      $7.00
    50   $0.59     $29.50
   100   $0.54     $54.00
  1000   $0.54    $540.00
 10000   $0.54  $5,400.00</t>
        </r>
      </text>
    </comment>
    <comment ref="AJ53" authorId="0" shapeId="0" xr:uid="{00000000-0006-0000-0000-000017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$0.81      $8.06
    25   $0.74     $18.45
    50   $0.71     $35.30
   100   $0.68     $67.50
  3000   $0.65  $1,944.00</t>
        </r>
      </text>
    </comment>
    <comment ref="AO53" authorId="0" shapeId="0" xr:uid="{00000000-0006-0000-0000-000018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£0.54      £0.54
    25   £0.52     £13.00
   100   £0.50     £50.00</t>
        </r>
      </text>
    </comment>
    <comment ref="AR53" authorId="0" shapeId="0" xr:uid="{00000000-0006-0000-0000-000019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53" authorId="0" shapeId="0" xr:uid="{00000000-0006-0000-0000-00001A010000}">
      <text>
        <r>
          <rPr>
            <sz val="8"/>
            <color indexed="81"/>
            <rFont val="Tahoma"/>
            <family val="2"/>
          </rPr>
          <t>Qty/Price Breaks (GBP):
  Qty  -  Unit£  -  Ext£
================
     3   £0.49      £1.47
    10   £0.46      £4.60
    25   £0.39      £9.75
   100   £0.37     £37.00</t>
        </r>
      </text>
    </comment>
    <comment ref="P54" authorId="0" shapeId="0" xr:uid="{00000000-0006-0000-0000-00001B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$1.01     $10.07
    25   $0.95     $23.70
    50   $0.91     $45.43
   100   $0.87     $86.90
   400   $0.79    $316.01
   800   $0.69    $553.02
  1200   $0.63    $758.42
  2000   $0.59  $1,185.04
  2800   $0.57  $1,603.73
 10000   $0.53  $5,253.70</t>
        </r>
      </text>
    </comment>
    <comment ref="U54" authorId="0" shapeId="0" xr:uid="{00000000-0006-0000-0000-00001C01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£0.67      £6.68
   100   £0.62     £62.20
   250   £0.59    £147.25
   500   £0.58    £288.50
  1000   £0.56    £565.00
  2500   £0.55  £1,385.00</t>
        </r>
      </text>
    </comment>
    <comment ref="Z54" authorId="0" shapeId="0" xr:uid="{00000000-0006-0000-0000-00001D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$0.52      $5.23
    30   $0.49     $14.66
   100   $0.45     $45.45
   500   $0.44    $220.00
  1000   $0.43    $432.80</t>
        </r>
      </text>
    </comment>
    <comment ref="AC54" authorId="0" shapeId="0" xr:uid="{00000000-0006-0000-0000-00001E01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4" authorId="0" shapeId="0" xr:uid="{00000000-0006-0000-0000-00001F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$1.08      $1.08
    10   $0.86      $8.57
    50   $0.86     $42.85
   100   $0.74     $74.50
  1000   $0.60    $595.00
 10000   $0.53  $5,320.00</t>
        </r>
      </text>
    </comment>
    <comment ref="AJ54" authorId="0" shapeId="0" xr:uid="{00000000-0006-0000-0000-00002001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$1.32      $1.32
    10   $0.88      $8.77
    25   $0.84     $21.05
    50   $0.81     $40.35
   100   $0.77     $77.10
   250   $0.92    $229.25
   400   $0.77    $306.80
   800   $0.75    $598.40
  1600   $0.73  $1,168.00
  2400   $0.71  $1,711.20
  4000   $0.70  $2,788.00</t>
        </r>
      </text>
    </comment>
    <comment ref="AO54" authorId="0" shapeId="0" xr:uid="{00000000-0006-0000-0000-000021010000}">
      <text>
        <r>
          <rPr>
            <sz val="8"/>
            <color indexed="81"/>
            <rFont val="Tahoma"/>
            <family val="2"/>
          </rPr>
          <t>Qty/Price Breaks (GBP):
  Qty  -  Unit£  -  Ext£
================
     1 £1,288.30  £1,288.30</t>
        </r>
      </text>
    </comment>
    <comment ref="G56" authorId="0" shapeId="0" xr:uid="{00000000-0006-0000-0000-00002201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6" authorId="0" shapeId="0" xr:uid="{00000000-0006-0000-0000-000023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56" authorId="0" shapeId="0" xr:uid="{00000000-0006-0000-0000-000024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56" authorId="0" shapeId="0" xr:uid="{00000000-0006-0000-0000-000025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56" authorId="0" shapeId="0" xr:uid="{00000000-0006-0000-0000-000026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56" authorId="0" shapeId="0" xr:uid="{00000000-0006-0000-0000-000027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56" authorId="0" shapeId="0" xr:uid="{00000000-0006-0000-0000-000028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56" authorId="0" shapeId="0" xr:uid="{00000000-0006-0000-0000-000029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56" authorId="0" shapeId="0" xr:uid="{00000000-0006-0000-0000-00002A01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7" authorId="0" shapeId="0" xr:uid="{00000000-0006-0000-0000-00002B01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57" authorId="0" shapeId="0" xr:uid="{00000000-0006-0000-0000-00002C01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<sst xmlns="http://schemas.openxmlformats.org/spreadsheetml/2006/main" count="497" uniqueCount="373">
  <si>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</si>
  <si>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</si>
  <si>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</si>
  <si>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</si>
  <si>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</si>
  <si>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</si>
  <si>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</si>
  <si>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</si>
  <si>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</si>
  <si>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</t>
  </si>
  <si>
    <t>DNI</t>
  </si>
  <si>
    <t>C_0603_1608Metric</t>
  </si>
  <si>
    <t>C10</t>
  </si>
  <si>
    <t>200pF</t>
  </si>
  <si>
    <t>CC0603JRNPO9BN221</t>
  </si>
  <si>
    <t>C11</t>
  </si>
  <si>
    <t>1nF</t>
  </si>
  <si>
    <t>CC0603JRNPO9BN102</t>
  </si>
  <si>
    <t>C12</t>
  </si>
  <si>
    <t>4.7nF</t>
  </si>
  <si>
    <t>CC0603JRNPO9BN332</t>
  </si>
  <si>
    <t>C15,C16</t>
  </si>
  <si>
    <t>10u</t>
  </si>
  <si>
    <t>CL31B475KAHNFNE</t>
  </si>
  <si>
    <t>C2,C4,C5,C7,C8,C13,C14,C17,C18</t>
  </si>
  <si>
    <t>0.1u</t>
  </si>
  <si>
    <t>CC0603MRX7R8BB104</t>
  </si>
  <si>
    <t>C3</t>
  </si>
  <si>
    <t>1u</t>
  </si>
  <si>
    <t>CC0603MRX5R8BB105</t>
  </si>
  <si>
    <t>C6</t>
  </si>
  <si>
    <t>5n</t>
  </si>
  <si>
    <t>CC0603JRX7R9BB472</t>
  </si>
  <si>
    <t>C9</t>
  </si>
  <si>
    <t>47pF</t>
  </si>
  <si>
    <t>CC0603JRNPO9BN470</t>
  </si>
  <si>
    <t>D1-D5</t>
  </si>
  <si>
    <t>1N4007</t>
  </si>
  <si>
    <t>D_SOD-123F</t>
  </si>
  <si>
    <t>1N4007FLTR</t>
  </si>
  <si>
    <t>H1,H3,H5,H7</t>
  </si>
  <si>
    <t>MountingHole_Pad</t>
  </si>
  <si>
    <t>???</t>
  </si>
  <si>
    <t>J1-J3</t>
  </si>
  <si>
    <t>105-1103-001</t>
  </si>
  <si>
    <t>CONN TIP JACK SOLDER BLACK</t>
  </si>
  <si>
    <t>Test_Jack_Horiz</t>
  </si>
  <si>
    <t>K1,K2</t>
  </si>
  <si>
    <t>1462042-8</t>
  </si>
  <si>
    <t>RELAY_1462042-8</t>
  </si>
  <si>
    <t>Q1-Q4</t>
  </si>
  <si>
    <t>MBT3904DW1T1G</t>
  </si>
  <si>
    <t>TRANS 2NPN 40V 0.2A SC88</t>
  </si>
  <si>
    <t>SOT-363</t>
  </si>
  <si>
    <t>R1,R23,R26</t>
  </si>
  <si>
    <t>0</t>
  </si>
  <si>
    <t>R_0603_1608Metric</t>
  </si>
  <si>
    <t>RC0603FR-070RL</t>
  </si>
  <si>
    <t>R17</t>
  </si>
  <si>
    <t>1.13k</t>
  </si>
  <si>
    <t>RC0603FR-071K13L</t>
  </si>
  <si>
    <t>R18,R24</t>
  </si>
  <si>
    <t>33</t>
  </si>
  <si>
    <t>RC0603FR-0733RL</t>
  </si>
  <si>
    <t>R2,R9-R13,R19,R22,R27,R31-R34,R38</t>
  </si>
  <si>
    <t>10k</t>
  </si>
  <si>
    <t>RC0603FR-0710KL</t>
  </si>
  <si>
    <t>R20,R21,R28,R29</t>
  </si>
  <si>
    <t>73.2k</t>
  </si>
  <si>
    <t>RC0603FR-0773K2L</t>
  </si>
  <si>
    <t>R25,R30</t>
  </si>
  <si>
    <t>20k</t>
  </si>
  <si>
    <t>RC0603FR-0720KL</t>
  </si>
  <si>
    <t>R3</t>
  </si>
  <si>
    <t>33.2k</t>
  </si>
  <si>
    <t>RC0603FR-0733K2L</t>
  </si>
  <si>
    <t>R35</t>
  </si>
  <si>
    <t>523</t>
  </si>
  <si>
    <t>RC0603FR-07523RL</t>
  </si>
  <si>
    <t>R36</t>
  </si>
  <si>
    <t>1.1k</t>
  </si>
  <si>
    <t>RC0603FR-071K1L</t>
  </si>
  <si>
    <t>R37</t>
  </si>
  <si>
    <t>2.49k</t>
  </si>
  <si>
    <t>RC0603FR-072K49L</t>
  </si>
  <si>
    <t>R39,R40</t>
  </si>
  <si>
    <t>1820</t>
  </si>
  <si>
    <t>RC0603FR-071K82L</t>
  </si>
  <si>
    <t>R4</t>
  </si>
  <si>
    <t>100k</t>
  </si>
  <si>
    <t>RC0603FR-07100KL</t>
  </si>
  <si>
    <t>R41</t>
  </si>
  <si>
    <t>1k</t>
  </si>
  <si>
    <t>RC0603FR-071KL</t>
  </si>
  <si>
    <t>R42,R43</t>
  </si>
  <si>
    <t>499</t>
  </si>
  <si>
    <t>RC0603FR-07499RL</t>
  </si>
  <si>
    <t>R5</t>
  </si>
  <si>
    <t>332k</t>
  </si>
  <si>
    <t>RC0603FR-07332KL</t>
  </si>
  <si>
    <t>R6</t>
  </si>
  <si>
    <t>1M</t>
  </si>
  <si>
    <t>RC0603FR-071ML</t>
  </si>
  <si>
    <t>R7</t>
  </si>
  <si>
    <t>3.32M</t>
  </si>
  <si>
    <t>RC0603FR-073M32L</t>
  </si>
  <si>
    <t>R8</t>
  </si>
  <si>
    <t>10M</t>
  </si>
  <si>
    <t>RC0603FR-0710ML</t>
  </si>
  <si>
    <t>R14-R16</t>
  </si>
  <si>
    <t>240</t>
  </si>
  <si>
    <t>RC0603FR-07240RL</t>
  </si>
  <si>
    <t>U1,U14</t>
  </si>
  <si>
    <t>OPA828</t>
  </si>
  <si>
    <t>SOIC-8_3.9x4.9mm_P1.27mm</t>
  </si>
  <si>
    <t>OPA828ID</t>
  </si>
  <si>
    <t>U10</t>
  </si>
  <si>
    <t>LP2951-3.3_SOIC</t>
  </si>
  <si>
    <t>LP2951CDR2G</t>
  </si>
  <si>
    <t>U12,U13,U15</t>
  </si>
  <si>
    <t>TCA9554DW</t>
  </si>
  <si>
    <t>SOIC-16W_7.5x10.3mm_P1.27mm</t>
  </si>
  <si>
    <t>TCA9554DWT</t>
  </si>
  <si>
    <t>U16,U20,U21</t>
  </si>
  <si>
    <t>TMUX6111PWR</t>
  </si>
  <si>
    <t>TSSOP-14_W4.4mm</t>
  </si>
  <si>
    <t>U17</t>
  </si>
  <si>
    <t>DG412xUE</t>
  </si>
  <si>
    <t>TSSOP-16_4.4x5mm_P0.65mm</t>
  </si>
  <si>
    <t>DG412CUE+</t>
  </si>
  <si>
    <t>U18</t>
  </si>
  <si>
    <t>AD8421ARZ</t>
  </si>
  <si>
    <t>U19</t>
  </si>
  <si>
    <t>ADA4932-1YCPZ-R7</t>
  </si>
  <si>
    <t>U2</t>
  </si>
  <si>
    <t>ADG1208</t>
  </si>
  <si>
    <t>ADG1208YCPZ-REEL7</t>
  </si>
  <si>
    <t>U3</t>
  </si>
  <si>
    <t>G6L-1F-TR-DC5</t>
  </si>
  <si>
    <t>U4,U5</t>
  </si>
  <si>
    <t>U6</t>
  </si>
  <si>
    <t>24AA025-OT</t>
  </si>
  <si>
    <t>24AA025UIDT-I/SN</t>
  </si>
  <si>
    <t>U7</t>
  </si>
  <si>
    <t>LM337L_SO8</t>
  </si>
  <si>
    <t>LM337LM/NOPB</t>
  </si>
  <si>
    <t>U8,U11</t>
  </si>
  <si>
    <t>AD8615</t>
  </si>
  <si>
    <t>TSOT-23-5</t>
  </si>
  <si>
    <t>AD8615AUJZ-REEL</t>
  </si>
  <si>
    <t>U9</t>
  </si>
  <si>
    <t>MCP1804x-3302xOT</t>
  </si>
  <si>
    <t>SOT-23-5</t>
  </si>
  <si>
    <t>MCP1804T-3302I/OT</t>
  </si>
  <si>
    <t>U$2</t>
  </si>
  <si>
    <t>HDMI</t>
  </si>
  <si>
    <t>HDMI_A</t>
  </si>
  <si>
    <t>10029449-111RLF</t>
  </si>
  <si>
    <t>Total Purchase:</t>
  </si>
  <si>
    <t>Purchase description:</t>
  </si>
  <si>
    <t>Used currency rates:</t>
  </si>
  <si>
    <t>USD($)/GBP(£):</t>
  </si>
  <si>
    <t>Prj:</t>
  </si>
  <si>
    <t>my_design.csv</t>
  </si>
  <si>
    <t>Co.:</t>
  </si>
  <si>
    <t>Prj date:</t>
  </si>
  <si>
    <t>2021-05-06 16:28:02 (file)</t>
  </si>
  <si>
    <t>Board Qty:</t>
  </si>
  <si>
    <t>Total Cost:</t>
  </si>
  <si>
    <t>Unit Cost:</t>
  </si>
  <si>
    <t>$ date:</t>
  </si>
  <si>
    <t>2021-05-06 16:30:50</t>
  </si>
  <si>
    <t>Arrow</t>
  </si>
  <si>
    <t>Avail</t>
  </si>
  <si>
    <t>Purch</t>
  </si>
  <si>
    <t>Cat#</t>
  </si>
  <si>
    <t>Digi-Key</t>
  </si>
  <si>
    <t>311-1073-1-ND</t>
  </si>
  <si>
    <t>311-1423-1-ND</t>
  </si>
  <si>
    <t>311-3968-1-ND</t>
  </si>
  <si>
    <t>1276-3177-1-ND</t>
  </si>
  <si>
    <t>311-1825-1-ND</t>
  </si>
  <si>
    <t>311-1823-1-ND</t>
  </si>
  <si>
    <t>311-3363-1-ND</t>
  </si>
  <si>
    <t>311-1065-1-ND</t>
  </si>
  <si>
    <t>PB1249CT-ND</t>
  </si>
  <si>
    <t>MBT3904DW1T1GOSCT-ND</t>
  </si>
  <si>
    <t>NonStk</t>
  </si>
  <si>
    <t>311-0.0HRCT-ND</t>
  </si>
  <si>
    <t>311-1.13KHRCT-ND</t>
  </si>
  <si>
    <t>311-33.0HRCT-ND</t>
  </si>
  <si>
    <t>311-10.0KHRCT-ND</t>
  </si>
  <si>
    <t>311-73.2KHRCT-ND</t>
  </si>
  <si>
    <t>311-20.0KHRCT-ND</t>
  </si>
  <si>
    <t>311-33.2KHRCT-ND</t>
  </si>
  <si>
    <t>311-523HRCT-ND</t>
  </si>
  <si>
    <t>311-1.10KHRCT-ND</t>
  </si>
  <si>
    <t>311-2.49KHRCT-ND</t>
  </si>
  <si>
    <t>311-1.82KHRCT-ND</t>
  </si>
  <si>
    <t>311-100KHRCT-ND</t>
  </si>
  <si>
    <t>311-1.00KHRCT-ND</t>
  </si>
  <si>
    <t>311-499HRCT-ND</t>
  </si>
  <si>
    <t>311-332KHRCT-ND</t>
  </si>
  <si>
    <t>311-1.00MHRCT-ND</t>
  </si>
  <si>
    <t>13-RC0603FR-073M32LCT-ND</t>
  </si>
  <si>
    <t>311-10.0MHRCT-ND</t>
  </si>
  <si>
    <t>311-240HRCT-ND</t>
  </si>
  <si>
    <t>296-53407-ND</t>
  </si>
  <si>
    <t>LP2951CDR2GOSCT-ND</t>
  </si>
  <si>
    <t>296-TCA9554DWTCT-ND</t>
  </si>
  <si>
    <t>296-53259-1-ND</t>
  </si>
  <si>
    <t>DG412CUE+-ND</t>
  </si>
  <si>
    <t>AD8421ARZ-ND</t>
  </si>
  <si>
    <t>ADA4932-1YCPZ-R7CT-ND</t>
  </si>
  <si>
    <t>ADG1208YCPZ-REEL7CT-ND</t>
  </si>
  <si>
    <t>Z3707CT-ND</t>
  </si>
  <si>
    <t>24AA025UIDT-I/SNCT-ND</t>
  </si>
  <si>
    <t>LM337LM/NOPB-ND</t>
  </si>
  <si>
    <t>AD8615AUJZ-REELCT-ND</t>
  </si>
  <si>
    <t>MCP1804T-3302I/OTCT-ND</t>
  </si>
  <si>
    <t>609-4614-1-ND</t>
  </si>
  <si>
    <t>Farnell</t>
  </si>
  <si>
    <t>430948</t>
  </si>
  <si>
    <t>3369207</t>
  </si>
  <si>
    <t>3369259</t>
  </si>
  <si>
    <t>3369216</t>
  </si>
  <si>
    <t>722042</t>
  </si>
  <si>
    <t>1653615</t>
  </si>
  <si>
    <t>2309106</t>
  </si>
  <si>
    <t>9238301</t>
  </si>
  <si>
    <t>9238603</t>
  </si>
  <si>
    <t>3495765</t>
  </si>
  <si>
    <t>3495819</t>
  </si>
  <si>
    <t>3495752</t>
  </si>
  <si>
    <t>1799330</t>
  </si>
  <si>
    <t>3495761</t>
  </si>
  <si>
    <t>9238727</t>
  </si>
  <si>
    <t>9238484</t>
  </si>
  <si>
    <t>3495855</t>
  </si>
  <si>
    <t>3495817</t>
  </si>
  <si>
    <t>9238840</t>
  </si>
  <si>
    <t>9238964</t>
  </si>
  <si>
    <t>3495779</t>
  </si>
  <si>
    <t>2318523</t>
  </si>
  <si>
    <t>2512852</t>
  </si>
  <si>
    <t>2126090</t>
  </si>
  <si>
    <t>2727796</t>
  </si>
  <si>
    <t>3589524</t>
  </si>
  <si>
    <t>3008050</t>
  </si>
  <si>
    <t>2305615RL</t>
  </si>
  <si>
    <t>1825006</t>
  </si>
  <si>
    <t>2751197</t>
  </si>
  <si>
    <t>LCSC</t>
  </si>
  <si>
    <t>C110150</t>
  </si>
  <si>
    <t>C7987</t>
  </si>
  <si>
    <t>C578718</t>
  </si>
  <si>
    <t>C427307</t>
  </si>
  <si>
    <t>Mouser</t>
  </si>
  <si>
    <t>603C0603JRNPO9BN221</t>
  </si>
  <si>
    <t>603C0603JRNPO9BN102</t>
  </si>
  <si>
    <t>603CC603JRNPO9BN332</t>
  </si>
  <si>
    <t>187CL31B475KAHNFNE</t>
  </si>
  <si>
    <t>603CC603MRX7R8BB104</t>
  </si>
  <si>
    <t>603CC603MRX5R8BB105</t>
  </si>
  <si>
    <t>603CC603JRX7R9BB472</t>
  </si>
  <si>
    <t>603CC603JRNPO9BN470</t>
  </si>
  <si>
    <t>53010511031</t>
  </si>
  <si>
    <t>65514620428</t>
  </si>
  <si>
    <t>863MBT3904DW1T1G</t>
  </si>
  <si>
    <t>603RC0603FR070RL</t>
  </si>
  <si>
    <t>603RC0603FR071K13L</t>
  </si>
  <si>
    <t>603RC0603FR0733RL</t>
  </si>
  <si>
    <t>603RC0603FR0710KL</t>
  </si>
  <si>
    <t>603RC0603FR0773K2L</t>
  </si>
  <si>
    <t>603RC0603FR0720KL</t>
  </si>
  <si>
    <t>603RC0603FR0733K2L</t>
  </si>
  <si>
    <t>603RC0603FR07523RL</t>
  </si>
  <si>
    <t>603RC0603FR071K1L</t>
  </si>
  <si>
    <t>603RC0603FR072K49L</t>
  </si>
  <si>
    <t>603RC0603FR071K82L</t>
  </si>
  <si>
    <t>603RC0603FR07100KL</t>
  </si>
  <si>
    <t>603RC0603FR071KL</t>
  </si>
  <si>
    <t>603RC0603FR07499RL</t>
  </si>
  <si>
    <t>603RC0603FR07332KL</t>
  </si>
  <si>
    <t>603RC0603FR071ML</t>
  </si>
  <si>
    <t>603RC0603FR073M32L</t>
  </si>
  <si>
    <t>603RC0603FR0710ML</t>
  </si>
  <si>
    <t>603RC0603FR07240RL</t>
  </si>
  <si>
    <t>595OPA828ID</t>
  </si>
  <si>
    <t>863LP2951CDR2G</t>
  </si>
  <si>
    <t>595TMUX6111PWR</t>
  </si>
  <si>
    <t>700DG412CUE</t>
  </si>
  <si>
    <t>584AD8421ARZ</t>
  </si>
  <si>
    <t>584ADA49321YCPZR7</t>
  </si>
  <si>
    <t>584ADG1208YCPZR7</t>
  </si>
  <si>
    <t>653G6L1FTRDC5</t>
  </si>
  <si>
    <t>57924AA025UIDTI/SN</t>
  </si>
  <si>
    <t>926LM337LM/NOPB</t>
  </si>
  <si>
    <t>579MCP1804T3302IOT</t>
  </si>
  <si>
    <t>64910029449111RLF</t>
  </si>
  <si>
    <t>Newark</t>
  </si>
  <si>
    <t>68R4723</t>
  </si>
  <si>
    <t>68R4714</t>
  </si>
  <si>
    <t>40AJ6458</t>
  </si>
  <si>
    <t>40AJ6419</t>
  </si>
  <si>
    <t>68R4732</t>
  </si>
  <si>
    <t>81F4447</t>
  </si>
  <si>
    <t>24AC1555</t>
  </si>
  <si>
    <t>26AC1798</t>
  </si>
  <si>
    <t>50Y7761</t>
  </si>
  <si>
    <t>26M6756</t>
  </si>
  <si>
    <t>68R0049</t>
  </si>
  <si>
    <t>68R0068</t>
  </si>
  <si>
    <t>82AH8138</t>
  </si>
  <si>
    <t>82AH8042</t>
  </si>
  <si>
    <t>82AH8086</t>
  </si>
  <si>
    <t>82AH8049</t>
  </si>
  <si>
    <t>68R0051</t>
  </si>
  <si>
    <t>66R1908</t>
  </si>
  <si>
    <t>82AH8174</t>
  </si>
  <si>
    <t>82AH8140</t>
  </si>
  <si>
    <t>68R0047</t>
  </si>
  <si>
    <t>98K7344</t>
  </si>
  <si>
    <t>82AH8111</t>
  </si>
  <si>
    <t>90W0695</t>
  </si>
  <si>
    <t>73Y0968</t>
  </si>
  <si>
    <t>07W3916</t>
  </si>
  <si>
    <t>39Y2613</t>
  </si>
  <si>
    <t>26K6105</t>
  </si>
  <si>
    <t>70W1671</t>
  </si>
  <si>
    <t>29AH6303</t>
  </si>
  <si>
    <t>84R0093</t>
  </si>
  <si>
    <t>76T8273</t>
  </si>
  <si>
    <t>RS Components</t>
  </si>
  <si>
    <t>2006485</t>
  </si>
  <si>
    <t>2006470</t>
  </si>
  <si>
    <t>2006522</t>
  </si>
  <si>
    <t>2006495</t>
  </si>
  <si>
    <t>9097999</t>
  </si>
  <si>
    <t>1995547</t>
  </si>
  <si>
    <t>1995442</t>
  </si>
  <si>
    <t>1995490</t>
  </si>
  <si>
    <t>1995543</t>
  </si>
  <si>
    <t>1995438</t>
  </si>
  <si>
    <t>1995479</t>
  </si>
  <si>
    <t>1995585</t>
  </si>
  <si>
    <t>5048962</t>
  </si>
  <si>
    <t>1869077</t>
  </si>
  <si>
    <t>8067981</t>
  </si>
  <si>
    <t>5361322P</t>
  </si>
  <si>
    <t>7047637</t>
  </si>
  <si>
    <t>1822113</t>
  </si>
  <si>
    <t>TME</t>
  </si>
  <si>
    <t>CC0603JRNPO9221</t>
  </si>
  <si>
    <t>CC0603JRNPO9102</t>
  </si>
  <si>
    <t>CC0603JRNPO9470</t>
  </si>
  <si>
    <t>IMC03GR</t>
  </si>
  <si>
    <t>RC0603FR070RL</t>
  </si>
  <si>
    <t>RC0603FR0733RL</t>
  </si>
  <si>
    <t>RC0603FR0710K</t>
  </si>
  <si>
    <t>RC0603FR0720K</t>
  </si>
  <si>
    <t>RC0603FR0733K2L</t>
  </si>
  <si>
    <t>RC0603FR07523RL</t>
  </si>
  <si>
    <t>RC0603FR071K1L</t>
  </si>
  <si>
    <t>RC0603FR072K49L</t>
  </si>
  <si>
    <t>RC0603FR07100K</t>
  </si>
  <si>
    <t>RC0603FR071K</t>
  </si>
  <si>
    <t>RC0603FR07499RL</t>
  </si>
  <si>
    <t>RC0603FR071M</t>
  </si>
  <si>
    <t>RC0603FR0710ML</t>
  </si>
  <si>
    <t>RC0603FR07240RL</t>
  </si>
  <si>
    <t>MCP1804T3302I/OT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</si>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</sst>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235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.com/click/track?ai=8078&amp;sig=06355db&amp;sid=1532&amp;ppid=40946036&amp;vpid=709257726&amp;ct=offers" TargetMode="External"/><Relationship Id="rId21" Type="http://schemas.openxmlformats.org/officeDocument/2006/relationships/hyperlink" Target="https://octopart.com/click/track?ai=8078&amp;sig=0182d2b&amp;sid=2401&amp;ppid=57080766&amp;vpid=219547870&amp;ct=offers" TargetMode="External"/><Relationship Id="rId42" Type="http://schemas.openxmlformats.org/officeDocument/2006/relationships/hyperlink" Target="https://octopart.com/click/track?ai=8078&amp;sig=0ce0e39&amp;sid=1532&amp;ppid=42539328&amp;vpid=709218165&amp;ct=offers" TargetMode="External"/><Relationship Id="rId63" Type="http://schemas.openxmlformats.org/officeDocument/2006/relationships/hyperlink" Target="https://octopart.com/click/track?ai=8078&amp;sig=0e35eff&amp;sid=2402&amp;ppid=40946050&amp;vpid=115424146&amp;ct=offers" TargetMode="External"/><Relationship Id="rId84" Type="http://schemas.openxmlformats.org/officeDocument/2006/relationships/hyperlink" Target="https://octopart.com/click/track?ai=8078&amp;sig=0660a9f&amp;sid=459&amp;ppid=39790760&amp;vpid=114982933&amp;ct=offers" TargetMode="External"/><Relationship Id="rId138" Type="http://schemas.openxmlformats.org/officeDocument/2006/relationships/hyperlink" Target="https://octopart.com/click/track?ai=8078&amp;sig=026478a&amp;sid=459&amp;ppid=1168402&amp;vpid=115263520&amp;ct=offers" TargetMode="External"/><Relationship Id="rId159" Type="http://schemas.openxmlformats.org/officeDocument/2006/relationships/hyperlink" Target="http://www.ti.com/lit/ds/symlink/opa828.pdf" TargetMode="External"/><Relationship Id="rId170" Type="http://schemas.openxmlformats.org/officeDocument/2006/relationships/hyperlink" Target="http://www.ti.com/lit/ds/symlink/tca9554.pdf" TargetMode="External"/><Relationship Id="rId191" Type="http://schemas.openxmlformats.org/officeDocument/2006/relationships/hyperlink" Target="https://www.analog.com/media/en/technical-documentation/data-sheets/ADG1208_1209.pdf" TargetMode="External"/><Relationship Id="rId205" Type="http://schemas.openxmlformats.org/officeDocument/2006/relationships/hyperlink" Target="https://octopart.com/click/track?c=1&amp;ai=8078&amp;sig=0f22a5f&amp;sid=819&amp;ppid=28160807&amp;vpid=671898961&amp;ct=offers" TargetMode="External"/><Relationship Id="rId226" Type="http://schemas.openxmlformats.org/officeDocument/2006/relationships/hyperlink" Target="https://octopart.com/click/track?ai=8078&amp;sig=065fd85&amp;sid=459&amp;ppid=90332945&amp;vpid=531263891&amp;ct=offers" TargetMode="External"/><Relationship Id="rId107" Type="http://schemas.openxmlformats.org/officeDocument/2006/relationships/hyperlink" Target="https://octopart.com/click/track?ai=8078&amp;sig=00c1ed2&amp;sid=459&amp;ppid=1370488&amp;vpid=1665609&amp;ct=offers" TargetMode="External"/><Relationship Id="rId11" Type="http://schemas.openxmlformats.org/officeDocument/2006/relationships/hyperlink" Target="https://octopart.com/click/track?ai=8078&amp;sig=0e63bc3&amp;sid=10022&amp;ppid=9292454&amp;vpid=635571335&amp;ct=offers" TargetMode="External"/><Relationship Id="rId32" Type="http://schemas.openxmlformats.org/officeDocument/2006/relationships/hyperlink" Target="https://octopart.com/click/track?ai=8078&amp;sig=042e117&amp;sid=10022&amp;ppid=39467680&amp;vpid=658005359&amp;ct=offers" TargetMode="External"/><Relationship Id="rId53" Type="http://schemas.openxmlformats.org/officeDocument/2006/relationships/hyperlink" Target="https://octopart.com/click/track?c=1&amp;ai=8078&amp;sig=0db26dc&amp;sid=2401&amp;ppid=1180803&amp;vpid=45348878&amp;ct=offers" TargetMode="External"/><Relationship Id="rId74" Type="http://schemas.openxmlformats.org/officeDocument/2006/relationships/hyperlink" Target="https://octopart.com/click/track?ai=8078&amp;sig=06620ea&amp;sid=459&amp;ppid=1407457&amp;vpid=1768428&amp;ct=offers" TargetMode="External"/><Relationship Id="rId128" Type="http://schemas.openxmlformats.org/officeDocument/2006/relationships/hyperlink" Target="https://octopart.com/click/track?ai=8078&amp;sig=052bcab&amp;sid=2401&amp;ppid=1184376&amp;vpid=37769753&amp;ct=offers" TargetMode="External"/><Relationship Id="rId149" Type="http://schemas.openxmlformats.org/officeDocument/2006/relationships/hyperlink" Target="https://octopart.com/click/track?ai=8078&amp;sig=09240a8&amp;sid=2401&amp;ppid=55434396&amp;vpid=191440243&amp;ct=offers" TargetMode="External"/><Relationship Id="rId5" Type="http://schemas.openxmlformats.org/officeDocument/2006/relationships/hyperlink" Target="https://octopart.com/click/track?ai=8078&amp;sig=0c2cbbc&amp;sid=10022&amp;ppid=8409962&amp;vpid=658005358&amp;ct=offers" TargetMode="External"/><Relationship Id="rId95" Type="http://schemas.openxmlformats.org/officeDocument/2006/relationships/hyperlink" Target="https://octopart.com/click/track?ai=8078&amp;sig=0aa874b&amp;sid=459&amp;ppid=39799182&amp;vpid=114982834&amp;ct=offers" TargetMode="External"/><Relationship Id="rId160" Type="http://schemas.openxmlformats.org/officeDocument/2006/relationships/hyperlink" Target="https://octopart.com/click/track?ai=8078&amp;sig=01a8c48&amp;sid=459&amp;ppid=95825382&amp;vpid=527585036&amp;ct=offers" TargetMode="External"/><Relationship Id="rId181" Type="http://schemas.openxmlformats.org/officeDocument/2006/relationships/hyperlink" Target="https://octopart.com/click/track?ai=8078&amp;sig=08f5e21&amp;sid=819&amp;ppid=21054827&amp;vpid=138557502&amp;ct=offers" TargetMode="External"/><Relationship Id="rId216" Type="http://schemas.openxmlformats.org/officeDocument/2006/relationships/hyperlink" Target="https://octopart.com/click/track?ai=8078&amp;sig=08c9762&amp;sid=459&amp;ppid=46900270&amp;vpid=283336162&amp;ct=offers" TargetMode="External"/><Relationship Id="rId22" Type="http://schemas.openxmlformats.org/officeDocument/2006/relationships/hyperlink" Target="https://octopart.com/click/track?c=1&amp;ai=8078&amp;sig=091493c&amp;sid=2402&amp;ppid=57080766&amp;vpid=717119554&amp;ct=offers" TargetMode="External"/><Relationship Id="rId43" Type="http://schemas.openxmlformats.org/officeDocument/2006/relationships/hyperlink" Target="http://www.onsemi.com/pub/Collateral/MBT3904DW1T1-D.PDF" TargetMode="External"/><Relationship Id="rId64" Type="http://schemas.openxmlformats.org/officeDocument/2006/relationships/hyperlink" Target="https://octopart.com/click/track?ai=8078&amp;sig=07d3767&amp;sid=10022&amp;ppid=40946050&amp;vpid=656930598&amp;ct=offers" TargetMode="External"/><Relationship Id="rId118" Type="http://schemas.openxmlformats.org/officeDocument/2006/relationships/hyperlink" Target="http://datasheet.octopart.com/RC0603FR-071KL-Yageo-datasheet-8328172.pdf" TargetMode="External"/><Relationship Id="rId139" Type="http://schemas.openxmlformats.org/officeDocument/2006/relationships/hyperlink" Target="https://octopart.com/click/track?ai=8078&amp;sig=0569c18&amp;sid=11744&amp;ppid=1168402&amp;vpid=480880108&amp;ct=offers" TargetMode="External"/><Relationship Id="rId85" Type="http://schemas.openxmlformats.org/officeDocument/2006/relationships/hyperlink" Target="https://octopart.com/click/track?ai=8078&amp;sig=076982d&amp;sid=819&amp;ppid=39790760&amp;vpid=653863375&amp;ct=offers" TargetMode="External"/><Relationship Id="rId150" Type="http://schemas.openxmlformats.org/officeDocument/2006/relationships/hyperlink" Target="https://octopart.com/click/track?ai=8078&amp;sig=0f5fa1b&amp;sid=2402&amp;ppid=55434396&amp;vpid=479779000&amp;ct=offers" TargetMode="External"/><Relationship Id="rId171" Type="http://schemas.openxmlformats.org/officeDocument/2006/relationships/hyperlink" Target="https://octopart.com/click/track?c=1&amp;ai=8078&amp;sig=0014f13&amp;sid=459&amp;ppid=76926188&amp;vpid=592318120&amp;ct=offers" TargetMode="External"/><Relationship Id="rId192" Type="http://schemas.openxmlformats.org/officeDocument/2006/relationships/hyperlink" Target="https://octopart.com/click/track?ai=8078&amp;sig=07d29e6&amp;sid=459&amp;ppid=12767512&amp;vpid=34201402&amp;ct=offers" TargetMode="External"/><Relationship Id="rId206" Type="http://schemas.openxmlformats.org/officeDocument/2006/relationships/hyperlink" Target="https://octopart.com/click/track?ai=8078&amp;sig=091bdc3&amp;sid=2401&amp;ppid=28160807&amp;vpid=410280499&amp;ct=offers" TargetMode="External"/><Relationship Id="rId227" Type="http://schemas.openxmlformats.org/officeDocument/2006/relationships/hyperlink" Target="https://octopart.com/click/track?ai=8078&amp;sig=055f209&amp;sid=11744&amp;ppid=90332945&amp;vpid=474302156&amp;ct=offers" TargetMode="External"/><Relationship Id="rId12" Type="http://schemas.openxmlformats.org/officeDocument/2006/relationships/hyperlink" Target="https://octopart.com/click/track?ai=8078&amp;sig=03213ee&amp;sid=1532&amp;ppid=9292454&amp;vpid=709256875&amp;ct=offers" TargetMode="External"/><Relationship Id="rId33" Type="http://schemas.openxmlformats.org/officeDocument/2006/relationships/hyperlink" Target="https://octopart.com/click/track?ai=8078&amp;sig=05969a8&amp;sid=1532&amp;ppid=39467680&amp;vpid=709256886&amp;ct=offers" TargetMode="External"/><Relationship Id="rId108" Type="http://schemas.openxmlformats.org/officeDocument/2006/relationships/hyperlink" Target="https://octopart.com/click/track?ai=8078&amp;sig=01232d4&amp;sid=819&amp;ppid=1370488&amp;vpid=653863269&amp;ct=offers" TargetMode="External"/><Relationship Id="rId129" Type="http://schemas.openxmlformats.org/officeDocument/2006/relationships/hyperlink" Target="https://octopart.com/click/track?c=1&amp;ai=8078&amp;sig=0ba7b6b&amp;sid=2402&amp;ppid=1184376&amp;vpid=658256898&amp;ct=offers" TargetMode="External"/><Relationship Id="rId54" Type="http://schemas.openxmlformats.org/officeDocument/2006/relationships/hyperlink" Target="https://octopart.com/click/track?ai=8078&amp;sig=02e3980&amp;sid=2402&amp;ppid=1180803&amp;vpid=215610244&amp;ct=offers" TargetMode="External"/><Relationship Id="rId75" Type="http://schemas.openxmlformats.org/officeDocument/2006/relationships/hyperlink" Target="https://octopart.com/click/track?ai=8078&amp;sig=019b079&amp;sid=2401&amp;ppid=1407457&amp;vpid=55869130&amp;ct=offers" TargetMode="External"/><Relationship Id="rId96" Type="http://schemas.openxmlformats.org/officeDocument/2006/relationships/hyperlink" Target="https://octopart.com/click/track?c=1&amp;ai=8078&amp;sig=01491ed&amp;sid=11744&amp;ppid=39799182&amp;vpid=654129529&amp;ct=offers" TargetMode="External"/><Relationship Id="rId140" Type="http://schemas.openxmlformats.org/officeDocument/2006/relationships/hyperlink" Target="https://octopart.com/click/track?ai=8078&amp;sig=03fe4a5&amp;sid=2401&amp;ppid=1168402&amp;vpid=116521345&amp;ct=offers" TargetMode="External"/><Relationship Id="rId161" Type="http://schemas.openxmlformats.org/officeDocument/2006/relationships/hyperlink" Target="https://octopart.com/click/track?ai=8078&amp;sig=015efc7&amp;sid=2401&amp;ppid=95825382&amp;vpid=522853256&amp;ct=offers" TargetMode="External"/><Relationship Id="rId182" Type="http://schemas.openxmlformats.org/officeDocument/2006/relationships/hyperlink" Target="https://octopart.com/click/track?ai=8078&amp;sig=06d2129&amp;sid=27971&amp;ppid=21054827&amp;vpid=665636975&amp;ct=offers" TargetMode="External"/><Relationship Id="rId217" Type="http://schemas.openxmlformats.org/officeDocument/2006/relationships/hyperlink" Target="https://octopart.com/click/track?c=1&amp;ai=8078&amp;sig=06492dd&amp;sid=819&amp;ppid=46900270&amp;vpid=540397007&amp;ct=offers" TargetMode="External"/><Relationship Id="rId6" Type="http://schemas.openxmlformats.org/officeDocument/2006/relationships/hyperlink" Target="https://octopart.com/click/track?ai=8078&amp;sig=0a9ca68&amp;sid=1532&amp;ppid=8409962&amp;vpid=709256882&amp;ct=offers" TargetMode="External"/><Relationship Id="rId23" Type="http://schemas.openxmlformats.org/officeDocument/2006/relationships/hyperlink" Target="https://octopart.com/click/track?ai=8078&amp;sig=0373c9f&amp;sid=459&amp;ppid=9291745&amp;vpid=418658245&amp;ct=offers" TargetMode="External"/><Relationship Id="rId119" Type="http://schemas.openxmlformats.org/officeDocument/2006/relationships/hyperlink" Target="https://octopart.com/click/track?ai=8078&amp;sig=0fe2519&amp;sid=459&amp;ppid=55402882&amp;vpid=188128906&amp;ct=offers" TargetMode="External"/><Relationship Id="rId44" Type="http://schemas.openxmlformats.org/officeDocument/2006/relationships/hyperlink" Target="https://octopart.com/click/track?c=1&amp;ai=8078&amp;sig=0cecf06&amp;sid=459&amp;ppid=112664&amp;vpid=1293050&amp;ct=offers" TargetMode="External"/><Relationship Id="rId65" Type="http://schemas.openxmlformats.org/officeDocument/2006/relationships/hyperlink" Target="https://octopart.com/click/track?ai=8078&amp;sig=0fffef9&amp;sid=1532&amp;ppid=40946050&amp;vpid=709257921&amp;ct=offers" TargetMode="External"/><Relationship Id="rId86" Type="http://schemas.openxmlformats.org/officeDocument/2006/relationships/hyperlink" Target="https://octopart.com/click/track?ai=8078&amp;sig=0a5d954&amp;sid=2401&amp;ppid=39790760&amp;vpid=120109723&amp;ct=offers" TargetMode="External"/><Relationship Id="rId130" Type="http://schemas.openxmlformats.org/officeDocument/2006/relationships/hyperlink" Target="https://octopart.com/click/track?ai=8078&amp;sig=09f63e8&amp;sid=10022&amp;ppid=1184376&amp;vpid=658005425&amp;ct=offers" TargetMode="External"/><Relationship Id="rId151" Type="http://schemas.openxmlformats.org/officeDocument/2006/relationships/hyperlink" Target="https://octopart.com/click/track?ai=8078&amp;sig=042f0f8&amp;sid=10022&amp;ppid=55434396&amp;vpid=199200366&amp;ct=offers" TargetMode="External"/><Relationship Id="rId172" Type="http://schemas.openxmlformats.org/officeDocument/2006/relationships/hyperlink" Target="https://octopart.com/click/track?ai=8078&amp;sig=0316205&amp;sid=459&amp;ppid=94966384&amp;vpid=528037645&amp;ct=offers" TargetMode="External"/><Relationship Id="rId193" Type="http://schemas.openxmlformats.org/officeDocument/2006/relationships/hyperlink" Target="https://octopart.com/click/track?c=1&amp;ai=8078&amp;sig=072cd97&amp;sid=819&amp;ppid=12767512&amp;vpid=424031918&amp;ct=offers" TargetMode="External"/><Relationship Id="rId207" Type="http://schemas.openxmlformats.org/officeDocument/2006/relationships/hyperlink" Target="https://octopart.com/click/track?c=1&amp;ai=8078&amp;sig=07ce189&amp;sid=2402&amp;ppid=28160807&amp;vpid=96332414&amp;ct=offers" TargetMode="External"/><Relationship Id="rId228" Type="http://schemas.openxmlformats.org/officeDocument/2006/relationships/hyperlink" Target="https://octopart.com/click/track?ai=8078&amp;sig=0585b01&amp;sid=27971&amp;ppid=90332945&amp;vpid=585330487&amp;ct=offers" TargetMode="External"/><Relationship Id="rId13" Type="http://schemas.openxmlformats.org/officeDocument/2006/relationships/hyperlink" Target="https://octopart.com/click/track?ai=8078&amp;sig=0b38a70&amp;sid=459&amp;ppid=30511391&amp;vpid=457174873&amp;ct=offers" TargetMode="External"/><Relationship Id="rId109" Type="http://schemas.openxmlformats.org/officeDocument/2006/relationships/hyperlink" Target="https://octopart.com/click/track?ai=8078&amp;sig=06a5644&amp;sid=2401&amp;ppid=1370488&amp;vpid=64183567&amp;ct=offers" TargetMode="External"/><Relationship Id="rId34" Type="http://schemas.openxmlformats.org/officeDocument/2006/relationships/hyperlink" Target="https://belfuse.com/resources/Johnson/drawings/dr-1051101001.pdf" TargetMode="External"/><Relationship Id="rId55" Type="http://schemas.openxmlformats.org/officeDocument/2006/relationships/hyperlink" Target="https://octopart.com/click/track?ai=8078&amp;sig=0c4ac5d&amp;sid=1532&amp;ppid=1180803&amp;vpid=709257724&amp;ct=offers" TargetMode="External"/><Relationship Id="rId76" Type="http://schemas.openxmlformats.org/officeDocument/2006/relationships/hyperlink" Target="http://datasheet.octopart.com/RC0603FR-0720KL-Yageo-datasheet-8328172.pdf" TargetMode="External"/><Relationship Id="rId97" Type="http://schemas.openxmlformats.org/officeDocument/2006/relationships/hyperlink" Target="https://octopart.com/click/track?ai=8078&amp;sig=0c9b6bc&amp;sid=2401&amp;ppid=39799182&amp;vpid=118691142&amp;ct=offers" TargetMode="External"/><Relationship Id="rId120" Type="http://schemas.openxmlformats.org/officeDocument/2006/relationships/hyperlink" Target="https://octopart.com/click/track?ai=8078&amp;sig=0c79d71&amp;sid=11744&amp;ppid=55402882&amp;vpid=508988657&amp;ct=offers" TargetMode="External"/><Relationship Id="rId141" Type="http://schemas.openxmlformats.org/officeDocument/2006/relationships/hyperlink" Target="https://octopart.com/click/track?ai=8078&amp;sig=056812d&amp;sid=2402&amp;ppid=1168402&amp;vpid=115424106&amp;ct=offers" TargetMode="External"/><Relationship Id="rId7" Type="http://schemas.openxmlformats.org/officeDocument/2006/relationships/hyperlink" Target="https://octopart.com/click/track?ai=8078&amp;sig=0ae7871&amp;sid=459&amp;ppid=9292454&amp;vpid=45699632&amp;ct=offers" TargetMode="External"/><Relationship Id="rId162" Type="http://schemas.openxmlformats.org/officeDocument/2006/relationships/hyperlink" Target="http://www.ti.com/lit/ds/symlink/lp2951-n.pdf" TargetMode="External"/><Relationship Id="rId183" Type="http://schemas.openxmlformats.org/officeDocument/2006/relationships/hyperlink" Target="https://octopart.com/click/track?ai=8078&amp;sig=0a4498e&amp;sid=2401&amp;ppid=21054827&amp;vpid=76856279&amp;ct=offers" TargetMode="External"/><Relationship Id="rId218" Type="http://schemas.openxmlformats.org/officeDocument/2006/relationships/hyperlink" Target="http://ww1.microchip.com/downloads/en/DeviceDoc/20002200D.pdf" TargetMode="External"/><Relationship Id="rId24" Type="http://schemas.openxmlformats.org/officeDocument/2006/relationships/hyperlink" Target="https://octopart.com/click/track?ai=8078&amp;sig=0923cce&amp;sid=819&amp;ppid=9291745&amp;vpid=667702680&amp;ct=offers" TargetMode="External"/><Relationship Id="rId45" Type="http://schemas.openxmlformats.org/officeDocument/2006/relationships/hyperlink" Target="https://octopart.com/click/track?ai=8078&amp;sig=0cba43d&amp;sid=11744&amp;ppid=112664&amp;vpid=132543339&amp;ct=offers" TargetMode="External"/><Relationship Id="rId66" Type="http://schemas.openxmlformats.org/officeDocument/2006/relationships/hyperlink" Target="http://datasheet.octopart.com/RC0603FR-0710KL-Yageo-datasheet-8328172.pdf" TargetMode="External"/><Relationship Id="rId87" Type="http://schemas.openxmlformats.org/officeDocument/2006/relationships/hyperlink" Target="https://octopart.com/click/track?c=1&amp;ai=8078&amp;sig=00a1da6&amp;sid=2402&amp;ppid=39790760&amp;vpid=655850390&amp;ct=offers" TargetMode="External"/><Relationship Id="rId110" Type="http://schemas.openxmlformats.org/officeDocument/2006/relationships/hyperlink" Target="https://octopart.com/click/track?c=1&amp;ai=8078&amp;sig=0648d37&amp;sid=2402&amp;ppid=1370488&amp;vpid=655850355&amp;ct=offers" TargetMode="External"/><Relationship Id="rId131" Type="http://schemas.openxmlformats.org/officeDocument/2006/relationships/hyperlink" Target="https://octopart.com/click/track?ai=8078&amp;sig=06db98f&amp;sid=1532&amp;ppid=1184376&amp;vpid=709257967&amp;ct=offers" TargetMode="External"/><Relationship Id="rId152" Type="http://schemas.openxmlformats.org/officeDocument/2006/relationships/hyperlink" Target="https://octopart.com/click/track?ai=8078&amp;sig=0dcf6d1&amp;sid=1532&amp;ppid=55434396&amp;vpid=709257734&amp;ct=offers" TargetMode="External"/><Relationship Id="rId173" Type="http://schemas.openxmlformats.org/officeDocument/2006/relationships/hyperlink" Target="https://octopart.com/click/track?ai=8078&amp;sig=01ec7c4&amp;sid=2401&amp;ppid=94966384&amp;vpid=511660519&amp;ct=offers" TargetMode="External"/><Relationship Id="rId194" Type="http://schemas.openxmlformats.org/officeDocument/2006/relationships/hyperlink" Target="https://octopart.com/click/track?ai=8078&amp;sig=0a925d7&amp;sid=2401&amp;ppid=12767512&amp;vpid=251853898&amp;ct=offers" TargetMode="External"/><Relationship Id="rId208" Type="http://schemas.openxmlformats.org/officeDocument/2006/relationships/hyperlink" Target="http://www.ti.com/lit/ds/symlink/lm337l.pdf" TargetMode="External"/><Relationship Id="rId229" Type="http://schemas.openxmlformats.org/officeDocument/2006/relationships/hyperlink" Target="https://octopart.com/click/track?c=1&amp;ai=8078&amp;sig=055c3a5&amp;sid=2401&amp;ppid=90332945&amp;vpid=97293195&amp;ct=offers" TargetMode="External"/><Relationship Id="rId14" Type="http://schemas.openxmlformats.org/officeDocument/2006/relationships/hyperlink" Target="https://octopart.com/click/track?ai=8078&amp;sig=09b80cb&amp;sid=2401&amp;ppid=30511391&amp;vpid=202863501&amp;ct=offers" TargetMode="External"/><Relationship Id="rId35" Type="http://schemas.openxmlformats.org/officeDocument/2006/relationships/hyperlink" Target="https://octopart.com/click/track?ai=8078&amp;sig=0160658&amp;sid=2401&amp;ppid=51372872&amp;vpid=171845222&amp;ct=offers" TargetMode="External"/><Relationship Id="rId56" Type="http://schemas.openxmlformats.org/officeDocument/2006/relationships/hyperlink" Target="http://datasheet.octopart.com/RC0603FR-071K13L-Yageo-datasheet-8328172.pdf" TargetMode="External"/><Relationship Id="rId77" Type="http://schemas.openxmlformats.org/officeDocument/2006/relationships/hyperlink" Target="https://octopart.com/click/track?ai=8078&amp;sig=0386612&amp;sid=459&amp;ppid=1197359&amp;vpid=1315555&amp;ct=offers" TargetMode="External"/><Relationship Id="rId100" Type="http://schemas.openxmlformats.org/officeDocument/2006/relationships/hyperlink" Target="http://datasheet.octopart.com/RC0603FR-072K49L-Yageo-datasheet-8328172.pdf" TargetMode="External"/><Relationship Id="rId8" Type="http://schemas.openxmlformats.org/officeDocument/2006/relationships/hyperlink" Target="https://octopart.com/click/track?ai=8078&amp;sig=0288f91&amp;sid=11744&amp;ppid=9292454&amp;vpid=667996749&amp;ct=offers" TargetMode="External"/><Relationship Id="rId98" Type="http://schemas.openxmlformats.org/officeDocument/2006/relationships/hyperlink" Target="https://octopart.com/click/track?c=1&amp;ai=8078&amp;sig=067bbb4&amp;sid=2402&amp;ppid=39799182&amp;vpid=705454484&amp;ct=offers" TargetMode="External"/><Relationship Id="rId121" Type="http://schemas.openxmlformats.org/officeDocument/2006/relationships/hyperlink" Target="https://octopart.com/click/track?ai=8078&amp;sig=0fb13ef&amp;sid=2401&amp;ppid=55402882&amp;vpid=187885225&amp;ct=offers" TargetMode="External"/><Relationship Id="rId142" Type="http://schemas.openxmlformats.org/officeDocument/2006/relationships/hyperlink" Target="https://octopart.com/click/track?ai=8078&amp;sig=0ca75ec&amp;sid=1532&amp;ppid=1168402&amp;vpid=709257845&amp;ct=offers" TargetMode="External"/><Relationship Id="rId163" Type="http://schemas.openxmlformats.org/officeDocument/2006/relationships/hyperlink" Target="https://octopart.com/click/track?c=1&amp;ai=8078&amp;sig=0873431&amp;sid=459&amp;ppid=530759&amp;vpid=34060215&amp;ct=offers" TargetMode="External"/><Relationship Id="rId184" Type="http://schemas.openxmlformats.org/officeDocument/2006/relationships/hyperlink" Target="https://octopart.com/click/track?ai=8078&amp;sig=01f4139&amp;sid=2402&amp;ppid=21054827&amp;vpid=52296677&amp;ct=offers" TargetMode="External"/><Relationship Id="rId219" Type="http://schemas.openxmlformats.org/officeDocument/2006/relationships/hyperlink" Target="https://octopart.com/click/track?ai=8078&amp;sig=0ad8ec9&amp;sid=459&amp;ppid=12637562&amp;vpid=34018224&amp;ct=offers" TargetMode="External"/><Relationship Id="rId230" Type="http://schemas.openxmlformats.org/officeDocument/2006/relationships/hyperlink" Target="https://octopart.com/click/track?c=1&amp;ai=8078&amp;sig=02a3720&amp;sid=2402&amp;ppid=90332945&amp;vpid=474119741&amp;ct=offers" TargetMode="External"/><Relationship Id="rId25" Type="http://schemas.openxmlformats.org/officeDocument/2006/relationships/hyperlink" Target="https://octopart.com/click/track?c=1&amp;ai=8078&amp;sig=066473e&amp;sid=2401&amp;ppid=9291745&amp;vpid=191440200&amp;ct=offers" TargetMode="External"/><Relationship Id="rId46" Type="http://schemas.openxmlformats.org/officeDocument/2006/relationships/hyperlink" Target="https://octopart.com/click/track?ai=8078&amp;sig=08e2f4d&amp;sid=27971&amp;ppid=112664&amp;vpid=476993407&amp;ct=offers" TargetMode="External"/><Relationship Id="rId67" Type="http://schemas.openxmlformats.org/officeDocument/2006/relationships/hyperlink" Target="https://octopart.com/click/track?ai=8078&amp;sig=03bdc7a&amp;sid=459&amp;ppid=40025538&amp;vpid=114982759&amp;ct=offers" TargetMode="External"/><Relationship Id="rId20" Type="http://schemas.openxmlformats.org/officeDocument/2006/relationships/hyperlink" Target="https://octopart.com/click/track?ai=8078&amp;sig=033dbc5&amp;sid=11744&amp;ppid=57080766&amp;vpid=667996796&amp;ct=offers" TargetMode="External"/><Relationship Id="rId41" Type="http://schemas.openxmlformats.org/officeDocument/2006/relationships/hyperlink" Target="https://octopart.com/click/track?ai=8078&amp;sig=05e4949&amp;sid=10022&amp;ppid=42539328&amp;vpid=501332564&amp;ct=offers" TargetMode="External"/><Relationship Id="rId62" Type="http://schemas.openxmlformats.org/officeDocument/2006/relationships/hyperlink" Target="https://octopart.com/click/track?ai=8078&amp;sig=05018a2&amp;sid=2401&amp;ppid=40946050&amp;vpid=115540566&amp;ct=offers" TargetMode="External"/><Relationship Id="rId83" Type="http://schemas.openxmlformats.org/officeDocument/2006/relationships/hyperlink" Target="http://datasheet.octopart.com/RC0603FR-0733K2L-Yageo-datasheet-12596169.pdf" TargetMode="External"/><Relationship Id="rId88" Type="http://schemas.openxmlformats.org/officeDocument/2006/relationships/hyperlink" Target="https://octopart.com/click/track?ai=8078&amp;sig=007317a&amp;sid=10022&amp;ppid=39790760&amp;vpid=653083714&amp;ct=offers" TargetMode="External"/><Relationship Id="rId111" Type="http://schemas.openxmlformats.org/officeDocument/2006/relationships/hyperlink" Target="http://datasheet.octopart.com/RC0603FR-07100KL-Yageo-datasheet-8328172.pdf" TargetMode="External"/><Relationship Id="rId132" Type="http://schemas.openxmlformats.org/officeDocument/2006/relationships/hyperlink" Target="http://datasheet.octopart.com/RC0603FR-07332KL-Yageo-datasheet-8328172.pdf" TargetMode="External"/><Relationship Id="rId153" Type="http://schemas.openxmlformats.org/officeDocument/2006/relationships/hyperlink" Target="http://datasheet.octopart.com/RC0603FR-07240RL-Yageo-datasheet-118562.pdf" TargetMode="External"/><Relationship Id="rId174" Type="http://schemas.openxmlformats.org/officeDocument/2006/relationships/hyperlink" Target="https://datasheets.maximintegrated.com/en/ds/DG411-DG413.pdf" TargetMode="External"/><Relationship Id="rId179" Type="http://schemas.openxmlformats.org/officeDocument/2006/relationships/hyperlink" Target="https://www.analog.com/media/en/technical-documentation/data-sheets/AD8421.pdf" TargetMode="External"/><Relationship Id="rId195" Type="http://schemas.openxmlformats.org/officeDocument/2006/relationships/hyperlink" Target="http://datasheet.octopart.com/G6L-1F-TR-DC5-Omron-datasheet-10910207.pdf" TargetMode="External"/><Relationship Id="rId209" Type="http://schemas.openxmlformats.org/officeDocument/2006/relationships/hyperlink" Target="https://octopart.com/click/track?ai=8078&amp;sig=0aed33e&amp;sid=459&amp;ppid=24813735&amp;vpid=57503671&amp;ct=offers" TargetMode="External"/><Relationship Id="rId190" Type="http://schemas.openxmlformats.org/officeDocument/2006/relationships/hyperlink" Target="https://octopart.com/click/track?c=1&amp;ai=8078&amp;sig=0301806&amp;sid=2402&amp;ppid=12413674&amp;vpid=182269870&amp;ct=offers" TargetMode="External"/><Relationship Id="rId204" Type="http://schemas.openxmlformats.org/officeDocument/2006/relationships/hyperlink" Target="https://octopart.com/click/track?ai=8078&amp;sig=0c1dbba&amp;sid=459&amp;ppid=28160807&amp;vpid=462964766&amp;ct=offers" TargetMode="External"/><Relationship Id="rId220" Type="http://schemas.openxmlformats.org/officeDocument/2006/relationships/hyperlink" Target="https://octopart.com/click/track?ai=8078&amp;sig=01e14bd&amp;sid=11744&amp;ppid=12637562&amp;vpid=132391882&amp;ct=offers" TargetMode="External"/><Relationship Id="rId225" Type="http://schemas.openxmlformats.org/officeDocument/2006/relationships/hyperlink" Target="http://datasheet.octopart.com/10029449-111RLF-Amphenol-ICC-datasheet-100437218.pdf" TargetMode="External"/><Relationship Id="rId15" Type="http://schemas.openxmlformats.org/officeDocument/2006/relationships/hyperlink" Target="https://octopart.com/click/track?ai=8078&amp;sig=043d275&amp;sid=459&amp;ppid=22240773&amp;vpid=72528537&amp;ct=offers" TargetMode="External"/><Relationship Id="rId36" Type="http://schemas.openxmlformats.org/officeDocument/2006/relationships/hyperlink" Target="https://octopart.com/click/track?ai=8078&amp;sig=0025be8&amp;sid=2402&amp;ppid=51372872&amp;vpid=439626129&amp;ct=offers" TargetMode="External"/><Relationship Id="rId57" Type="http://schemas.openxmlformats.org/officeDocument/2006/relationships/hyperlink" Target="https://octopart.com/click/track?ai=8078&amp;sig=03fde76&amp;sid=459&amp;ppid=1225781&amp;vpid=1274312&amp;ct=offers" TargetMode="External"/><Relationship Id="rId106" Type="http://schemas.openxmlformats.org/officeDocument/2006/relationships/hyperlink" Target="http://datasheet.octopart.com/RC0603FR-071K82L-Yageo-datasheet-118562.pdf" TargetMode="External"/><Relationship Id="rId127" Type="http://schemas.openxmlformats.org/officeDocument/2006/relationships/hyperlink" Target="https://octopart.com/click/track?ai=8078&amp;sig=0a43a72&amp;sid=819&amp;ppid=1184376&amp;vpid=653863439&amp;ct=offers" TargetMode="External"/><Relationship Id="rId10" Type="http://schemas.openxmlformats.org/officeDocument/2006/relationships/hyperlink" Target="https://octopart.com/click/track?ai=8078&amp;sig=0187d57&amp;sid=2402&amp;ppid=9292454&amp;vpid=21910781&amp;ct=offers" TargetMode="External"/><Relationship Id="rId31" Type="http://schemas.openxmlformats.org/officeDocument/2006/relationships/hyperlink" Target="https://octopart.com/click/track?ai=8078&amp;sig=063316f&amp;sid=2402&amp;ppid=39467680&amp;vpid=115423491&amp;ct=offers" TargetMode="External"/><Relationship Id="rId52" Type="http://schemas.openxmlformats.org/officeDocument/2006/relationships/hyperlink" Target="https://octopart.com/click/track?ai=8078&amp;sig=07fa15c&amp;sid=819&amp;ppid=1180803&amp;vpid=139820982&amp;ct=offers" TargetMode="External"/><Relationship Id="rId73" Type="http://schemas.openxmlformats.org/officeDocument/2006/relationships/hyperlink" Target="http://datasheet.octopart.com/RC0603FR-0773K2L-Yageo-datasheet-8328172.pdf" TargetMode="External"/><Relationship Id="rId78" Type="http://schemas.openxmlformats.org/officeDocument/2006/relationships/hyperlink" Target="https://octopart.com/click/track?ai=8078&amp;sig=010054b&amp;sid=819&amp;ppid=1197359&amp;vpid=653863277&amp;ct=offers" TargetMode="External"/><Relationship Id="rId94" Type="http://schemas.openxmlformats.org/officeDocument/2006/relationships/hyperlink" Target="http://datasheet.octopart.com/RC0603FR-071K1L-Yageo-datasheet-8328172.pdf" TargetMode="External"/><Relationship Id="rId99" Type="http://schemas.openxmlformats.org/officeDocument/2006/relationships/hyperlink" Target="https://octopart.com/click/track?ai=8078&amp;sig=03f1262&amp;sid=1532&amp;ppid=39799182&amp;vpid=709257814&amp;ct=offers" TargetMode="External"/><Relationship Id="rId101" Type="http://schemas.openxmlformats.org/officeDocument/2006/relationships/hyperlink" Target="https://octopart.com/click/track?ai=8078&amp;sig=0a68d6e&amp;sid=459&amp;ppid=39839369&amp;vpid=114982918&amp;ct=offers" TargetMode="External"/><Relationship Id="rId122" Type="http://schemas.openxmlformats.org/officeDocument/2006/relationships/hyperlink" Target="https://octopart.com/click/track?ai=8078&amp;sig=04c6071&amp;sid=2402&amp;ppid=55402882&amp;vpid=190899751&amp;ct=offers" TargetMode="External"/><Relationship Id="rId143" Type="http://schemas.openxmlformats.org/officeDocument/2006/relationships/hyperlink" Target="http://datasheet.octopart.com/RC0603FR-073M32L-Yageo-datasheet-8328172.pdf" TargetMode="External"/><Relationship Id="rId148" Type="http://schemas.openxmlformats.org/officeDocument/2006/relationships/hyperlink" Target="https://octopart.com/click/track?ai=8078&amp;sig=0afa9b9&amp;sid=11744&amp;ppid=55434396&amp;vpid=478973387&amp;ct=offers" TargetMode="External"/><Relationship Id="rId164" Type="http://schemas.openxmlformats.org/officeDocument/2006/relationships/hyperlink" Target="https://octopart.com/click/track?c=1&amp;ai=8078&amp;sig=028d576&amp;sid=11744&amp;ppid=530759&amp;vpid=132542527&amp;ct=offers" TargetMode="External"/><Relationship Id="rId169" Type="http://schemas.openxmlformats.org/officeDocument/2006/relationships/hyperlink" Target="https://octopart.com/click/track?ai=8078&amp;sig=0b46362&amp;sid=1532&amp;ppid=530759&amp;vpid=709120038&amp;ct=offers" TargetMode="External"/><Relationship Id="rId185" Type="http://schemas.openxmlformats.org/officeDocument/2006/relationships/hyperlink" Target="https://octopart.com/click/track?ai=8078&amp;sig=0777d2a&amp;sid=10022&amp;ppid=21054827&amp;vpid=198981290&amp;ct=offers" TargetMode="External"/><Relationship Id="rId4" Type="http://schemas.openxmlformats.org/officeDocument/2006/relationships/hyperlink" Target="https://octopart.com/click/track?ai=8078&amp;sig=0a8d0f7&amp;sid=2402&amp;ppid=8409962&amp;vpid=116019334&amp;ct=offers" TargetMode="External"/><Relationship Id="rId9" Type="http://schemas.openxmlformats.org/officeDocument/2006/relationships/hyperlink" Target="https://octopart.com/click/track?ai=8078&amp;sig=08b9619&amp;sid=2401&amp;ppid=9292454&amp;vpid=39335198&amp;ct=offers" TargetMode="External"/><Relationship Id="rId180" Type="http://schemas.openxmlformats.org/officeDocument/2006/relationships/hyperlink" Target="https://octopart.com/click/track?c=1&amp;ai=8078&amp;sig=039ca9f&amp;sid=459&amp;ppid=21054827&amp;vpid=50351240&amp;ct=offers" TargetMode="External"/><Relationship Id="rId210" Type="http://schemas.openxmlformats.org/officeDocument/2006/relationships/hyperlink" Target="https://octopart.com/click/track?ai=8078&amp;sig=01834e7&amp;sid=819&amp;ppid=24813735&amp;vpid=579543916&amp;ct=offers" TargetMode="External"/><Relationship Id="rId215" Type="http://schemas.openxmlformats.org/officeDocument/2006/relationships/hyperlink" Target="https://www.analog.com/media/en/technical-documentation/data-sheets/AD8615_8616_8618.pdf" TargetMode="External"/><Relationship Id="rId26" Type="http://schemas.openxmlformats.org/officeDocument/2006/relationships/hyperlink" Target="https://octopart.com/click/track?c=1&amp;ai=8078&amp;sig=0d5b2b0&amp;sid=2402&amp;ppid=9291745&amp;vpid=717119523&amp;ct=offers" TargetMode="External"/><Relationship Id="rId231" Type="http://schemas.openxmlformats.org/officeDocument/2006/relationships/hyperlink" Target="https://octopart.com/click/track?ai=8078&amp;sig=0be1e3e&amp;sid=10022&amp;ppid=90332945&amp;vpid=580039763&amp;ct=offers" TargetMode="External"/><Relationship Id="rId47" Type="http://schemas.openxmlformats.org/officeDocument/2006/relationships/hyperlink" Target="https://octopart.com/click/track?c=1&amp;ai=8078&amp;sig=0aadbf7&amp;sid=2401&amp;ppid=112664&amp;vpid=37819574&amp;ct=offers" TargetMode="External"/><Relationship Id="rId68" Type="http://schemas.openxmlformats.org/officeDocument/2006/relationships/hyperlink" Target="https://octopart.com/click/track?ai=8078&amp;sig=09e8397&amp;sid=819&amp;ppid=40025538&amp;vpid=508509528&amp;ct=offers" TargetMode="External"/><Relationship Id="rId89" Type="http://schemas.openxmlformats.org/officeDocument/2006/relationships/hyperlink" Target="https://octopart.com/click/track?ai=8078&amp;sig=0aa4c60&amp;sid=1532&amp;ppid=39790760&amp;vpid=709257918&amp;ct=offers" TargetMode="External"/><Relationship Id="rId112" Type="http://schemas.openxmlformats.org/officeDocument/2006/relationships/hyperlink" Target="https://octopart.com/click/track?ai=8078&amp;sig=08a3cd1&amp;sid=459&amp;ppid=40946036&amp;vpid=114982751&amp;ct=offers" TargetMode="External"/><Relationship Id="rId133" Type="http://schemas.openxmlformats.org/officeDocument/2006/relationships/hyperlink" Target="https://octopart.com/click/track?ai=8078&amp;sig=008ea01&amp;sid=459&amp;ppid=39804565&amp;vpid=115141429&amp;ct=offers" TargetMode="External"/><Relationship Id="rId154" Type="http://schemas.openxmlformats.org/officeDocument/2006/relationships/hyperlink" Target="https://octopart.com/click/track?ai=8078&amp;sig=089f498&amp;sid=459&amp;ppid=1187482&amp;vpid=1181482&amp;ct=offers" TargetMode="External"/><Relationship Id="rId175" Type="http://schemas.openxmlformats.org/officeDocument/2006/relationships/hyperlink" Target="https://octopart.com/click/track?ai=8078&amp;sig=072a454&amp;sid=459&amp;ppid=39622420&amp;vpid=115947727&amp;ct=offers" TargetMode="External"/><Relationship Id="rId196" Type="http://schemas.openxmlformats.org/officeDocument/2006/relationships/hyperlink" Target="https://octopart.com/click/track?ai=8078&amp;sig=0337459&amp;sid=459&amp;ppid=25805894&amp;vpid=69867618&amp;ct=offers" TargetMode="External"/><Relationship Id="rId200" Type="http://schemas.openxmlformats.org/officeDocument/2006/relationships/hyperlink" Target="https://octopart.com/click/track?ai=8078&amp;sig=0337459&amp;sid=459&amp;ppid=25805894&amp;vpid=69867618&amp;ct=offers" TargetMode="External"/><Relationship Id="rId16" Type="http://schemas.openxmlformats.org/officeDocument/2006/relationships/hyperlink" Target="https://octopart.com/click/track?ai=8078&amp;sig=0f8a7b1&amp;sid=2401&amp;ppid=22240773&amp;vpid=659502020&amp;ct=offers" TargetMode="External"/><Relationship Id="rId221" Type="http://schemas.openxmlformats.org/officeDocument/2006/relationships/hyperlink" Target="https://octopart.com/click/track?ai=8078&amp;sig=0622858&amp;sid=2401&amp;ppid=12637562&amp;vpid=37993004&amp;ct=offers" TargetMode="External"/><Relationship Id="rId37" Type="http://schemas.openxmlformats.org/officeDocument/2006/relationships/hyperlink" Target="http://datasheet.octopart.com/1462042-8-TE-Connectivity-datasheet-137420492.pdf" TargetMode="External"/><Relationship Id="rId58" Type="http://schemas.openxmlformats.org/officeDocument/2006/relationships/hyperlink" Target="https://octopart.com/click/track?ai=8078&amp;sig=07bb32e&amp;sid=2401&amp;ppid=1225781&amp;vpid=39254979&amp;ct=offers" TargetMode="External"/><Relationship Id="rId79" Type="http://schemas.openxmlformats.org/officeDocument/2006/relationships/hyperlink" Target="https://octopart.com/click/track?ai=8078&amp;sig=028b128&amp;sid=2401&amp;ppid=1197359&amp;vpid=37706694&amp;ct=offers" TargetMode="External"/><Relationship Id="rId102" Type="http://schemas.openxmlformats.org/officeDocument/2006/relationships/hyperlink" Target="https://octopart.com/click/track?c=1&amp;ai=8078&amp;sig=09a731d&amp;sid=11744&amp;ppid=39839369&amp;vpid=629364138&amp;ct=offers" TargetMode="External"/><Relationship Id="rId123" Type="http://schemas.openxmlformats.org/officeDocument/2006/relationships/hyperlink" Target="https://octopart.com/click/track?ai=8078&amp;sig=0f30183&amp;sid=10022&amp;ppid=55402882&amp;vpid=694057393&amp;ct=offers" TargetMode="External"/><Relationship Id="rId144" Type="http://schemas.openxmlformats.org/officeDocument/2006/relationships/hyperlink" Target="https://octopart.com/click/track?ai=8078&amp;sig=0bf3d4d&amp;sid=459&amp;ppid=24734290&amp;vpid=634566286&amp;ct=offers" TargetMode="External"/><Relationship Id="rId90" Type="http://schemas.openxmlformats.org/officeDocument/2006/relationships/hyperlink" Target="http://datasheet.octopart.com/RC0603FR-07523RL-Yageo-datasheet-103092701.pdf" TargetMode="External"/><Relationship Id="rId165" Type="http://schemas.openxmlformats.org/officeDocument/2006/relationships/hyperlink" Target="https://octopart.com/click/track?ai=8078&amp;sig=0079e47&amp;sid=27971&amp;ppid=530759&amp;vpid=476993323&amp;ct=offers" TargetMode="External"/><Relationship Id="rId186" Type="http://schemas.openxmlformats.org/officeDocument/2006/relationships/hyperlink" Target="https://octopart.com/click/track?ai=8078&amp;sig=072cd81&amp;sid=1532&amp;ppid=21054827&amp;vpid=707783206&amp;ct=offers" TargetMode="External"/><Relationship Id="rId211" Type="http://schemas.openxmlformats.org/officeDocument/2006/relationships/hyperlink" Target="https://octopart.com/click/track?ai=8078&amp;sig=09a6122&amp;sid=2401&amp;ppid=24813735&amp;vpid=57204660&amp;ct=offers" TargetMode="External"/><Relationship Id="rId232" Type="http://schemas.openxmlformats.org/officeDocument/2006/relationships/vmlDrawing" Target="../drawings/vmlDrawing1.vml"/><Relationship Id="rId27" Type="http://schemas.openxmlformats.org/officeDocument/2006/relationships/hyperlink" Target="https://octopart.com/click/track?ai=8078&amp;sig=0996d37&amp;sid=10022&amp;ppid=9291745&amp;vpid=661517060&amp;ct=offers" TargetMode="External"/><Relationship Id="rId48" Type="http://schemas.openxmlformats.org/officeDocument/2006/relationships/hyperlink" Target="https://octopart.com/click/track?c=1&amp;ai=8078&amp;sig=029c96d&amp;sid=2402&amp;ppid=112664&amp;vpid=482030817&amp;ct=offers" TargetMode="External"/><Relationship Id="rId69" Type="http://schemas.openxmlformats.org/officeDocument/2006/relationships/hyperlink" Target="https://octopart.com/click/track?ai=8078&amp;sig=0830c62&amp;sid=2401&amp;ppid=40025538&amp;vpid=115161137&amp;ct=offers" TargetMode="External"/><Relationship Id="rId113" Type="http://schemas.openxmlformats.org/officeDocument/2006/relationships/hyperlink" Target="https://octopart.com/click/track?ai=8078&amp;sig=07edfeb&amp;sid=819&amp;ppid=40946036&amp;vpid=508509514&amp;ct=offers" TargetMode="External"/><Relationship Id="rId134" Type="http://schemas.openxmlformats.org/officeDocument/2006/relationships/hyperlink" Target="https://octopart.com/click/track?c=1&amp;ai=8078&amp;sig=0bf1093&amp;sid=11744&amp;ppid=39804565&amp;vpid=654129587&amp;ct=offers" TargetMode="External"/><Relationship Id="rId80" Type="http://schemas.openxmlformats.org/officeDocument/2006/relationships/hyperlink" Target="https://octopart.com/click/track?c=1&amp;ai=8078&amp;sig=0d2fefb&amp;sid=2402&amp;ppid=1197359&amp;vpid=21831685&amp;ct=offers" TargetMode="External"/><Relationship Id="rId155" Type="http://schemas.openxmlformats.org/officeDocument/2006/relationships/hyperlink" Target="https://octopart.com/click/track?c=1&amp;ai=8078&amp;sig=012e5cf&amp;sid=11744&amp;ppid=1187482&amp;vpid=654129553&amp;ct=offers" TargetMode="External"/><Relationship Id="rId176" Type="http://schemas.openxmlformats.org/officeDocument/2006/relationships/hyperlink" Target="https://octopart.com/click/track?ai=8078&amp;sig=0e97f09&amp;sid=11744&amp;ppid=39622420&amp;vpid=252251561&amp;ct=offers" TargetMode="External"/><Relationship Id="rId197" Type="http://schemas.openxmlformats.org/officeDocument/2006/relationships/hyperlink" Target="https://octopart.com/click/track?ai=8078&amp;sig=0f2ba2c&amp;sid=2401&amp;ppid=25805894&amp;vpid=90514633&amp;ct=offers" TargetMode="External"/><Relationship Id="rId201" Type="http://schemas.openxmlformats.org/officeDocument/2006/relationships/hyperlink" Target="https://octopart.com/click/track?ai=8078&amp;sig=0f2ba2c&amp;sid=2401&amp;ppid=25805894&amp;vpid=90514633&amp;ct=offers" TargetMode="External"/><Relationship Id="rId222" Type="http://schemas.openxmlformats.org/officeDocument/2006/relationships/hyperlink" Target="https://octopart.com/click/track?ai=8078&amp;sig=0828f27&amp;sid=2402&amp;ppid=12637562&amp;vpid=268464456&amp;ct=offers" TargetMode="External"/><Relationship Id="rId17" Type="http://schemas.openxmlformats.org/officeDocument/2006/relationships/hyperlink" Target="https://octopart.com/click/track?ai=8078&amp;sig=0b0995c&amp;sid=459&amp;ppid=12817663&amp;vpid=193846562&amp;ct=offers" TargetMode="External"/><Relationship Id="rId38" Type="http://schemas.openxmlformats.org/officeDocument/2006/relationships/hyperlink" Target="https://octopart.com/click/track?ai=8078&amp;sig=076f150&amp;sid=459&amp;ppid=42539328&amp;vpid=39632388&amp;ct=offers" TargetMode="External"/><Relationship Id="rId59" Type="http://schemas.openxmlformats.org/officeDocument/2006/relationships/hyperlink" Target="http://datasheet.octopart.com/RC0603FR-0733RL-Yageo-datasheet-8328172.pdf" TargetMode="External"/><Relationship Id="rId103" Type="http://schemas.openxmlformats.org/officeDocument/2006/relationships/hyperlink" Target="https://octopart.com/click/track?ai=8078&amp;sig=0dee883&amp;sid=2401&amp;ppid=39839369&amp;vpid=116126354&amp;ct=offers" TargetMode="External"/><Relationship Id="rId124" Type="http://schemas.openxmlformats.org/officeDocument/2006/relationships/hyperlink" Target="https://octopart.com/click/track?ai=8078&amp;sig=0da4270&amp;sid=1532&amp;ppid=55402882&amp;vpid=709257838&amp;ct=offers" TargetMode="External"/><Relationship Id="rId70" Type="http://schemas.openxmlformats.org/officeDocument/2006/relationships/hyperlink" Target="https://octopart.com/click/track?ai=8078&amp;sig=0811f32&amp;sid=2402&amp;ppid=40025538&amp;vpid=115424063&amp;ct=offers" TargetMode="External"/><Relationship Id="rId91" Type="http://schemas.openxmlformats.org/officeDocument/2006/relationships/hyperlink" Target="https://octopart.com/click/track?ai=8078&amp;sig=0ab9d97&amp;sid=459&amp;ppid=1389499&amp;vpid=2130903&amp;ct=offers" TargetMode="External"/><Relationship Id="rId145" Type="http://schemas.openxmlformats.org/officeDocument/2006/relationships/hyperlink" Target="https://octopart.com/click/track?ai=8078&amp;sig=0b7be21&amp;sid=2401&amp;ppid=24734290&amp;vpid=448116954&amp;ct=offers" TargetMode="External"/><Relationship Id="rId166" Type="http://schemas.openxmlformats.org/officeDocument/2006/relationships/hyperlink" Target="https://octopart.com/click/track?ai=8078&amp;sig=0f05dd8&amp;sid=2401&amp;ppid=530759&amp;vpid=44815675&amp;ct=offers" TargetMode="External"/><Relationship Id="rId187" Type="http://schemas.openxmlformats.org/officeDocument/2006/relationships/hyperlink" Target="http://datasheet.octopart.com/ADA4932-1YCPZ-R7-Analog-Devices-datasheet-26822002.pdf" TargetMode="External"/><Relationship Id="rId1" Type="http://schemas.openxmlformats.org/officeDocument/2006/relationships/hyperlink" Target="https://octopart.com/click/track?ai=8078&amp;sig=042e624&amp;sid=459&amp;ppid=8409962&amp;vpid=119670961&amp;ct=offers" TargetMode="External"/><Relationship Id="rId212" Type="http://schemas.openxmlformats.org/officeDocument/2006/relationships/hyperlink" Target="https://octopart.com/click/track?ai=8078&amp;sig=0b61aa6&amp;sid=2402&amp;ppid=24813735&amp;vpid=582717336&amp;ct=offers" TargetMode="External"/><Relationship Id="rId233" Type="http://schemas.openxmlformats.org/officeDocument/2006/relationships/comments" Target="../comments1.xml"/><Relationship Id="rId28" Type="http://schemas.openxmlformats.org/officeDocument/2006/relationships/hyperlink" Target="https://octopart.com/click/track?ai=8078&amp;sig=02bfd01&amp;sid=459&amp;ppid=39467680&amp;vpid=115141221&amp;ct=offers" TargetMode="External"/><Relationship Id="rId49" Type="http://schemas.openxmlformats.org/officeDocument/2006/relationships/hyperlink" Target="https://octopart.com/click/track?ai=8078&amp;sig=05c9541&amp;sid=1532&amp;ppid=112664&amp;vpid=709120282&amp;ct=offers" TargetMode="External"/><Relationship Id="rId114" Type="http://schemas.openxmlformats.org/officeDocument/2006/relationships/hyperlink" Target="https://octopart.com/click/track?ai=8078&amp;sig=053969b&amp;sid=2401&amp;ppid=40946036&amp;vpid=115001591&amp;ct=offers" TargetMode="External"/><Relationship Id="rId60" Type="http://schemas.openxmlformats.org/officeDocument/2006/relationships/hyperlink" Target="https://octopart.com/click/track?ai=8078&amp;sig=0a5884d&amp;sid=459&amp;ppid=40946050&amp;vpid=114982939&amp;ct=offers" TargetMode="External"/><Relationship Id="rId81" Type="http://schemas.openxmlformats.org/officeDocument/2006/relationships/hyperlink" Target="https://octopart.com/click/track?ai=8078&amp;sig=09c2659&amp;sid=10022&amp;ppid=1197359&amp;vpid=654200470&amp;ct=offers" TargetMode="External"/><Relationship Id="rId135" Type="http://schemas.openxmlformats.org/officeDocument/2006/relationships/hyperlink" Target="https://octopart.com/click/track?ai=8078&amp;sig=0510cdf&amp;sid=2401&amp;ppid=39804565&amp;vpid=121772737&amp;ct=offers" TargetMode="External"/><Relationship Id="rId156" Type="http://schemas.openxmlformats.org/officeDocument/2006/relationships/hyperlink" Target="https://octopart.com/click/track?ai=8078&amp;sig=0913d64&amp;sid=2401&amp;ppid=1187482&amp;vpid=41083175&amp;ct=offers" TargetMode="External"/><Relationship Id="rId177" Type="http://schemas.openxmlformats.org/officeDocument/2006/relationships/hyperlink" Target="https://octopart.com/click/track?ai=8078&amp;sig=0565054&amp;sid=2401&amp;ppid=39622420&amp;vpid=165380242&amp;ct=offers" TargetMode="External"/><Relationship Id="rId198" Type="http://schemas.openxmlformats.org/officeDocument/2006/relationships/hyperlink" Target="https://octopart.com/click/track?c=1&amp;ai=8078&amp;sig=014f218&amp;sid=2402&amp;ppid=25805894&amp;vpid=260822620&amp;ct=offers" TargetMode="External"/><Relationship Id="rId202" Type="http://schemas.openxmlformats.org/officeDocument/2006/relationships/hyperlink" Target="https://octopart.com/click/track?c=1&amp;ai=8078&amp;sig=014f218&amp;sid=2402&amp;ppid=25805894&amp;vpid=260822620&amp;ct=offers" TargetMode="External"/><Relationship Id="rId223" Type="http://schemas.openxmlformats.org/officeDocument/2006/relationships/hyperlink" Target="https://octopart.com/click/track?ai=8078&amp;sig=0957d91&amp;sid=10022&amp;ppid=12637562&amp;vpid=199061061&amp;ct=offers" TargetMode="External"/><Relationship Id="rId18" Type="http://schemas.openxmlformats.org/officeDocument/2006/relationships/hyperlink" Target="https://octopart.com/click/track?ai=8078&amp;sig=08422d9&amp;sid=2401&amp;ppid=12817663&amp;vpid=238670869&amp;ct=offers" TargetMode="External"/><Relationship Id="rId39" Type="http://schemas.openxmlformats.org/officeDocument/2006/relationships/hyperlink" Target="https://octopart.com/click/track?ai=8078&amp;sig=068df28&amp;sid=2401&amp;ppid=42539328&amp;vpid=227870620&amp;ct=offers" TargetMode="External"/><Relationship Id="rId50" Type="http://schemas.openxmlformats.org/officeDocument/2006/relationships/hyperlink" Target="http://datasheet.octopart.com/RC0603FR-070RL-Yageo-datasheet-8328172.pdf" TargetMode="External"/><Relationship Id="rId104" Type="http://schemas.openxmlformats.org/officeDocument/2006/relationships/hyperlink" Target="https://octopart.com/click/track?c=1&amp;ai=8078&amp;sig=0b94723&amp;sid=2402&amp;ppid=39839369&amp;vpid=697635386&amp;ct=offers" TargetMode="External"/><Relationship Id="rId125" Type="http://schemas.openxmlformats.org/officeDocument/2006/relationships/hyperlink" Target="http://datasheet.octopart.com/RC0603FR-07499RL-Yageo-datasheet-8328172.pdf" TargetMode="External"/><Relationship Id="rId146" Type="http://schemas.openxmlformats.org/officeDocument/2006/relationships/hyperlink" Target="http://datasheet.octopart.com/RC0603FR-0710ML-Yageo-datasheet-8328172.pdf" TargetMode="External"/><Relationship Id="rId167" Type="http://schemas.openxmlformats.org/officeDocument/2006/relationships/hyperlink" Target="https://octopart.com/click/track?ai=8078&amp;sig=022c063&amp;sid=2402&amp;ppid=530759&amp;vpid=85065655&amp;ct=offers" TargetMode="External"/><Relationship Id="rId188" Type="http://schemas.openxmlformats.org/officeDocument/2006/relationships/hyperlink" Target="https://octopart.com/click/track?c=1&amp;ai=8078&amp;sig=0f247a0&amp;sid=459&amp;ppid=12413674&amp;vpid=34201311&amp;ct=offers" TargetMode="External"/><Relationship Id="rId71" Type="http://schemas.openxmlformats.org/officeDocument/2006/relationships/hyperlink" Target="https://octopart.com/click/track?ai=8078&amp;sig=01fa657&amp;sid=10022&amp;ppid=40025538&amp;vpid=655980884&amp;ct=offers" TargetMode="External"/><Relationship Id="rId92" Type="http://schemas.openxmlformats.org/officeDocument/2006/relationships/hyperlink" Target="https://octopart.com/click/track?ai=8078&amp;sig=02548e4&amp;sid=2401&amp;ppid=1389499&amp;vpid=93617974&amp;ct=offers" TargetMode="External"/><Relationship Id="rId213" Type="http://schemas.openxmlformats.org/officeDocument/2006/relationships/hyperlink" Target="https://octopart.com/click/track?ai=8078&amp;sig=094d4fb&amp;sid=10022&amp;ppid=24813735&amp;vpid=437617032&amp;ct=offers" TargetMode="External"/><Relationship Id="rId2" Type="http://schemas.openxmlformats.org/officeDocument/2006/relationships/hyperlink" Target="https://octopart.com/click/track?ai=8078&amp;sig=03fba17&amp;sid=11744&amp;ppid=8409962&amp;vpid=478972861&amp;ct=offers" TargetMode="External"/><Relationship Id="rId29" Type="http://schemas.openxmlformats.org/officeDocument/2006/relationships/hyperlink" Target="https://octopart.com/click/track?ai=8078&amp;sig=0b119cc&amp;sid=819&amp;ppid=39467680&amp;vpid=508509117&amp;ct=offers" TargetMode="External"/><Relationship Id="rId40" Type="http://schemas.openxmlformats.org/officeDocument/2006/relationships/hyperlink" Target="https://octopart.com/click/track?ai=8078&amp;sig=0c8b462&amp;sid=2402&amp;ppid=42539328&amp;vpid=537510845&amp;ct=offers" TargetMode="External"/><Relationship Id="rId115" Type="http://schemas.openxmlformats.org/officeDocument/2006/relationships/hyperlink" Target="https://octopart.com/click/track?ai=8078&amp;sig=0aea520&amp;sid=2402&amp;ppid=40946036&amp;vpid=115424057&amp;ct=offers" TargetMode="External"/><Relationship Id="rId136" Type="http://schemas.openxmlformats.org/officeDocument/2006/relationships/hyperlink" Target="https://octopart.com/click/track?c=1&amp;ai=8078&amp;sig=0ffd15c&amp;sid=2402&amp;ppid=39804565&amp;vpid=655850389&amp;ct=offers" TargetMode="External"/><Relationship Id="rId157" Type="http://schemas.openxmlformats.org/officeDocument/2006/relationships/hyperlink" Target="https://octopart.com/click/track?c=1&amp;ai=8078&amp;sig=0441e6e&amp;sid=2402&amp;ppid=1187482&amp;vpid=655850366&amp;ct=offers" TargetMode="External"/><Relationship Id="rId178" Type="http://schemas.openxmlformats.org/officeDocument/2006/relationships/hyperlink" Target="https://octopart.com/click/track?ai=8078&amp;sig=0c77ce1&amp;sid=2402&amp;ppid=39622420&amp;vpid=252528060&amp;ct=offers" TargetMode="External"/><Relationship Id="rId61" Type="http://schemas.openxmlformats.org/officeDocument/2006/relationships/hyperlink" Target="https://octopart.com/click/track?ai=8078&amp;sig=00976ec&amp;sid=11744&amp;ppid=40946050&amp;vpid=480880115&amp;ct=offers" TargetMode="External"/><Relationship Id="rId82" Type="http://schemas.openxmlformats.org/officeDocument/2006/relationships/hyperlink" Target="https://octopart.com/click/track?ai=8078&amp;sig=06c5968&amp;sid=1532&amp;ppid=1197359&amp;vpid=709257853&amp;ct=offers" TargetMode="External"/><Relationship Id="rId199" Type="http://schemas.openxmlformats.org/officeDocument/2006/relationships/hyperlink" Target="http://datasheet.octopart.com/G6L-1F-TR-DC5-Omron-datasheet-10910207.pdf" TargetMode="External"/><Relationship Id="rId203" Type="http://schemas.openxmlformats.org/officeDocument/2006/relationships/hyperlink" Target="https://ww1.microchip.com/downloads/en/DeviceDoc/20005202A.pdf" TargetMode="External"/><Relationship Id="rId19" Type="http://schemas.openxmlformats.org/officeDocument/2006/relationships/hyperlink" Target="https://octopart.com/click/track?ai=8078&amp;sig=0eca1c5&amp;sid=459&amp;ppid=57080766&amp;vpid=193846556&amp;ct=offers" TargetMode="External"/><Relationship Id="rId224" Type="http://schemas.openxmlformats.org/officeDocument/2006/relationships/hyperlink" Target="https://octopart.com/click/track?ai=8078&amp;sig=049c1fc&amp;sid=1532&amp;ppid=12637562&amp;vpid=709081467&amp;ct=offers" TargetMode="External"/><Relationship Id="rId30" Type="http://schemas.openxmlformats.org/officeDocument/2006/relationships/hyperlink" Target="https://octopart.com/click/track?ai=8078&amp;sig=08b0e04&amp;sid=2401&amp;ppid=39467680&amp;vpid=116521267&amp;ct=offers" TargetMode="External"/><Relationship Id="rId105" Type="http://schemas.openxmlformats.org/officeDocument/2006/relationships/hyperlink" Target="https://octopart.com/click/track?ai=8078&amp;sig=03005b7&amp;sid=1532&amp;ppid=39839369&amp;vpid=709257893&amp;ct=offers" TargetMode="External"/><Relationship Id="rId126" Type="http://schemas.openxmlformats.org/officeDocument/2006/relationships/hyperlink" Target="https://octopart.com/click/track?ai=8078&amp;sig=0309451&amp;sid=459&amp;ppid=1184376&amp;vpid=1112069&amp;ct=offers" TargetMode="External"/><Relationship Id="rId147" Type="http://schemas.openxmlformats.org/officeDocument/2006/relationships/hyperlink" Target="https://octopart.com/click/track?ai=8078&amp;sig=0a9168a&amp;sid=459&amp;ppid=55434396&amp;vpid=188128883&amp;ct=offers" TargetMode="External"/><Relationship Id="rId168" Type="http://schemas.openxmlformats.org/officeDocument/2006/relationships/hyperlink" Target="https://octopart.com/click/track?ai=8078&amp;sig=07d0a1b&amp;sid=10022&amp;ppid=530759&amp;vpid=562640093&amp;ct=offers" TargetMode="External"/><Relationship Id="rId51" Type="http://schemas.openxmlformats.org/officeDocument/2006/relationships/hyperlink" Target="https://octopart.com/click/track?c=1&amp;ai=8078&amp;sig=0caa28d&amp;sid=459&amp;ppid=1180803&amp;vpid=88049501&amp;ct=offers" TargetMode="External"/><Relationship Id="rId72" Type="http://schemas.openxmlformats.org/officeDocument/2006/relationships/hyperlink" Target="https://octopart.com/click/track?ai=8078&amp;sig=0db17d2&amp;sid=1532&amp;ppid=40025538&amp;vpid=709257732&amp;ct=offers" TargetMode="External"/><Relationship Id="rId93" Type="http://schemas.openxmlformats.org/officeDocument/2006/relationships/hyperlink" Target="https://octopart.com/click/track?ai=8078&amp;sig=092d0b0&amp;sid=1532&amp;ppid=1389499&amp;vpid=709257990&amp;ct=offers" TargetMode="External"/><Relationship Id="rId189" Type="http://schemas.openxmlformats.org/officeDocument/2006/relationships/hyperlink" Target="https://octopart.com/click/track?ai=8078&amp;sig=01f3c85&amp;sid=2401&amp;ppid=12413674&amp;vpid=76857500&amp;ct=offers" TargetMode="External"/><Relationship Id="rId3" Type="http://schemas.openxmlformats.org/officeDocument/2006/relationships/hyperlink" Target="https://octopart.com/click/track?ai=8078&amp;sig=0832ebe&amp;sid=2401&amp;ppid=8409962&amp;vpid=116521266&amp;ct=offers" TargetMode="External"/><Relationship Id="rId214" Type="http://schemas.openxmlformats.org/officeDocument/2006/relationships/hyperlink" Target="https://octopart.com/click/track?ai=8078&amp;sig=0ab7da3&amp;sid=1532&amp;ppid=24813735&amp;vpid=709227160&amp;ct=offers" TargetMode="External"/><Relationship Id="rId116" Type="http://schemas.openxmlformats.org/officeDocument/2006/relationships/hyperlink" Target="https://octopart.com/click/track?ai=8078&amp;sig=08c3fb7&amp;sid=10022&amp;ppid=40946036&amp;vpid=655980879&amp;ct=offers" TargetMode="External"/><Relationship Id="rId137" Type="http://schemas.openxmlformats.org/officeDocument/2006/relationships/hyperlink" Target="http://datasheet.octopart.com/RC0603FR-071ML-Yageo-datasheet-8328172.pdf" TargetMode="External"/><Relationship Id="rId158" Type="http://schemas.openxmlformats.org/officeDocument/2006/relationships/hyperlink" Target="https://octopart.com/click/track?ai=8078&amp;sig=0c6359b&amp;sid=1532&amp;ppid=1187482&amp;vpid=709257866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5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E16" sqref="E16"/>
    </sheetView>
  </sheetViews>
  <sheetFormatPr baseColWidth="10" defaultColWidth="8.83203125" defaultRowHeight="15" outlineLevelCol="2" x14ac:dyDescent="0.2"/>
  <cols>
    <col min="1" max="2" width="9.1640625"/>
    <col min="3" max="3" width="9.1640625" outlineLevel="2"/>
    <col min="4" max="4" width="18.33203125" customWidth="1" outlineLevel="2"/>
    <col min="5" max="5" width="34.5" customWidth="1" outlineLevel="1"/>
    <col min="6" max="6" width="9.1640625" outlineLevel="1"/>
    <col min="7" max="7" width="9.1640625"/>
    <col min="8" max="8" width="15.6640625" customWidth="1"/>
    <col min="9" max="9" width="9.1640625" outlineLevel="1"/>
    <col min="10" max="11" width="9.1640625" outlineLevel="2"/>
    <col min="12" max="12" width="15.6640625" customWidth="1"/>
    <col min="13" max="13" width="15.6640625" customWidth="1" outlineLevel="2"/>
    <col min="14" max="14" width="9.1640625" outlineLevel="1"/>
    <col min="15" max="16" width="9.1640625" outlineLevel="2"/>
    <col min="17" max="17" width="15.6640625" customWidth="1"/>
    <col min="18" max="18" width="15.6640625" customWidth="1" outlineLevel="2"/>
    <col min="19" max="19" width="9.1640625" outlineLevel="1"/>
    <col min="20" max="21" width="9.1640625" outlineLevel="2"/>
    <col min="22" max="22" width="15.6640625" customWidth="1"/>
    <col min="23" max="23" width="15.6640625" customWidth="1" outlineLevel="2"/>
    <col min="24" max="24" width="9.1640625" outlineLevel="1"/>
    <col min="25" max="26" width="9.1640625" outlineLevel="2"/>
    <col min="27" max="27" width="15.6640625" customWidth="1"/>
    <col min="28" max="28" width="15.6640625" customWidth="1" outlineLevel="2"/>
    <col min="29" max="29" width="9.1640625" outlineLevel="1"/>
    <col min="30" max="31" width="9.1640625" outlineLevel="2"/>
    <col min="32" max="32" width="15.6640625" customWidth="1"/>
    <col min="33" max="33" width="15.6640625" customWidth="1" outlineLevel="2"/>
    <col min="34" max="34" width="9.1640625" outlineLevel="1"/>
    <col min="35" max="36" width="9.1640625" outlineLevel="2"/>
    <col min="37" max="37" width="15.6640625" customWidth="1"/>
    <col min="38" max="38" width="15.6640625" customWidth="1" outlineLevel="2"/>
    <col min="39" max="39" width="9.1640625" outlineLevel="1"/>
    <col min="40" max="41" width="9.1640625" outlineLevel="2"/>
    <col min="42" max="42" width="15.6640625" customWidth="1"/>
    <col min="43" max="43" width="15.6640625" customWidth="1" outlineLevel="2"/>
    <col min="44" max="44" width="9.1640625" outlineLevel="1"/>
    <col min="45" max="46" width="9.1640625" outlineLevel="2"/>
    <col min="47" max="47" width="15.6640625" customWidth="1"/>
    <col min="48" max="48" width="15.6640625" customWidth="1" outlineLevel="2"/>
  </cols>
  <sheetData>
    <row r="1" spans="1:48" ht="17" x14ac:dyDescent="0.2">
      <c r="A1" s="1" t="s">
        <v>162</v>
      </c>
      <c r="B1" s="2" t="s">
        <v>163</v>
      </c>
      <c r="G1" s="3" t="s">
        <v>167</v>
      </c>
      <c r="H1" s="3">
        <v>100</v>
      </c>
    </row>
    <row r="2" spans="1:48" ht="17" x14ac:dyDescent="0.2">
      <c r="A2" s="1" t="s">
        <v>164</v>
      </c>
      <c r="B2" s="2"/>
      <c r="G2" s="1" t="s">
        <v>169</v>
      </c>
      <c r="H2" s="4">
        <f ca="1">TotalCost/BoardQty</f>
        <v>59.093479935592271</v>
      </c>
    </row>
    <row r="3" spans="1:48" ht="17" x14ac:dyDescent="0.2">
      <c r="A3" s="1" t="s">
        <v>165</v>
      </c>
      <c r="B3" s="2" t="s">
        <v>166</v>
      </c>
      <c r="G3" s="1" t="s">
        <v>168</v>
      </c>
      <c r="H3" s="5">
        <f ca="1">SUM(H7:H54)</f>
        <v>5909.3479935592268</v>
      </c>
      <c r="L3" s="5">
        <f>SUM(L7:L54)</f>
        <v>0</v>
      </c>
      <c r="M3" s="6">
        <v>0</v>
      </c>
      <c r="Q3" s="5">
        <f>SUM(Q7:Q54)</f>
        <v>6247.4699999999993</v>
      </c>
      <c r="R3" s="6">
        <v>0</v>
      </c>
      <c r="V3" s="5">
        <f>SUM(V7:V54)</f>
        <v>2119.1287664519737</v>
      </c>
      <c r="W3" s="6">
        <v>0</v>
      </c>
      <c r="AA3" s="5">
        <f>SUM(AA7:AA54)</f>
        <v>639.58000000000004</v>
      </c>
      <c r="AB3" s="6">
        <v>0</v>
      </c>
      <c r="AF3" s="5">
        <f>SUM(AF7:AF54)</f>
        <v>5546.2000000000007</v>
      </c>
      <c r="AG3" s="6">
        <v>0</v>
      </c>
      <c r="AK3" s="5">
        <f>SUM(AK7:AK54)</f>
        <v>579924.70000000007</v>
      </c>
      <c r="AL3" s="6">
        <v>0</v>
      </c>
      <c r="AP3" s="5">
        <f>SUM(AP7:AP54)</f>
        <v>179968.36047325673</v>
      </c>
      <c r="AQ3" s="6">
        <v>0</v>
      </c>
      <c r="AU3" s="5">
        <f>SUM(AU7:AU54)</f>
        <v>1162.2976563520951</v>
      </c>
      <c r="AV3" s="6">
        <v>0</v>
      </c>
    </row>
    <row r="4" spans="1:48" ht="17" x14ac:dyDescent="0.2">
      <c r="A4" s="1" t="s">
        <v>170</v>
      </c>
      <c r="B4" s="2" t="s">
        <v>171</v>
      </c>
    </row>
    <row r="5" spans="1:48" ht="19" x14ac:dyDescent="0.2">
      <c r="A5" s="13" t="s">
        <v>0</v>
      </c>
      <c r="B5" s="13"/>
      <c r="C5" s="13"/>
      <c r="D5" s="13"/>
      <c r="E5" s="13"/>
      <c r="F5" s="13"/>
      <c r="G5" s="13"/>
      <c r="H5" s="13"/>
      <c r="I5" s="14" t="s">
        <v>172</v>
      </c>
      <c r="J5" s="14"/>
      <c r="K5" s="14"/>
      <c r="L5" s="14"/>
      <c r="M5" s="14"/>
      <c r="N5" s="15" t="s">
        <v>176</v>
      </c>
      <c r="O5" s="15"/>
      <c r="P5" s="15"/>
      <c r="Q5" s="15"/>
      <c r="R5" s="15"/>
      <c r="S5" s="16" t="s">
        <v>221</v>
      </c>
      <c r="T5" s="16"/>
      <c r="U5" s="16"/>
      <c r="V5" s="16"/>
      <c r="W5" s="16"/>
      <c r="X5" s="17" t="s">
        <v>252</v>
      </c>
      <c r="Y5" s="17"/>
      <c r="Z5" s="17"/>
      <c r="AA5" s="17"/>
      <c r="AB5" s="17"/>
      <c r="AC5" s="18" t="s">
        <v>257</v>
      </c>
      <c r="AD5" s="18"/>
      <c r="AE5" s="18"/>
      <c r="AF5" s="18"/>
      <c r="AG5" s="18"/>
      <c r="AH5" s="19" t="s">
        <v>300</v>
      </c>
      <c r="AI5" s="19"/>
      <c r="AJ5" s="19"/>
      <c r="AK5" s="19"/>
      <c r="AL5" s="19"/>
      <c r="AM5" s="20" t="s">
        <v>333</v>
      </c>
      <c r="AN5" s="20"/>
      <c r="AO5" s="20"/>
      <c r="AP5" s="20"/>
      <c r="AQ5" s="20"/>
      <c r="AR5" s="21" t="s">
        <v>352</v>
      </c>
      <c r="AS5" s="21"/>
      <c r="AT5" s="21"/>
      <c r="AU5" s="21"/>
      <c r="AV5" s="21"/>
    </row>
    <row r="6" spans="1:48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173</v>
      </c>
      <c r="J6" s="7" t="s">
        <v>174</v>
      </c>
      <c r="K6" s="7" t="s">
        <v>7</v>
      </c>
      <c r="L6" s="7" t="s">
        <v>8</v>
      </c>
      <c r="M6" s="7" t="s">
        <v>175</v>
      </c>
      <c r="N6" s="7" t="s">
        <v>173</v>
      </c>
      <c r="O6" s="7" t="s">
        <v>174</v>
      </c>
      <c r="P6" s="7" t="s">
        <v>7</v>
      </c>
      <c r="Q6" s="7" t="s">
        <v>8</v>
      </c>
      <c r="R6" s="7" t="s">
        <v>175</v>
      </c>
      <c r="S6" s="7" t="s">
        <v>173</v>
      </c>
      <c r="T6" s="7" t="s">
        <v>174</v>
      </c>
      <c r="U6" s="7" t="s">
        <v>7</v>
      </c>
      <c r="V6" s="7" t="s">
        <v>8</v>
      </c>
      <c r="W6" s="7" t="s">
        <v>175</v>
      </c>
      <c r="X6" s="7" t="s">
        <v>173</v>
      </c>
      <c r="Y6" s="7" t="s">
        <v>174</v>
      </c>
      <c r="Z6" s="7" t="s">
        <v>7</v>
      </c>
      <c r="AA6" s="7" t="s">
        <v>8</v>
      </c>
      <c r="AB6" s="7" t="s">
        <v>175</v>
      </c>
      <c r="AC6" s="7" t="s">
        <v>173</v>
      </c>
      <c r="AD6" s="7" t="s">
        <v>174</v>
      </c>
      <c r="AE6" s="7" t="s">
        <v>7</v>
      </c>
      <c r="AF6" s="7" t="s">
        <v>8</v>
      </c>
      <c r="AG6" s="7" t="s">
        <v>175</v>
      </c>
      <c r="AH6" s="7" t="s">
        <v>173</v>
      </c>
      <c r="AI6" s="7" t="s">
        <v>174</v>
      </c>
      <c r="AJ6" s="7" t="s">
        <v>7</v>
      </c>
      <c r="AK6" s="7" t="s">
        <v>8</v>
      </c>
      <c r="AL6" s="7" t="s">
        <v>175</v>
      </c>
      <c r="AM6" s="7" t="s">
        <v>173</v>
      </c>
      <c r="AN6" s="7" t="s">
        <v>174</v>
      </c>
      <c r="AO6" s="7" t="s">
        <v>7</v>
      </c>
      <c r="AP6" s="7" t="s">
        <v>8</v>
      </c>
      <c r="AQ6" s="7" t="s">
        <v>175</v>
      </c>
      <c r="AR6" s="7" t="s">
        <v>173</v>
      </c>
      <c r="AS6" s="7" t="s">
        <v>174</v>
      </c>
      <c r="AT6" s="7" t="s">
        <v>7</v>
      </c>
      <c r="AU6" s="7" t="s">
        <v>8</v>
      </c>
      <c r="AV6" s="7" t="s">
        <v>175</v>
      </c>
    </row>
    <row r="7" spans="1:48" x14ac:dyDescent="0.2">
      <c r="A7" s="8" t="s">
        <v>9</v>
      </c>
      <c r="B7" s="8" t="s">
        <v>10</v>
      </c>
      <c r="D7" s="8" t="s">
        <v>11</v>
      </c>
      <c r="F7" s="8">
        <f>BoardQty*1</f>
        <v>100</v>
      </c>
      <c r="G7" s="9">
        <f t="shared" ref="G7:G54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" s="9">
        <f t="shared" ref="H7:H54" ca="1" si="1">IFERROR(F7*G7,"")</f>
        <v>0</v>
      </c>
    </row>
    <row r="8" spans="1:48" x14ac:dyDescent="0.2">
      <c r="A8" s="8" t="s">
        <v>12</v>
      </c>
      <c r="B8" s="8" t="s">
        <v>13</v>
      </c>
      <c r="D8" s="8" t="s">
        <v>11</v>
      </c>
      <c r="E8" s="8" t="s">
        <v>14</v>
      </c>
      <c r="F8" s="8">
        <f>BoardQty*1</f>
        <v>100</v>
      </c>
      <c r="G8" s="9">
        <f t="shared" ca="1" si="0"/>
        <v>1.5265798562494159E-2</v>
      </c>
      <c r="H8" s="9">
        <f t="shared" ca="1" si="1"/>
        <v>1.5265798562494159</v>
      </c>
      <c r="N8" s="8">
        <v>211594</v>
      </c>
      <c r="P8" s="9">
        <f>IFERROR(LOOKUP(IF(O8="",F8,O8),{0,1,10,50,100,500,1000,4000},{0,0.1,0.062,0.034,0.0277,0.0198,0.01556,0.01301}),"")</f>
        <v>2.7699999999999999E-2</v>
      </c>
      <c r="Q8" s="9">
        <f t="shared" ref="Q8:Q15" si="2">IFERROR(IF(O8="",F8,O8)*P8,"")</f>
        <v>2.77</v>
      </c>
      <c r="R8" s="10" t="s">
        <v>177</v>
      </c>
      <c r="S8" s="8">
        <v>326343</v>
      </c>
      <c r="U8" s="9">
        <f>IFERROR(USD_GBP*LOOKUP(IF(T8="",F8,T8),{0,1,10,100,150,500,1000,2000,4000,20000},{0,0.0355,0.0355,0.0224,0.0224,0.0174,0.0131,0.0114,0.0097,0.0082}),"")</f>
        <v>3.1086717072715382E-2</v>
      </c>
      <c r="V8" s="9">
        <f>IFERROR(IF(T8="",F8,T8)*U8,"")</f>
        <v>3.1086717072715384</v>
      </c>
      <c r="W8" s="10" t="s">
        <v>222</v>
      </c>
      <c r="AC8" s="8">
        <v>60208</v>
      </c>
      <c r="AE8" s="9">
        <f>IFERROR(LOOKUP(IF(AD8="",F8,AD8),{0,1,10,50,100,1000,10000},{0,0.1,0.033,0.033,0.019,0.015,0.009}),"")</f>
        <v>1.9E-2</v>
      </c>
      <c r="AF8" s="9">
        <f t="shared" ref="AF8:AF15" si="3">IFERROR(IF(AD8="",F8,AD8)*AE8,"")</f>
        <v>1.9</v>
      </c>
      <c r="AG8" s="10" t="s">
        <v>258</v>
      </c>
      <c r="AH8" s="8">
        <v>11452</v>
      </c>
      <c r="AJ8" s="9">
        <f>IFERROR(LOOKUP(IF(AI8="",F8,AI8),{0,1,25,50,100},{0,0.1,0.047,0.035,0.022}),"")</f>
        <v>2.1999999999999999E-2</v>
      </c>
      <c r="AK8" s="9">
        <f>IFERROR(IF(AI8="",F8,AI8)*AJ8,"")</f>
        <v>2.1999999999999997</v>
      </c>
      <c r="AL8" s="10" t="s">
        <v>301</v>
      </c>
      <c r="AM8" s="8">
        <v>12000</v>
      </c>
      <c r="AO8" s="9">
        <f>IFERROR(USD_GBP*LOOKUP(IF(AN8="",F8,AN8),{0,1,4000,12000,40000},{0,0.011,0.011,0.011,0.011}),"")</f>
        <v>1.5265798562494159E-2</v>
      </c>
      <c r="AP8" s="9">
        <f>IFERROR(IF(AN8="",F8,AN8)*AO8,"")</f>
        <v>1.5265798562494159</v>
      </c>
      <c r="AQ8" s="10" t="s">
        <v>334</v>
      </c>
      <c r="AR8" s="8">
        <v>147200</v>
      </c>
      <c r="AT8" s="9">
        <f>IFERROR(USD_GBP*LOOKUP(IF(AS8="",F8,AS8),{0,1,100,300,1000,4000,12000},{0,0.01109,0.01109,0.00826,0.00543,0.004,0.00386}),"")</f>
        <v>1.5390700550732748E-2</v>
      </c>
      <c r="AU8" s="9">
        <f>IFERROR(IF(AS8="",F8,AS8)*AT8,"")</f>
        <v>1.5390700550732748</v>
      </c>
      <c r="AV8" s="10" t="s">
        <v>353</v>
      </c>
    </row>
    <row r="9" spans="1:48" x14ac:dyDescent="0.2">
      <c r="A9" s="8" t="s">
        <v>15</v>
      </c>
      <c r="B9" s="8" t="s">
        <v>16</v>
      </c>
      <c r="D9" s="8" t="s">
        <v>11</v>
      </c>
      <c r="E9" s="8" t="s">
        <v>17</v>
      </c>
      <c r="F9" s="8">
        <f>BoardQty*1</f>
        <v>100</v>
      </c>
      <c r="G9" s="9">
        <f t="shared" ca="1" si="0"/>
        <v>1.8041398301129462E-2</v>
      </c>
      <c r="H9" s="9">
        <f t="shared" ca="1" si="1"/>
        <v>1.8041398301129461</v>
      </c>
      <c r="N9" s="8">
        <v>124148</v>
      </c>
      <c r="P9" s="9">
        <f>IFERROR(LOOKUP(IF(O9="",F9,O9),{0,1,10,50,100,500,1000,4000},{0,0.1,0.07,0.038,0.031,0.02214,0.01739,0.01455}),"")</f>
        <v>3.1E-2</v>
      </c>
      <c r="Q9" s="9">
        <f t="shared" si="2"/>
        <v>3.1</v>
      </c>
      <c r="R9" s="10" t="s">
        <v>178</v>
      </c>
      <c r="S9" s="8">
        <v>82000</v>
      </c>
      <c r="U9" s="9">
        <f>IFERROR(USD_GBP*LOOKUP(IF(T9="",F9,T9),{0,1,10,100,150,500,1000,2000,4000,20000},{0,0.0319,0.0319,0.0236,0.0236,0.0169,0.0151,0.0148,0.0093,0.0091}),"")</f>
        <v>3.2752076915896565E-2</v>
      </c>
      <c r="V9" s="9">
        <f>IFERROR(IF(T9="",F9,T9)*U9,"")</f>
        <v>3.2752076915896566</v>
      </c>
      <c r="W9" s="10" t="s">
        <v>223</v>
      </c>
      <c r="AC9" s="8">
        <v>65611</v>
      </c>
      <c r="AE9" s="9">
        <f>IFERROR(LOOKUP(IF(AD9="",F9,AD9),{0,1,10,50,100,1000,10000},{0,0.1,0.037,0.037,0.022,0.017,0.012}),"")</f>
        <v>2.1999999999999999E-2</v>
      </c>
      <c r="AF9" s="9">
        <f t="shared" si="3"/>
        <v>2.1999999999999997</v>
      </c>
      <c r="AG9" s="10" t="s">
        <v>259</v>
      </c>
      <c r="AH9" s="8">
        <v>28000</v>
      </c>
      <c r="AJ9" s="9">
        <f>IFERROR(LOOKUP(IF(AI9="",F9,AI9),{0,1,25,50,100,4000},{0,0.12,0.064,0.047,0.029,0.017}),"")</f>
        <v>2.9000000000000001E-2</v>
      </c>
      <c r="AK9" s="9">
        <f>IFERROR(IF(AI9="",F9,AI9)*AJ9,"")</f>
        <v>2.9000000000000004</v>
      </c>
      <c r="AL9" s="10" t="s">
        <v>302</v>
      </c>
      <c r="AM9" s="8">
        <v>3000</v>
      </c>
      <c r="AO9" s="9">
        <f>IFERROR(USD_GBP*LOOKUP(IF(AN9="",F9,AN9),{0,1,4000,12000},{0,0.013,0.013,0.012}),"")</f>
        <v>1.8041398301129462E-2</v>
      </c>
      <c r="AP9" s="9">
        <f>IFERROR(IF(AN9="",F9,AN9)*AO9,"")</f>
        <v>1.8041398301129461</v>
      </c>
      <c r="AQ9" s="10" t="s">
        <v>335</v>
      </c>
      <c r="AR9" s="8">
        <v>54600</v>
      </c>
      <c r="AT9" s="9">
        <f>IFERROR(USD_GBP*LOOKUP(IF(AS9="",F9,AS9),{0,1,100,300,1000,4000,12000},{0,0.01343,0.01343,0.00979,0.00655,0.0051,0.00493}),"")</f>
        <v>1.8638152244936052E-2</v>
      </c>
      <c r="AU9" s="9">
        <f>IFERROR(IF(AS9="",F9,AS9)*AT9,"")</f>
        <v>1.8638152244936053</v>
      </c>
      <c r="AV9" s="10" t="s">
        <v>354</v>
      </c>
    </row>
    <row r="10" spans="1:48" x14ac:dyDescent="0.2">
      <c r="A10" s="8" t="s">
        <v>18</v>
      </c>
      <c r="B10" s="8" t="s">
        <v>19</v>
      </c>
      <c r="D10" s="8" t="s">
        <v>11</v>
      </c>
      <c r="E10" s="8" t="s">
        <v>20</v>
      </c>
      <c r="F10" s="8">
        <f>BoardQty*1</f>
        <v>100</v>
      </c>
      <c r="G10" s="9">
        <f t="shared" ca="1" si="0"/>
        <v>7.6999999999999999E-2</v>
      </c>
      <c r="H10" s="9">
        <f t="shared" ca="1" si="1"/>
        <v>7.7</v>
      </c>
      <c r="N10" s="8">
        <v>9</v>
      </c>
      <c r="P10" s="9">
        <f>IFERROR(LOOKUP(IF(O10="",F10,O10),{0,1,10,50,100,500,1000,4000},{0,0.25,0.172,0.1032,0.0872,0.05966,0.05277,0.04589}),"")</f>
        <v>8.72E-2</v>
      </c>
      <c r="Q10" s="9">
        <f t="shared" si="2"/>
        <v>8.7200000000000006</v>
      </c>
      <c r="R10" s="10" t="s">
        <v>179</v>
      </c>
      <c r="AC10" s="8">
        <v>1948</v>
      </c>
      <c r="AE10" s="9">
        <f>IFERROR(LOOKUP(IF(AD10="",F10,AD10),{0,1,10,50,100,1000,10000},{0,0.28,0.16,0.16,0.077,0.069,0.049}),"")</f>
        <v>7.6999999999999999E-2</v>
      </c>
      <c r="AF10" s="9">
        <f t="shared" si="3"/>
        <v>7.7</v>
      </c>
      <c r="AG10" s="10" t="s">
        <v>260</v>
      </c>
    </row>
    <row r="11" spans="1:48" x14ac:dyDescent="0.2">
      <c r="A11" s="8" t="s">
        <v>21</v>
      </c>
      <c r="B11" s="8" t="s">
        <v>22</v>
      </c>
      <c r="D11" s="8" t="s">
        <v>11</v>
      </c>
      <c r="E11" s="8" t="s">
        <v>23</v>
      </c>
      <c r="F11" s="8">
        <f>BoardQty*2</f>
        <v>200</v>
      </c>
      <c r="G11" s="9">
        <f t="shared" ca="1" si="0"/>
        <v>7.5999999999999998E-2</v>
      </c>
      <c r="H11" s="9">
        <f t="shared" ca="1" si="1"/>
        <v>15.2</v>
      </c>
      <c r="N11" s="8">
        <v>76193</v>
      </c>
      <c r="P11" s="9">
        <f>IFERROR(LOOKUP(IF(O11="",F11,O11),{0,1,10,50,100,500,1000,2000},{0,0.23,0.157,0.094,0.0793,0.05426,0.04801,0.04592}),"")</f>
        <v>7.9299999999999995E-2</v>
      </c>
      <c r="Q11" s="9">
        <f t="shared" si="2"/>
        <v>15.86</v>
      </c>
      <c r="R11" s="10" t="s">
        <v>180</v>
      </c>
      <c r="AC11" s="8">
        <v>135814</v>
      </c>
      <c r="AE11" s="9">
        <f>IFERROR(LOOKUP(IF(AD11="",F11,AD11),{0,1,10,50,100,1000,10000},{0,0.22,0.09,0.09,0.076,0.046,0.035}),"")</f>
        <v>7.5999999999999998E-2</v>
      </c>
      <c r="AF11" s="9">
        <f t="shared" si="3"/>
        <v>15.2</v>
      </c>
      <c r="AG11" s="10" t="s">
        <v>261</v>
      </c>
    </row>
    <row r="12" spans="1:48" x14ac:dyDescent="0.2">
      <c r="A12" s="8" t="s">
        <v>24</v>
      </c>
      <c r="B12" s="8" t="s">
        <v>25</v>
      </c>
      <c r="D12" s="8" t="s">
        <v>11</v>
      </c>
      <c r="E12" s="8" t="s">
        <v>26</v>
      </c>
      <c r="F12" s="8">
        <f>BoardQty*9</f>
        <v>900</v>
      </c>
      <c r="G12" s="9">
        <f t="shared" ca="1" si="0"/>
        <v>1.924E-2</v>
      </c>
      <c r="H12" s="9">
        <f t="shared" ca="1" si="1"/>
        <v>17.315999999999999</v>
      </c>
      <c r="N12" s="8">
        <v>653</v>
      </c>
      <c r="P12" s="9">
        <f>IFERROR(LOOKUP(IF(O12="",F12,O12),{0,1,10,50,100,500,1000,4000},{0,0.1,0.06,0.033,0.0269,0.01924,0.01512,0.01264}),"")</f>
        <v>1.924E-2</v>
      </c>
      <c r="Q12" s="9">
        <f t="shared" si="2"/>
        <v>17.315999999999999</v>
      </c>
      <c r="R12" s="10" t="s">
        <v>181</v>
      </c>
      <c r="AC12" s="8">
        <v>13121</v>
      </c>
      <c r="AE12" s="9">
        <f>IFERROR(LOOKUP(IF(AD12="",F12,AD12),{0,1,10,50,100,1000,10000},{0,0.1,0.033,0.033,0.02,0.016,0.014}),"")</f>
        <v>0.02</v>
      </c>
      <c r="AF12" s="9">
        <f t="shared" si="3"/>
        <v>18</v>
      </c>
      <c r="AG12" s="10" t="s">
        <v>262</v>
      </c>
    </row>
    <row r="13" spans="1:48" x14ac:dyDescent="0.2">
      <c r="A13" s="8" t="s">
        <v>27</v>
      </c>
      <c r="B13" s="8" t="s">
        <v>28</v>
      </c>
      <c r="D13" s="8" t="s">
        <v>11</v>
      </c>
      <c r="E13" s="8" t="s">
        <v>29</v>
      </c>
      <c r="F13" s="8">
        <f>BoardQty*1</f>
        <v>100</v>
      </c>
      <c r="G13" s="9">
        <f t="shared" ca="1" si="0"/>
        <v>2.8000000000000001E-2</v>
      </c>
      <c r="H13" s="9">
        <f t="shared" ca="1" si="1"/>
        <v>2.8000000000000003</v>
      </c>
      <c r="N13" s="8">
        <v>28932</v>
      </c>
      <c r="P13" s="9">
        <f>IFERROR(LOOKUP(IF(O13="",F13,O13),{0,1,10,50,100,500,1000,4000},{0,0.12,0.088,0.0498,0.0413,0.02894,0.02396,0.0204}),"")</f>
        <v>4.1300000000000003E-2</v>
      </c>
      <c r="Q13" s="9">
        <f t="shared" si="2"/>
        <v>4.1300000000000008</v>
      </c>
      <c r="R13" s="10" t="s">
        <v>182</v>
      </c>
      <c r="S13" s="8">
        <v>28000</v>
      </c>
      <c r="U13" s="9">
        <f>IFERROR(USD_GBP*LOOKUP(IF(T13="",F13,T13),{0,1,10,100,150,500,1000,2000,4000,20000},{0,0.0922,0.0922,0.0404,0.0404,0.0268,0.0225,0.0193,0.0171,0.0122}),"")</f>
        <v>5.6067114720433096E-2</v>
      </c>
      <c r="V13" s="9">
        <f>IFERROR(IF(T13="",F13,T13)*U13,"")</f>
        <v>5.60671147204331</v>
      </c>
      <c r="W13" s="10" t="s">
        <v>224</v>
      </c>
      <c r="AC13" s="8">
        <v>12461</v>
      </c>
      <c r="AE13" s="9">
        <f>IFERROR(LOOKUP(IF(AD13="",F13,AD13),{0,1,10,50,100,1000,10000},{0,0.12,0.048,0.048,0.028,0.028,0.027}),"")</f>
        <v>2.8000000000000001E-2</v>
      </c>
      <c r="AF13" s="9">
        <f t="shared" si="3"/>
        <v>2.8000000000000003</v>
      </c>
      <c r="AG13" s="10" t="s">
        <v>263</v>
      </c>
      <c r="AH13" s="8">
        <v>28000</v>
      </c>
      <c r="AJ13" s="9">
        <f>IFERROR(LOOKUP(IF(AI13="",F13,AI13),{0,1,10,250,500,1000,4000,5000,8000},{0,0.036,0.036,0.027,0.024,0.022,0.03,0.02,0.029}),"")</f>
        <v>3.5999999999999997E-2</v>
      </c>
      <c r="AK13" s="9">
        <f>IFERROR(IF(AI13="",F13,AI13)*AJ13,"")</f>
        <v>3.5999999999999996</v>
      </c>
      <c r="AL13" s="10" t="s">
        <v>303</v>
      </c>
    </row>
    <row r="14" spans="1:48" x14ac:dyDescent="0.2">
      <c r="A14" s="8" t="s">
        <v>30</v>
      </c>
      <c r="B14" s="8" t="s">
        <v>31</v>
      </c>
      <c r="D14" s="8" t="s">
        <v>11</v>
      </c>
      <c r="E14" s="8" t="s">
        <v>32</v>
      </c>
      <c r="F14" s="8">
        <f>BoardQty*1</f>
        <v>100</v>
      </c>
      <c r="G14" s="9">
        <f t="shared" ca="1" si="0"/>
        <v>1.8041398301129462E-2</v>
      </c>
      <c r="H14" s="9">
        <f t="shared" ca="1" si="1"/>
        <v>1.8041398301129461</v>
      </c>
      <c r="N14" s="8">
        <v>592</v>
      </c>
      <c r="P14" s="9">
        <f>IFERROR(LOOKUP(IF(O14="",F14,O14),{0,1,10,50,100,500,1000,4000},{0,0.11,0.083,0.0454,0.037,0.02644,0.02078,0.01738}),"")</f>
        <v>3.6999999999999998E-2</v>
      </c>
      <c r="Q14" s="9">
        <f t="shared" si="2"/>
        <v>3.6999999999999997</v>
      </c>
      <c r="R14" s="10" t="s">
        <v>183</v>
      </c>
      <c r="S14" s="8">
        <v>20000</v>
      </c>
      <c r="U14" s="9">
        <f>IFERROR(USD_GBP*LOOKUP(IF(T14="",F14,T14),{0,1,10,100,150,500,1000,2000,4000,20000},{0,0.0735,0.0735,0.0208,0.0208,0.0186,0.0163,0.014,0.012,0.0118}),"")</f>
        <v>2.886623728180714E-2</v>
      </c>
      <c r="V14" s="9">
        <f>IFERROR(IF(T14="",F14,T14)*U14,"")</f>
        <v>2.8866237281807141</v>
      </c>
      <c r="W14" s="10" t="s">
        <v>225</v>
      </c>
      <c r="AC14" s="11" t="s">
        <v>187</v>
      </c>
      <c r="AE14" s="9">
        <f>IFERROR(LOOKUP(IF(AD14="",F14,AD14),{0,1,10,50,100,1000,10000},{0,0.11,0.063,0.063,0.026,0.022,0.014}),"")</f>
        <v>2.5999999999999999E-2</v>
      </c>
      <c r="AF14" s="9">
        <f t="shared" si="3"/>
        <v>2.6</v>
      </c>
      <c r="AG14" s="10" t="s">
        <v>264</v>
      </c>
      <c r="AH14" s="8">
        <v>20000</v>
      </c>
      <c r="AJ14" s="9">
        <f>IFERROR(LOOKUP(IF(AI14="",F14,AI14),{0,1,10,250,500,1000,4000,5000,8000},{0,0.029,0.029,0.022,0.019,0.017,0.016,0.016,0.015}),"")</f>
        <v>2.9000000000000001E-2</v>
      </c>
      <c r="AK14" s="9">
        <f>IFERROR(IF(AI14="",F14,AI14)*AJ14,"")</f>
        <v>2.9000000000000004</v>
      </c>
      <c r="AL14" s="10" t="s">
        <v>304</v>
      </c>
      <c r="AM14" s="8">
        <v>2800</v>
      </c>
      <c r="AO14" s="9">
        <f>IFERROR(USD_GBP*LOOKUP(IF(AN14="",F14,AN14),{0,1,4000,12000},{0,0.013,0.013,0.012}),"")</f>
        <v>1.8041398301129462E-2</v>
      </c>
      <c r="AP14" s="9">
        <f>IFERROR(IF(AN14="",F14,AN14)*AO14,"")</f>
        <v>1.8041398301129461</v>
      </c>
      <c r="AQ14" s="10" t="s">
        <v>336</v>
      </c>
    </row>
    <row r="15" spans="1:48" x14ac:dyDescent="0.2">
      <c r="A15" s="8" t="s">
        <v>33</v>
      </c>
      <c r="B15" s="8" t="s">
        <v>34</v>
      </c>
      <c r="D15" s="8" t="s">
        <v>11</v>
      </c>
      <c r="E15" s="8" t="s">
        <v>35</v>
      </c>
      <c r="F15" s="8">
        <f>BoardQty*1</f>
        <v>100</v>
      </c>
      <c r="G15" s="9">
        <f t="shared" ca="1" si="0"/>
        <v>6.938999346588255E-3</v>
      </c>
      <c r="H15" s="9">
        <f t="shared" ca="1" si="1"/>
        <v>0.69389993465882549</v>
      </c>
      <c r="N15" s="8">
        <v>28806</v>
      </c>
      <c r="P15" s="9">
        <f>IFERROR(LOOKUP(IF(O15="",F15,O15),{0,1,10,50,100,500,1000,4000},{0,0.1,0.04,0.0218,0.0179,0.01276,0.01003,0.00839}),"")</f>
        <v>1.7899999999999999E-2</v>
      </c>
      <c r="Q15" s="9">
        <f t="shared" si="2"/>
        <v>1.79</v>
      </c>
      <c r="R15" s="10" t="s">
        <v>184</v>
      </c>
      <c r="S15" s="8">
        <v>1973759</v>
      </c>
      <c r="U15" s="9">
        <f>IFERROR(USD_GBP*LOOKUP(IF(T15="",F15,T15),{0,1,10,100,150,500,1000,2000,4000,20000},{0,0.0239,0.0239,0.0143,0.0143,0.0107,0.009,0.0083,0.0072,0.0058}),"")</f>
        <v>1.9845538131242409E-2</v>
      </c>
      <c r="V15" s="9">
        <f>IFERROR(IF(T15="",F15,T15)*U15,"")</f>
        <v>1.9845538131242408</v>
      </c>
      <c r="W15" s="10" t="s">
        <v>226</v>
      </c>
      <c r="AC15" s="8">
        <v>189517</v>
      </c>
      <c r="AE15" s="9">
        <f>IFERROR(LOOKUP(IF(AD15="",F15,AD15),{0,1,10,50,100,1000,10000},{0,0.1,0.021,0.021,0.013,0.01,0.01}),"")</f>
        <v>1.2999999999999999E-2</v>
      </c>
      <c r="AF15" s="9">
        <f t="shared" si="3"/>
        <v>1.3</v>
      </c>
      <c r="AG15" s="10" t="s">
        <v>265</v>
      </c>
      <c r="AH15" s="8">
        <v>1903682</v>
      </c>
      <c r="AJ15" s="9">
        <f>IFERROR(LOOKUP(IF(AI15="",F15,AI15),{0,1,10,25,50,100},{0,0.1,0.1,0.039,0.026,0.013}),"")</f>
        <v>1.2999999999999999E-2</v>
      </c>
      <c r="AK15" s="9">
        <f>IFERROR(IF(AI15="",F15,AI15)*AJ15,"")</f>
        <v>1.3</v>
      </c>
      <c r="AL15" s="10" t="s">
        <v>305</v>
      </c>
      <c r="AM15" s="8">
        <v>32000</v>
      </c>
      <c r="AO15" s="9">
        <f>IFERROR(USD_GBP*LOOKUP(IF(AN15="",F15,AN15),{0,1,4000,12000,40000,200000},{0,0.005,0.005,0.005,0.005,0.005}),"")</f>
        <v>6.938999346588255E-3</v>
      </c>
      <c r="AP15" s="9">
        <f>IFERROR(IF(AN15="",F15,AN15)*AO15,"")</f>
        <v>0.69389993465882549</v>
      </c>
      <c r="AQ15" s="10" t="s">
        <v>337</v>
      </c>
      <c r="AR15" s="11" t="s">
        <v>187</v>
      </c>
      <c r="AT15" s="9">
        <f>IFERROR(USD_GBP*LOOKUP(IF(AS15="",F15,AS15),{0,1,100,300,1000,4000,12000},{0,0.01022,0.01022,0.0069,0.00429,0.00263,0.00253}),"")</f>
        <v>1.4183314664426393E-2</v>
      </c>
      <c r="AU15" s="9">
        <f>IFERROR(IF(AS15="",F15,AS15)*AT15,"")</f>
        <v>1.4183314664426394</v>
      </c>
      <c r="AV15" s="10" t="s">
        <v>355</v>
      </c>
    </row>
    <row r="16" spans="1:48" x14ac:dyDescent="0.2">
      <c r="A16" s="8" t="s">
        <v>36</v>
      </c>
      <c r="B16" s="8" t="s">
        <v>37</v>
      </c>
      <c r="D16" s="8" t="s">
        <v>38</v>
      </c>
      <c r="E16" s="8" t="s">
        <v>39</v>
      </c>
      <c r="F16" s="8">
        <f>BoardQty*5</f>
        <v>500</v>
      </c>
      <c r="G16" s="9">
        <f t="shared" ca="1" si="0"/>
        <v>0</v>
      </c>
      <c r="H16" s="9">
        <f t="shared" ca="1" si="1"/>
        <v>0</v>
      </c>
    </row>
    <row r="17" spans="1:48" x14ac:dyDescent="0.2">
      <c r="A17" s="8" t="s">
        <v>40</v>
      </c>
      <c r="B17" s="8" t="s">
        <v>41</v>
      </c>
      <c r="D17" s="8" t="s">
        <v>42</v>
      </c>
      <c r="F17" s="8">
        <f>BoardQty*4</f>
        <v>400</v>
      </c>
      <c r="G17" s="9">
        <f t="shared" ca="1" si="0"/>
        <v>0</v>
      </c>
      <c r="H17" s="9">
        <f t="shared" ca="1" si="1"/>
        <v>0</v>
      </c>
    </row>
    <row r="18" spans="1:48" x14ac:dyDescent="0.2">
      <c r="A18" s="8" t="s">
        <v>43</v>
      </c>
      <c r="B18" s="8" t="s">
        <v>44</v>
      </c>
      <c r="C18" s="8" t="s">
        <v>45</v>
      </c>
      <c r="D18" s="8" t="s">
        <v>46</v>
      </c>
      <c r="E18" s="8" t="s">
        <v>44</v>
      </c>
      <c r="F18" s="8">
        <f>BoardQty*3</f>
        <v>300</v>
      </c>
      <c r="G18" s="9">
        <f t="shared" ca="1" si="0"/>
        <v>0.78</v>
      </c>
      <c r="H18" s="9">
        <f t="shared" ca="1" si="1"/>
        <v>234</v>
      </c>
      <c r="AC18" s="8">
        <v>1796</v>
      </c>
      <c r="AE18" s="9">
        <f>IFERROR(LOOKUP(IF(AD18="",F18,AD18),{0,1,10,50,100,1000,10000},{0,1.13,0.897,0.897,0.78,0.624,0.507}),"")</f>
        <v>0.78</v>
      </c>
      <c r="AF18" s="9">
        <f t="shared" ref="AF18:AF41" si="4">IFERROR(IF(AD18="",F18,AD18)*AE18,"")</f>
        <v>234</v>
      </c>
      <c r="AG18" s="10" t="s">
        <v>266</v>
      </c>
      <c r="AH18" s="8">
        <v>1660</v>
      </c>
      <c r="AJ18" s="9">
        <f>IFERROR(LOOKUP(IF(AI18="",F18,AI18),{0,1,50,100,250,500,1000,2500},{0,1.77,1.18,1.06,0.929,0.827,0.773,0.714}),"")</f>
        <v>0.92900000000000005</v>
      </c>
      <c r="AK18" s="9">
        <f>IFERROR(IF(AI18="",F18,AI18)*AJ18,"")</f>
        <v>278.7</v>
      </c>
      <c r="AL18" s="10" t="s">
        <v>306</v>
      </c>
    </row>
    <row r="19" spans="1:48" x14ac:dyDescent="0.2">
      <c r="A19" s="8" t="s">
        <v>47</v>
      </c>
      <c r="B19" s="8" t="s">
        <v>48</v>
      </c>
      <c r="D19" s="8" t="s">
        <v>49</v>
      </c>
      <c r="E19" s="8" t="s">
        <v>48</v>
      </c>
      <c r="F19" s="8">
        <f>BoardQty*2</f>
        <v>200</v>
      </c>
      <c r="G19" s="9">
        <f t="shared" ca="1" si="0"/>
        <v>2.1094558013628295</v>
      </c>
      <c r="H19" s="9">
        <f t="shared" ca="1" si="1"/>
        <v>421.89116027256591</v>
      </c>
      <c r="N19" s="8">
        <v>6474</v>
      </c>
      <c r="P19" s="9">
        <f>IFERROR(LOOKUP(IF(O19="",F19,O19),{0,1,10,25,50,100,250,500,1000,3000},{0,4.29,4.022,3.5752,3.3966,3.2179,2.86032,2.68156,2.50278,2.45809}),"")</f>
        <v>3.2179000000000002</v>
      </c>
      <c r="Q19" s="9">
        <f t="shared" ref="Q19:Q54" si="5">IFERROR(IF(O19="",F19,O19)*P19,"")</f>
        <v>643.58000000000004</v>
      </c>
      <c r="R19" s="10" t="s">
        <v>185</v>
      </c>
      <c r="AC19" s="8">
        <v>68</v>
      </c>
      <c r="AE19" s="9">
        <f>IFERROR(LOOKUP(IF(AD19="",F19,AD19),{0,1,10,50,100,1000,10000},{0,3.55,3.33,2.82,2.67,2.07,2.07}),"")</f>
        <v>2.67</v>
      </c>
      <c r="AF19" s="9">
        <f t="shared" si="4"/>
        <v>534</v>
      </c>
      <c r="AG19" s="10" t="s">
        <v>267</v>
      </c>
      <c r="AH19" s="8">
        <v>29000</v>
      </c>
      <c r="AJ19" s="9">
        <f>IFERROR(LOOKUP(IF(AI19="",F19,AI19),{0,1,1000},{0,2.22,2.22}),"")</f>
        <v>2.2200000000000002</v>
      </c>
      <c r="AK19" s="9">
        <f>IFERROR(IF(AI19="",F19,AI19)*AJ19,"")</f>
        <v>444.00000000000006</v>
      </c>
      <c r="AL19" s="10" t="s">
        <v>307</v>
      </c>
      <c r="AM19" s="8">
        <v>272</v>
      </c>
      <c r="AO19" s="9">
        <f>IFERROR(USD_GBP*LOOKUP(IF(AN19="",F19,AN19),{0,1,10,20},{0,1.79,1.7,1.63}),"")</f>
        <v>2.2621137869877708</v>
      </c>
      <c r="AP19" s="9">
        <f>IFERROR(IF(AN19="",F19,AN19)*AO19,"")</f>
        <v>452.42275739755416</v>
      </c>
      <c r="AQ19" s="10" t="s">
        <v>338</v>
      </c>
      <c r="AR19" s="11" t="s">
        <v>187</v>
      </c>
      <c r="AT19" s="9">
        <f>IFERROR(USD_GBP*LOOKUP(IF(AS19="",F19,AS19),{0,1,5,25,100,500},{0,2.71,2.17,1.63,1.52,1.43}),"")</f>
        <v>2.1094558013628295</v>
      </c>
      <c r="AU19" s="9">
        <f>IFERROR(IF(AS19="",F19,AS19)*AT19,"")</f>
        <v>421.89116027256591</v>
      </c>
      <c r="AV19" s="10" t="s">
        <v>356</v>
      </c>
    </row>
    <row r="20" spans="1:48" x14ac:dyDescent="0.2">
      <c r="A20" s="8" t="s">
        <v>50</v>
      </c>
      <c r="B20" s="8" t="s">
        <v>51</v>
      </c>
      <c r="C20" s="8" t="s">
        <v>52</v>
      </c>
      <c r="D20" s="8" t="s">
        <v>53</v>
      </c>
      <c r="E20" s="8" t="s">
        <v>51</v>
      </c>
      <c r="F20" s="8">
        <f>BoardQty*4</f>
        <v>400</v>
      </c>
      <c r="G20" s="9">
        <f t="shared" ca="1" si="0"/>
        <v>2.9102163259591141E-2</v>
      </c>
      <c r="H20" s="9">
        <f t="shared" ca="1" si="1"/>
        <v>11.640865303836456</v>
      </c>
      <c r="N20" s="11" t="s">
        <v>187</v>
      </c>
      <c r="P20" s="9">
        <f>IFERROR(LOOKUP(IF(O20="",F20,O20),{0,1,10,25,100,500,1000,3000,6000,15000,30000},{0,0.23,0.186,0.1556,0.0985,0.0648,0.04406,0.03974,0.03456,0.02937,0.02853}),"")</f>
        <v>9.8500000000000004E-2</v>
      </c>
      <c r="Q20" s="9">
        <f t="shared" si="5"/>
        <v>39.4</v>
      </c>
      <c r="R20" s="10" t="s">
        <v>186</v>
      </c>
      <c r="S20" s="8">
        <v>5008</v>
      </c>
      <c r="U20" s="9">
        <f>IFERROR(USD_GBP*LOOKUP(IF(T20="",F20,T20),{0,1,5,10,100,150,500,3000},{0,0.183,0.183,0.127,0.05,0.05,0.0489,0.0242}),"")</f>
        <v>6.9389993465882552E-2</v>
      </c>
      <c r="V20" s="9">
        <f>IFERROR(IF(T20="",F20,T20)*U20,"")</f>
        <v>27.75599738635302</v>
      </c>
      <c r="W20" s="10" t="s">
        <v>227</v>
      </c>
      <c r="X20" s="8">
        <v>4790</v>
      </c>
      <c r="Z20" s="9">
        <f>IFERROR(LOOKUP(IF(Y20="",F20,Y20),{0,1,10,100,300,1000,5000,10000},{0,0.044,0.044,0.0347,0.033,0.0313,0.0305,0.0301}),"")</f>
        <v>3.3000000000000002E-2</v>
      </c>
      <c r="AA20" s="9">
        <f>IFERROR(IF(Y20="",F20,Y20)*Z20,"")</f>
        <v>13.200000000000001</v>
      </c>
      <c r="AB20" s="10" t="s">
        <v>253</v>
      </c>
      <c r="AC20" s="11" t="s">
        <v>187</v>
      </c>
      <c r="AE20" s="9">
        <f>IFERROR(LOOKUP(IF(AD20="",F20,AD20),{0,1,10,50,100,1000,10000},{0,0.21,0.147,0.147,0.064,0.045,0.029}),"")</f>
        <v>6.4000000000000001E-2</v>
      </c>
      <c r="AF20" s="9">
        <f t="shared" si="4"/>
        <v>25.6</v>
      </c>
      <c r="AG20" s="10" t="s">
        <v>268</v>
      </c>
      <c r="AH20" s="11" t="s">
        <v>187</v>
      </c>
      <c r="AJ20" s="9">
        <f>IFERROR(LOOKUP(IF(AI20="",F20,AI20),{0,1,3000,6000,12000,18000,30000},{0,0.03,0.03,0.029,0.029,0.029,0.028}),"")</f>
        <v>0.03</v>
      </c>
      <c r="AK20" s="9">
        <f>IFERROR(IF(AI20="",F20,AI20)*AJ20,"")</f>
        <v>12</v>
      </c>
      <c r="AL20" s="10" t="s">
        <v>308</v>
      </c>
      <c r="AR20" s="11" t="s">
        <v>187</v>
      </c>
      <c r="AT20" s="9">
        <f>IFERROR(USD_GBP*LOOKUP(IF(AS20="",F20,AS20),{0,1,20,100,500,3000,12000},{0,0.03032,0.03032,0.02097,0.0188,0.01663,0.01499}),"")</f>
        <v>2.9102163259591141E-2</v>
      </c>
      <c r="AU20" s="9">
        <f>IFERROR(IF(AS20="",F20,AS20)*AT20,"")</f>
        <v>11.640865303836456</v>
      </c>
      <c r="AV20" s="10" t="s">
        <v>51</v>
      </c>
    </row>
    <row r="21" spans="1:48" x14ac:dyDescent="0.2">
      <c r="A21" s="8" t="s">
        <v>54</v>
      </c>
      <c r="B21" s="8" t="s">
        <v>55</v>
      </c>
      <c r="D21" s="8" t="s">
        <v>56</v>
      </c>
      <c r="E21" s="8" t="s">
        <v>57</v>
      </c>
      <c r="F21" s="8">
        <f>BoardQty*3</f>
        <v>300</v>
      </c>
      <c r="G21" s="9">
        <f t="shared" ca="1" si="0"/>
        <v>4.0000000000000001E-3</v>
      </c>
      <c r="H21" s="9">
        <f t="shared" ca="1" si="1"/>
        <v>1.2</v>
      </c>
      <c r="N21" s="11" t="s">
        <v>187</v>
      </c>
      <c r="P21" s="9">
        <f>IFERROR(LOOKUP(IF(O21="",F21,O21),{0,1,10,25,50,100,250,500,1000,5000,10000,25000,50000},{0,0.1,0.018,0.0128,0.0098,0.0073,0.00552,0.00442,0.00326,0.00234,0.00203,0.00178,0.00167}),"")</f>
        <v>5.5199999999999997E-3</v>
      </c>
      <c r="Q21" s="9">
        <f t="shared" si="5"/>
        <v>1.6559999999999999</v>
      </c>
      <c r="R21" s="10" t="s">
        <v>188</v>
      </c>
      <c r="S21" s="8">
        <v>535000</v>
      </c>
      <c r="U21" s="9">
        <f>IFERROR(USD_GBP*LOOKUP(IF(T21="",F21,T21),{0,1,10,100,150,500,1000,2500,5000,25000},{0,0.0094,0.0094,0.0077,0.0077,0.0064,0.0054,0.0047,0.0034,0.0027}),"")</f>
        <v>1.0686058993745914E-2</v>
      </c>
      <c r="V21" s="9">
        <f>IFERROR(IF(T21="",F21,T21)*U21,"")</f>
        <v>3.205817698123774</v>
      </c>
      <c r="W21" s="10" t="s">
        <v>228</v>
      </c>
      <c r="AC21" s="11" t="s">
        <v>187</v>
      </c>
      <c r="AE21" s="9">
        <f>IFERROR(LOOKUP(IF(AD21="",F21,AD21),{0,1,10,50,100,1000,10000},{0,0.1,0.01,0.01,0.004,0.003,0.002}),"")</f>
        <v>4.0000000000000001E-3</v>
      </c>
      <c r="AF21" s="9">
        <f t="shared" si="4"/>
        <v>1.2</v>
      </c>
      <c r="AG21" s="10" t="s">
        <v>269</v>
      </c>
      <c r="AH21" s="8">
        <v>440000</v>
      </c>
      <c r="AJ21" s="9">
        <f>IFERROR(LOOKUP(IF(AI21="",F21,AI21),{0,1,10,25,50,100,5000},{0,0.01,0.01,0.008,0.006,0.004,0.003}),"")</f>
        <v>4.0000000000000001E-3</v>
      </c>
      <c r="AK21" s="9">
        <f>IFERROR(IF(AI21="",F21,AI21)*AJ21,"")</f>
        <v>1.2</v>
      </c>
      <c r="AL21" s="10" t="s">
        <v>309</v>
      </c>
      <c r="AR21" s="11" t="s">
        <v>187</v>
      </c>
      <c r="AT21" s="9">
        <f>IFERROR(USD_GBP*LOOKUP(IF(AS21="",F21,AS21),{0,1,100,1000,5000,15000},{0,0.01559,0.01559,0.00277,0.0012,0.0011}),"")</f>
        <v>2.163579996266218E-2</v>
      </c>
      <c r="AU21" s="9">
        <f>IFERROR(IF(AS21="",F21,AS21)*AT21,"")</f>
        <v>6.4907399887986541</v>
      </c>
      <c r="AV21" s="10" t="s">
        <v>357</v>
      </c>
    </row>
    <row r="22" spans="1:48" x14ac:dyDescent="0.2">
      <c r="A22" s="8" t="s">
        <v>58</v>
      </c>
      <c r="B22" s="8" t="s">
        <v>59</v>
      </c>
      <c r="D22" s="8" t="s">
        <v>56</v>
      </c>
      <c r="E22" s="8" t="s">
        <v>60</v>
      </c>
      <c r="F22" s="8">
        <f>BoardQty*1</f>
        <v>100</v>
      </c>
      <c r="G22" s="9">
        <f t="shared" ca="1" si="0"/>
        <v>6.0000000000000001E-3</v>
      </c>
      <c r="H22" s="9">
        <f t="shared" ca="1" si="1"/>
        <v>0.6</v>
      </c>
      <c r="N22" s="8">
        <v>120963</v>
      </c>
      <c r="P22" s="9">
        <f>IFERROR(LOOKUP(IF(O22="",F22,O22),{0,1,10,100,1000,2500,5000},{0,0.1,0.024,0.0097,0.00436,0.00378,0.00312}),"")</f>
        <v>9.7000000000000003E-3</v>
      </c>
      <c r="Q22" s="9">
        <f t="shared" si="5"/>
        <v>0.97</v>
      </c>
      <c r="R22" s="10" t="s">
        <v>189</v>
      </c>
      <c r="AC22" s="8">
        <v>12036</v>
      </c>
      <c r="AE22" s="9">
        <f>IFERROR(LOOKUP(IF(AD22="",F22,AD22),{0,1,10,50,100,1000,10000},{0,0.1,0.018,0.018,0.006,0.005,0.003}),"")</f>
        <v>6.0000000000000001E-3</v>
      </c>
      <c r="AF22" s="9">
        <f t="shared" si="4"/>
        <v>0.6</v>
      </c>
      <c r="AG22" s="10" t="s">
        <v>270</v>
      </c>
    </row>
    <row r="23" spans="1:48" x14ac:dyDescent="0.2">
      <c r="A23" s="8" t="s">
        <v>61</v>
      </c>
      <c r="B23" s="8" t="s">
        <v>62</v>
      </c>
      <c r="D23" s="8" t="s">
        <v>56</v>
      </c>
      <c r="E23" s="8" t="s">
        <v>63</v>
      </c>
      <c r="F23" s="8">
        <f>BoardQty*2</f>
        <v>200</v>
      </c>
      <c r="G23" s="9">
        <f t="shared" ca="1" si="0"/>
        <v>4.1633996079529527E-3</v>
      </c>
      <c r="H23" s="9">
        <f t="shared" ca="1" si="1"/>
        <v>0.83267992159059057</v>
      </c>
      <c r="N23" s="8">
        <v>367035</v>
      </c>
      <c r="P23" s="9">
        <f>IFERROR(LOOKUP(IF(O23="",F23,O23),{0,1,10,100,1000,2500,5000},{0,0.1,0.024,0.0097,0.00436,0.00378,0.00312}),"")</f>
        <v>9.7000000000000003E-3</v>
      </c>
      <c r="Q23" s="9">
        <f t="shared" si="5"/>
        <v>1.94</v>
      </c>
      <c r="R23" s="10" t="s">
        <v>190</v>
      </c>
      <c r="S23" s="8">
        <v>845000</v>
      </c>
      <c r="U23" s="9">
        <f>IFERROR(USD_GBP*LOOKUP(IF(T23="",F23,T23),{0,1,10,100,150,500,1000,2500,5000,25000},{0,0.0229,0.0229,0.0082,0.0082,0.0066,0.005,0.0044,0.0043,0.003}),"")</f>
        <v>1.1379958928404739E-2</v>
      </c>
      <c r="V23" s="9">
        <f>IFERROR(IF(T23="",F23,T23)*U23,"")</f>
        <v>2.2759917856809477</v>
      </c>
      <c r="W23" s="10" t="s">
        <v>229</v>
      </c>
      <c r="AC23" s="8">
        <v>169204</v>
      </c>
      <c r="AE23" s="9">
        <f>IFERROR(LOOKUP(IF(AD23="",F23,AD23),{0,1,10,50,100,1000,10000},{0,0.1,0.018,0.018,0.006,0.005,0.003}),"")</f>
        <v>6.0000000000000001E-3</v>
      </c>
      <c r="AF23" s="9">
        <f t="shared" si="4"/>
        <v>1.2</v>
      </c>
      <c r="AG23" s="10" t="s">
        <v>271</v>
      </c>
      <c r="AH23" s="8">
        <v>845000</v>
      </c>
      <c r="AJ23" s="9">
        <f>IFERROR(LOOKUP(IF(AI23="",F23,AI23),{0,1,10,25,50,100,5000},{0,0.1,0.1,0.018,0.012,0.006,0.003}),"")</f>
        <v>6.0000000000000001E-3</v>
      </c>
      <c r="AK23" s="9">
        <f>IFERROR(IF(AI23="",F23,AI23)*AJ23,"")</f>
        <v>1.2</v>
      </c>
      <c r="AL23" s="10" t="s">
        <v>310</v>
      </c>
      <c r="AM23" s="8">
        <v>2800</v>
      </c>
      <c r="AO23" s="9">
        <f>IFERROR(USD_GBP*LOOKUP(IF(AN23="",F23,AN23),{0,1,5000},{0,0.003,0.003}),"")</f>
        <v>4.1633996079529527E-3</v>
      </c>
      <c r="AP23" s="9">
        <f>IFERROR(IF(AN23="",F23,AN23)*AO23,"")</f>
        <v>0.83267992159059057</v>
      </c>
      <c r="AQ23" s="10" t="s">
        <v>339</v>
      </c>
      <c r="AR23" s="11" t="s">
        <v>187</v>
      </c>
      <c r="AT23" s="9">
        <f>IFERROR(USD_GBP*LOOKUP(IF(AS23="",F23,AS23),{0,1,100,1000,5000,15000},{0,0.0266,0.0266,0.00958,0.00388,0.00327}),"")</f>
        <v>3.6915476523849515E-2</v>
      </c>
      <c r="AU23" s="9">
        <f>IFERROR(IF(AS23="",F23,AS23)*AT23,"")</f>
        <v>7.3830953047699026</v>
      </c>
      <c r="AV23" s="10" t="s">
        <v>358</v>
      </c>
    </row>
    <row r="24" spans="1:48" x14ac:dyDescent="0.2">
      <c r="A24" s="8" t="s">
        <v>64</v>
      </c>
      <c r="B24" s="8" t="s">
        <v>65</v>
      </c>
      <c r="D24" s="8" t="s">
        <v>56</v>
      </c>
      <c r="E24" s="8" t="s">
        <v>66</v>
      </c>
      <c r="F24" s="8">
        <f>BoardQty*14</f>
        <v>1400</v>
      </c>
      <c r="G24" s="9">
        <f t="shared" ca="1" si="0"/>
        <v>3.3723536824418919E-3</v>
      </c>
      <c r="H24" s="9">
        <f t="shared" ca="1" si="1"/>
        <v>4.7212951554186482</v>
      </c>
      <c r="N24" s="8">
        <v>32461893</v>
      </c>
      <c r="P24" s="9">
        <f>IFERROR(LOOKUP(IF(O24="",F24,O24),{0,1,10,100,1000,2500,5000},{0,0.1,0.024,0.0097,0.00436,0.00378,0.00312}),"")</f>
        <v>4.3600000000000002E-3</v>
      </c>
      <c r="Q24" s="9">
        <f t="shared" si="5"/>
        <v>6.1040000000000001</v>
      </c>
      <c r="R24" s="10" t="s">
        <v>191</v>
      </c>
      <c r="S24" s="8">
        <v>30735000</v>
      </c>
      <c r="U24" s="9">
        <f>IFERROR(USD_GBP*LOOKUP(IF(T24="",F24,T24),{0,1,10,100,150,500,1000,2500,5000,25000},{0,0.021,0.021,0.0075,0.0075,0.0063,0.0051,0.0045,0.0073,0.0036}),"")</f>
        <v>7.0777793335200208E-3</v>
      </c>
      <c r="V24" s="9">
        <f>IFERROR(IF(T24="",F24,T24)*U24,"")</f>
        <v>9.9088910669280299</v>
      </c>
      <c r="W24" s="10" t="s">
        <v>230</v>
      </c>
      <c r="AC24" s="8">
        <v>2841448</v>
      </c>
      <c r="AE24" s="9">
        <f>IFERROR(LOOKUP(IF(AD24="",F24,AD24),{0,1,10,50,100,1000,10000},{0,0.1,0.018,0.018,0.007,0.004,0.002}),"")</f>
        <v>4.0000000000000001E-3</v>
      </c>
      <c r="AF24" s="9">
        <f t="shared" si="4"/>
        <v>5.6000000000000005</v>
      </c>
      <c r="AG24" s="10" t="s">
        <v>272</v>
      </c>
      <c r="AH24" s="8">
        <v>115000</v>
      </c>
      <c r="AJ24" s="9">
        <f>IFERROR(LOOKUP(IF(AI24="",F24,AI24),{0,1,25,50,100,5000},{0,0.1,0.018,0.012,0.006,0.003}),"")</f>
        <v>6.0000000000000001E-3</v>
      </c>
      <c r="AK24" s="9">
        <f>IFERROR(IF(AI24="",F24,AI24)*AJ24,"")</f>
        <v>8.4</v>
      </c>
      <c r="AL24" s="10" t="s">
        <v>311</v>
      </c>
      <c r="AM24" s="8">
        <v>61500</v>
      </c>
      <c r="AO24" s="9">
        <f>IFERROR(USD_GBP*LOOKUP(IF(AN24="",F24,AN24),{0,1,5000},{0,0.003,0.003}),"")</f>
        <v>4.1633996079529527E-3</v>
      </c>
      <c r="AP24" s="9">
        <f>IFERROR(IF(AN24="",F24,AN24)*AO24,"")</f>
        <v>5.8287594511341334</v>
      </c>
      <c r="AQ24" s="10" t="s">
        <v>340</v>
      </c>
      <c r="AR24" s="11" t="s">
        <v>187</v>
      </c>
      <c r="AT24" s="9">
        <f>IFERROR(USD_GBP*LOOKUP(IF(AS24="",F24,AS24),{0,1,100,1000,5000,15000,50000},{0,0.0117,0.0117,0.00243,0.00114,0.00107,0.00104}),"")</f>
        <v>3.3723536824418919E-3</v>
      </c>
      <c r="AU24" s="9">
        <f>IFERROR(IF(AS24="",F24,AS24)*AT24,"")</f>
        <v>4.7212951554186482</v>
      </c>
      <c r="AV24" s="10" t="s">
        <v>359</v>
      </c>
    </row>
    <row r="25" spans="1:48" x14ac:dyDescent="0.2">
      <c r="A25" s="8" t="s">
        <v>67</v>
      </c>
      <c r="B25" s="8" t="s">
        <v>68</v>
      </c>
      <c r="D25" s="8" t="s">
        <v>56</v>
      </c>
      <c r="E25" s="8" t="s">
        <v>69</v>
      </c>
      <c r="F25" s="8">
        <f>BoardQty*4</f>
        <v>400</v>
      </c>
      <c r="G25" s="9">
        <f t="shared" ca="1" si="0"/>
        <v>7.0000000000000001E-3</v>
      </c>
      <c r="H25" s="9">
        <f t="shared" ca="1" si="1"/>
        <v>2.8000000000000003</v>
      </c>
      <c r="N25" s="8">
        <v>192016</v>
      </c>
      <c r="P25" s="9">
        <f>IFERROR(LOOKUP(IF(O25="",F25,O25),{0,1,10,100,1000,2500,5000},{0,0.1,0.024,0.0097,0.00436,0.00378,0.00312}),"")</f>
        <v>9.7000000000000003E-3</v>
      </c>
      <c r="Q25" s="9">
        <f t="shared" si="5"/>
        <v>3.88</v>
      </c>
      <c r="R25" s="10" t="s">
        <v>192</v>
      </c>
      <c r="AC25" s="8">
        <v>56414</v>
      </c>
      <c r="AE25" s="9">
        <f>IFERROR(LOOKUP(IF(AD25="",F25,AD25),{0,1,10,50,100,1000,10000},{0,0.1,0.018,0.018,0.007,0.004,0.002}),"")</f>
        <v>7.0000000000000001E-3</v>
      </c>
      <c r="AF25" s="9">
        <f t="shared" si="4"/>
        <v>2.8000000000000003</v>
      </c>
      <c r="AG25" s="10" t="s">
        <v>273</v>
      </c>
    </row>
    <row r="26" spans="1:48" x14ac:dyDescent="0.2">
      <c r="A26" s="8" t="s">
        <v>70</v>
      </c>
      <c r="B26" s="8" t="s">
        <v>71</v>
      </c>
      <c r="D26" s="8" t="s">
        <v>56</v>
      </c>
      <c r="E26" s="8" t="s">
        <v>72</v>
      </c>
      <c r="F26" s="8">
        <f>BoardQty*2</f>
        <v>200</v>
      </c>
      <c r="G26" s="9">
        <f t="shared" ca="1" si="0"/>
        <v>4.1633996079529527E-3</v>
      </c>
      <c r="H26" s="9">
        <f t="shared" ca="1" si="1"/>
        <v>0.83267992159059057</v>
      </c>
      <c r="N26" s="8">
        <v>2097772</v>
      </c>
      <c r="P26" s="9">
        <f>IFERROR(LOOKUP(IF(O26="",F26,O26),{0,1,10,100,1000,2500,5000},{0,0.1,0.024,0.0097,0.00436,0.00378,0.00312}),"")</f>
        <v>9.7000000000000003E-3</v>
      </c>
      <c r="Q26" s="9">
        <f t="shared" si="5"/>
        <v>1.94</v>
      </c>
      <c r="R26" s="10" t="s">
        <v>193</v>
      </c>
      <c r="S26" s="8">
        <v>389774</v>
      </c>
      <c r="U26" s="9">
        <f>IFERROR(USD_GBP*LOOKUP(IF(T26="",F26,T26),{0,1,10,100,150,500,1000,2500,5000,25000},{0,0.0187,0.0187,0.0067,0.0067,0.0057,0.0046,0.0041,0.0037,0.0026}),"")</f>
        <v>9.2982591244282625E-3</v>
      </c>
      <c r="V26" s="9">
        <f>IFERROR(IF(T26="",F26,T26)*U26,"")</f>
        <v>1.8596518248856526</v>
      </c>
      <c r="W26" s="10" t="s">
        <v>231</v>
      </c>
      <c r="AC26" s="8">
        <v>231554</v>
      </c>
      <c r="AE26" s="9">
        <f>IFERROR(LOOKUP(IF(AD26="",F26,AD26),{0,1,10,50,100,1000,10000},{0,0.1,0.018,0.018,0.007,0.004,0.002}),"")</f>
        <v>7.0000000000000001E-3</v>
      </c>
      <c r="AF26" s="9">
        <f t="shared" si="4"/>
        <v>1.4000000000000001</v>
      </c>
      <c r="AG26" s="10" t="s">
        <v>274</v>
      </c>
      <c r="AH26" s="8">
        <v>30000</v>
      </c>
      <c r="AJ26" s="9">
        <f>IFERROR(LOOKUP(IF(AI26="",F26,AI26),{0,1,25,50,100,5000},{0,0.1,0.018,0.012,0.006,0.003}),"")</f>
        <v>6.0000000000000001E-3</v>
      </c>
      <c r="AK26" s="9">
        <f>IFERROR(IF(AI26="",F26,AI26)*AJ26,"")</f>
        <v>1.2</v>
      </c>
      <c r="AL26" s="10" t="s">
        <v>312</v>
      </c>
      <c r="AM26" s="8">
        <v>5200</v>
      </c>
      <c r="AO26" s="9">
        <f>IFERROR(USD_GBP*LOOKUP(IF(AN26="",F26,AN26),{0,1,5000},{0,0.003,0.003}),"")</f>
        <v>4.1633996079529527E-3</v>
      </c>
      <c r="AP26" s="9">
        <f>IFERROR(IF(AN26="",F26,AN26)*AO26,"")</f>
        <v>0.83267992159059057</v>
      </c>
      <c r="AQ26" s="10" t="s">
        <v>341</v>
      </c>
      <c r="AR26" s="8">
        <v>33500</v>
      </c>
      <c r="AT26" s="9">
        <f>IFERROR(USD_GBP*LOOKUP(IF(AS26="",F26,AS26),{0,1,100,1000,5000,15000,50000},{0,0.0266,0.0266,0.00958,0.00388,0.00327,0.00279}),"")</f>
        <v>3.6915476523849515E-2</v>
      </c>
      <c r="AU26" s="9">
        <f>IFERROR(IF(AS26="",F26,AS26)*AT26,"")</f>
        <v>7.3830953047699026</v>
      </c>
      <c r="AV26" s="10" t="s">
        <v>360</v>
      </c>
    </row>
    <row r="27" spans="1:48" x14ac:dyDescent="0.2">
      <c r="A27" s="8" t="s">
        <v>73</v>
      </c>
      <c r="B27" s="8" t="s">
        <v>74</v>
      </c>
      <c r="D27" s="8" t="s">
        <v>56</v>
      </c>
      <c r="E27" s="8" t="s">
        <v>75</v>
      </c>
      <c r="F27" s="8">
        <f>BoardQty*1</f>
        <v>100</v>
      </c>
      <c r="G27" s="9">
        <f t="shared" ca="1" si="0"/>
        <v>4.1633996079529527E-3</v>
      </c>
      <c r="H27" s="9">
        <f t="shared" ca="1" si="1"/>
        <v>0.41633996079529528</v>
      </c>
      <c r="N27" s="8">
        <v>1603344</v>
      </c>
      <c r="P27" s="9">
        <f>IFERROR(LOOKUP(IF(O27="",F27,O27),{0,1,10,100,1000,2500,5000},{0,0.1,0.024,0.0097,0.00436,0.00378,0.00312}),"")</f>
        <v>9.7000000000000003E-3</v>
      </c>
      <c r="Q27" s="9">
        <f t="shared" si="5"/>
        <v>0.97</v>
      </c>
      <c r="R27" s="10" t="s">
        <v>194</v>
      </c>
      <c r="S27" s="8">
        <v>123680</v>
      </c>
      <c r="U27" s="9">
        <f>IFERROR(USD_GBP*LOOKUP(IF(T27="",F27,T27),{0,1,10,100,150,500,1000,2500,5000,25000},{0,0.0131,0.0131,0.0121,0.0121,0.0095,0.0076,0.0062,0.0053,0.0036}),"")</f>
        <v>1.6792378418743575E-2</v>
      </c>
      <c r="V27" s="9">
        <f>IFERROR(IF(T27="",F27,T27)*U27,"")</f>
        <v>1.6792378418743574</v>
      </c>
      <c r="W27" s="10" t="s">
        <v>232</v>
      </c>
      <c r="AC27" s="8">
        <v>4034</v>
      </c>
      <c r="AE27" s="9">
        <f>IFERROR(LOOKUP(IF(AD27="",F27,AD27),{0,1,10,50,100,1000,10000},{0,0.1,0.021,0.021,0.007,0.004,0.002}),"")</f>
        <v>7.0000000000000001E-3</v>
      </c>
      <c r="AF27" s="9">
        <f t="shared" si="4"/>
        <v>0.70000000000000007</v>
      </c>
      <c r="AG27" s="10" t="s">
        <v>275</v>
      </c>
      <c r="AH27" s="11" t="s">
        <v>187</v>
      </c>
      <c r="AJ27" s="9">
        <f>IFERROR(LOOKUP(IF(AI27="",F27,AI27),{0,1,10,25,50,100},{0,0.023,0.023,0.019,0.014,0.01}),"")</f>
        <v>0.01</v>
      </c>
      <c r="AK27" s="9">
        <f>IFERROR(IF(AI27="",F27,AI27)*AJ27,"")</f>
        <v>1</v>
      </c>
      <c r="AL27" s="10" t="s">
        <v>313</v>
      </c>
      <c r="AM27" s="8">
        <v>3600</v>
      </c>
      <c r="AO27" s="9">
        <f>IFERROR(USD_GBP*LOOKUP(IF(AN27="",F27,AN27),{0,1,5000},{0,0.003,0.003}),"")</f>
        <v>4.1633996079529527E-3</v>
      </c>
      <c r="AP27" s="9">
        <f>IFERROR(IF(AN27="",F27,AN27)*AO27,"")</f>
        <v>0.41633996079529528</v>
      </c>
      <c r="AQ27" s="10" t="s">
        <v>342</v>
      </c>
      <c r="AR27" s="11" t="s">
        <v>187</v>
      </c>
      <c r="AT27" s="9">
        <f>IFERROR(USD_GBP*LOOKUP(IF(AS27="",F27,AS27),{0,1,100,1000,5000,15000},{0,0.0266,0.0266,0.00958,0.00388,0.00327}),"")</f>
        <v>3.6915476523849515E-2</v>
      </c>
      <c r="AU27" s="9">
        <f>IFERROR(IF(AS27="",F27,AS27)*AT27,"")</f>
        <v>3.6915476523849513</v>
      </c>
      <c r="AV27" s="10" t="s">
        <v>361</v>
      </c>
    </row>
    <row r="28" spans="1:48" x14ac:dyDescent="0.2">
      <c r="A28" s="8" t="s">
        <v>76</v>
      </c>
      <c r="B28" s="8" t="s">
        <v>77</v>
      </c>
      <c r="D28" s="8" t="s">
        <v>56</v>
      </c>
      <c r="E28" s="8" t="s">
        <v>78</v>
      </c>
      <c r="F28" s="8">
        <f>BoardQty*1</f>
        <v>100</v>
      </c>
      <c r="G28" s="9">
        <f t="shared" ca="1" si="0"/>
        <v>7.0000000000000001E-3</v>
      </c>
      <c r="H28" s="9">
        <f t="shared" ca="1" si="1"/>
        <v>0.70000000000000007</v>
      </c>
      <c r="N28" s="8">
        <v>19293</v>
      </c>
      <c r="P28" s="9">
        <f>IFERROR(LOOKUP(IF(O28="",F28,O28),{0,1,10,100,1000,2500,5000},{0,0.1,0.024,0.0097,0.00436,0.00378,0.00312}),"")</f>
        <v>9.7000000000000003E-3</v>
      </c>
      <c r="Q28" s="9">
        <f t="shared" si="5"/>
        <v>0.97</v>
      </c>
      <c r="R28" s="10" t="s">
        <v>195</v>
      </c>
      <c r="AC28" s="8">
        <v>54293</v>
      </c>
      <c r="AE28" s="9">
        <f>IFERROR(LOOKUP(IF(AD28="",F28,AD28),{0,1,10,50,100,1000,10000},{0,0.1,0.018,0.018,0.007,0.004,0.002}),"")</f>
        <v>7.0000000000000001E-3</v>
      </c>
      <c r="AF28" s="9">
        <f t="shared" si="4"/>
        <v>0.70000000000000007</v>
      </c>
      <c r="AG28" s="10" t="s">
        <v>276</v>
      </c>
      <c r="AR28" s="11" t="s">
        <v>187</v>
      </c>
      <c r="AT28" s="9">
        <f>IFERROR(USD_GBP*LOOKUP(IF(AS28="",F28,AS28),{0,1,100,1000,5000,15000},{0,0.0266,0.0266,0.00958,0.00388,0.00327}),"")</f>
        <v>3.6915476523849515E-2</v>
      </c>
      <c r="AU28" s="9">
        <f>IFERROR(IF(AS28="",F28,AS28)*AT28,"")</f>
        <v>3.6915476523849513</v>
      </c>
      <c r="AV28" s="10" t="s">
        <v>362</v>
      </c>
    </row>
    <row r="29" spans="1:48" x14ac:dyDescent="0.2">
      <c r="A29" s="8" t="s">
        <v>79</v>
      </c>
      <c r="B29" s="8" t="s">
        <v>80</v>
      </c>
      <c r="D29" s="8" t="s">
        <v>56</v>
      </c>
      <c r="E29" s="8" t="s">
        <v>81</v>
      </c>
      <c r="F29" s="8">
        <f>BoardQty*1</f>
        <v>100</v>
      </c>
      <c r="G29" s="9">
        <f t="shared" ca="1" si="0"/>
        <v>6.0000000000000001E-3</v>
      </c>
      <c r="H29" s="9">
        <f t="shared" ca="1" si="1"/>
        <v>0.6</v>
      </c>
      <c r="N29" s="8">
        <v>21116</v>
      </c>
      <c r="P29" s="9">
        <f>IFERROR(LOOKUP(IF(O29="",F29,O29),{0,1,10,100,1000,2500,5000},{0,0.1,0.024,0.0097,0.00436,0.00378,0.00312}),"")</f>
        <v>9.7000000000000003E-3</v>
      </c>
      <c r="Q29" s="9">
        <f t="shared" si="5"/>
        <v>0.97</v>
      </c>
      <c r="R29" s="10" t="s">
        <v>196</v>
      </c>
      <c r="S29" s="8">
        <v>77020</v>
      </c>
      <c r="U29" s="9">
        <f>IFERROR(USD_GBP*LOOKUP(IF(T29="",F29,T29),{0,1,10,100,150,500,1000,2500,5000,25000},{0,0.0182,0.0182,0.0065,0.0065,0.0055,0.0045,0.0039,0.0036,0.0025}),"")</f>
        <v>9.0206991505647309E-3</v>
      </c>
      <c r="V29" s="9">
        <f t="shared" ref="V29:V36" si="6">IFERROR(IF(T29="",F29,T29)*U29,"")</f>
        <v>0.90206991505647305</v>
      </c>
      <c r="W29" s="10" t="s">
        <v>233</v>
      </c>
      <c r="AC29" s="8">
        <v>3722</v>
      </c>
      <c r="AE29" s="9">
        <f>IFERROR(LOOKUP(IF(AD29="",F29,AD29),{0,1,10,50,100,1000,10000},{0,0.1,0.018,0.018,0.006,0.005,0.003}),"")</f>
        <v>6.0000000000000001E-3</v>
      </c>
      <c r="AF29" s="9">
        <f t="shared" si="4"/>
        <v>0.6</v>
      </c>
      <c r="AG29" s="10" t="s">
        <v>277</v>
      </c>
      <c r="AH29" s="11" t="s">
        <v>187</v>
      </c>
      <c r="AJ29" s="9">
        <f>IFERROR(LOOKUP(IF(AI29="",F29,AI29),{0,1,10,250,500,1000,5000},{0,0.007,0.007,0.006,0.005,0.005,0.003}),"")</f>
        <v>7.0000000000000001E-3</v>
      </c>
      <c r="AK29" s="9">
        <f t="shared" ref="AK29:AK36" si="7">IFERROR(IF(AI29="",F29,AI29)*AJ29,"")</f>
        <v>0.70000000000000007</v>
      </c>
      <c r="AL29" s="10" t="s">
        <v>314</v>
      </c>
      <c r="AR29" s="8">
        <v>9500</v>
      </c>
      <c r="AT29" s="9">
        <f>IFERROR(USD_GBP*LOOKUP(IF(AS29="",F29,AS29),{0,1,100,1000,5000,15000},{0,0.0266,0.0266,0.00958,0.00388,0.00327}),"")</f>
        <v>3.6915476523849515E-2</v>
      </c>
      <c r="AU29" s="9">
        <f>IFERROR(IF(AS29="",F29,AS29)*AT29,"")</f>
        <v>3.6915476523849513</v>
      </c>
      <c r="AV29" s="10" t="s">
        <v>363</v>
      </c>
    </row>
    <row r="30" spans="1:48" x14ac:dyDescent="0.2">
      <c r="A30" s="8" t="s">
        <v>82</v>
      </c>
      <c r="B30" s="8" t="s">
        <v>83</v>
      </c>
      <c r="D30" s="8" t="s">
        <v>56</v>
      </c>
      <c r="E30" s="8" t="s">
        <v>84</v>
      </c>
      <c r="F30" s="8">
        <f>BoardQty*1</f>
        <v>100</v>
      </c>
      <c r="G30" s="9">
        <f t="shared" ca="1" si="0"/>
        <v>7.0000000000000001E-3</v>
      </c>
      <c r="H30" s="9">
        <f t="shared" ca="1" si="1"/>
        <v>0.70000000000000007</v>
      </c>
      <c r="N30" s="8">
        <v>397712</v>
      </c>
      <c r="P30" s="9">
        <f>IFERROR(LOOKUP(IF(O30="",F30,O30),{0,1,10,100,1000,2500,5000},{0,0.1,0.024,0.0097,0.00436,0.00378,0.00312}),"")</f>
        <v>9.7000000000000003E-3</v>
      </c>
      <c r="Q30" s="9">
        <f t="shared" si="5"/>
        <v>0.97</v>
      </c>
      <c r="R30" s="10" t="s">
        <v>197</v>
      </c>
      <c r="S30" s="8">
        <v>224920</v>
      </c>
      <c r="U30" s="9">
        <f>IFERROR(USD_GBP*LOOKUP(IF(T30="",F30,T30),{0,1,10,100,150,500,1000,2500,5000,25000},{0,0.0182,0.0182,0.0065,0.0065,0.0055,0.0045,0.0039,0.0053,0.0025}),"")</f>
        <v>9.0206991505647309E-3</v>
      </c>
      <c r="V30" s="9">
        <f t="shared" si="6"/>
        <v>0.90206991505647305</v>
      </c>
      <c r="W30" s="10" t="s">
        <v>234</v>
      </c>
      <c r="AC30" s="8">
        <v>157813</v>
      </c>
      <c r="AE30" s="9">
        <f>IFERROR(LOOKUP(IF(AD30="",F30,AD30),{0,1,10,50,100,1000,10000},{0,0.1,0.021,0.021,0.009,0.004,0.002}),"")</f>
        <v>8.9999999999999993E-3</v>
      </c>
      <c r="AF30" s="9">
        <f t="shared" si="4"/>
        <v>0.89999999999999991</v>
      </c>
      <c r="AG30" s="10" t="s">
        <v>278</v>
      </c>
      <c r="AH30" s="11" t="s">
        <v>187</v>
      </c>
      <c r="AJ30" s="9">
        <f>IFERROR(LOOKUP(IF(AI30="",F30,AI30),{0,1,10,250,500,1000,5000},{0,0.007,0.007,0.006,0.005,0.005,0.005}),"")</f>
        <v>7.0000000000000001E-3</v>
      </c>
      <c r="AK30" s="9">
        <f t="shared" si="7"/>
        <v>0.70000000000000007</v>
      </c>
      <c r="AL30" s="10" t="s">
        <v>315</v>
      </c>
      <c r="AR30" s="8">
        <v>5400</v>
      </c>
      <c r="AT30" s="9">
        <f>IFERROR(USD_GBP*LOOKUP(IF(AS30="",F30,AS30),{0,1,100,1000,5000,15000},{0,0.0266,0.0266,0.00958,0.00388,0.00327}),"")</f>
        <v>3.6915476523849515E-2</v>
      </c>
      <c r="AU30" s="9">
        <f>IFERROR(IF(AS30="",F30,AS30)*AT30,"")</f>
        <v>3.6915476523849513</v>
      </c>
      <c r="AV30" s="10" t="s">
        <v>364</v>
      </c>
    </row>
    <row r="31" spans="1:48" x14ac:dyDescent="0.2">
      <c r="A31" s="8" t="s">
        <v>85</v>
      </c>
      <c r="B31" s="8" t="s">
        <v>86</v>
      </c>
      <c r="D31" s="8" t="s">
        <v>56</v>
      </c>
      <c r="E31" s="8" t="s">
        <v>87</v>
      </c>
      <c r="F31" s="8">
        <f>BoardQty*2</f>
        <v>200</v>
      </c>
      <c r="G31" s="9">
        <f t="shared" ca="1" si="0"/>
        <v>6.0000000000000001E-3</v>
      </c>
      <c r="H31" s="9">
        <f t="shared" ca="1" si="1"/>
        <v>1.2</v>
      </c>
      <c r="N31" s="8">
        <v>215972</v>
      </c>
      <c r="P31" s="9">
        <f>IFERROR(LOOKUP(IF(O31="",F31,O31),{0,1,10,100,1000,2500,5000},{0,0.1,0.024,0.0097,0.00436,0.00378,0.00312}),"")</f>
        <v>9.7000000000000003E-3</v>
      </c>
      <c r="Q31" s="9">
        <f t="shared" si="5"/>
        <v>1.94</v>
      </c>
      <c r="R31" s="10" t="s">
        <v>198</v>
      </c>
      <c r="S31" s="8">
        <v>2450</v>
      </c>
      <c r="U31" s="9">
        <f>IFERROR(USD_GBP*LOOKUP(IF(T31="",F31,T31),{0,1,10,100,150,500,1000,2500,5000,25000},{0,0.0131,0.0131,0.0121,0.0121,0.0095,0.0076,0.0062,0.0053,0.0036}),"")</f>
        <v>1.6792378418743575E-2</v>
      </c>
      <c r="V31" s="9">
        <f t="shared" si="6"/>
        <v>3.3584756837487149</v>
      </c>
      <c r="W31" s="10" t="s">
        <v>235</v>
      </c>
      <c r="AC31" s="8">
        <v>30133</v>
      </c>
      <c r="AE31" s="9">
        <f>IFERROR(LOOKUP(IF(AD31="",F31,AD31),{0,1,10,50,100,1000,10000},{0,0.1,0.018,0.018,0.006,0.005,0.003}),"")</f>
        <v>6.0000000000000001E-3</v>
      </c>
      <c r="AF31" s="9">
        <f t="shared" si="4"/>
        <v>1.2</v>
      </c>
      <c r="AG31" s="10" t="s">
        <v>279</v>
      </c>
      <c r="AH31" s="11" t="s">
        <v>187</v>
      </c>
      <c r="AJ31" s="9">
        <f>IFERROR(LOOKUP(IF(AI31="",F31,AI31),{0,1,10,25,50,100},{0,0.019,0.019,0.015,0.011,0.007}),"")</f>
        <v>7.0000000000000001E-3</v>
      </c>
      <c r="AK31" s="9">
        <f t="shared" si="7"/>
        <v>1.4000000000000001</v>
      </c>
      <c r="AL31" s="10" t="s">
        <v>316</v>
      </c>
    </row>
    <row r="32" spans="1:48" x14ac:dyDescent="0.2">
      <c r="A32" s="8" t="s">
        <v>88</v>
      </c>
      <c r="B32" s="8" t="s">
        <v>89</v>
      </c>
      <c r="D32" s="8" t="s">
        <v>56</v>
      </c>
      <c r="E32" s="8" t="s">
        <v>90</v>
      </c>
      <c r="F32" s="8">
        <f>BoardQty*1</f>
        <v>100</v>
      </c>
      <c r="G32" s="9">
        <f t="shared" ca="1" si="0"/>
        <v>4.1633996079529527E-3</v>
      </c>
      <c r="H32" s="9">
        <f t="shared" ca="1" si="1"/>
        <v>0.41633996079529528</v>
      </c>
      <c r="N32" s="8">
        <v>15283084</v>
      </c>
      <c r="P32" s="9">
        <f>IFERROR(LOOKUP(IF(O32="",F32,O32),{0,1,10,100,1000,2500,5000},{0,0.1,0.024,0.0097,0.00436,0.00378,0.00312}),"")</f>
        <v>9.7000000000000003E-3</v>
      </c>
      <c r="Q32" s="9">
        <f t="shared" si="5"/>
        <v>0.97</v>
      </c>
      <c r="R32" s="10" t="s">
        <v>199</v>
      </c>
      <c r="S32" s="8">
        <v>1740000</v>
      </c>
      <c r="U32" s="9">
        <f>IFERROR(USD_GBP*LOOKUP(IF(T32="",F32,T32),{0,1,10,100,150,500,1000,2500,5000,25000},{0,0.0321,0.0321,0.0123,0.0123,0.0089,0.0054,0.0045,0.0045,0.0031}),"")</f>
        <v>1.7069938392607106E-2</v>
      </c>
      <c r="V32" s="9">
        <f t="shared" si="6"/>
        <v>1.7069938392607107</v>
      </c>
      <c r="W32" s="10" t="s">
        <v>236</v>
      </c>
      <c r="AC32" s="8">
        <v>505147</v>
      </c>
      <c r="AE32" s="9">
        <f>IFERROR(LOOKUP(IF(AD32="",F32,AD32),{0,1,10,50,100,1000,10000},{0,0.1,0.023,0.023,0.009,0.005,0.003}),"")</f>
        <v>8.9999999999999993E-3</v>
      </c>
      <c r="AF32" s="9">
        <f t="shared" si="4"/>
        <v>0.89999999999999991</v>
      </c>
      <c r="AG32" s="10" t="s">
        <v>280</v>
      </c>
      <c r="AH32" s="8">
        <v>1727500</v>
      </c>
      <c r="AJ32" s="9">
        <f>IFERROR(LOOKUP(IF(AI32="",F32,AI32),{0,1,10,25,50,100,5000,10000},{0,0.1,0.021,0.021,0.015,0.009,0.003,0.002}),"")</f>
        <v>8.9999999999999993E-3</v>
      </c>
      <c r="AK32" s="9">
        <f t="shared" si="7"/>
        <v>0.89999999999999991</v>
      </c>
      <c r="AL32" s="10" t="s">
        <v>317</v>
      </c>
      <c r="AM32" s="8">
        <v>400</v>
      </c>
      <c r="AO32" s="9">
        <f>IFERROR(USD_GBP*LOOKUP(IF(AN32="",F32,AN32),{0,1,5000},{0,0.003,0.003}),"")</f>
        <v>4.1633996079529527E-3</v>
      </c>
      <c r="AP32" s="9">
        <f>IFERROR(IF(AN32="",F32,AN32)*AO32,"")</f>
        <v>0.41633996079529528</v>
      </c>
      <c r="AQ32" s="10" t="s">
        <v>343</v>
      </c>
      <c r="AR32" s="8">
        <v>166100</v>
      </c>
      <c r="AT32" s="9">
        <f>IFERROR(USD_GBP*LOOKUP(IF(AS32="",F32,AS32),{0,1,100,1000,5000,15000,50000},{0,0.0205,0.0205,0.00473,0.00179,0.0017,0.00164}),"")</f>
        <v>2.8449897321011847E-2</v>
      </c>
      <c r="AU32" s="9">
        <f>IFERROR(IF(AS32="",F32,AS32)*AT32,"")</f>
        <v>2.8449897321011846</v>
      </c>
      <c r="AV32" s="10" t="s">
        <v>365</v>
      </c>
    </row>
    <row r="33" spans="1:48" x14ac:dyDescent="0.2">
      <c r="A33" s="8" t="s">
        <v>91</v>
      </c>
      <c r="B33" s="8" t="s">
        <v>92</v>
      </c>
      <c r="D33" s="8" t="s">
        <v>56</v>
      </c>
      <c r="E33" s="8" t="s">
        <v>93</v>
      </c>
      <c r="F33" s="8">
        <f>BoardQty*1</f>
        <v>100</v>
      </c>
      <c r="G33" s="9">
        <f t="shared" ca="1" si="0"/>
        <v>6.0000000000000001E-3</v>
      </c>
      <c r="H33" s="9">
        <f t="shared" ca="1" si="1"/>
        <v>0.6</v>
      </c>
      <c r="N33" s="8">
        <v>18530699</v>
      </c>
      <c r="P33" s="9">
        <f>IFERROR(LOOKUP(IF(O33="",F33,O33),{0,1,10,100,1000,2500,5000},{0,0.1,0.024,0.0097,0.00436,0.00378,0.00312}),"")</f>
        <v>9.7000000000000003E-3</v>
      </c>
      <c r="Q33" s="9">
        <f t="shared" si="5"/>
        <v>0.97</v>
      </c>
      <c r="R33" s="10" t="s">
        <v>200</v>
      </c>
      <c r="S33" s="8">
        <v>16290000</v>
      </c>
      <c r="U33" s="9">
        <f>IFERROR(USD_GBP*LOOKUP(IF(T33="",F33,T33),{0,1,10,100,150,500,1000,2500,5000,25000},{0,0.0234,0.0234,0.0084,0.0084,0.0068,0.0051,0.0045,0.0072,0.0036}),"")</f>
        <v>1.1657518902268267E-2</v>
      </c>
      <c r="V33" s="9">
        <f t="shared" si="6"/>
        <v>1.1657518902268267</v>
      </c>
      <c r="W33" s="10" t="s">
        <v>237</v>
      </c>
      <c r="AC33" s="8">
        <v>2926911</v>
      </c>
      <c r="AE33" s="9">
        <f>IFERROR(LOOKUP(IF(AD33="",F33,AD33),{0,1,10,50,100,1000,10000},{0,0.1,0.021,0.021,0.007,0.004,0.002}),"")</f>
        <v>7.0000000000000001E-3</v>
      </c>
      <c r="AF33" s="9">
        <f t="shared" si="4"/>
        <v>0.70000000000000007</v>
      </c>
      <c r="AG33" s="10" t="s">
        <v>281</v>
      </c>
      <c r="AH33" s="8">
        <v>215000</v>
      </c>
      <c r="AJ33" s="9">
        <f>IFERROR(LOOKUP(IF(AI33="",F33,AI33),{0,1,5000},{0,0.006,0.006}),"")</f>
        <v>6.0000000000000001E-3</v>
      </c>
      <c r="AK33" s="9">
        <f t="shared" si="7"/>
        <v>0.6</v>
      </c>
      <c r="AL33" s="10" t="s">
        <v>318</v>
      </c>
      <c r="AM33" s="8">
        <v>98400</v>
      </c>
      <c r="AO33" s="9">
        <f>IFERROR(USD_GBP*LOOKUP(IF(AN33="",F33,AN33),{0,1,100,500,1000,2000,5000,10000,15000,20000},{0,0.005,0.005,0.005,0.004,0.004,0.003,0.003,0.003,0.002}),"")</f>
        <v>6.938999346588255E-3</v>
      </c>
      <c r="AP33" s="9">
        <f>IFERROR(IF(AN33="",F33,AN33)*AO33,"")</f>
        <v>0.69389993465882549</v>
      </c>
      <c r="AQ33" s="10" t="s">
        <v>344</v>
      </c>
      <c r="AR33" s="11" t="s">
        <v>187</v>
      </c>
      <c r="AT33" s="9">
        <f>IFERROR(USD_GBP*LOOKUP(IF(AS33="",F33,AS33),{0,1,100,1000,5000,15000,50000},{0,0.01083,0.01083,0.00237,0.00097,0.00089,0.00086}),"")</f>
        <v>1.5029872584710158E-2</v>
      </c>
      <c r="AU33" s="9">
        <f>IFERROR(IF(AS33="",F33,AS33)*AT33,"")</f>
        <v>1.5029872584710158</v>
      </c>
      <c r="AV33" s="10" t="s">
        <v>366</v>
      </c>
    </row>
    <row r="34" spans="1:48" x14ac:dyDescent="0.2">
      <c r="A34" s="8" t="s">
        <v>94</v>
      </c>
      <c r="B34" s="8" t="s">
        <v>95</v>
      </c>
      <c r="D34" s="8" t="s">
        <v>56</v>
      </c>
      <c r="E34" s="8" t="s">
        <v>96</v>
      </c>
      <c r="F34" s="8">
        <f>BoardQty*2</f>
        <v>200</v>
      </c>
      <c r="G34" s="9">
        <f t="shared" ca="1" si="0"/>
        <v>4.1633996079529527E-3</v>
      </c>
      <c r="H34" s="9">
        <f t="shared" ca="1" si="1"/>
        <v>0.83267992159059057</v>
      </c>
      <c r="N34" s="8">
        <v>8492</v>
      </c>
      <c r="P34" s="9">
        <f>IFERROR(LOOKUP(IF(O34="",F34,O34),{0,1,10,100,1000,2500,5000},{0,0.1,0.024,0.0097,0.00436,0.00378,0.00312}),"")</f>
        <v>9.7000000000000003E-3</v>
      </c>
      <c r="Q34" s="9">
        <f t="shared" si="5"/>
        <v>1.94</v>
      </c>
      <c r="R34" s="10" t="s">
        <v>201</v>
      </c>
      <c r="S34" s="8">
        <v>204895</v>
      </c>
      <c r="U34" s="9">
        <f>IFERROR(USD_GBP*LOOKUP(IF(T34="",F34,T34),{0,1,10,100,150,500,1000,2500,5000,25000},{0,0.0131,0.0131,0.0121,0.0121,0.0095,0.0076,0.0062,0.0053,0.0036}),"")</f>
        <v>1.6792378418743575E-2</v>
      </c>
      <c r="V34" s="9">
        <f t="shared" si="6"/>
        <v>3.3584756837487149</v>
      </c>
      <c r="W34" s="10" t="s">
        <v>238</v>
      </c>
      <c r="AC34" s="8">
        <v>32199</v>
      </c>
      <c r="AE34" s="9">
        <f>IFERROR(LOOKUP(IF(AD34="",F34,AD34),{0,1,10,50,100,1000,10000},{0,0.1,0.02,0.02,0.007,0.004,0.002}),"")</f>
        <v>7.0000000000000001E-3</v>
      </c>
      <c r="AF34" s="9">
        <f t="shared" si="4"/>
        <v>1.4000000000000001</v>
      </c>
      <c r="AG34" s="10" t="s">
        <v>282</v>
      </c>
      <c r="AH34" s="11" t="s">
        <v>187</v>
      </c>
      <c r="AJ34" s="9">
        <f>IFERROR(LOOKUP(IF(AI34="",F34,AI34),{0,1,10,25,50,100},{0,0.019,0.019,0.015,0.011,0.007}),"")</f>
        <v>7.0000000000000001E-3</v>
      </c>
      <c r="AK34" s="9">
        <f t="shared" si="7"/>
        <v>1.4000000000000001</v>
      </c>
      <c r="AL34" s="10" t="s">
        <v>319</v>
      </c>
      <c r="AM34" s="8">
        <v>3900</v>
      </c>
      <c r="AO34" s="9">
        <f>IFERROR(USD_GBP*LOOKUP(IF(AN34="",F34,AN34),{0,1,5000},{0,0.003,0.003}),"")</f>
        <v>4.1633996079529527E-3</v>
      </c>
      <c r="AP34" s="9">
        <f>IFERROR(IF(AN34="",F34,AN34)*AO34,"")</f>
        <v>0.83267992159059057</v>
      </c>
      <c r="AQ34" s="10" t="s">
        <v>345</v>
      </c>
      <c r="AR34" s="11" t="s">
        <v>187</v>
      </c>
      <c r="AT34" s="9">
        <f>IFERROR(USD_GBP*LOOKUP(IF(AS34="",F34,AS34),{0,1,100,1000,5000,15000},{0,0.0266,0.0266,0.00958,0.00388,0.00327}),"")</f>
        <v>3.6915476523849515E-2</v>
      </c>
      <c r="AU34" s="9">
        <f>IFERROR(IF(AS34="",F34,AS34)*AT34,"")</f>
        <v>7.3830953047699026</v>
      </c>
      <c r="AV34" s="10" t="s">
        <v>367</v>
      </c>
    </row>
    <row r="35" spans="1:48" x14ac:dyDescent="0.2">
      <c r="A35" s="8" t="s">
        <v>97</v>
      </c>
      <c r="B35" s="8" t="s">
        <v>98</v>
      </c>
      <c r="D35" s="8" t="s">
        <v>56</v>
      </c>
      <c r="E35" s="8" t="s">
        <v>99</v>
      </c>
      <c r="F35" s="8">
        <f>BoardQty*1</f>
        <v>100</v>
      </c>
      <c r="G35" s="9">
        <f t="shared" ca="1" si="0"/>
        <v>7.0000000000000001E-3</v>
      </c>
      <c r="H35" s="9">
        <f t="shared" ca="1" si="1"/>
        <v>0.70000000000000007</v>
      </c>
      <c r="N35" s="8">
        <v>374065</v>
      </c>
      <c r="P35" s="9">
        <f>IFERROR(LOOKUP(IF(O35="",F35,O35),{0,1,10,100,1000,2500,5000},{0,0.1,0.024,0.0097,0.00436,0.00378,0.00312}),"")</f>
        <v>9.7000000000000003E-3</v>
      </c>
      <c r="Q35" s="9">
        <f t="shared" si="5"/>
        <v>0.97</v>
      </c>
      <c r="R35" s="10" t="s">
        <v>202</v>
      </c>
      <c r="S35" s="8">
        <v>29170</v>
      </c>
      <c r="U35" s="9">
        <f>IFERROR(USD_GBP*LOOKUP(IF(T35="",F35,T35),{0,1,10,100,150,500,1000,2500,5000,25000},{0,0.0131,0.0131,0.0121,0.0121,0.0095,0.0076,0.0062,0.0053,0.0036}),"")</f>
        <v>1.6792378418743575E-2</v>
      </c>
      <c r="V35" s="9">
        <f t="shared" si="6"/>
        <v>1.6792378418743574</v>
      </c>
      <c r="W35" s="10" t="s">
        <v>239</v>
      </c>
      <c r="AC35" s="8">
        <v>40970</v>
      </c>
      <c r="AE35" s="9">
        <f>IFERROR(LOOKUP(IF(AD35="",F35,AD35),{0,1,10,50,100,1000,10000},{0,0.1,0.018,0.018,0.007,0.004,0.002}),"")</f>
        <v>7.0000000000000001E-3</v>
      </c>
      <c r="AF35" s="9">
        <f t="shared" si="4"/>
        <v>0.70000000000000007</v>
      </c>
      <c r="AG35" s="10" t="s">
        <v>283</v>
      </c>
      <c r="AH35" s="11" t="s">
        <v>187</v>
      </c>
      <c r="AJ35" s="9">
        <f>IFERROR(LOOKUP(IF(AI35="",F35,AI35),{0,1,10,25,50,100},{0,0.019,0.019,0.015,0.011,0.007}),"")</f>
        <v>7.0000000000000001E-3</v>
      </c>
      <c r="AK35" s="9">
        <f t="shared" si="7"/>
        <v>0.70000000000000007</v>
      </c>
      <c r="AL35" s="10" t="s">
        <v>320</v>
      </c>
    </row>
    <row r="36" spans="1:48" x14ac:dyDescent="0.2">
      <c r="A36" s="8" t="s">
        <v>100</v>
      </c>
      <c r="B36" s="8" t="s">
        <v>101</v>
      </c>
      <c r="D36" s="8" t="s">
        <v>56</v>
      </c>
      <c r="E36" s="8" t="s">
        <v>102</v>
      </c>
      <c r="F36" s="8">
        <f>BoardQty*1</f>
        <v>100</v>
      </c>
      <c r="G36" s="9">
        <f t="shared" ca="1" si="0"/>
        <v>6.0000000000000001E-3</v>
      </c>
      <c r="H36" s="9">
        <f t="shared" ca="1" si="1"/>
        <v>0.6</v>
      </c>
      <c r="N36" s="8">
        <v>4315409</v>
      </c>
      <c r="P36" s="9">
        <f>IFERROR(LOOKUP(IF(O36="",F36,O36),{0,1,10,100,1000,2500,5000},{0,0.1,0.024,0.0097,0.00436,0.00378,0.00312}),"")</f>
        <v>9.7000000000000003E-3</v>
      </c>
      <c r="Q36" s="9">
        <f t="shared" si="5"/>
        <v>0.97</v>
      </c>
      <c r="R36" s="10" t="s">
        <v>203</v>
      </c>
      <c r="S36" s="8">
        <v>6700000</v>
      </c>
      <c r="U36" s="9">
        <f>IFERROR(USD_GBP*LOOKUP(IF(T36="",F36,T36),{0,1,10,100,150,500,1000,2500,5000,25000},{0,0.0216,0.0216,0.0077,0.0077,0.0065,0.0051,0.0045,0.0044,0.0031}),"")</f>
        <v>1.0686058993745914E-2</v>
      </c>
      <c r="V36" s="9">
        <f t="shared" si="6"/>
        <v>1.0686058993745913</v>
      </c>
      <c r="W36" s="10" t="s">
        <v>240</v>
      </c>
      <c r="AC36" s="8">
        <v>1336539</v>
      </c>
      <c r="AE36" s="9">
        <f>IFERROR(LOOKUP(IF(AD36="",F36,AD36),{0,1,10,50,100,1000,10000},{0,0.1,0.018,0.018,0.007,0.004,0.002}),"")</f>
        <v>7.0000000000000001E-3</v>
      </c>
      <c r="AF36" s="9">
        <f t="shared" si="4"/>
        <v>0.70000000000000007</v>
      </c>
      <c r="AG36" s="10" t="s">
        <v>284</v>
      </c>
      <c r="AH36" s="8">
        <v>95000</v>
      </c>
      <c r="AJ36" s="9">
        <f>IFERROR(LOOKUP(IF(AI36="",F36,AI36),{0,1,10,25,50,100,5000},{0,0.1,0.018,0.018,0.012,0.006,0.003}),"")</f>
        <v>6.0000000000000001E-3</v>
      </c>
      <c r="AK36" s="9">
        <f t="shared" si="7"/>
        <v>0.6</v>
      </c>
      <c r="AL36" s="10" t="s">
        <v>321</v>
      </c>
      <c r="AR36" s="8">
        <v>600</v>
      </c>
      <c r="AT36" s="9">
        <f>IFERROR(USD_GBP*LOOKUP(IF(AS36="",F36,AS36),{0,1,100,1000,5000,15000,50000},{0,0.0266,0.0266,0.00958,0.00388,0.00327,0.00279}),"")</f>
        <v>3.6915476523849515E-2</v>
      </c>
      <c r="AU36" s="9">
        <f>IFERROR(IF(AS36="",F36,AS36)*AT36,"")</f>
        <v>3.6915476523849513</v>
      </c>
      <c r="AV36" s="10" t="s">
        <v>368</v>
      </c>
    </row>
    <row r="37" spans="1:48" x14ac:dyDescent="0.2">
      <c r="A37" s="8" t="s">
        <v>103</v>
      </c>
      <c r="B37" s="8" t="s">
        <v>104</v>
      </c>
      <c r="D37" s="8" t="s">
        <v>56</v>
      </c>
      <c r="E37" s="8" t="s">
        <v>105</v>
      </c>
      <c r="F37" s="8">
        <f>BoardQty*1</f>
        <v>100</v>
      </c>
      <c r="G37" s="9">
        <f t="shared" ca="1" si="0"/>
        <v>6.0000000000000001E-3</v>
      </c>
      <c r="H37" s="9">
        <f t="shared" ca="1" si="1"/>
        <v>0.6</v>
      </c>
      <c r="N37" s="8">
        <v>2950</v>
      </c>
      <c r="P37" s="9">
        <f>IFERROR(LOOKUP(IF(O37="",F37,O37),{0,1,10,100,1000,2500,5000},{0,0.1,0.024,0.0097,0.00436,0.00378,0.00312}),"")</f>
        <v>9.7000000000000003E-3</v>
      </c>
      <c r="Q37" s="9">
        <f t="shared" si="5"/>
        <v>0.97</v>
      </c>
      <c r="R37" s="10" t="s">
        <v>204</v>
      </c>
      <c r="AC37" s="8">
        <v>39775</v>
      </c>
      <c r="AE37" s="9">
        <f>IFERROR(LOOKUP(IF(AD37="",F37,AD37),{0,1,10,50,100,1000,10000},{0,0.1,0.018,0.018,0.006,0.005,0.003}),"")</f>
        <v>6.0000000000000001E-3</v>
      </c>
      <c r="AF37" s="9">
        <f t="shared" si="4"/>
        <v>0.6</v>
      </c>
      <c r="AG37" s="10" t="s">
        <v>285</v>
      </c>
    </row>
    <row r="38" spans="1:48" x14ac:dyDescent="0.2">
      <c r="A38" s="8" t="s">
        <v>106</v>
      </c>
      <c r="B38" s="8" t="s">
        <v>107</v>
      </c>
      <c r="D38" s="8" t="s">
        <v>56</v>
      </c>
      <c r="E38" s="8" t="s">
        <v>108</v>
      </c>
      <c r="F38" s="8">
        <f>BoardQty*1</f>
        <v>100</v>
      </c>
      <c r="G38" s="9">
        <f t="shared" ca="1" si="0"/>
        <v>4.1633996079529527E-3</v>
      </c>
      <c r="H38" s="9">
        <f t="shared" ca="1" si="1"/>
        <v>0.41633996079529528</v>
      </c>
      <c r="N38" s="8">
        <v>533464</v>
      </c>
      <c r="P38" s="9">
        <f>IFERROR(LOOKUP(IF(O38="",F38,O38),{0,1,10,100,1000,2500,5000},{0,0.1,0.024,0.0097,0.00436,0.00378,0.00312}),"")</f>
        <v>9.7000000000000003E-3</v>
      </c>
      <c r="Q38" s="9">
        <f t="shared" si="5"/>
        <v>0.97</v>
      </c>
      <c r="R38" s="10" t="s">
        <v>205</v>
      </c>
      <c r="S38" s="8">
        <v>1310011</v>
      </c>
      <c r="U38" s="9">
        <f>IFERROR(USD_GBP*LOOKUP(IF(T38="",F38,T38),{0,1,10,100,150,500,1000,2500,5000,25000},{0,0.0211,0.0211,0.0076,0.0076,0.0063,0.005,0.0044,0.0043,0.003}),"")</f>
        <v>1.0547279006814148E-2</v>
      </c>
      <c r="V38" s="9">
        <f>IFERROR(IF(T38="",F38,T38)*U38,"")</f>
        <v>1.0547279006814148</v>
      </c>
      <c r="W38" s="10" t="s">
        <v>241</v>
      </c>
      <c r="AC38" s="8">
        <v>92173</v>
      </c>
      <c r="AE38" s="9">
        <f>IFERROR(LOOKUP(IF(AD38="",F38,AD38),{0,1,10,50,100,1000,10000},{0,0.1,0.018,0.018,0.007,0.004,0.002}),"")</f>
        <v>7.0000000000000001E-3</v>
      </c>
      <c r="AF38" s="9">
        <f t="shared" si="4"/>
        <v>0.70000000000000007</v>
      </c>
      <c r="AG38" s="10" t="s">
        <v>286</v>
      </c>
      <c r="AH38" s="8">
        <v>25000</v>
      </c>
      <c r="AJ38" s="9">
        <f>IFERROR(LOOKUP(IF(AI38="",F38,AI38),{0,1,10,25,50,100,5000},{0,0.1,0.018,0.014,0.01,0.006,0.003}),"")</f>
        <v>6.0000000000000001E-3</v>
      </c>
      <c r="AK38" s="9">
        <f>IFERROR(IF(AI38="",F38,AI38)*AJ38,"")</f>
        <v>0.6</v>
      </c>
      <c r="AL38" s="10" t="s">
        <v>322</v>
      </c>
      <c r="AM38" s="8">
        <v>70000</v>
      </c>
      <c r="AO38" s="9">
        <f>IFERROR(USD_GBP*LOOKUP(IF(AN38="",F38,AN38),{0,1,5000,10000},{0,0.003,0.003,0.003}),"")</f>
        <v>4.1633996079529527E-3</v>
      </c>
      <c r="AP38" s="9">
        <f>IFERROR(IF(AN38="",F38,AN38)*AO38,"")</f>
        <v>0.41633996079529528</v>
      </c>
      <c r="AQ38" s="10" t="s">
        <v>346</v>
      </c>
      <c r="AR38" s="8">
        <v>18400</v>
      </c>
      <c r="AT38" s="9">
        <f>IFERROR(USD_GBP*LOOKUP(IF(AS38="",F38,AS38),{0,1,100,1000,5000,15000},{0,0.01377,0.01377,0.00301,0.00131,0.0012}),"")</f>
        <v>1.9110004200504054E-2</v>
      </c>
      <c r="AU38" s="9">
        <f>IFERROR(IF(AS38="",F38,AS38)*AT38,"")</f>
        <v>1.9110004200504054</v>
      </c>
      <c r="AV38" s="10" t="s">
        <v>369</v>
      </c>
    </row>
    <row r="39" spans="1:48" x14ac:dyDescent="0.2">
      <c r="A39" s="8" t="s">
        <v>109</v>
      </c>
      <c r="B39" s="8" t="s">
        <v>110</v>
      </c>
      <c r="D39" s="8" t="s">
        <v>56</v>
      </c>
      <c r="E39" s="8" t="s">
        <v>111</v>
      </c>
      <c r="F39" s="8">
        <f>BoardQty*3</f>
        <v>300</v>
      </c>
      <c r="G39" s="9">
        <f t="shared" ca="1" si="0"/>
        <v>6.0000000000000001E-3</v>
      </c>
      <c r="H39" s="9">
        <f t="shared" ca="1" si="1"/>
        <v>1.8</v>
      </c>
      <c r="N39" s="8">
        <v>835001</v>
      </c>
      <c r="P39" s="9">
        <f>IFERROR(LOOKUP(IF(O39="",F39,O39),{0,1,10,100,1000,2500,5000},{0,0.1,0.024,0.0097,0.00436,0.00378,0.00312}),"")</f>
        <v>9.7000000000000003E-3</v>
      </c>
      <c r="Q39" s="9">
        <f t="shared" si="5"/>
        <v>2.91</v>
      </c>
      <c r="R39" s="10" t="s">
        <v>206</v>
      </c>
      <c r="S39" s="8">
        <v>82010</v>
      </c>
      <c r="U39" s="9">
        <f>IFERROR(USD_GBP*LOOKUP(IF(T39="",F39,T39),{0,1,10,100,150,500,1000,2500,5000,25000},{0,0.0131,0.0131,0.0121,0.0121,0.0095,0.0076,0.0062,0.0053,0.0036}),"")</f>
        <v>1.6792378418743575E-2</v>
      </c>
      <c r="V39" s="9">
        <f>IFERROR(IF(T39="",F39,T39)*U39,"")</f>
        <v>5.0377135256230723</v>
      </c>
      <c r="W39" s="10" t="s">
        <v>242</v>
      </c>
      <c r="AC39" s="8">
        <v>1741</v>
      </c>
      <c r="AE39" s="9">
        <f>IFERROR(LOOKUP(IF(AD39="",F39,AD39),{0,1,10,50,100,1000,10000},{0,0.1,0.018,0.018,0.006,0.005,0.003}),"")</f>
        <v>6.0000000000000001E-3</v>
      </c>
      <c r="AF39" s="9">
        <f t="shared" si="4"/>
        <v>1.8</v>
      </c>
      <c r="AG39" s="10" t="s">
        <v>287</v>
      </c>
      <c r="AH39" s="11" t="s">
        <v>187</v>
      </c>
      <c r="AJ39" s="9">
        <f>IFERROR(LOOKUP(IF(AI39="",F39,AI39),{0,1,10,25,50,100},{0,0.019,0.019,0.015,0.011,0.007}),"")</f>
        <v>7.0000000000000001E-3</v>
      </c>
      <c r="AK39" s="9">
        <f>IFERROR(IF(AI39="",F39,AI39)*AJ39,"")</f>
        <v>2.1</v>
      </c>
      <c r="AL39" s="10" t="s">
        <v>323</v>
      </c>
      <c r="AR39" s="11" t="s">
        <v>187</v>
      </c>
      <c r="AT39" s="9">
        <f>IFERROR(USD_GBP*LOOKUP(IF(AS39="",F39,AS39),{0,1,100,1000,5000,15000},{0,0.0266,0.0266,0.00958,0.00388,0.00327}),"")</f>
        <v>3.6915476523849515E-2</v>
      </c>
      <c r="AU39" s="9">
        <f>IFERROR(IF(AS39="",F39,AS39)*AT39,"")</f>
        <v>11.074642957154854</v>
      </c>
      <c r="AV39" s="10" t="s">
        <v>370</v>
      </c>
    </row>
    <row r="40" spans="1:48" x14ac:dyDescent="0.2">
      <c r="A40" s="8" t="s">
        <v>112</v>
      </c>
      <c r="B40" s="8" t="s">
        <v>113</v>
      </c>
      <c r="D40" s="8" t="s">
        <v>114</v>
      </c>
      <c r="E40" s="8" t="s">
        <v>115</v>
      </c>
      <c r="F40" s="8">
        <f>BoardQty*2</f>
        <v>200</v>
      </c>
      <c r="G40" s="9">
        <f t="shared" ca="1" si="0"/>
        <v>5.97</v>
      </c>
      <c r="H40" s="9">
        <f t="shared" ca="1" si="1"/>
        <v>1194</v>
      </c>
      <c r="N40" s="8">
        <v>4080</v>
      </c>
      <c r="P40" s="9">
        <f>IFERROR(LOOKUP(IF(O40="",F40,O40),{0,1,10,25,100,250,500},{0,7.99,7.22,6.884,5.9774,5.70872,5.29056}),"")</f>
        <v>5.9774000000000003</v>
      </c>
      <c r="Q40" s="9">
        <f t="shared" si="5"/>
        <v>1195.48</v>
      </c>
      <c r="R40" s="10" t="s">
        <v>207</v>
      </c>
      <c r="AC40" s="8">
        <v>2330</v>
      </c>
      <c r="AE40" s="9">
        <f>IFERROR(LOOKUP(IF(AD40="",F40,AD40),{0,1,10,50,100,1000,10000},{0,7.99,7.22,6.89,5.97,4.75,4.75}),"")</f>
        <v>5.97</v>
      </c>
      <c r="AF40" s="9">
        <f t="shared" si="4"/>
        <v>1194</v>
      </c>
      <c r="AG40" s="10" t="s">
        <v>288</v>
      </c>
    </row>
    <row r="41" spans="1:48" x14ac:dyDescent="0.2">
      <c r="A41" s="8" t="s">
        <v>116</v>
      </c>
      <c r="B41" s="8" t="s">
        <v>117</v>
      </c>
      <c r="D41" s="8" t="s">
        <v>114</v>
      </c>
      <c r="E41" s="8" t="s">
        <v>118</v>
      </c>
      <c r="F41" s="8">
        <f>BoardQty*1</f>
        <v>100</v>
      </c>
      <c r="G41" s="9">
        <f t="shared" ca="1" si="0"/>
        <v>0.15682138523289457</v>
      </c>
      <c r="H41" s="9">
        <f t="shared" ca="1" si="1"/>
        <v>15.682138523289456</v>
      </c>
      <c r="N41" s="11" t="s">
        <v>187</v>
      </c>
      <c r="P41" s="9">
        <f>IFERROR(LOOKUP(IF(O41="",F41,O41),{0,1,10,25,100,250,500,1000,2500},{0,0.49,0.417,0.3896,0.3116,0.28936,0.24486,0.18921,0.18375}),"")</f>
        <v>0.31159999999999999</v>
      </c>
      <c r="Q41" s="9">
        <f t="shared" si="5"/>
        <v>31.16</v>
      </c>
      <c r="R41" s="10" t="s">
        <v>208</v>
      </c>
      <c r="S41" s="11" t="s">
        <v>187</v>
      </c>
      <c r="U41" s="9">
        <f>IFERROR(USD_GBP*LOOKUP(IF(T41="",F41,T41),{0,1,5,10,100,150,500,1000,5000,10000},{0,0.435,0.435,0.339,0.181,0.181,0.151,0.122,0.12,0.117}),"")</f>
        <v>0.25119177634649481</v>
      </c>
      <c r="V41" s="9">
        <f>IFERROR(IF(T41="",F41,T41)*U41,"")</f>
        <v>25.119177634649482</v>
      </c>
      <c r="W41" s="10" t="s">
        <v>243</v>
      </c>
      <c r="X41" s="8">
        <v>1390</v>
      </c>
      <c r="Z41" s="9">
        <f>IFERROR(LOOKUP(IF(Y41="",F41,Y41),{0,1,10,30,100,500,1000},{0,0.2713,0.2106,0.1995,0.1884,0.1834,0.1809}),"")</f>
        <v>0.18840000000000001</v>
      </c>
      <c r="AA41" s="9">
        <f>IFERROR(IF(Y41="",F41,Y41)*Z41,"")</f>
        <v>18.84</v>
      </c>
      <c r="AB41" s="10" t="s">
        <v>254</v>
      </c>
      <c r="AC41" s="8">
        <v>12</v>
      </c>
      <c r="AE41" s="9">
        <f>IFERROR(LOOKUP(IF(AD41="",F41,AD41),{0,1,10,50,100,1000,10000},{0,0.49,0.418,0.418,0.29,0.19,0.172}),"")</f>
        <v>0.28999999999999998</v>
      </c>
      <c r="AF41" s="9">
        <f t="shared" si="4"/>
        <v>28.999999999999996</v>
      </c>
      <c r="AG41" s="10" t="s">
        <v>289</v>
      </c>
      <c r="AH41" s="8">
        <v>71</v>
      </c>
      <c r="AJ41" s="9">
        <f>IFERROR(LOOKUP(IF(AI41="",F41,AI41),{0,1,5,10,100,500,1000,2500,5000,10000,15000,20000,25000,250000},{0,0.575,0.575,0.459,0.275,0.239,0.203,0.121,0.12,0.117,0.116,0.114,0.112,0.111}),"")</f>
        <v>0.27500000000000002</v>
      </c>
      <c r="AK41" s="9">
        <f>IFERROR(IF(AI41="",F41,AI41)*AJ41,"")</f>
        <v>27.500000000000004</v>
      </c>
      <c r="AL41" s="10" t="s">
        <v>324</v>
      </c>
      <c r="AM41" s="8">
        <v>1100</v>
      </c>
      <c r="AO41" s="9">
        <f>IFERROR(USD_GBP*LOOKUP(IF(AN41="",F41,AN41),{0,1,2500,5000,7500,10000},{0,0.113,0.113,0.11,0.107,0.104}),"")</f>
        <v>0.15682138523289457</v>
      </c>
      <c r="AP41" s="9">
        <f>IFERROR(IF(AN41="",F41,AN41)*AO41,"")</f>
        <v>15.682138523289456</v>
      </c>
      <c r="AQ41" s="10" t="s">
        <v>347</v>
      </c>
      <c r="AR41" s="8">
        <v>1791</v>
      </c>
      <c r="AT41" s="9">
        <f>IFERROR(USD_GBP*LOOKUP(IF(AS41="",F41,AS41),{0,1,3,25,100,250,1000},{0,0.2079,0.2079,0.1677,0.136,0.1152,0.1074}),"")</f>
        <v>0.18874078222720056</v>
      </c>
      <c r="AU41" s="9">
        <f>IFERROR(IF(AS41="",F41,AS41)*AT41,"")</f>
        <v>18.874078222720055</v>
      </c>
      <c r="AV41" s="10" t="s">
        <v>118</v>
      </c>
    </row>
    <row r="42" spans="1:48" x14ac:dyDescent="0.2">
      <c r="A42" s="8" t="s">
        <v>119</v>
      </c>
      <c r="B42" s="8" t="s">
        <v>120</v>
      </c>
      <c r="D42" s="8" t="s">
        <v>121</v>
      </c>
      <c r="E42" s="8" t="s">
        <v>122</v>
      </c>
      <c r="F42" s="8">
        <f>BoardQty*3</f>
        <v>300</v>
      </c>
      <c r="G42" s="9">
        <f t="shared" ca="1" si="0"/>
        <v>1.0962000000000001</v>
      </c>
      <c r="H42" s="9">
        <f t="shared" ca="1" si="1"/>
        <v>328.86</v>
      </c>
      <c r="N42" s="8">
        <v>472</v>
      </c>
      <c r="P42" s="9">
        <f>IFERROR(LOOKUP(IF(O42="",F42,O42),{0,1,10,25,100,250,500,1000},{0,1.68,1.504,1.4276,1.1727,1.0962,0.96874,0.80327}),"")</f>
        <v>1.0962000000000001</v>
      </c>
      <c r="Q42" s="9">
        <f t="shared" si="5"/>
        <v>328.86</v>
      </c>
      <c r="R42" s="10" t="s">
        <v>209</v>
      </c>
    </row>
    <row r="43" spans="1:48" x14ac:dyDescent="0.2">
      <c r="A43" s="8" t="s">
        <v>123</v>
      </c>
      <c r="B43" s="8" t="s">
        <v>124</v>
      </c>
      <c r="D43" s="8" t="s">
        <v>125</v>
      </c>
      <c r="E43" s="8" t="s">
        <v>124</v>
      </c>
      <c r="F43" s="8">
        <f>BoardQty*3</f>
        <v>300</v>
      </c>
      <c r="G43" s="9">
        <f t="shared" ca="1" si="0"/>
        <v>2.2524799999999998</v>
      </c>
      <c r="H43" s="9">
        <f t="shared" ca="1" si="1"/>
        <v>675.74399999999991</v>
      </c>
      <c r="N43" s="8">
        <v>1773</v>
      </c>
      <c r="P43" s="9">
        <f>IFERROR(LOOKUP(IF(O43="",F43,O43),{0,1,10,25,100,250,500,2000},{0,3.51,3.154,2.9812,2.3718,2.25248,2.0875,2.0875}),"")</f>
        <v>2.2524799999999998</v>
      </c>
      <c r="Q43" s="9">
        <f t="shared" si="5"/>
        <v>675.74399999999991</v>
      </c>
      <c r="R43" s="10" t="s">
        <v>210</v>
      </c>
      <c r="AC43" s="8">
        <v>1359</v>
      </c>
      <c r="AE43" s="9">
        <f>IFERROR(LOOKUP(IF(AD43="",F43,AD43),{0,1,10,50,100,1000,10000},{0,3.51,3.16,2.99,2.38,1.88,1.74}),"")</f>
        <v>2.38</v>
      </c>
      <c r="AF43" s="9">
        <f t="shared" ref="AF43:AF51" si="8">IFERROR(IF(AD43="",F43,AD43)*AE43,"")</f>
        <v>714</v>
      </c>
      <c r="AG43" s="10" t="s">
        <v>290</v>
      </c>
    </row>
    <row r="44" spans="1:48" x14ac:dyDescent="0.2">
      <c r="A44" s="8" t="s">
        <v>126</v>
      </c>
      <c r="B44" s="8" t="s">
        <v>127</v>
      </c>
      <c r="D44" s="8" t="s">
        <v>128</v>
      </c>
      <c r="E44" s="8" t="s">
        <v>129</v>
      </c>
      <c r="F44" s="8">
        <f>BoardQty*1</f>
        <v>100</v>
      </c>
      <c r="G44" s="9">
        <f t="shared" ca="1" si="0"/>
        <v>2.87</v>
      </c>
      <c r="H44" s="9">
        <f t="shared" ca="1" si="1"/>
        <v>287</v>
      </c>
      <c r="N44" s="8">
        <v>322</v>
      </c>
      <c r="P44" s="9">
        <f>IFERROR(LOOKUP(IF(O44="",F44,O44),{0,1,10,25,100},{0,4.3,3.865,3.654,3.36}),"")</f>
        <v>3.36</v>
      </c>
      <c r="Q44" s="9">
        <f t="shared" si="5"/>
        <v>336</v>
      </c>
      <c r="R44" s="10" t="s">
        <v>211</v>
      </c>
      <c r="S44" s="8">
        <v>192</v>
      </c>
      <c r="U44" s="9">
        <f>IFERROR(USD_GBP*LOOKUP(IF(T44="",F44,T44),{0,1,10,25,50,100,250,500},{0,3.08,2.76,2.62,2.61,2.5,2.4,2.29}),"")</f>
        <v>3.4694996732941275</v>
      </c>
      <c r="V44" s="9">
        <f>IFERROR(IF(T44="",F44,T44)*U44,"")</f>
        <v>346.94996732941274</v>
      </c>
      <c r="W44" s="10" t="s">
        <v>244</v>
      </c>
      <c r="AC44" s="8">
        <v>391</v>
      </c>
      <c r="AE44" s="9">
        <f>IFERROR(LOOKUP(IF(AD44="",F44,AD44),{0,1,10,50,100,1000,10000},{0,4.3,3.87,3.66,3.01,2.98,2.98}),"")</f>
        <v>3.01</v>
      </c>
      <c r="AF44" s="9">
        <f t="shared" si="8"/>
        <v>301</v>
      </c>
      <c r="AG44" s="10" t="s">
        <v>291</v>
      </c>
      <c r="AH44" s="8">
        <v>192</v>
      </c>
      <c r="AJ44" s="9">
        <f>IFERROR(LOOKUP(IF(AI44="",F44,AI44),{0,1,10,25,50,100,250},{0,4.11,3.69,3.53,3.43,2.87,2.69}),"")</f>
        <v>2.87</v>
      </c>
      <c r="AK44" s="9">
        <f>IFERROR(IF(AI44="",F44,AI44)*AJ44,"")</f>
        <v>287</v>
      </c>
      <c r="AL44" s="10" t="s">
        <v>325</v>
      </c>
    </row>
    <row r="45" spans="1:48" x14ac:dyDescent="0.2">
      <c r="A45" s="8" t="s">
        <v>130</v>
      </c>
      <c r="B45" s="8" t="s">
        <v>131</v>
      </c>
      <c r="D45" s="8" t="s">
        <v>42</v>
      </c>
      <c r="E45" s="8" t="s">
        <v>131</v>
      </c>
      <c r="F45" s="8">
        <f>BoardQty*1</f>
        <v>100</v>
      </c>
      <c r="G45" s="9">
        <f t="shared" ca="1" si="0"/>
        <v>5.2458835060207205</v>
      </c>
      <c r="H45" s="9">
        <f t="shared" ca="1" si="1"/>
        <v>524.58835060207207</v>
      </c>
      <c r="N45" s="11" t="s">
        <v>187</v>
      </c>
      <c r="P45" s="9">
        <f>IFERROR(LOOKUP(IF(O45="",F45,O45),{0,1,10,25,100,250,500,1000},{0,7.39,6.677,6.3668,5.5283,5.27984,4.814,4.395}),"")</f>
        <v>5.5282999999999998</v>
      </c>
      <c r="Q45" s="9">
        <f t="shared" si="5"/>
        <v>552.82999999999993</v>
      </c>
      <c r="R45" s="10" t="s">
        <v>212</v>
      </c>
      <c r="S45" s="8">
        <v>11653</v>
      </c>
      <c r="U45" s="9">
        <f>IFERROR(USD_GBP*LOOKUP(IF(T45="",F45,T45),{0,1,10,25,50,100},{0,6.7,5.52,5.26,4.74,4.37}),"")</f>
        <v>6.0646854289181347</v>
      </c>
      <c r="V45" s="9">
        <f>IFERROR(IF(T45="",F45,T45)*U45,"")</f>
        <v>606.46854289181351</v>
      </c>
      <c r="W45" s="10" t="s">
        <v>245</v>
      </c>
      <c r="X45" s="8">
        <v>11</v>
      </c>
      <c r="Z45" s="9">
        <f>IFERROR(LOOKUP(IF(Y45="",F45,Y45),{0,1,10,30,100,500,1000},{0,6.7533,5.9256,5.7723,5.6209,5.5523,5.4694}),"")</f>
        <v>5.6208999999999998</v>
      </c>
      <c r="AA45" s="9">
        <f>IFERROR(IF(Y45="",F45,Y45)*Z45,"")</f>
        <v>562.09</v>
      </c>
      <c r="AB45" s="10" t="s">
        <v>255</v>
      </c>
      <c r="AC45" s="8">
        <v>1</v>
      </c>
      <c r="AE45" s="9">
        <f>IFERROR(LOOKUP(IF(AD45="",F45,AD45),{0,1,10,50,100,1000,10000},{0,7.4,6.68,6.37,5.52,4.39,4.39}),"")</f>
        <v>5.52</v>
      </c>
      <c r="AF45" s="9">
        <f t="shared" si="8"/>
        <v>552</v>
      </c>
      <c r="AG45" s="10" t="s">
        <v>292</v>
      </c>
      <c r="AH45" s="8">
        <v>10888</v>
      </c>
      <c r="AJ45" s="9">
        <f>IFERROR(LOOKUP(IF(AI45="",F45,AI45),{0,1,10,25,50,100,250,500},{0,7.23,6.58,6.23,5.9,5.63,5.34,4.91}),"")</f>
        <v>5.63</v>
      </c>
      <c r="AK45" s="9">
        <f>IFERROR(IF(AI45="",F45,AI45)*AJ45,"")</f>
        <v>563</v>
      </c>
      <c r="AL45" s="10" t="s">
        <v>326</v>
      </c>
      <c r="AM45" s="8">
        <v>661</v>
      </c>
      <c r="AO45" s="9">
        <f>IFERROR(USD_GBP*LOOKUP(IF(AN45="",F45,AN45),{0,1,10,25,50,100},{0,5.31,4.8,4.57,4.12,3.8}),"")</f>
        <v>5.2736395034070735</v>
      </c>
      <c r="AP45" s="9">
        <f>IFERROR(IF(AN45="",F45,AN45)*AO45,"")</f>
        <v>527.36395034070733</v>
      </c>
      <c r="AQ45" s="10" t="s">
        <v>348</v>
      </c>
      <c r="AR45" s="11" t="s">
        <v>187</v>
      </c>
      <c r="AT45" s="9">
        <f>IFERROR(USD_GBP*LOOKUP(IF(AS45="",F45,AS45),{0,1,3,10,25},{0,5.1,4.51,4.05,3.78}),"")</f>
        <v>5.2458835060207205</v>
      </c>
      <c r="AU45" s="9">
        <f>IFERROR(IF(AS45="",F45,AS45)*AT45,"")</f>
        <v>524.58835060207207</v>
      </c>
      <c r="AV45" s="10" t="s">
        <v>131</v>
      </c>
    </row>
    <row r="46" spans="1:48" x14ac:dyDescent="0.2">
      <c r="A46" s="8" t="s">
        <v>132</v>
      </c>
      <c r="B46" s="8" t="s">
        <v>133</v>
      </c>
      <c r="D46" s="8" t="s">
        <v>133</v>
      </c>
      <c r="E46" s="8" t="s">
        <v>133</v>
      </c>
      <c r="F46" s="8">
        <f>BoardQty*1</f>
        <v>100</v>
      </c>
      <c r="G46" s="9">
        <f t="shared" ca="1" si="0"/>
        <v>5.5660999999999996</v>
      </c>
      <c r="H46" s="9">
        <f t="shared" ca="1" si="1"/>
        <v>556.61</v>
      </c>
      <c r="N46" s="11" t="s">
        <v>187</v>
      </c>
      <c r="P46" s="9">
        <f>IFERROR(LOOKUP(IF(O46="",F46,O46),{0,1,10,25,100,250,500,1500},{0,7.44,6.723,6.4104,5.5661,5.31592,4.84684,4.425}),"")</f>
        <v>5.5660999999999996</v>
      </c>
      <c r="Q46" s="9">
        <f t="shared" si="5"/>
        <v>556.61</v>
      </c>
      <c r="R46" s="10" t="s">
        <v>213</v>
      </c>
      <c r="AC46" s="8">
        <v>22</v>
      </c>
      <c r="AE46" s="9">
        <f>IFERROR(LOOKUP(IF(AD46="",F46,AD46),{0,1,10,50,100,1000,10000},{0,7.44,6.73,6.41,5.57,4.43,4.43}),"")</f>
        <v>5.57</v>
      </c>
      <c r="AF46" s="9">
        <f t="shared" si="8"/>
        <v>557</v>
      </c>
      <c r="AG46" s="10" t="s">
        <v>293</v>
      </c>
      <c r="AH46" s="11" t="s">
        <v>187</v>
      </c>
      <c r="AL46" s="10" t="s">
        <v>327</v>
      </c>
    </row>
    <row r="47" spans="1:48" x14ac:dyDescent="0.2">
      <c r="A47" s="8" t="s">
        <v>134</v>
      </c>
      <c r="B47" s="8" t="s">
        <v>135</v>
      </c>
      <c r="D47" s="8" t="s">
        <v>128</v>
      </c>
      <c r="E47" s="8" t="s">
        <v>136</v>
      </c>
      <c r="F47" s="8">
        <f>BoardQty*1</f>
        <v>100</v>
      </c>
      <c r="G47" s="9">
        <f t="shared" ca="1" si="0"/>
        <v>4.8850555399981319</v>
      </c>
      <c r="H47" s="9">
        <f t="shared" ca="1" si="1"/>
        <v>488.50555399981317</v>
      </c>
      <c r="N47" s="8">
        <v>1283</v>
      </c>
      <c r="P47" s="9">
        <f>IFERROR(LOOKUP(IF(O47="",F47,O47),{0,1,10,25,100,250,500,1500},{0,6.96,6.29,5.9976,5.2076,4.97352,4.53468,4.14}),"")</f>
        <v>5.2076000000000002</v>
      </c>
      <c r="Q47" s="9">
        <f t="shared" si="5"/>
        <v>520.76</v>
      </c>
      <c r="R47" s="10" t="s">
        <v>214</v>
      </c>
      <c r="S47" s="11" t="s">
        <v>187</v>
      </c>
      <c r="U47" s="9">
        <f>IFERROR(USD_GBP*LOOKUP(IF(T47="",F47,T47),{0,1,10,25,50,100,250,500},{0,5.15,4.19,3.95,3.71,3.52,3.31,2.96}),"")</f>
        <v>4.8850555399981319</v>
      </c>
      <c r="V47" s="9">
        <f>IFERROR(IF(T47="",F47,T47)*U47,"")</f>
        <v>488.50555399981317</v>
      </c>
      <c r="W47" s="10" t="s">
        <v>246</v>
      </c>
      <c r="AC47" s="8">
        <v>5746</v>
      </c>
      <c r="AE47" s="9">
        <f>IFERROR(LOOKUP(IF(AD47="",F47,AD47),{0,1,10,50,100,1000,10000},{0,6.96,6.29,6,5.21,4.14,4}),"")</f>
        <v>5.21</v>
      </c>
      <c r="AF47" s="9">
        <f t="shared" si="8"/>
        <v>521</v>
      </c>
      <c r="AG47" s="10" t="s">
        <v>294</v>
      </c>
    </row>
    <row r="48" spans="1:48" x14ac:dyDescent="0.2">
      <c r="A48" s="8" t="s">
        <v>137</v>
      </c>
      <c r="B48" s="8" t="s">
        <v>138</v>
      </c>
      <c r="D48" s="8" t="s">
        <v>138</v>
      </c>
      <c r="E48" s="8" t="s">
        <v>138</v>
      </c>
      <c r="F48" s="8">
        <f>BoardQty*1</f>
        <v>100</v>
      </c>
      <c r="G48" s="9">
        <f t="shared" ca="1" si="0"/>
        <v>1.96</v>
      </c>
      <c r="H48" s="9">
        <f t="shared" ca="1" si="1"/>
        <v>196</v>
      </c>
      <c r="N48" s="8">
        <v>5535</v>
      </c>
      <c r="P48" s="9">
        <f>IFERROR(LOOKUP(IF(O48="",F48,O48),{0,1,10,25,50,100,250,500,1000,3000,5000},{0,3.11,2.919,2.5948,2.465,2.3352,2.07576,1.94602,1.81628,1.78385,1.75142}),"")</f>
        <v>2.3351999999999999</v>
      </c>
      <c r="Q48" s="9">
        <f t="shared" si="5"/>
        <v>233.51999999999998</v>
      </c>
      <c r="R48" s="10" t="s">
        <v>215</v>
      </c>
      <c r="AC48" s="8">
        <v>3153</v>
      </c>
      <c r="AE48" s="9">
        <f>IFERROR(LOOKUP(IF(AD48="",F48,AD48),{0,1,10,50,100,1000,10000},{0,2.94,2.33,2.33,1.96,1.71,1.71}),"")</f>
        <v>1.96</v>
      </c>
      <c r="AF48" s="9">
        <f t="shared" si="8"/>
        <v>196</v>
      </c>
      <c r="AG48" s="10" t="s">
        <v>295</v>
      </c>
      <c r="AH48" s="11" t="s">
        <v>187</v>
      </c>
      <c r="AJ48" s="9">
        <f>IFERROR(LOOKUP(IF(AI48="",F48,AI48),{0,1,5,10,25,50},{0,2134.67,2061.27,2024.57,1987.87,1926.71}),"")</f>
        <v>1926.71</v>
      </c>
      <c r="AK48" s="9">
        <f>IFERROR(IF(AI48="",F48,AI48)*AJ48,"")</f>
        <v>192671</v>
      </c>
      <c r="AL48" s="10" t="s">
        <v>328</v>
      </c>
    </row>
    <row r="49" spans="1:48" x14ac:dyDescent="0.2">
      <c r="A49" s="8" t="s">
        <v>139</v>
      </c>
      <c r="B49" s="8" t="s">
        <v>138</v>
      </c>
      <c r="D49" s="8" t="s">
        <v>138</v>
      </c>
      <c r="E49" s="8" t="s">
        <v>138</v>
      </c>
      <c r="F49" s="8">
        <f>BoardQty*2</f>
        <v>200</v>
      </c>
      <c r="G49" s="9">
        <f t="shared" ca="1" si="0"/>
        <v>1.96</v>
      </c>
      <c r="H49" s="9">
        <f t="shared" ca="1" si="1"/>
        <v>392</v>
      </c>
      <c r="N49" s="8">
        <v>5535</v>
      </c>
      <c r="P49" s="9">
        <f>IFERROR(LOOKUP(IF(O49="",F49,O49),{0,1,10,25,50,100,250,500,1000,3000,5000},{0,3.11,2.919,2.5948,2.465,2.3352,2.07576,1.94602,1.81628,1.78385,1.75142}),"")</f>
        <v>2.3351999999999999</v>
      </c>
      <c r="Q49" s="9">
        <f t="shared" si="5"/>
        <v>467.03999999999996</v>
      </c>
      <c r="R49" s="10" t="s">
        <v>215</v>
      </c>
      <c r="AC49" s="8">
        <v>3153</v>
      </c>
      <c r="AE49" s="9">
        <f>IFERROR(LOOKUP(IF(AD49="",F49,AD49),{0,1,10,50,100,1000,10000},{0,2.94,2.33,2.33,1.96,1.71,1.71}),"")</f>
        <v>1.96</v>
      </c>
      <c r="AF49" s="9">
        <f t="shared" si="8"/>
        <v>392</v>
      </c>
      <c r="AG49" s="10" t="s">
        <v>295</v>
      </c>
      <c r="AH49" s="11" t="s">
        <v>187</v>
      </c>
      <c r="AJ49" s="9">
        <f>IFERROR(LOOKUP(IF(AI49="",F49,AI49),{0,1,5,10,25,50},{0,2134.67,2061.27,2024.57,1987.87,1926.71}),"")</f>
        <v>1926.71</v>
      </c>
      <c r="AK49" s="9">
        <f>IFERROR(IF(AI49="",F49,AI49)*AJ49,"")</f>
        <v>385342</v>
      </c>
      <c r="AL49" s="10" t="s">
        <v>328</v>
      </c>
    </row>
    <row r="50" spans="1:48" x14ac:dyDescent="0.2">
      <c r="A50" s="8" t="s">
        <v>140</v>
      </c>
      <c r="B50" s="8" t="s">
        <v>141</v>
      </c>
      <c r="D50" s="8" t="s">
        <v>114</v>
      </c>
      <c r="E50" s="8" t="s">
        <v>142</v>
      </c>
      <c r="F50" s="8">
        <f>BoardQty*1</f>
        <v>100</v>
      </c>
      <c r="G50" s="9">
        <f t="shared" ca="1" si="0"/>
        <v>0.25</v>
      </c>
      <c r="H50" s="9">
        <f t="shared" ca="1" si="1"/>
        <v>25</v>
      </c>
      <c r="N50" s="8">
        <v>6014</v>
      </c>
      <c r="P50" s="9">
        <f>IFERROR(LOOKUP(IF(O50="",F50,O50),{0,1,25,100,3300},{0,0.27,0.26,0.25,0.25}),"")</f>
        <v>0.25</v>
      </c>
      <c r="Q50" s="9">
        <f t="shared" si="5"/>
        <v>25</v>
      </c>
      <c r="R50" s="10" t="s">
        <v>216</v>
      </c>
      <c r="S50" s="11" t="s">
        <v>187</v>
      </c>
      <c r="U50" s="9">
        <f>IFERROR(USD_GBP*LOOKUP(IF(T50="",F50,T50),{0,1,3300},{0,0.183,0.183}),"")</f>
        <v>0.25396737608513015</v>
      </c>
      <c r="V50" s="9">
        <f>IFERROR(IF(T50="",F50,T50)*U50,"")</f>
        <v>25.396737608513014</v>
      </c>
      <c r="W50" s="10" t="s">
        <v>247</v>
      </c>
      <c r="AC50" s="8">
        <v>8136</v>
      </c>
      <c r="AE50" s="9">
        <f>IFERROR(LOOKUP(IF(AD50="",F50,AD50),{0,1,10,50,100,1000,10000},{0,0.27,0.27,0.26,0.25,0.25,0.25}),"")</f>
        <v>0.25</v>
      </c>
      <c r="AF50" s="9">
        <f t="shared" si="8"/>
        <v>25</v>
      </c>
      <c r="AG50" s="10" t="s">
        <v>296</v>
      </c>
      <c r="AH50" s="11" t="s">
        <v>187</v>
      </c>
      <c r="AJ50" s="9">
        <f>IFERROR(LOOKUP(IF(AI50="",F50,AI50),{0,1,3300},{0,0.25,0.25}),"")</f>
        <v>0.25</v>
      </c>
      <c r="AK50" s="9">
        <f>IFERROR(IF(AI50="",F50,AI50)*AJ50,"")</f>
        <v>25</v>
      </c>
      <c r="AL50" s="10" t="s">
        <v>329</v>
      </c>
    </row>
    <row r="51" spans="1:48" x14ac:dyDescent="0.2">
      <c r="A51" s="8" t="s">
        <v>143</v>
      </c>
      <c r="B51" s="8" t="s">
        <v>144</v>
      </c>
      <c r="D51" s="8" t="s">
        <v>114</v>
      </c>
      <c r="E51" s="8" t="s">
        <v>145</v>
      </c>
      <c r="F51" s="8">
        <f>BoardQty*1</f>
        <v>100</v>
      </c>
      <c r="G51" s="9">
        <f t="shared" ca="1" si="0"/>
        <v>0.48434215439186018</v>
      </c>
      <c r="H51" s="9">
        <f t="shared" ca="1" si="1"/>
        <v>48.434215439186019</v>
      </c>
      <c r="N51" s="8">
        <v>3356</v>
      </c>
      <c r="P51" s="9">
        <f>IFERROR(LOOKUP(IF(O51="",F51,O51),{0,1,10,25,100,250,500,1000},{0,0.96,0.86,0.816,0.6704,0.62672,0.55384,0.45925}),"")</f>
        <v>0.6704</v>
      </c>
      <c r="Q51" s="9">
        <f t="shared" si="5"/>
        <v>67.040000000000006</v>
      </c>
      <c r="R51" s="10" t="s">
        <v>217</v>
      </c>
      <c r="S51" s="8">
        <v>1128</v>
      </c>
      <c r="U51" s="9">
        <f>IFERROR(USD_GBP*LOOKUP(IF(T51="",F51,T51),{0,1,10,50,100,250,500,1000,2500,5000},{0,0.621,0.632,0.542,0.349,0.326,0.303,0.28,0.269,0.257}),"")</f>
        <v>0.48434215439186018</v>
      </c>
      <c r="V51" s="9">
        <f>IFERROR(IF(T51="",F51,T51)*U51,"")</f>
        <v>48.434215439186019</v>
      </c>
      <c r="W51" s="10" t="s">
        <v>248</v>
      </c>
      <c r="AC51" s="8">
        <v>680</v>
      </c>
      <c r="AE51" s="9">
        <f>IFERROR(LOOKUP(IF(AD51="",F51,AD51),{0,1,10,50,100,1000,10000},{0,0.96,0.86,0.816,0.67,0.449,0.384}),"")</f>
        <v>0.67</v>
      </c>
      <c r="AF51" s="9">
        <f t="shared" si="8"/>
        <v>67</v>
      </c>
      <c r="AG51" s="10" t="s">
        <v>297</v>
      </c>
      <c r="AH51" s="8">
        <v>1128</v>
      </c>
      <c r="AJ51" s="9">
        <f>IFERROR(LOOKUP(IF(AI51="",F51,AI51),{0,1,10,100,500,1000,2500},{0,1.12,1.04,0.943,0.896,0.849,0.801}),"")</f>
        <v>0.94299999999999995</v>
      </c>
      <c r="AK51" s="9">
        <f>IFERROR(IF(AI51="",F51,AI51)*AJ51,"")</f>
        <v>94.3</v>
      </c>
      <c r="AL51" s="10" t="s">
        <v>330</v>
      </c>
      <c r="AM51" s="8">
        <v>510</v>
      </c>
      <c r="AO51" s="9">
        <f>IFERROR(USD_GBP*LOOKUP(IF(AN51="",F51,AN51),{0,1},{0,0.7}),"")</f>
        <v>0.97145990852235564</v>
      </c>
      <c r="AP51" s="9">
        <f>IFERROR(IF(AN51="",F51,AN51)*AO51,"")</f>
        <v>97.14599085223557</v>
      </c>
      <c r="AQ51" s="10" t="s">
        <v>349</v>
      </c>
      <c r="AR51" s="8">
        <v>1243</v>
      </c>
      <c r="AT51" s="9">
        <f>IFERROR(USD_GBP*LOOKUP(IF(AS51="",F51,AS51),{0,1,5,25,95,450},{0,0.5966,0.5501,0.5108,0.4322,0.3536}),"")</f>
        <v>0.59980710351908872</v>
      </c>
      <c r="AU51" s="9">
        <f>IFERROR(IF(AS51="",F51,AS51)*AT51,"")</f>
        <v>59.980710351908876</v>
      </c>
      <c r="AV51" s="10" t="s">
        <v>145</v>
      </c>
    </row>
    <row r="52" spans="1:48" x14ac:dyDescent="0.2">
      <c r="A52" s="8" t="s">
        <v>146</v>
      </c>
      <c r="B52" s="8" t="s">
        <v>147</v>
      </c>
      <c r="D52" s="8" t="s">
        <v>148</v>
      </c>
      <c r="E52" s="8" t="s">
        <v>149</v>
      </c>
      <c r="F52" s="8">
        <f>BoardQty*2</f>
        <v>200</v>
      </c>
      <c r="G52" s="9">
        <f t="shared" ca="1" si="0"/>
        <v>1.7159</v>
      </c>
      <c r="H52" s="9">
        <f t="shared" ca="1" si="1"/>
        <v>343.18</v>
      </c>
      <c r="N52" s="8">
        <v>10351</v>
      </c>
      <c r="P52" s="9">
        <f>IFERROR(LOOKUP(IF(O52="",F52,O52),{0,1,10,25,100,250,500,1000,2500,10000},{0,2.38,2.135,2.014,1.7159,1.6112,1.4098,1.16812,1.14,1.14}),"")</f>
        <v>1.7159</v>
      </c>
      <c r="Q52" s="9">
        <f t="shared" si="5"/>
        <v>343.18</v>
      </c>
      <c r="R52" s="10" t="s">
        <v>218</v>
      </c>
      <c r="S52" s="11" t="s">
        <v>187</v>
      </c>
      <c r="U52" s="9">
        <f>IFERROR(USD_GBP*LOOKUP(IF(T52="",F52,T52),{0,1,10,25,50,100,250,500,1000,2500},{0,1.66,1.66,1.57,1.42,1.26,1.1,1.07,0.911,0.893}),"")</f>
        <v>1.7486278353402402</v>
      </c>
      <c r="V52" s="9">
        <f>IFERROR(IF(T52="",F52,T52)*U52,"")</f>
        <v>349.72556706804806</v>
      </c>
      <c r="W52" s="10" t="s">
        <v>249</v>
      </c>
    </row>
    <row r="53" spans="1:48" x14ac:dyDescent="0.2">
      <c r="A53" s="8" t="s">
        <v>150</v>
      </c>
      <c r="B53" s="8" t="s">
        <v>151</v>
      </c>
      <c r="D53" s="8" t="s">
        <v>152</v>
      </c>
      <c r="E53" s="8" t="s">
        <v>153</v>
      </c>
      <c r="F53" s="8">
        <f>BoardQty*1</f>
        <v>100</v>
      </c>
      <c r="G53" s="9">
        <f t="shared" ca="1" si="0"/>
        <v>0.51348595164753086</v>
      </c>
      <c r="H53" s="9">
        <f t="shared" ca="1" si="1"/>
        <v>51.348595164753085</v>
      </c>
      <c r="N53" s="8">
        <v>3135</v>
      </c>
      <c r="P53" s="9">
        <f>IFERROR(LOOKUP(IF(O53="",F53,O53),{0,1,25,100,3000},{0,0.7,0.59,0.54,0.54}),"")</f>
        <v>0.54</v>
      </c>
      <c r="Q53" s="9">
        <f t="shared" si="5"/>
        <v>54</v>
      </c>
      <c r="R53" s="10" t="s">
        <v>219</v>
      </c>
      <c r="S53" s="8">
        <v>11768</v>
      </c>
      <c r="U53" s="9">
        <f>IFERROR(USD_GBP*LOOKUP(IF(T53="",F53,T53),{0,1,25,100,150},{0,0.551,0.462,0.421,0.421}),"")</f>
        <v>0.58426374498273104</v>
      </c>
      <c r="V53" s="9">
        <f>IFERROR(IF(T53="",F53,T53)*U53,"")</f>
        <v>58.426374498273105</v>
      </c>
      <c r="W53" s="10" t="s">
        <v>250</v>
      </c>
      <c r="AC53" s="8">
        <v>6637</v>
      </c>
      <c r="AE53" s="9">
        <f>IFERROR(LOOKUP(IF(AD53="",F53,AD53),{0,1,10,50,100,1000,10000},{0,0.7,0.7,0.59,0.54,0.54,0.54}),"")</f>
        <v>0.54</v>
      </c>
      <c r="AF53" s="9">
        <f>IFERROR(IF(AD53="",F53,AD53)*AE53,"")</f>
        <v>54</v>
      </c>
      <c r="AG53" s="10" t="s">
        <v>298</v>
      </c>
      <c r="AH53" s="8">
        <v>11768</v>
      </c>
      <c r="AJ53" s="9">
        <f>IFERROR(LOOKUP(IF(AI53="",F53,AI53),{0,1,10,25,50,100,3000},{0,0.875,0.806,0.738,0.706,0.675,0.648}),"")</f>
        <v>0.67500000000000004</v>
      </c>
      <c r="AK53" s="9">
        <f>IFERROR(IF(AI53="",F53,AI53)*AJ53,"")</f>
        <v>67.5</v>
      </c>
      <c r="AL53" s="10" t="s">
        <v>331</v>
      </c>
      <c r="AM53" s="8">
        <v>3504</v>
      </c>
      <c r="AO53" s="9">
        <f>IFERROR(USD_GBP*LOOKUP(IF(AN53="",F53,AN53),{0,1,25,100},{0,0.54,0.52,0.5}),"")</f>
        <v>0.69389993465882549</v>
      </c>
      <c r="AP53" s="9">
        <f>IFERROR(IF(AN53="",F53,AN53)*AO53,"")</f>
        <v>69.389993465882554</v>
      </c>
      <c r="AQ53" s="10" t="s">
        <v>350</v>
      </c>
      <c r="AR53" s="11" t="s">
        <v>187</v>
      </c>
      <c r="AT53" s="9">
        <f>IFERROR(USD_GBP*LOOKUP(IF(AS53="",F53,AS53),{0,1,3,10,25,100},{0,0.49,0.49,0.46,0.39,0.37}),"")</f>
        <v>0.51348595164753086</v>
      </c>
      <c r="AU53" s="9">
        <f>IFERROR(IF(AS53="",F53,AS53)*AT53,"")</f>
        <v>51.348595164753085</v>
      </c>
      <c r="AV53" s="10" t="s">
        <v>371</v>
      </c>
    </row>
    <row r="54" spans="1:48" x14ac:dyDescent="0.2">
      <c r="A54" s="8" t="s">
        <v>154</v>
      </c>
      <c r="B54" s="8" t="s">
        <v>155</v>
      </c>
      <c r="D54" s="8" t="s">
        <v>156</v>
      </c>
      <c r="E54" s="8" t="s">
        <v>157</v>
      </c>
      <c r="F54" s="8">
        <f>BoardQty*1</f>
        <v>100</v>
      </c>
      <c r="G54" s="9">
        <f t="shared" ca="1" si="0"/>
        <v>0.45450000000000002</v>
      </c>
      <c r="H54" s="9">
        <f t="shared" ca="1" si="1"/>
        <v>45.45</v>
      </c>
      <c r="N54" s="8">
        <v>17369</v>
      </c>
      <c r="P54" s="9">
        <f>IFERROR(LOOKUP(IF(O54="",F54,O54),{0,1,10,25,50,100,400,800,1200,2000,2800,10000},{0,1.15,1.007,0.948,0.9086,0.869,0.79003,0.69128,0.63202,0.59252,0.57276,0.52537}),"")</f>
        <v>0.86899999999999999</v>
      </c>
      <c r="Q54" s="9">
        <f t="shared" si="5"/>
        <v>86.9</v>
      </c>
      <c r="R54" s="10" t="s">
        <v>220</v>
      </c>
      <c r="S54" s="8">
        <v>2759</v>
      </c>
      <c r="U54" s="9">
        <f>IFERROR(USD_GBP*LOOKUP(IF(T54="",F54,T54),{0,1,10,100,250,500,1000,2500},{0,0.668,0.668,0.622,0.589,0.577,0.565,0.554}),"")</f>
        <v>0.86321151871557888</v>
      </c>
      <c r="V54" s="9">
        <f>IFERROR(IF(T54="",F54,T54)*U54,"")</f>
        <v>86.321151871557888</v>
      </c>
      <c r="W54" s="10" t="s">
        <v>251</v>
      </c>
      <c r="X54" s="8">
        <v>734</v>
      </c>
      <c r="Z54" s="9">
        <f>IFERROR(LOOKUP(IF(Y54="",F54,Y54),{0,1,10,30,100,500,1000},{0,0.7051,0.523,0.4887,0.4545,0.44,0.4328}),"")</f>
        <v>0.45450000000000002</v>
      </c>
      <c r="AA54" s="9">
        <f>IFERROR(IF(Y54="",F54,Y54)*Z54,"")</f>
        <v>45.45</v>
      </c>
      <c r="AB54" s="10" t="s">
        <v>256</v>
      </c>
      <c r="AC54" s="11" t="s">
        <v>187</v>
      </c>
      <c r="AE54" s="9">
        <f>IFERROR(LOOKUP(IF(AD54="",F54,AD54),{0,1,10,50,100,1000,10000},{0,1.08,0.857,0.857,0.745,0.595,0.532}),"")</f>
        <v>0.745</v>
      </c>
      <c r="AF54" s="9">
        <f>IFERROR(IF(AD54="",F54,AD54)*AE54,"")</f>
        <v>74.5</v>
      </c>
      <c r="AG54" s="10" t="s">
        <v>299</v>
      </c>
      <c r="AH54" s="8">
        <v>7600</v>
      </c>
      <c r="AJ54" s="9">
        <f>IFERROR(LOOKUP(IF(AI54="",F54,AI54),{0,1,10,25,50,100,250,400,800,1600,2400,4000},{0,1.32,0.877,0.842,0.807,0.771,0.917,0.767,0.748,0.73,0.713,0.697}),"")</f>
        <v>0.77100000000000002</v>
      </c>
      <c r="AK54" s="9">
        <f>IFERROR(IF(AI54="",F54,AI54)*AJ54,"")</f>
        <v>77.100000000000009</v>
      </c>
      <c r="AL54" s="10" t="s">
        <v>332</v>
      </c>
      <c r="AM54" s="8">
        <v>3</v>
      </c>
      <c r="AO54" s="9">
        <f>IFERROR(USD_GBP*LOOKUP(IF(AN54="",F54,AN54),{0,1},{0,1288.3}),"")</f>
        <v>1787.9025716419296</v>
      </c>
      <c r="AP54" s="9">
        <f>IFERROR(IF(AN54="",F54,AN54)*AO54,"")</f>
        <v>178790.25716419297</v>
      </c>
      <c r="AQ54" s="10" t="s">
        <v>351</v>
      </c>
    </row>
    <row r="56" spans="1:48" ht="17" x14ac:dyDescent="0.2">
      <c r="B56" s="12" t="s">
        <v>160</v>
      </c>
      <c r="G56" s="1" t="s">
        <v>158</v>
      </c>
      <c r="H56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J56" s="6" t="str">
        <f>IFERROR(IF(OR(J7:J54),COUNTIFS(J7:J54,"&gt;0",L7:L54,"&lt;&gt;")&amp;" of "&amp;(ROWS(L7:L54)-COUNTBLANK(L7:L54))&amp;" parts purchased",""),"")</f>
        <v/>
      </c>
      <c r="L56" s="5">
        <f>SUMIF(J7:J54,"&gt;0",L7:L54)</f>
        <v>0</v>
      </c>
      <c r="O56" s="6" t="str">
        <f>IFERROR(IF(OR(O7:O54),COUNTIFS(O7:O54,"&gt;0",Q7:Q54,"&lt;&gt;")&amp;" of "&amp;(ROWS(Q7:Q54)-COUNTBLANK(Q7:Q54))&amp;" parts purchased",""),"")</f>
        <v/>
      </c>
      <c r="Q56" s="5">
        <f>SUMIF(O7:O54,"&gt;0",Q7:Q54)</f>
        <v>0</v>
      </c>
      <c r="T56" s="6" t="str">
        <f>IFERROR(IF(OR(T7:T54),COUNTIFS(T7:T54,"&gt;0",V7:V54,"&lt;&gt;")&amp;" of "&amp;(ROWS(V7:V54)-COUNTBLANK(V7:V54))&amp;" parts purchased",""),"")</f>
        <v/>
      </c>
      <c r="V56" s="5">
        <f>SUMIF(T7:T54,"&gt;0",V7:V54)</f>
        <v>0</v>
      </c>
      <c r="Y56" s="6" t="str">
        <f>IFERROR(IF(OR(Y7:Y54),COUNTIFS(Y7:Y54,"&gt;0",AA7:AA54,"&lt;&gt;")&amp;" of "&amp;(ROWS(AA7:AA54)-COUNTBLANK(AA7:AA54))&amp;" parts purchased",""),"")</f>
        <v/>
      </c>
      <c r="AA56" s="5">
        <f>SUMIF(Y7:Y54,"&gt;0",AA7:AA54)</f>
        <v>0</v>
      </c>
      <c r="AD56" s="6" t="str">
        <f>IFERROR(IF(OR(AD7:AD54),COUNTIFS(AD7:AD54,"&gt;0",AF7:AF54,"&lt;&gt;")&amp;" of "&amp;(ROWS(AF7:AF54)-COUNTBLANK(AF7:AF54))&amp;" parts purchased",""),"")</f>
        <v/>
      </c>
      <c r="AF56" s="5">
        <f>SUMIF(AD7:AD54,"&gt;0",AF7:AF54)</f>
        <v>0</v>
      </c>
      <c r="AI56" s="6" t="str">
        <f>IFERROR(IF(OR(AI7:AI54),COUNTIFS(AI7:AI54,"&gt;0",AK7:AK54,"&lt;&gt;")&amp;" of "&amp;(ROWS(AK7:AK54)-COUNTBLANK(AK7:AK54))&amp;" parts purchased",""),"")</f>
        <v/>
      </c>
      <c r="AK56" s="5">
        <f>SUMIF(AI7:AI54,"&gt;0",AK7:AK54)</f>
        <v>0</v>
      </c>
      <c r="AN56" s="6" t="str">
        <f>IFERROR(IF(OR(AN7:AN54),COUNTIFS(AN7:AN54,"&gt;0",AP7:AP54,"&lt;&gt;")&amp;" of "&amp;(ROWS(AP7:AP54)-COUNTBLANK(AP7:AP54))&amp;" parts purchased",""),"")</f>
        <v/>
      </c>
      <c r="AP56" s="5">
        <f>SUMIF(AN7:AN54,"&gt;0",AP7:AP54)</f>
        <v>0</v>
      </c>
      <c r="AS56" s="6" t="str">
        <f>IFERROR(IF(OR(AS7:AS54),COUNTIFS(AS7:AS54,"&gt;0",AU7:AU54,"&lt;&gt;")&amp;" of "&amp;(ROWS(AU7:AU54)-COUNTBLANK(AU7:AU54))&amp;" parts purchased",""),"")</f>
        <v/>
      </c>
      <c r="AU56" s="5">
        <f>SUMIF(AS7:AS54,"&gt;0",AU7:AU54)</f>
        <v>0</v>
      </c>
    </row>
    <row r="57" spans="1:48" x14ac:dyDescent="0.2">
      <c r="B57" s="12" t="s">
        <v>161</v>
      </c>
      <c r="C57">
        <v>1.387799869317651</v>
      </c>
      <c r="G57" s="12" t="s">
        <v>159</v>
      </c>
      <c r="J57" t="str">
        <f t="array" ref="J57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57" t="str">
        <f t="array" ref="O57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57" t="str">
        <f t="array" ref="T57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57" s="6" t="str">
        <f>IFERROR(IF(COUNTIFS(Y7:Y54,"&gt;0",AA7:AA54,"&lt;&gt;")&gt;0,"Quantity,Comment,Designator,Footprint,LCSC Part #(optional)",""),"")</f>
        <v/>
      </c>
      <c r="AD57" t="str">
        <f t="array" ref="AD57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57" t="str">
        <f t="array" ref="AI57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57" t="str">
        <f t="array" ref="AN57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57" t="str">
        <f t="array" ref="AS57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58" spans="1:48" x14ac:dyDescent="0.2">
      <c r="J58" t="str">
        <f t="array" ref="J58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58" t="str">
        <f t="array" ref="O58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58" t="str">
        <f t="array" ref="T58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58" t="str">
        <f t="array" ref="Y58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58" t="str">
        <f t="array" ref="AD58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58" t="str">
        <f t="array" ref="AI58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58" t="str">
        <f t="array" ref="AN58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58" t="str">
        <f t="array" ref="AS58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59" spans="1:48" ht="16" x14ac:dyDescent="0.2">
      <c r="A59" s="2" t="s">
        <v>372</v>
      </c>
      <c r="J59" t="str">
        <f t="array" ref="J59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59" t="str">
        <f t="array" ref="O59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59" t="str">
        <f t="array" ref="T59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59" t="str">
        <f t="array" ref="Y59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59" t="str">
        <f t="array" ref="AD59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59" t="str">
        <f t="array" ref="AI59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59" t="str">
        <f t="array" ref="AN59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59" t="str">
        <f t="array" ref="AS59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0" spans="1:48" x14ac:dyDescent="0.2">
      <c r="J60" t="str">
        <f t="array" ref="J60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0" t="str">
        <f t="array" ref="O60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0" t="str">
        <f t="array" ref="T60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0" t="str">
        <f t="array" ref="Y60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0" t="str">
        <f t="array" ref="AD60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0" t="str">
        <f t="array" ref="AI60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0" t="str">
        <f t="array" ref="AN60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0" t="str">
        <f t="array" ref="AS60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1" spans="1:48" x14ac:dyDescent="0.2">
      <c r="J61" t="str">
        <f t="array" ref="J61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1" t="str">
        <f t="array" ref="O61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1" t="str">
        <f t="array" ref="T61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1" t="str">
        <f t="array" ref="Y61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1" t="str">
        <f t="array" ref="AD61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1" t="str">
        <f t="array" ref="AI61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1" t="str">
        <f t="array" ref="AN61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1" t="str">
        <f t="array" ref="AS61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2" spans="1:48" x14ac:dyDescent="0.2">
      <c r="J62" t="str">
        <f t="array" ref="J62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2" t="str">
        <f t="array" ref="O62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2" t="str">
        <f t="array" ref="T62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2" t="str">
        <f t="array" ref="Y62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2" t="str">
        <f t="array" ref="AD62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2" t="str">
        <f t="array" ref="AI62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2" t="str">
        <f t="array" ref="AN62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2" t="str">
        <f t="array" ref="AS62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3" spans="1:48" x14ac:dyDescent="0.2">
      <c r="J63" t="str">
        <f t="array" ref="J63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3" t="str">
        <f t="array" ref="O63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3" t="str">
        <f t="array" ref="T63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3" t="str">
        <f t="array" ref="Y63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3" t="str">
        <f t="array" ref="AD63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3" t="str">
        <f t="array" ref="AI63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3" t="str">
        <f t="array" ref="AN63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3" t="str">
        <f t="array" ref="AS63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4" spans="1:48" x14ac:dyDescent="0.2">
      <c r="J64" t="str">
        <f t="array" ref="J64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4" t="str">
        <f t="array" ref="O64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4" t="str">
        <f t="array" ref="T64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4" t="str">
        <f t="array" ref="Y64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4" t="str">
        <f t="array" ref="AD64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4" t="str">
        <f t="array" ref="AI64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4" t="str">
        <f t="array" ref="AN64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4" t="str">
        <f t="array" ref="AS64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5" spans="10:45" x14ac:dyDescent="0.2">
      <c r="J65" t="str">
        <f t="array" ref="J65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5" t="str">
        <f t="array" ref="O65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5" t="str">
        <f t="array" ref="T65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5" t="str">
        <f t="array" ref="Y65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5" t="str">
        <f t="array" ref="AD65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5" t="str">
        <f t="array" ref="AI65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5" t="str">
        <f t="array" ref="AN65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5" t="str">
        <f t="array" ref="AS65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6" spans="10:45" x14ac:dyDescent="0.2">
      <c r="J66" t="str">
        <f t="array" ref="J66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6" t="str">
        <f t="array" ref="O66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6" t="str">
        <f t="array" ref="T66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6" t="str">
        <f t="array" ref="Y66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6" t="str">
        <f t="array" ref="AD66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6" t="str">
        <f t="array" ref="AI66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6" t="str">
        <f t="array" ref="AN66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6" t="str">
        <f t="array" ref="AS66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7" spans="10:45" x14ac:dyDescent="0.2">
      <c r="J67" t="str">
        <f t="array" ref="J67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7" t="str">
        <f t="array" ref="O67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7" t="str">
        <f t="array" ref="T67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7" t="str">
        <f t="array" ref="Y67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7" t="str">
        <f t="array" ref="AD67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7" t="str">
        <f t="array" ref="AI67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7" t="str">
        <f t="array" ref="AN67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7" t="str">
        <f t="array" ref="AS67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8" spans="10:45" x14ac:dyDescent="0.2">
      <c r="J68" t="str">
        <f t="array" ref="J68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8" t="str">
        <f t="array" ref="O68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8" t="str">
        <f t="array" ref="T68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8" t="str">
        <f t="array" ref="Y68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8" t="str">
        <f t="array" ref="AD68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8" t="str">
        <f t="array" ref="AI68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8" t="str">
        <f t="array" ref="AN68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8" t="str">
        <f t="array" ref="AS68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69" spans="10:45" x14ac:dyDescent="0.2">
      <c r="J69" t="str">
        <f t="array" ref="J69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69" t="str">
        <f t="array" ref="O69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69" t="str">
        <f t="array" ref="T69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69" t="str">
        <f t="array" ref="Y69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69" t="str">
        <f t="array" ref="AD69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69" t="str">
        <f t="array" ref="AI69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69" t="str">
        <f t="array" ref="AN69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69" t="str">
        <f t="array" ref="AS69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0" spans="10:45" x14ac:dyDescent="0.2">
      <c r="J70" t="str">
        <f t="array" ref="J70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0" t="str">
        <f t="array" ref="O70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0" t="str">
        <f t="array" ref="T70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0" t="str">
        <f t="array" ref="Y70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0" t="str">
        <f t="array" ref="AD70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0" t="str">
        <f t="array" ref="AI70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0" t="str">
        <f t="array" ref="AN70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0" t="str">
        <f t="array" ref="AS70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1" spans="10:45" x14ac:dyDescent="0.2">
      <c r="J71" t="str">
        <f t="array" ref="J71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1" t="str">
        <f t="array" ref="O71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1" t="str">
        <f t="array" ref="T71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1" t="str">
        <f t="array" ref="Y71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1" t="str">
        <f t="array" ref="AD71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1" t="str">
        <f t="array" ref="AI71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1" t="str">
        <f t="array" ref="AN71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1" t="str">
        <f t="array" ref="AS71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2" spans="10:45" x14ac:dyDescent="0.2">
      <c r="J72" t="str">
        <f t="array" ref="J72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2" t="str">
        <f t="array" ref="O72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2" t="str">
        <f t="array" ref="T72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2" t="str">
        <f t="array" ref="Y72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2" t="str">
        <f t="array" ref="AD72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2" t="str">
        <f t="array" ref="AI72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2" t="str">
        <f t="array" ref="AN72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2" t="str">
        <f t="array" ref="AS72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3" spans="10:45" x14ac:dyDescent="0.2">
      <c r="J73" t="str">
        <f t="array" ref="J73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3" t="str">
        <f t="array" ref="O73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3" t="str">
        <f t="array" ref="T73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3" t="str">
        <f t="array" ref="Y73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3" t="str">
        <f t="array" ref="AD73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3" t="str">
        <f t="array" ref="AI73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3" t="str">
        <f t="array" ref="AN73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3" t="str">
        <f t="array" ref="AS73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4" spans="10:45" x14ac:dyDescent="0.2">
      <c r="J74" t="str">
        <f t="array" ref="J74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4" t="str">
        <f t="array" ref="O74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4" t="str">
        <f t="array" ref="T74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4" t="str">
        <f t="array" ref="Y74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4" t="str">
        <f t="array" ref="AD74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4" t="str">
        <f t="array" ref="AI74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4" t="str">
        <f t="array" ref="AN74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4" t="str">
        <f t="array" ref="AS74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5" spans="10:45" x14ac:dyDescent="0.2">
      <c r="J75" t="str">
        <f t="array" ref="J75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5" t="str">
        <f t="array" ref="O75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5" t="str">
        <f t="array" ref="T75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5" t="str">
        <f t="array" ref="Y75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5" t="str">
        <f t="array" ref="AD75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5" t="str">
        <f t="array" ref="AI75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5" t="str">
        <f t="array" ref="AN75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5" t="str">
        <f t="array" ref="AS75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6" spans="10:45" x14ac:dyDescent="0.2">
      <c r="J76" t="str">
        <f t="array" ref="J76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6" t="str">
        <f t="array" ref="O76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6" t="str">
        <f t="array" ref="T76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6" t="str">
        <f t="array" ref="Y76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6" t="str">
        <f t="array" ref="AD76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6" t="str">
        <f t="array" ref="AI76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6" t="str">
        <f t="array" ref="AN76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6" t="str">
        <f t="array" ref="AS76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7" spans="10:45" x14ac:dyDescent="0.2">
      <c r="J77" t="str">
        <f t="array" ref="J77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7" t="str">
        <f t="array" ref="O77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7" t="str">
        <f t="array" ref="T77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7" t="str">
        <f t="array" ref="Y77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7" t="str">
        <f t="array" ref="AD77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7" t="str">
        <f t="array" ref="AI77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7" t="str">
        <f t="array" ref="AN77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7" t="str">
        <f t="array" ref="AS77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8" spans="10:45" x14ac:dyDescent="0.2">
      <c r="J78" t="str">
        <f t="array" ref="J78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8" t="str">
        <f t="array" ref="O78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8" t="str">
        <f t="array" ref="T78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8" t="str">
        <f t="array" ref="Y78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8" t="str">
        <f t="array" ref="AD78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8" t="str">
        <f t="array" ref="AI78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8" t="str">
        <f t="array" ref="AN78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8" t="str">
        <f t="array" ref="AS78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79" spans="10:45" x14ac:dyDescent="0.2">
      <c r="J79" t="str">
        <f t="array" ref="J79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79" t="str">
        <f t="array" ref="O79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79" t="str">
        <f t="array" ref="T79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79" t="str">
        <f t="array" ref="Y79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79" t="str">
        <f t="array" ref="AD79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79" t="str">
        <f t="array" ref="AI79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79" t="str">
        <f t="array" ref="AN79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79" t="str">
        <f t="array" ref="AS79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0" spans="10:45" x14ac:dyDescent="0.2">
      <c r="J80" t="str">
        <f t="array" ref="J80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0" t="str">
        <f t="array" ref="O80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0" t="str">
        <f t="array" ref="T80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0" t="str">
        <f t="array" ref="Y80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0" t="str">
        <f t="array" ref="AD80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0" t="str">
        <f t="array" ref="AI80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0" t="str">
        <f t="array" ref="AN80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0" t="str">
        <f t="array" ref="AS80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1" spans="10:45" x14ac:dyDescent="0.2">
      <c r="J81" t="str">
        <f t="array" ref="J81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1" t="str">
        <f t="array" ref="O81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1" t="str">
        <f t="array" ref="T81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1" t="str">
        <f t="array" ref="Y81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1" t="str">
        <f t="array" ref="AD81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1" t="str">
        <f t="array" ref="AI81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1" t="str">
        <f t="array" ref="AN81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1" t="str">
        <f t="array" ref="AS81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2" spans="10:45" x14ac:dyDescent="0.2">
      <c r="J82" t="str">
        <f t="array" ref="J82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2" t="str">
        <f t="array" ref="O82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2" t="str">
        <f t="array" ref="T82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2" t="str">
        <f t="array" ref="Y82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2" t="str">
        <f t="array" ref="AD82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2" t="str">
        <f t="array" ref="AI82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2" t="str">
        <f t="array" ref="AN82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2" t="str">
        <f t="array" ref="AS82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3" spans="10:45" x14ac:dyDescent="0.2">
      <c r="J83" t="str">
        <f t="array" ref="J83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3" t="str">
        <f t="array" ref="O83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3" t="str">
        <f t="array" ref="T83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3" t="str">
        <f t="array" ref="Y83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3" t="str">
        <f t="array" ref="AD83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3" t="str">
        <f t="array" ref="AI83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3" t="str">
        <f t="array" ref="AN83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3" t="str">
        <f t="array" ref="AS83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4" spans="10:45" x14ac:dyDescent="0.2">
      <c r="J84" t="str">
        <f t="array" ref="J84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4" t="str">
        <f t="array" ref="O84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4" t="str">
        <f t="array" ref="T84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4" t="str">
        <f t="array" ref="Y84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4" t="str">
        <f t="array" ref="AD84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4" t="str">
        <f t="array" ref="AI84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4" t="str">
        <f t="array" ref="AN84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4" t="str">
        <f t="array" ref="AS84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5" spans="10:45" x14ac:dyDescent="0.2">
      <c r="J85" t="str">
        <f t="array" ref="J85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5" t="str">
        <f t="array" ref="O85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5" t="str">
        <f t="array" ref="T85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5" t="str">
        <f t="array" ref="Y85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5" t="str">
        <f t="array" ref="AD85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5" t="str">
        <f t="array" ref="AI85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5" t="str">
        <f t="array" ref="AN85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5" t="str">
        <f t="array" ref="AS85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6" spans="10:45" x14ac:dyDescent="0.2">
      <c r="J86" t="str">
        <f t="array" ref="J86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6" t="str">
        <f t="array" ref="O86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6" t="str">
        <f t="array" ref="T86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6" t="str">
        <f t="array" ref="Y86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6" t="str">
        <f t="array" ref="AD86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6" t="str">
        <f t="array" ref="AI86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6" t="str">
        <f t="array" ref="AN86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6" t="str">
        <f t="array" ref="AS86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7" spans="10:45" x14ac:dyDescent="0.2">
      <c r="J87" t="str">
        <f t="array" ref="J87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7" t="str">
        <f t="array" ref="O87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7" t="str">
        <f t="array" ref="T87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7" t="str">
        <f t="array" ref="Y87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7" t="str">
        <f t="array" ref="AD87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7" t="str">
        <f t="array" ref="AI87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7" t="str">
        <f t="array" ref="AN87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7" t="str">
        <f t="array" ref="AS87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8" spans="10:45" x14ac:dyDescent="0.2">
      <c r="J88" t="str">
        <f t="array" ref="J88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8" t="str">
        <f t="array" ref="O88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8" t="str">
        <f t="array" ref="T88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8" t="str">
        <f t="array" ref="Y88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8" t="str">
        <f t="array" ref="AD88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8" t="str">
        <f t="array" ref="AI88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8" t="str">
        <f t="array" ref="AN88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8" t="str">
        <f t="array" ref="AS88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89" spans="10:45" x14ac:dyDescent="0.2">
      <c r="J89" t="str">
        <f t="array" ref="J89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89" t="str">
        <f t="array" ref="O89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89" t="str">
        <f t="array" ref="T89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89" t="str">
        <f t="array" ref="Y89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89" t="str">
        <f t="array" ref="AD89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89" t="str">
        <f t="array" ref="AI89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89" t="str">
        <f t="array" ref="AN89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89" t="str">
        <f t="array" ref="AS89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0" spans="10:45" x14ac:dyDescent="0.2">
      <c r="J90" t="str">
        <f t="array" ref="J90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0" t="str">
        <f t="array" ref="O90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0" t="str">
        <f t="array" ref="T90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0" t="str">
        <f t="array" ref="Y90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0" t="str">
        <f t="array" ref="AD90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0" t="str">
        <f t="array" ref="AI90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0" t="str">
        <f t="array" ref="AN90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0" t="str">
        <f t="array" ref="AS90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1" spans="10:45" x14ac:dyDescent="0.2">
      <c r="J91" t="str">
        <f t="array" ref="J91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1" t="str">
        <f t="array" ref="O91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1" t="str">
        <f t="array" ref="T91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1" t="str">
        <f t="array" ref="Y91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1" t="str">
        <f t="array" ref="AD91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1" t="str">
        <f t="array" ref="AI91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1" t="str">
        <f t="array" ref="AN91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1" t="str">
        <f t="array" ref="AS91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2" spans="10:45" x14ac:dyDescent="0.2">
      <c r="J92" t="str">
        <f t="array" ref="J92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2" t="str">
        <f t="array" ref="O92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2" t="str">
        <f t="array" ref="T92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2" t="str">
        <f t="array" ref="Y92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2" t="str">
        <f t="array" ref="AD92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2" t="str">
        <f t="array" ref="AI92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2" t="str">
        <f t="array" ref="AN92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2" t="str">
        <f t="array" ref="AS92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3" spans="10:45" x14ac:dyDescent="0.2">
      <c r="J93" t="str">
        <f t="array" ref="J93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3" t="str">
        <f t="array" ref="O93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3" t="str">
        <f t="array" ref="T93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3" t="str">
        <f t="array" ref="Y93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3" t="str">
        <f t="array" ref="AD93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3" t="str">
        <f t="array" ref="AI93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3" t="str">
        <f t="array" ref="AN93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3" t="str">
        <f t="array" ref="AS93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4" spans="10:45" x14ac:dyDescent="0.2">
      <c r="J94" t="str">
        <f t="array" ref="J94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4" t="str">
        <f t="array" ref="O94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4" t="str">
        <f t="array" ref="T94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4" t="str">
        <f t="array" ref="Y94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4" t="str">
        <f t="array" ref="AD94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4" t="str">
        <f t="array" ref="AI94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4" t="str">
        <f t="array" ref="AN94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4" t="str">
        <f t="array" ref="AS94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5" spans="10:45" x14ac:dyDescent="0.2">
      <c r="J95" t="str">
        <f t="array" ref="J95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5" t="str">
        <f t="array" ref="O95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5" t="str">
        <f t="array" ref="T95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5" t="str">
        <f t="array" ref="Y95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5" t="str">
        <f t="array" ref="AD95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5" t="str">
        <f t="array" ref="AI95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5" t="str">
        <f t="array" ref="AN95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5" t="str">
        <f t="array" ref="AS95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6" spans="10:45" x14ac:dyDescent="0.2">
      <c r="J96" t="str">
        <f t="array" ref="J96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6" t="str">
        <f t="array" ref="O96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6" t="str">
        <f t="array" ref="T96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6" t="str">
        <f t="array" ref="Y96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6" t="str">
        <f t="array" ref="AD96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6" t="str">
        <f t="array" ref="AI96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6" t="str">
        <f t="array" ref="AN96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6" t="str">
        <f t="array" ref="AS96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7" spans="10:45" x14ac:dyDescent="0.2">
      <c r="J97" t="str">
        <f t="array" ref="J97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7" t="str">
        <f t="array" ref="O97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7" t="str">
        <f t="array" ref="T97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7" t="str">
        <f t="array" ref="Y97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7" t="str">
        <f t="array" ref="AD97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7" t="str">
        <f t="array" ref="AI97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7" t="str">
        <f t="array" ref="AN97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7" t="str">
        <f t="array" ref="AS97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8" spans="10:45" x14ac:dyDescent="0.2">
      <c r="J98" t="str">
        <f t="array" ref="J98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8" t="str">
        <f t="array" ref="O98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8" t="str">
        <f t="array" ref="T98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8" t="str">
        <f t="array" ref="Y98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8" t="str">
        <f t="array" ref="AD98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8" t="str">
        <f t="array" ref="AI98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8" t="str">
        <f t="array" ref="AN98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8" t="str">
        <f t="array" ref="AS98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99" spans="10:45" x14ac:dyDescent="0.2">
      <c r="J99" t="str">
        <f t="array" ref="J99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99" t="str">
        <f t="array" ref="O99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99" t="str">
        <f t="array" ref="T99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99" t="str">
        <f t="array" ref="Y99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99" t="str">
        <f t="array" ref="AD99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99" t="str">
        <f t="array" ref="AI99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99" t="str">
        <f t="array" ref="AN99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99" t="str">
        <f t="array" ref="AS99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0" spans="10:45" x14ac:dyDescent="0.2">
      <c r="J100" t="str">
        <f t="array" ref="J100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100" t="str">
        <f t="array" ref="O100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100" t="str">
        <f t="array" ref="T100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100" t="str">
        <f t="array" ref="Y100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100" t="str">
        <f t="array" ref="AD100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100" t="str">
        <f t="array" ref="AI100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100" t="str">
        <f t="array" ref="AN100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100" t="str">
        <f t="array" ref="AS100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1" spans="10:45" x14ac:dyDescent="0.2">
      <c r="J101" t="str">
        <f t="array" ref="J101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101" t="str">
        <f t="array" ref="O101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101" t="str">
        <f t="array" ref="T101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101" t="str">
        <f t="array" ref="Y101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101" t="str">
        <f t="array" ref="AD101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101" t="str">
        <f t="array" ref="AI101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101" t="str">
        <f t="array" ref="AN101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101" t="str">
        <f t="array" ref="AS101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2" spans="10:45" x14ac:dyDescent="0.2">
      <c r="J102" t="str">
        <f t="array" ref="J102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102" t="str">
        <f t="array" ref="O102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102" t="str">
        <f t="array" ref="T102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102" t="str">
        <f t="array" ref="Y102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102" t="str">
        <f t="array" ref="AD102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102" t="str">
        <f t="array" ref="AI102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102" t="str">
        <f t="array" ref="AN102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102" t="str">
        <f t="array" ref="AS102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3" spans="10:45" x14ac:dyDescent="0.2">
      <c r="J103" t="str">
        <f t="array" ref="J103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103" t="str">
        <f t="array" ref="O103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103" t="str">
        <f t="array" ref="T103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103" t="str">
        <f t="array" ref="Y103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103" t="str">
        <f t="array" ref="AD103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103" t="str">
        <f t="array" ref="AI103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103" t="str">
        <f t="array" ref="AN103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103" t="str">
        <f t="array" ref="AS103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4" spans="10:45" x14ac:dyDescent="0.2">
      <c r="J104" t="str">
        <f t="array" ref="J104">IFERROR(CONCATENATE(INDEX(M7:M54,SMALL(IF(ISNUMBER(J7:J54),IF(J7:J54&gt;0,IF(M7:M54&lt;&gt;"",ROW(J7:J54)-MIN(ROW(J7:J54))+1))),ROW()-ROW(A$57)+1)),",",TEXT(INDEX(J7:J54,SMALL(IF(ISNUMBER(J7:J54),IF(J7:J54&gt;0,IF(M7:M54&lt;&gt;"",ROW(J7:J54)-MIN(ROW(J7:J54))+1))),ROW()-ROW(A$57)+1)),"##0"),",",SUBSTITUTE(INDEX(IF(PURCHASE_DESCRIPTION&lt;&gt;"",PURCHASE_DESCRIPTION&amp;":","")&amp;A7:A54,SMALL(IF(ISNUMBER(J7:J54),IF(J7:J54&gt;0,IF(M7:M54&lt;&gt;"",ROW(J7:J54)-MIN(ROW(J7:J54))+1))),ROW()-ROW(A$57)+1)),",",";")),"")</f>
        <v/>
      </c>
      <c r="O104" t="str">
        <f t="array" ref="O104">IFERROR(CONCATENATE(TEXT(INDEX(O7:O54,SMALL(IF(ISNUMBER(O7:O54),IF(O7:O54&gt;0,IF(R7:R54&lt;&gt;"",ROW(O7:O54)-MIN(ROW(O7:O54))+1))),ROW()-ROW(A$57)+1)),"##0"),",",INDEX(R7:R54,SMALL(IF(ISNUMBER(O7:O54),IF(O7:O54&gt;0,IF(R7:R54&lt;&gt;"",ROW(O7:O54)-MIN(ROW(O7:O54))+1))),ROW()-ROW(A$57)+1)),",",SUBSTITUTE(INDEX(IF(PURCHASE_DESCRIPTION&lt;&gt;"",PURCHASE_DESCRIPTION&amp;":","")&amp;A7:A54,SMALL(IF(ISNUMBER(O7:O54),IF(O7:O54&gt;0,IF(R7:R54&lt;&gt;"",ROW(O7:O54)-MIN(ROW(O7:O54))+1))),ROW()-ROW(A$57)+1)),",",";")),"")</f>
        <v/>
      </c>
      <c r="T104" t="str">
        <f t="array" ref="T104">IFERROR(CONCATENATE(INDEX(W7:W54,SMALL(IF(ISNUMBER(T7:T54),IF(T7:T54&gt;0,IF(W7:W54&lt;&gt;"",ROW(T7:T54)-MIN(ROW(T7:T54))+1))),ROW()-ROW(A$57)+1))," ",TEXT(INDEX(T7:T54,SMALL(IF(ISNUMBER(T7:T54),IF(T7:T54&gt;0,IF(W7:W54&lt;&gt;"",ROW(T7:T54)-MIN(ROW(T7:T54))+1))),ROW()-ROW(A$57)+1)),"##0")," ",SUBSTITUTE(INDEX(IF(PURCHASE_DESCRIPTION&lt;&gt;"",PURCHASE_DESCRIPTION&amp;":","")&amp;A7:A54,SMALL(IF(ISNUMBER(T7:T54),IF(T7:T54&gt;0,IF(W7:W54&lt;&gt;"",ROW(T7:T54)-MIN(ROW(T7:T54))+1))),ROW()-ROW(A$57)+1))," ",";")),"")</f>
        <v/>
      </c>
      <c r="Y104" t="str">
        <f t="array" ref="Y104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  <c r="AD104" t="str">
        <f t="array" ref="AD104">IFERROR(CONCATENATE(INDEX(AG7:AG54,SMALL(IF(ISNUMBER(AD7:AD54),IF(AD7:AD54&gt;0,IF(AG7:AG54&lt;&gt;"",ROW(AD7:AD54)-MIN(ROW(AD7:AD54))+1))),ROW()-ROW(A$57)+1)),"|",TEXT(INDEX(AD7:AD54,SMALL(IF(ISNUMBER(AD7:AD54),IF(AD7:AD54&gt;0,IF(AG7:AG54&lt;&gt;"",ROW(AD7:AD54)-MIN(ROW(AD7:AD54))+1))),ROW()-ROW(A$57)+1)),"##0"),"|",SUBSTITUTE(SUBSTITUTE(INDEX(IF(PURCHASE_DESCRIPTION&lt;&gt;"",PURCHASE_DESCRIPTION&amp;":","")&amp;A7:A54,SMALL(IF(ISNUMBER(AD7:AD54),IF(AD7:AD54&gt;0,IF(AG7:AG54&lt;&gt;"",ROW(AD7:AD54)-MIN(ROW(AD7:AD54))+1))),ROW()-ROW(A$57)+1)),"|",";")," ","_")),"")</f>
        <v/>
      </c>
      <c r="AI104" t="str">
        <f t="array" ref="AI104">IFERROR(CONCATENATE(INDEX(AL7:AL54,SMALL(IF(ISNUMBER(AI7:AI54),IF(AI7:AI54&gt;0,IF(AL7:AL54&lt;&gt;"",ROW(AI7:AI54)-MIN(ROW(AI7:AI54))+1))),ROW()-ROW(A$57)+1)),",",TEXT(INDEX(AI7:AI54,SMALL(IF(ISNUMBER(AI7:AI54),IF(AI7:AI54&gt;0,IF(AL7:AL54&lt;&gt;"",ROW(AI7:AI54)-MIN(ROW(AI7:AI54))+1))),ROW()-ROW(A$57)+1)),"##0"),",",SUBSTITUTE(INDEX(IF(PURCHASE_DESCRIPTION&lt;&gt;"",PURCHASE_DESCRIPTION&amp;":","")&amp;A7:A54,SMALL(IF(ISNUMBER(AI7:AI54),IF(AI7:AI54&gt;0,IF(AL7:AL54&lt;&gt;"",ROW(AI7:AI54)-MIN(ROW(AI7:AI54))+1))),ROW()-ROW(A$57)+1)),",",";")),"")</f>
        <v/>
      </c>
      <c r="AN104" t="str">
        <f t="array" ref="AN104">IFERROR(CONCATENATE(INDEX(AQ7:AQ54,SMALL(IF(ISNUMBER(AN7:AN54),IF(AN7:AN54&gt;0,IF(AQ7:AQ54&lt;&gt;"",ROW(AN7:AN54)-MIN(ROW(AN7:AN54))+1))),ROW()-ROW(A$57)+1))," ",TEXT(INDEX(AN7:AN54,SMALL(IF(ISNUMBER(AN7:AN54),IF(AN7:AN54&gt;0,IF(AQ7:AQ54&lt;&gt;"",ROW(AN7:AN54)-MIN(ROW(AN7:AN54))+1))),ROW()-ROW(A$57)+1)),"##0")," ",SUBSTITUTE(INDEX(IF(PURCHASE_DESCRIPTION&lt;&gt;"",PURCHASE_DESCRIPTION&amp;":","")&amp;A7:A54,SMALL(IF(ISNUMBER(AN7:AN54),IF(AN7:AN54&gt;0,IF(AQ7:AQ54&lt;&gt;"",ROW(AN7:AN54)-MIN(ROW(AN7:AN54))+1))),ROW()-ROW(A$57)+1))," ",";")),"")</f>
        <v/>
      </c>
      <c r="AS104" t="str">
        <f t="array" ref="AS104">IFERROR(CONCATENATE(INDEX(AV7:AV54,SMALL(IF(ISNUMBER(AS7:AS54),IF(AS7:AS54&gt;0,IF(AV7:AV54&lt;&gt;"",ROW(AS7:AS54)-MIN(ROW(AS7:AS54))+1))),ROW()-ROW(A$57)+1))," ",TEXT(INDEX(AS7:AS54,SMALL(IF(ISNUMBER(AS7:AS54),IF(AS7:AS54&gt;0,IF(AV7:AV54&lt;&gt;"",ROW(AS7:AS54)-MIN(ROW(AS7:AS54))+1))),ROW()-ROW(A$57)+1)),"##0")," ",SUBSTITUTE(INDEX(IF(PURCHASE_DESCRIPTION&lt;&gt;"",PURCHASE_DESCRIPTION&amp;":","")&amp;A7:A54,SMALL(IF(ISNUMBER(AS7:AS54),IF(AS7:AS54&gt;0,IF(AV7:AV54&lt;&gt;"",ROW(AS7:AS54)-MIN(ROW(AS7:AS54))+1))),ROW()-ROW(A$57)+1))," ",";")),"")</f>
        <v/>
      </c>
    </row>
    <row r="105" spans="10:45" x14ac:dyDescent="0.2">
      <c r="Y105" t="str">
        <f t="array" ref="Y105">IFERROR(CONCATENATE(TEXT(INDEX(Y7:Y54,SMALL(IF(ISNUMBER(Y7:Y54),IF(Y7:Y54&gt;0,IF(AB7:AB54&lt;&gt;"",ROW(Y7:Y54)-MIN(ROW(Y7:Y54))+1))),ROW()-ROW(A$58)+1)),"##0"),",",SUBSTITUTE(INDEX(IF(PURCHASE_DESCRIPTION&lt;&gt;"",PURCHASE_DESCRIPTION&amp;":","")&amp;A7:A54,SMALL(IF(ISNUMBER(Y7:Y54),IF(Y7:Y54&gt;0,IF(AB7:AB54&lt;&gt;"",ROW(Y7:Y54)-MIN(ROW(Y7:Y54))+1))),ROW()-ROW(A$58)+1)),",",";"),",",SUBSTITUTE(INDEX(IF(PURCHASE_DESCRIPTION&lt;&gt;"",PURCHASE_DESCRIPTION&amp;":","")&amp;D7:D54,SMALL(IF(ISNUMBER(Y7:Y54),IF(Y7:Y54&gt;0,IF(AB7:AB54&lt;&gt;"",ROW(Y7:Y54)-MIN(ROW(Y7:Y54))+1))),ROW()-ROW(A$58)+1)),",",";"),",",INDEX(AB7:AB54,SMALL(IF(ISNUMBER(Y7:Y54),IF(Y7:Y54&gt;0,IF(AB7:AB54&lt;&gt;"",ROW(Y7:Y54)-MIN(ROW(Y7:Y54))+1))),ROW()-ROW(A$58)+1))),"")</f>
        <v/>
      </c>
    </row>
  </sheetData>
  <mergeCells count="9">
    <mergeCell ref="AC5:AG5"/>
    <mergeCell ref="AH5:AL5"/>
    <mergeCell ref="AM5:AQ5"/>
    <mergeCell ref="AR5:AV5"/>
    <mergeCell ref="A5:H5"/>
    <mergeCell ref="I5:M5"/>
    <mergeCell ref="N5:R5"/>
    <mergeCell ref="S5:W5"/>
    <mergeCell ref="X5:AB5"/>
  </mergeCells>
  <conditionalFormatting sqref="AA20">
    <cfRule type="cellIs" dxfId="1234" priority="591" operator="lessThanOrEqual">
      <formula>H20</formula>
    </cfRule>
  </conditionalFormatting>
  <conditionalFormatting sqref="AA41">
    <cfRule type="cellIs" dxfId="1233" priority="596" operator="lessThanOrEqual">
      <formula>H41</formula>
    </cfRule>
  </conditionalFormatting>
  <conditionalFormatting sqref="AA45">
    <cfRule type="cellIs" dxfId="1232" priority="601" operator="lessThanOrEqual">
      <formula>H45</formula>
    </cfRule>
  </conditionalFormatting>
  <conditionalFormatting sqref="AA54">
    <cfRule type="cellIs" dxfId="1231" priority="606" operator="lessThanOrEqual">
      <formula>H54</formula>
    </cfRule>
  </conditionalFormatting>
  <conditionalFormatting sqref="AC10">
    <cfRule type="cellIs" dxfId="1230" priority="618" operator="equal">
      <formula>0</formula>
    </cfRule>
    <cfRule type="cellIs" dxfId="1229" priority="619" operator="lessThan">
      <formula>F10</formula>
    </cfRule>
  </conditionalFormatting>
  <conditionalFormatting sqref="AC11">
    <cfRule type="cellIs" dxfId="1228" priority="623" operator="equal">
      <formula>0</formula>
    </cfRule>
    <cfRule type="cellIs" dxfId="1227" priority="624" operator="lessThan">
      <formula>F11</formula>
    </cfRule>
  </conditionalFormatting>
  <conditionalFormatting sqref="AC12">
    <cfRule type="cellIs" dxfId="1226" priority="628" operator="equal">
      <formula>0</formula>
    </cfRule>
    <cfRule type="cellIs" dxfId="1225" priority="629" operator="lessThan">
      <formula>F12</formula>
    </cfRule>
  </conditionalFormatting>
  <conditionalFormatting sqref="AC13">
    <cfRule type="cellIs" dxfId="1224" priority="633" operator="equal">
      <formula>0</formula>
    </cfRule>
    <cfRule type="cellIs" dxfId="1223" priority="634" operator="lessThan">
      <formula>F13</formula>
    </cfRule>
  </conditionalFormatting>
  <conditionalFormatting sqref="AC14">
    <cfRule type="cellIs" dxfId="1222" priority="638" operator="equal">
      <formula>0</formula>
    </cfRule>
    <cfRule type="cellIs" dxfId="1221" priority="639" operator="lessThan">
      <formula>F14</formula>
    </cfRule>
  </conditionalFormatting>
  <conditionalFormatting sqref="AC15">
    <cfRule type="cellIs" dxfId="1220" priority="643" operator="equal">
      <formula>0</formula>
    </cfRule>
    <cfRule type="cellIs" dxfId="1219" priority="644" operator="lessThan">
      <formula>F15</formula>
    </cfRule>
  </conditionalFormatting>
  <conditionalFormatting sqref="AC18">
    <cfRule type="cellIs" dxfId="1218" priority="648" operator="equal">
      <formula>0</formula>
    </cfRule>
    <cfRule type="cellIs" dxfId="1217" priority="649" operator="lessThan">
      <formula>F18</formula>
    </cfRule>
  </conditionalFormatting>
  <conditionalFormatting sqref="AC19">
    <cfRule type="cellIs" dxfId="1216" priority="653" operator="equal">
      <formula>0</formula>
    </cfRule>
    <cfRule type="cellIs" dxfId="1215" priority="654" operator="lessThan">
      <formula>F19</formula>
    </cfRule>
  </conditionalFormatting>
  <conditionalFormatting sqref="AC20">
    <cfRule type="cellIs" dxfId="1214" priority="658" operator="equal">
      <formula>0</formula>
    </cfRule>
    <cfRule type="cellIs" dxfId="1213" priority="659" operator="lessThan">
      <formula>F20</formula>
    </cfRule>
  </conditionalFormatting>
  <conditionalFormatting sqref="AC21">
    <cfRule type="cellIs" dxfId="1212" priority="663" operator="equal">
      <formula>0</formula>
    </cfRule>
    <cfRule type="cellIs" dxfId="1211" priority="664" operator="lessThan">
      <formula>F21</formula>
    </cfRule>
  </conditionalFormatting>
  <conditionalFormatting sqref="AC22">
    <cfRule type="cellIs" dxfId="1210" priority="668" operator="equal">
      <formula>0</formula>
    </cfRule>
    <cfRule type="cellIs" dxfId="1209" priority="669" operator="lessThan">
      <formula>F22</formula>
    </cfRule>
  </conditionalFormatting>
  <conditionalFormatting sqref="AC23">
    <cfRule type="cellIs" dxfId="1208" priority="673" operator="equal">
      <formula>0</formula>
    </cfRule>
    <cfRule type="cellIs" dxfId="1207" priority="674" operator="lessThan">
      <formula>F23</formula>
    </cfRule>
  </conditionalFormatting>
  <conditionalFormatting sqref="AC24">
    <cfRule type="cellIs" dxfId="1206" priority="678" operator="equal">
      <formula>0</formula>
    </cfRule>
    <cfRule type="cellIs" dxfId="1205" priority="679" operator="lessThan">
      <formula>F24</formula>
    </cfRule>
  </conditionalFormatting>
  <conditionalFormatting sqref="AC25">
    <cfRule type="cellIs" dxfId="1204" priority="683" operator="equal">
      <formula>0</formula>
    </cfRule>
    <cfRule type="cellIs" dxfId="1203" priority="684" operator="lessThan">
      <formula>F25</formula>
    </cfRule>
  </conditionalFormatting>
  <conditionalFormatting sqref="AC26">
    <cfRule type="cellIs" dxfId="1202" priority="688" operator="equal">
      <formula>0</formula>
    </cfRule>
    <cfRule type="cellIs" dxfId="1201" priority="689" operator="lessThan">
      <formula>F26</formula>
    </cfRule>
  </conditionalFormatting>
  <conditionalFormatting sqref="AC27">
    <cfRule type="cellIs" dxfId="1200" priority="693" operator="equal">
      <formula>0</formula>
    </cfRule>
    <cfRule type="cellIs" dxfId="1199" priority="694" operator="lessThan">
      <formula>F27</formula>
    </cfRule>
  </conditionalFormatting>
  <conditionalFormatting sqref="AC28">
    <cfRule type="cellIs" dxfId="1198" priority="698" operator="equal">
      <formula>0</formula>
    </cfRule>
    <cfRule type="cellIs" dxfId="1197" priority="699" operator="lessThan">
      <formula>F28</formula>
    </cfRule>
  </conditionalFormatting>
  <conditionalFormatting sqref="AC29">
    <cfRule type="cellIs" dxfId="1196" priority="703" operator="equal">
      <formula>0</formula>
    </cfRule>
    <cfRule type="cellIs" dxfId="1195" priority="704" operator="lessThan">
      <formula>F29</formula>
    </cfRule>
  </conditionalFormatting>
  <conditionalFormatting sqref="AC30">
    <cfRule type="cellIs" dxfId="1194" priority="708" operator="equal">
      <formula>0</formula>
    </cfRule>
    <cfRule type="cellIs" dxfId="1193" priority="709" operator="lessThan">
      <formula>F30</formula>
    </cfRule>
  </conditionalFormatting>
  <conditionalFormatting sqref="AC31">
    <cfRule type="cellIs" dxfId="1192" priority="713" operator="equal">
      <formula>0</formula>
    </cfRule>
    <cfRule type="cellIs" dxfId="1191" priority="714" operator="lessThan">
      <formula>F31</formula>
    </cfRule>
  </conditionalFormatting>
  <conditionalFormatting sqref="AC32">
    <cfRule type="cellIs" dxfId="1190" priority="718" operator="equal">
      <formula>0</formula>
    </cfRule>
    <cfRule type="cellIs" dxfId="1189" priority="719" operator="lessThan">
      <formula>F32</formula>
    </cfRule>
  </conditionalFormatting>
  <conditionalFormatting sqref="AC33">
    <cfRule type="cellIs" dxfId="1188" priority="723" operator="equal">
      <formula>0</formula>
    </cfRule>
    <cfRule type="cellIs" dxfId="1187" priority="724" operator="lessThan">
      <formula>F33</formula>
    </cfRule>
  </conditionalFormatting>
  <conditionalFormatting sqref="AC34">
    <cfRule type="cellIs" dxfId="1186" priority="728" operator="equal">
      <formula>0</formula>
    </cfRule>
    <cfRule type="cellIs" dxfId="1185" priority="729" operator="lessThan">
      <formula>F34</formula>
    </cfRule>
  </conditionalFormatting>
  <conditionalFormatting sqref="AC35">
    <cfRule type="cellIs" dxfId="1184" priority="733" operator="equal">
      <formula>0</formula>
    </cfRule>
    <cfRule type="cellIs" dxfId="1183" priority="734" operator="lessThan">
      <formula>F35</formula>
    </cfRule>
  </conditionalFormatting>
  <conditionalFormatting sqref="AC36">
    <cfRule type="cellIs" dxfId="1182" priority="738" operator="equal">
      <formula>0</formula>
    </cfRule>
    <cfRule type="cellIs" dxfId="1181" priority="739" operator="lessThan">
      <formula>F36</formula>
    </cfRule>
  </conditionalFormatting>
  <conditionalFormatting sqref="AC37">
    <cfRule type="cellIs" dxfId="1180" priority="743" operator="equal">
      <formula>0</formula>
    </cfRule>
    <cfRule type="cellIs" dxfId="1179" priority="744" operator="lessThan">
      <formula>F37</formula>
    </cfRule>
  </conditionalFormatting>
  <conditionalFormatting sqref="AC38">
    <cfRule type="cellIs" dxfId="1178" priority="748" operator="equal">
      <formula>0</formula>
    </cfRule>
    <cfRule type="cellIs" dxfId="1177" priority="749" operator="lessThan">
      <formula>F38</formula>
    </cfRule>
  </conditionalFormatting>
  <conditionalFormatting sqref="AC39">
    <cfRule type="cellIs" dxfId="1176" priority="753" operator="equal">
      <formula>0</formula>
    </cfRule>
    <cfRule type="cellIs" dxfId="1175" priority="754" operator="lessThan">
      <formula>F39</formula>
    </cfRule>
  </conditionalFormatting>
  <conditionalFormatting sqref="AC40">
    <cfRule type="cellIs" dxfId="1174" priority="758" operator="equal">
      <formula>0</formula>
    </cfRule>
    <cfRule type="cellIs" dxfId="1173" priority="759" operator="lessThan">
      <formula>F40</formula>
    </cfRule>
  </conditionalFormatting>
  <conditionalFormatting sqref="AC41">
    <cfRule type="cellIs" dxfId="1172" priority="763" operator="equal">
      <formula>0</formula>
    </cfRule>
    <cfRule type="cellIs" dxfId="1171" priority="764" operator="lessThan">
      <formula>F41</formula>
    </cfRule>
  </conditionalFormatting>
  <conditionalFormatting sqref="AC43">
    <cfRule type="cellIs" dxfId="1170" priority="768" operator="equal">
      <formula>0</formula>
    </cfRule>
    <cfRule type="cellIs" dxfId="1169" priority="769" operator="lessThan">
      <formula>F43</formula>
    </cfRule>
  </conditionalFormatting>
  <conditionalFormatting sqref="AC44">
    <cfRule type="cellIs" dxfId="1168" priority="773" operator="equal">
      <formula>0</formula>
    </cfRule>
    <cfRule type="cellIs" dxfId="1167" priority="774" operator="lessThan">
      <formula>F44</formula>
    </cfRule>
  </conditionalFormatting>
  <conditionalFormatting sqref="AC45">
    <cfRule type="cellIs" dxfId="1166" priority="778" operator="equal">
      <formula>0</formula>
    </cfRule>
    <cfRule type="cellIs" dxfId="1165" priority="779" operator="lessThan">
      <formula>F45</formula>
    </cfRule>
  </conditionalFormatting>
  <conditionalFormatting sqref="AC46">
    <cfRule type="cellIs" dxfId="1164" priority="783" operator="equal">
      <formula>0</formula>
    </cfRule>
    <cfRule type="cellIs" dxfId="1163" priority="784" operator="lessThan">
      <formula>F46</formula>
    </cfRule>
  </conditionalFormatting>
  <conditionalFormatting sqref="AC47">
    <cfRule type="cellIs" dxfId="1162" priority="788" operator="equal">
      <formula>0</formula>
    </cfRule>
    <cfRule type="cellIs" dxfId="1161" priority="789" operator="lessThan">
      <formula>F47</formula>
    </cfRule>
  </conditionalFormatting>
  <conditionalFormatting sqref="AC48">
    <cfRule type="cellIs" dxfId="1160" priority="793" operator="equal">
      <formula>0</formula>
    </cfRule>
    <cfRule type="cellIs" dxfId="1159" priority="794" operator="lessThan">
      <formula>F48</formula>
    </cfRule>
  </conditionalFormatting>
  <conditionalFormatting sqref="AC49">
    <cfRule type="cellIs" dxfId="1158" priority="798" operator="equal">
      <formula>0</formula>
    </cfRule>
    <cfRule type="cellIs" dxfId="1157" priority="799" operator="lessThan">
      <formula>F49</formula>
    </cfRule>
  </conditionalFormatting>
  <conditionalFormatting sqref="AC50">
    <cfRule type="cellIs" dxfId="1156" priority="803" operator="equal">
      <formula>0</formula>
    </cfRule>
    <cfRule type="cellIs" dxfId="1155" priority="804" operator="lessThan">
      <formula>F50</formula>
    </cfRule>
  </conditionalFormatting>
  <conditionalFormatting sqref="AC51">
    <cfRule type="cellIs" dxfId="1154" priority="808" operator="equal">
      <formula>0</formula>
    </cfRule>
    <cfRule type="cellIs" dxfId="1153" priority="809" operator="lessThan">
      <formula>F51</formula>
    </cfRule>
  </conditionalFormatting>
  <conditionalFormatting sqref="AC53">
    <cfRule type="cellIs" dxfId="1152" priority="813" operator="equal">
      <formula>0</formula>
    </cfRule>
    <cfRule type="cellIs" dxfId="1151" priority="814" operator="lessThan">
      <formula>F53</formula>
    </cfRule>
  </conditionalFormatting>
  <conditionalFormatting sqref="AC54">
    <cfRule type="cellIs" dxfId="1150" priority="818" operator="equal">
      <formula>0</formula>
    </cfRule>
    <cfRule type="cellIs" dxfId="1149" priority="819" operator="lessThan">
      <formula>F54</formula>
    </cfRule>
  </conditionalFormatting>
  <conditionalFormatting sqref="AC8">
    <cfRule type="cellIs" dxfId="1148" priority="608" operator="equal">
      <formula>0</formula>
    </cfRule>
    <cfRule type="cellIs" dxfId="1147" priority="609" operator="lessThan">
      <formula>F8</formula>
    </cfRule>
  </conditionalFormatting>
  <conditionalFormatting sqref="AC9">
    <cfRule type="cellIs" dxfId="1146" priority="613" operator="equal">
      <formula>0</formula>
    </cfRule>
    <cfRule type="cellIs" dxfId="1145" priority="614" operator="lessThan">
      <formula>F9</formula>
    </cfRule>
  </conditionalFormatting>
  <conditionalFormatting sqref="AD10">
    <cfRule type="cellIs" dxfId="1144" priority="620" operator="greaterThan">
      <formula>AC10</formula>
    </cfRule>
  </conditionalFormatting>
  <conditionalFormatting sqref="AD11">
    <cfRule type="cellIs" dxfId="1143" priority="625" operator="greaterThan">
      <formula>AC11</formula>
    </cfRule>
  </conditionalFormatting>
  <conditionalFormatting sqref="AD12">
    <cfRule type="cellIs" dxfId="1142" priority="630" operator="greaterThan">
      <formula>AC12</formula>
    </cfRule>
  </conditionalFormatting>
  <conditionalFormatting sqref="AD13">
    <cfRule type="cellIs" dxfId="1141" priority="635" operator="greaterThan">
      <formula>AC13</formula>
    </cfRule>
  </conditionalFormatting>
  <conditionalFormatting sqref="AD14">
    <cfRule type="cellIs" dxfId="1140" priority="640" operator="greaterThan">
      <formula>AC14</formula>
    </cfRule>
  </conditionalFormatting>
  <conditionalFormatting sqref="AD15">
    <cfRule type="cellIs" dxfId="1139" priority="645" operator="greaterThan">
      <formula>AC15</formula>
    </cfRule>
  </conditionalFormatting>
  <conditionalFormatting sqref="AD18">
    <cfRule type="cellIs" dxfId="1138" priority="650" operator="greaterThan">
      <formula>AC18</formula>
    </cfRule>
  </conditionalFormatting>
  <conditionalFormatting sqref="AD19">
    <cfRule type="cellIs" dxfId="1137" priority="655" operator="greaterThan">
      <formula>AC19</formula>
    </cfRule>
  </conditionalFormatting>
  <conditionalFormatting sqref="AD20">
    <cfRule type="cellIs" dxfId="1136" priority="660" operator="greaterThan">
      <formula>AC20</formula>
    </cfRule>
  </conditionalFormatting>
  <conditionalFormatting sqref="AD21">
    <cfRule type="cellIs" dxfId="1135" priority="665" operator="greaterThan">
      <formula>AC21</formula>
    </cfRule>
  </conditionalFormatting>
  <conditionalFormatting sqref="AD22">
    <cfRule type="cellIs" dxfId="1134" priority="670" operator="greaterThan">
      <formula>AC22</formula>
    </cfRule>
  </conditionalFormatting>
  <conditionalFormatting sqref="AD23">
    <cfRule type="cellIs" dxfId="1133" priority="675" operator="greaterThan">
      <formula>AC23</formula>
    </cfRule>
  </conditionalFormatting>
  <conditionalFormatting sqref="AD24">
    <cfRule type="cellIs" dxfId="1132" priority="680" operator="greaterThan">
      <formula>AC24</formula>
    </cfRule>
  </conditionalFormatting>
  <conditionalFormatting sqref="AD25">
    <cfRule type="cellIs" dxfId="1131" priority="685" operator="greaterThan">
      <formula>AC25</formula>
    </cfRule>
  </conditionalFormatting>
  <conditionalFormatting sqref="AD26">
    <cfRule type="cellIs" dxfId="1130" priority="690" operator="greaterThan">
      <formula>AC26</formula>
    </cfRule>
  </conditionalFormatting>
  <conditionalFormatting sqref="AD27">
    <cfRule type="cellIs" dxfId="1129" priority="695" operator="greaterThan">
      <formula>AC27</formula>
    </cfRule>
  </conditionalFormatting>
  <conditionalFormatting sqref="AD28">
    <cfRule type="cellIs" dxfId="1128" priority="700" operator="greaterThan">
      <formula>AC28</formula>
    </cfRule>
  </conditionalFormatting>
  <conditionalFormatting sqref="AD29">
    <cfRule type="cellIs" dxfId="1127" priority="705" operator="greaterThan">
      <formula>AC29</formula>
    </cfRule>
  </conditionalFormatting>
  <conditionalFormatting sqref="AD30">
    <cfRule type="cellIs" dxfId="1126" priority="710" operator="greaterThan">
      <formula>AC30</formula>
    </cfRule>
  </conditionalFormatting>
  <conditionalFormatting sqref="AD31">
    <cfRule type="cellIs" dxfId="1125" priority="715" operator="greaterThan">
      <formula>AC31</formula>
    </cfRule>
  </conditionalFormatting>
  <conditionalFormatting sqref="AD32">
    <cfRule type="cellIs" dxfId="1124" priority="720" operator="greaterThan">
      <formula>AC32</formula>
    </cfRule>
  </conditionalFormatting>
  <conditionalFormatting sqref="AD33">
    <cfRule type="cellIs" dxfId="1123" priority="725" operator="greaterThan">
      <formula>AC33</formula>
    </cfRule>
  </conditionalFormatting>
  <conditionalFormatting sqref="AD34">
    <cfRule type="cellIs" dxfId="1122" priority="730" operator="greaterThan">
      <formula>AC34</formula>
    </cfRule>
  </conditionalFormatting>
  <conditionalFormatting sqref="AD35">
    <cfRule type="cellIs" dxfId="1121" priority="735" operator="greaterThan">
      <formula>AC35</formula>
    </cfRule>
  </conditionalFormatting>
  <conditionalFormatting sqref="AD36">
    <cfRule type="cellIs" dxfId="1120" priority="740" operator="greaterThan">
      <formula>AC36</formula>
    </cfRule>
  </conditionalFormatting>
  <conditionalFormatting sqref="AD37">
    <cfRule type="cellIs" dxfId="1119" priority="745" operator="greaterThan">
      <formula>AC37</formula>
    </cfRule>
  </conditionalFormatting>
  <conditionalFormatting sqref="AD38">
    <cfRule type="cellIs" dxfId="1118" priority="750" operator="greaterThan">
      <formula>AC38</formula>
    </cfRule>
  </conditionalFormatting>
  <conditionalFormatting sqref="AD39">
    <cfRule type="cellIs" dxfId="1117" priority="755" operator="greaterThan">
      <formula>AC39</formula>
    </cfRule>
  </conditionalFormatting>
  <conditionalFormatting sqref="AD40">
    <cfRule type="cellIs" dxfId="1116" priority="760" operator="greaterThan">
      <formula>AC40</formula>
    </cfRule>
  </conditionalFormatting>
  <conditionalFormatting sqref="AD41">
    <cfRule type="cellIs" dxfId="1115" priority="765" operator="greaterThan">
      <formula>AC41</formula>
    </cfRule>
  </conditionalFormatting>
  <conditionalFormatting sqref="AD43">
    <cfRule type="cellIs" dxfId="1114" priority="770" operator="greaterThan">
      <formula>AC43</formula>
    </cfRule>
  </conditionalFormatting>
  <conditionalFormatting sqref="AD44">
    <cfRule type="cellIs" dxfId="1113" priority="775" operator="greaterThan">
      <formula>AC44</formula>
    </cfRule>
  </conditionalFormatting>
  <conditionalFormatting sqref="AD45">
    <cfRule type="cellIs" dxfId="1112" priority="780" operator="greaterThan">
      <formula>AC45</formula>
    </cfRule>
  </conditionalFormatting>
  <conditionalFormatting sqref="AD46">
    <cfRule type="cellIs" dxfId="1111" priority="785" operator="greaterThan">
      <formula>AC46</formula>
    </cfRule>
  </conditionalFormatting>
  <conditionalFormatting sqref="AD47">
    <cfRule type="cellIs" dxfId="1110" priority="790" operator="greaterThan">
      <formula>AC47</formula>
    </cfRule>
  </conditionalFormatting>
  <conditionalFormatting sqref="AD48">
    <cfRule type="cellIs" dxfId="1109" priority="795" operator="greaterThan">
      <formula>AC48</formula>
    </cfRule>
  </conditionalFormatting>
  <conditionalFormatting sqref="AD49">
    <cfRule type="cellIs" dxfId="1108" priority="800" operator="greaterThan">
      <formula>AC49</formula>
    </cfRule>
  </conditionalFormatting>
  <conditionalFormatting sqref="AD50">
    <cfRule type="cellIs" dxfId="1107" priority="805" operator="greaterThan">
      <formula>AC50</formula>
    </cfRule>
  </conditionalFormatting>
  <conditionalFormatting sqref="AD51">
    <cfRule type="cellIs" dxfId="1106" priority="810" operator="greaterThan">
      <formula>AC51</formula>
    </cfRule>
  </conditionalFormatting>
  <conditionalFormatting sqref="AD53">
    <cfRule type="cellIs" dxfId="1105" priority="815" operator="greaterThan">
      <formula>AC53</formula>
    </cfRule>
  </conditionalFormatting>
  <conditionalFormatting sqref="AD54">
    <cfRule type="cellIs" dxfId="1104" priority="820" operator="greaterThan">
      <formula>AC54</formula>
    </cfRule>
  </conditionalFormatting>
  <conditionalFormatting sqref="AD8">
    <cfRule type="cellIs" dxfId="1103" priority="610" operator="greaterThan">
      <formula>AC8</formula>
    </cfRule>
  </conditionalFormatting>
  <conditionalFormatting sqref="AD9">
    <cfRule type="cellIs" dxfId="1102" priority="615" operator="greaterThan">
      <formula>AC9</formula>
    </cfRule>
  </conditionalFormatting>
  <conditionalFormatting sqref="AE10">
    <cfRule type="cellIs" dxfId="1101" priority="622" operator="lessThanOrEqual">
      <formula>G10</formula>
    </cfRule>
  </conditionalFormatting>
  <conditionalFormatting sqref="AE11">
    <cfRule type="cellIs" dxfId="1100" priority="627" operator="lessThanOrEqual">
      <formula>G11</formula>
    </cfRule>
  </conditionalFormatting>
  <conditionalFormatting sqref="AE12">
    <cfRule type="cellIs" dxfId="1099" priority="632" operator="lessThanOrEqual">
      <formula>G12</formula>
    </cfRule>
  </conditionalFormatting>
  <conditionalFormatting sqref="AE13">
    <cfRule type="cellIs" dxfId="1098" priority="637" operator="lessThanOrEqual">
      <formula>G13</formula>
    </cfRule>
  </conditionalFormatting>
  <conditionalFormatting sqref="AE14">
    <cfRule type="cellIs" dxfId="1097" priority="642" operator="lessThanOrEqual">
      <formula>G14</formula>
    </cfRule>
  </conditionalFormatting>
  <conditionalFormatting sqref="AE15">
    <cfRule type="cellIs" dxfId="1096" priority="647" operator="lessThanOrEqual">
      <formula>G15</formula>
    </cfRule>
  </conditionalFormatting>
  <conditionalFormatting sqref="AE18">
    <cfRule type="cellIs" dxfId="1095" priority="652" operator="lessThanOrEqual">
      <formula>G18</formula>
    </cfRule>
  </conditionalFormatting>
  <conditionalFormatting sqref="AE19">
    <cfRule type="cellIs" dxfId="1094" priority="657" operator="lessThanOrEqual">
      <formula>G19</formula>
    </cfRule>
  </conditionalFormatting>
  <conditionalFormatting sqref="AE20">
    <cfRule type="cellIs" dxfId="1093" priority="662" operator="lessThanOrEqual">
      <formula>G20</formula>
    </cfRule>
  </conditionalFormatting>
  <conditionalFormatting sqref="AE21">
    <cfRule type="cellIs" dxfId="1092" priority="667" operator="lessThanOrEqual">
      <formula>G21</formula>
    </cfRule>
  </conditionalFormatting>
  <conditionalFormatting sqref="AE22">
    <cfRule type="cellIs" dxfId="1091" priority="672" operator="lessThanOrEqual">
      <formula>G22</formula>
    </cfRule>
  </conditionalFormatting>
  <conditionalFormatting sqref="AE23">
    <cfRule type="cellIs" dxfId="1090" priority="677" operator="lessThanOrEqual">
      <formula>G23</formula>
    </cfRule>
  </conditionalFormatting>
  <conditionalFormatting sqref="AE24">
    <cfRule type="cellIs" dxfId="1089" priority="682" operator="lessThanOrEqual">
      <formula>G24</formula>
    </cfRule>
  </conditionalFormatting>
  <conditionalFormatting sqref="AE25">
    <cfRule type="cellIs" dxfId="1088" priority="687" operator="lessThanOrEqual">
      <formula>G25</formula>
    </cfRule>
  </conditionalFormatting>
  <conditionalFormatting sqref="AE26">
    <cfRule type="cellIs" dxfId="1087" priority="692" operator="lessThanOrEqual">
      <formula>G26</formula>
    </cfRule>
  </conditionalFormatting>
  <conditionalFormatting sqref="AE27">
    <cfRule type="cellIs" dxfId="1086" priority="697" operator="lessThanOrEqual">
      <formula>G27</formula>
    </cfRule>
  </conditionalFormatting>
  <conditionalFormatting sqref="AE28">
    <cfRule type="cellIs" dxfId="1085" priority="702" operator="lessThanOrEqual">
      <formula>G28</formula>
    </cfRule>
  </conditionalFormatting>
  <conditionalFormatting sqref="AE29">
    <cfRule type="cellIs" dxfId="1084" priority="707" operator="lessThanOrEqual">
      <formula>G29</formula>
    </cfRule>
  </conditionalFormatting>
  <conditionalFormatting sqref="AE30">
    <cfRule type="cellIs" dxfId="1083" priority="712" operator="lessThanOrEqual">
      <formula>G30</formula>
    </cfRule>
  </conditionalFormatting>
  <conditionalFormatting sqref="AE31">
    <cfRule type="cellIs" dxfId="1082" priority="717" operator="lessThanOrEqual">
      <formula>G31</formula>
    </cfRule>
  </conditionalFormatting>
  <conditionalFormatting sqref="AE32">
    <cfRule type="cellIs" dxfId="1081" priority="722" operator="lessThanOrEqual">
      <formula>G32</formula>
    </cfRule>
  </conditionalFormatting>
  <conditionalFormatting sqref="AE33">
    <cfRule type="cellIs" dxfId="1080" priority="727" operator="lessThanOrEqual">
      <formula>G33</formula>
    </cfRule>
  </conditionalFormatting>
  <conditionalFormatting sqref="AE34">
    <cfRule type="cellIs" dxfId="1079" priority="732" operator="lessThanOrEqual">
      <formula>G34</formula>
    </cfRule>
  </conditionalFormatting>
  <conditionalFormatting sqref="AE35">
    <cfRule type="cellIs" dxfId="1078" priority="737" operator="lessThanOrEqual">
      <formula>G35</formula>
    </cfRule>
  </conditionalFormatting>
  <conditionalFormatting sqref="AE36">
    <cfRule type="cellIs" dxfId="1077" priority="742" operator="lessThanOrEqual">
      <formula>G36</formula>
    </cfRule>
  </conditionalFormatting>
  <conditionalFormatting sqref="AE37">
    <cfRule type="cellIs" dxfId="1076" priority="747" operator="lessThanOrEqual">
      <formula>G37</formula>
    </cfRule>
  </conditionalFormatting>
  <conditionalFormatting sqref="AE38">
    <cfRule type="cellIs" dxfId="1075" priority="752" operator="lessThanOrEqual">
      <formula>G38</formula>
    </cfRule>
  </conditionalFormatting>
  <conditionalFormatting sqref="AE39">
    <cfRule type="cellIs" dxfId="1074" priority="757" operator="lessThanOrEqual">
      <formula>G39</formula>
    </cfRule>
  </conditionalFormatting>
  <conditionalFormatting sqref="AE40">
    <cfRule type="cellIs" dxfId="1073" priority="762" operator="lessThanOrEqual">
      <formula>G40</formula>
    </cfRule>
  </conditionalFormatting>
  <conditionalFormatting sqref="AE41">
    <cfRule type="cellIs" dxfId="1072" priority="767" operator="lessThanOrEqual">
      <formula>G41</formula>
    </cfRule>
  </conditionalFormatting>
  <conditionalFormatting sqref="AE43">
    <cfRule type="cellIs" dxfId="1071" priority="772" operator="lessThanOrEqual">
      <formula>G43</formula>
    </cfRule>
  </conditionalFormatting>
  <conditionalFormatting sqref="AE44">
    <cfRule type="cellIs" dxfId="1070" priority="777" operator="lessThanOrEqual">
      <formula>G44</formula>
    </cfRule>
  </conditionalFormatting>
  <conditionalFormatting sqref="AE45">
    <cfRule type="cellIs" dxfId="1069" priority="782" operator="lessThanOrEqual">
      <formula>G45</formula>
    </cfRule>
  </conditionalFormatting>
  <conditionalFormatting sqref="AE46">
    <cfRule type="cellIs" dxfId="1068" priority="787" operator="lessThanOrEqual">
      <formula>G46</formula>
    </cfRule>
  </conditionalFormatting>
  <conditionalFormatting sqref="AE47">
    <cfRule type="cellIs" dxfId="1067" priority="792" operator="lessThanOrEqual">
      <formula>G47</formula>
    </cfRule>
  </conditionalFormatting>
  <conditionalFormatting sqref="AE48">
    <cfRule type="cellIs" dxfId="1066" priority="797" operator="lessThanOrEqual">
      <formula>G48</formula>
    </cfRule>
  </conditionalFormatting>
  <conditionalFormatting sqref="AE49">
    <cfRule type="cellIs" dxfId="1065" priority="802" operator="lessThanOrEqual">
      <formula>G49</formula>
    </cfRule>
  </conditionalFormatting>
  <conditionalFormatting sqref="AE50">
    <cfRule type="cellIs" dxfId="1064" priority="807" operator="lessThanOrEqual">
      <formula>G50</formula>
    </cfRule>
  </conditionalFormatting>
  <conditionalFormatting sqref="AE51">
    <cfRule type="cellIs" dxfId="1063" priority="812" operator="lessThanOrEqual">
      <formula>G51</formula>
    </cfRule>
  </conditionalFormatting>
  <conditionalFormatting sqref="AE53">
    <cfRule type="cellIs" dxfId="1062" priority="817" operator="lessThanOrEqual">
      <formula>G53</formula>
    </cfRule>
  </conditionalFormatting>
  <conditionalFormatting sqref="AE54">
    <cfRule type="cellIs" dxfId="1061" priority="822" operator="lessThanOrEqual">
      <formula>G54</formula>
    </cfRule>
  </conditionalFormatting>
  <conditionalFormatting sqref="AE8">
    <cfRule type="cellIs" dxfId="1060" priority="612" operator="lessThanOrEqual">
      <formula>G8</formula>
    </cfRule>
  </conditionalFormatting>
  <conditionalFormatting sqref="AE9">
    <cfRule type="cellIs" dxfId="1059" priority="617" operator="lessThanOrEqual">
      <formula>G9</formula>
    </cfRule>
  </conditionalFormatting>
  <conditionalFormatting sqref="AF10">
    <cfRule type="cellIs" dxfId="1058" priority="621" operator="lessThanOrEqual">
      <formula>H10</formula>
    </cfRule>
  </conditionalFormatting>
  <conditionalFormatting sqref="AF11">
    <cfRule type="cellIs" dxfId="1057" priority="626" operator="lessThanOrEqual">
      <formula>H11</formula>
    </cfRule>
  </conditionalFormatting>
  <conditionalFormatting sqref="AF12">
    <cfRule type="cellIs" dxfId="1056" priority="631" operator="lessThanOrEqual">
      <formula>H12</formula>
    </cfRule>
  </conditionalFormatting>
  <conditionalFormatting sqref="AF13">
    <cfRule type="cellIs" dxfId="1055" priority="636" operator="lessThanOrEqual">
      <formula>H13</formula>
    </cfRule>
  </conditionalFormatting>
  <conditionalFormatting sqref="AF14">
    <cfRule type="cellIs" dxfId="1054" priority="641" operator="lessThanOrEqual">
      <formula>H14</formula>
    </cfRule>
  </conditionalFormatting>
  <conditionalFormatting sqref="AF15">
    <cfRule type="cellIs" dxfId="1053" priority="646" operator="lessThanOrEqual">
      <formula>H15</formula>
    </cfRule>
  </conditionalFormatting>
  <conditionalFormatting sqref="AF18">
    <cfRule type="cellIs" dxfId="1052" priority="651" operator="lessThanOrEqual">
      <formula>H18</formula>
    </cfRule>
  </conditionalFormatting>
  <conditionalFormatting sqref="AF19">
    <cfRule type="cellIs" dxfId="1051" priority="656" operator="lessThanOrEqual">
      <formula>H19</formula>
    </cfRule>
  </conditionalFormatting>
  <conditionalFormatting sqref="AF20">
    <cfRule type="cellIs" dxfId="1050" priority="661" operator="lessThanOrEqual">
      <formula>H20</formula>
    </cfRule>
  </conditionalFormatting>
  <conditionalFormatting sqref="AF21">
    <cfRule type="cellIs" dxfId="1049" priority="666" operator="lessThanOrEqual">
      <formula>H21</formula>
    </cfRule>
  </conditionalFormatting>
  <conditionalFormatting sqref="AF22">
    <cfRule type="cellIs" dxfId="1048" priority="671" operator="lessThanOrEqual">
      <formula>H22</formula>
    </cfRule>
  </conditionalFormatting>
  <conditionalFormatting sqref="AF23">
    <cfRule type="cellIs" dxfId="1047" priority="676" operator="lessThanOrEqual">
      <formula>H23</formula>
    </cfRule>
  </conditionalFormatting>
  <conditionalFormatting sqref="AF24">
    <cfRule type="cellIs" dxfId="1046" priority="681" operator="lessThanOrEqual">
      <formula>H24</formula>
    </cfRule>
  </conditionalFormatting>
  <conditionalFormatting sqref="AF25">
    <cfRule type="cellIs" dxfId="1045" priority="686" operator="lessThanOrEqual">
      <formula>H25</formula>
    </cfRule>
  </conditionalFormatting>
  <conditionalFormatting sqref="AF26">
    <cfRule type="cellIs" dxfId="1044" priority="691" operator="lessThanOrEqual">
      <formula>H26</formula>
    </cfRule>
  </conditionalFormatting>
  <conditionalFormatting sqref="AF27">
    <cfRule type="cellIs" dxfId="1043" priority="696" operator="lessThanOrEqual">
      <formula>H27</formula>
    </cfRule>
  </conditionalFormatting>
  <conditionalFormatting sqref="AF28">
    <cfRule type="cellIs" dxfId="1042" priority="701" operator="lessThanOrEqual">
      <formula>H28</formula>
    </cfRule>
  </conditionalFormatting>
  <conditionalFormatting sqref="AF29">
    <cfRule type="cellIs" dxfId="1041" priority="706" operator="lessThanOrEqual">
      <formula>H29</formula>
    </cfRule>
  </conditionalFormatting>
  <conditionalFormatting sqref="AF30">
    <cfRule type="cellIs" dxfId="1040" priority="711" operator="lessThanOrEqual">
      <formula>H30</formula>
    </cfRule>
  </conditionalFormatting>
  <conditionalFormatting sqref="AF31">
    <cfRule type="cellIs" dxfId="1039" priority="716" operator="lessThanOrEqual">
      <formula>H31</formula>
    </cfRule>
  </conditionalFormatting>
  <conditionalFormatting sqref="AF32">
    <cfRule type="cellIs" dxfId="1038" priority="721" operator="lessThanOrEqual">
      <formula>H32</formula>
    </cfRule>
  </conditionalFormatting>
  <conditionalFormatting sqref="AF33">
    <cfRule type="cellIs" dxfId="1037" priority="726" operator="lessThanOrEqual">
      <formula>H33</formula>
    </cfRule>
  </conditionalFormatting>
  <conditionalFormatting sqref="AF34">
    <cfRule type="cellIs" dxfId="1036" priority="731" operator="lessThanOrEqual">
      <formula>H34</formula>
    </cfRule>
  </conditionalFormatting>
  <conditionalFormatting sqref="AF35">
    <cfRule type="cellIs" dxfId="1035" priority="736" operator="lessThanOrEqual">
      <formula>H35</formula>
    </cfRule>
  </conditionalFormatting>
  <conditionalFormatting sqref="AF36">
    <cfRule type="cellIs" dxfId="1034" priority="741" operator="lessThanOrEqual">
      <formula>H36</formula>
    </cfRule>
  </conditionalFormatting>
  <conditionalFormatting sqref="AF37">
    <cfRule type="cellIs" dxfId="1033" priority="746" operator="lessThanOrEqual">
      <formula>H37</formula>
    </cfRule>
  </conditionalFormatting>
  <conditionalFormatting sqref="AF38">
    <cfRule type="cellIs" dxfId="1032" priority="751" operator="lessThanOrEqual">
      <formula>H38</formula>
    </cfRule>
  </conditionalFormatting>
  <conditionalFormatting sqref="AF39">
    <cfRule type="cellIs" dxfId="1031" priority="756" operator="lessThanOrEqual">
      <formula>H39</formula>
    </cfRule>
  </conditionalFormatting>
  <conditionalFormatting sqref="AF40">
    <cfRule type="cellIs" dxfId="1030" priority="761" operator="lessThanOrEqual">
      <formula>H40</formula>
    </cfRule>
  </conditionalFormatting>
  <conditionalFormatting sqref="AF41">
    <cfRule type="cellIs" dxfId="1029" priority="766" operator="lessThanOrEqual">
      <formula>H41</formula>
    </cfRule>
  </conditionalFormatting>
  <conditionalFormatting sqref="AF43">
    <cfRule type="cellIs" dxfId="1028" priority="771" operator="lessThanOrEqual">
      <formula>H43</formula>
    </cfRule>
  </conditionalFormatting>
  <conditionalFormatting sqref="AF44">
    <cfRule type="cellIs" dxfId="1027" priority="776" operator="lessThanOrEqual">
      <formula>H44</formula>
    </cfRule>
  </conditionalFormatting>
  <conditionalFormatting sqref="AF45">
    <cfRule type="cellIs" dxfId="1026" priority="781" operator="lessThanOrEqual">
      <formula>H45</formula>
    </cfRule>
  </conditionalFormatting>
  <conditionalFormatting sqref="AF46">
    <cfRule type="cellIs" dxfId="1025" priority="786" operator="lessThanOrEqual">
      <formula>H46</formula>
    </cfRule>
  </conditionalFormatting>
  <conditionalFormatting sqref="AF47">
    <cfRule type="cellIs" dxfId="1024" priority="791" operator="lessThanOrEqual">
      <formula>H47</formula>
    </cfRule>
  </conditionalFormatting>
  <conditionalFormatting sqref="AF48">
    <cfRule type="cellIs" dxfId="1023" priority="796" operator="lessThanOrEqual">
      <formula>H48</formula>
    </cfRule>
  </conditionalFormatting>
  <conditionalFormatting sqref="AF49">
    <cfRule type="cellIs" dxfId="1022" priority="801" operator="lessThanOrEqual">
      <formula>H49</formula>
    </cfRule>
  </conditionalFormatting>
  <conditionalFormatting sqref="AF50">
    <cfRule type="cellIs" dxfId="1021" priority="806" operator="lessThanOrEqual">
      <formula>H50</formula>
    </cfRule>
  </conditionalFormatting>
  <conditionalFormatting sqref="AF51">
    <cfRule type="cellIs" dxfId="1020" priority="811" operator="lessThanOrEqual">
      <formula>H51</formula>
    </cfRule>
  </conditionalFormatting>
  <conditionalFormatting sqref="AF53">
    <cfRule type="cellIs" dxfId="1019" priority="816" operator="lessThanOrEqual">
      <formula>H53</formula>
    </cfRule>
  </conditionalFormatting>
  <conditionalFormatting sqref="AF54">
    <cfRule type="cellIs" dxfId="1018" priority="821" operator="lessThanOrEqual">
      <formula>H54</formula>
    </cfRule>
  </conditionalFormatting>
  <conditionalFormatting sqref="AF8">
    <cfRule type="cellIs" dxfId="1017" priority="611" operator="lessThanOrEqual">
      <formula>H8</formula>
    </cfRule>
  </conditionalFormatting>
  <conditionalFormatting sqref="AF9">
    <cfRule type="cellIs" dxfId="1016" priority="616" operator="lessThanOrEqual">
      <formula>H9</formula>
    </cfRule>
  </conditionalFormatting>
  <conditionalFormatting sqref="AH13">
    <cfRule type="cellIs" dxfId="1015" priority="833" operator="equal">
      <formula>0</formula>
    </cfRule>
    <cfRule type="cellIs" dxfId="1014" priority="834" operator="lessThan">
      <formula>F13</formula>
    </cfRule>
  </conditionalFormatting>
  <conditionalFormatting sqref="AH14">
    <cfRule type="cellIs" dxfId="1013" priority="839" operator="equal">
      <formula>0</formula>
    </cfRule>
    <cfRule type="cellIs" dxfId="1012" priority="840" operator="lessThan">
      <formula>F14</formula>
    </cfRule>
  </conditionalFormatting>
  <conditionalFormatting sqref="AH15">
    <cfRule type="cellIs" dxfId="1011" priority="845" operator="equal">
      <formula>0</formula>
    </cfRule>
    <cfRule type="cellIs" dxfId="1010" priority="846" operator="lessThan">
      <formula>F15</formula>
    </cfRule>
  </conditionalFormatting>
  <conditionalFormatting sqref="AH18">
    <cfRule type="cellIs" dxfId="1009" priority="850" operator="equal">
      <formula>0</formula>
    </cfRule>
    <cfRule type="cellIs" dxfId="1008" priority="851" operator="lessThan">
      <formula>F18</formula>
    </cfRule>
  </conditionalFormatting>
  <conditionalFormatting sqref="AH19">
    <cfRule type="cellIs" dxfId="1007" priority="855" operator="equal">
      <formula>0</formula>
    </cfRule>
    <cfRule type="cellIs" dxfId="1006" priority="856" operator="lessThan">
      <formula>F19</formula>
    </cfRule>
  </conditionalFormatting>
  <conditionalFormatting sqref="AH20">
    <cfRule type="cellIs" dxfId="1005" priority="861" operator="equal">
      <formula>0</formula>
    </cfRule>
    <cfRule type="cellIs" dxfId="1004" priority="862" operator="lessThan">
      <formula>F20</formula>
    </cfRule>
  </conditionalFormatting>
  <conditionalFormatting sqref="AH21">
    <cfRule type="cellIs" dxfId="1003" priority="867" operator="equal">
      <formula>0</formula>
    </cfRule>
    <cfRule type="cellIs" dxfId="1002" priority="868" operator="lessThan">
      <formula>F21</formula>
    </cfRule>
  </conditionalFormatting>
  <conditionalFormatting sqref="AH23">
    <cfRule type="cellIs" dxfId="1001" priority="873" operator="equal">
      <formula>0</formula>
    </cfRule>
    <cfRule type="cellIs" dxfId="1000" priority="874" operator="lessThan">
      <formula>F23</formula>
    </cfRule>
  </conditionalFormatting>
  <conditionalFormatting sqref="AH24">
    <cfRule type="cellIs" dxfId="999" priority="878" operator="equal">
      <formula>0</formula>
    </cfRule>
    <cfRule type="cellIs" dxfId="998" priority="879" operator="lessThan">
      <formula>F24</formula>
    </cfRule>
  </conditionalFormatting>
  <conditionalFormatting sqref="AH26">
    <cfRule type="cellIs" dxfId="997" priority="883" operator="equal">
      <formula>0</formula>
    </cfRule>
    <cfRule type="cellIs" dxfId="996" priority="884" operator="lessThan">
      <formula>F26</formula>
    </cfRule>
  </conditionalFormatting>
  <conditionalFormatting sqref="AH27">
    <cfRule type="cellIs" dxfId="995" priority="888" operator="equal">
      <formula>0</formula>
    </cfRule>
    <cfRule type="cellIs" dxfId="994" priority="889" operator="lessThan">
      <formula>F27</formula>
    </cfRule>
  </conditionalFormatting>
  <conditionalFormatting sqref="AH29">
    <cfRule type="cellIs" dxfId="993" priority="894" operator="equal">
      <formula>0</formula>
    </cfRule>
    <cfRule type="cellIs" dxfId="992" priority="895" operator="lessThan">
      <formula>F29</formula>
    </cfRule>
  </conditionalFormatting>
  <conditionalFormatting sqref="AH30">
    <cfRule type="cellIs" dxfId="991" priority="900" operator="equal">
      <formula>0</formula>
    </cfRule>
    <cfRule type="cellIs" dxfId="990" priority="901" operator="lessThan">
      <formula>F30</formula>
    </cfRule>
  </conditionalFormatting>
  <conditionalFormatting sqref="AH31">
    <cfRule type="cellIs" dxfId="989" priority="906" operator="equal">
      <formula>0</formula>
    </cfRule>
    <cfRule type="cellIs" dxfId="988" priority="907" operator="lessThan">
      <formula>F31</formula>
    </cfRule>
  </conditionalFormatting>
  <conditionalFormatting sqref="AH32">
    <cfRule type="cellIs" dxfId="987" priority="912" operator="equal">
      <formula>0</formula>
    </cfRule>
    <cfRule type="cellIs" dxfId="986" priority="913" operator="lessThan">
      <formula>F32</formula>
    </cfRule>
  </conditionalFormatting>
  <conditionalFormatting sqref="AH33">
    <cfRule type="cellIs" dxfId="985" priority="917" operator="equal">
      <formula>0</formula>
    </cfRule>
    <cfRule type="cellIs" dxfId="984" priority="918" operator="lessThan">
      <formula>F33</formula>
    </cfRule>
  </conditionalFormatting>
  <conditionalFormatting sqref="AH34">
    <cfRule type="cellIs" dxfId="983" priority="923" operator="equal">
      <formula>0</formula>
    </cfRule>
    <cfRule type="cellIs" dxfId="982" priority="924" operator="lessThan">
      <formula>F34</formula>
    </cfRule>
  </conditionalFormatting>
  <conditionalFormatting sqref="AH35">
    <cfRule type="cellIs" dxfId="981" priority="929" operator="equal">
      <formula>0</formula>
    </cfRule>
    <cfRule type="cellIs" dxfId="980" priority="930" operator="lessThan">
      <formula>F35</formula>
    </cfRule>
  </conditionalFormatting>
  <conditionalFormatting sqref="AH36">
    <cfRule type="cellIs" dxfId="979" priority="935" operator="equal">
      <formula>0</formula>
    </cfRule>
    <cfRule type="cellIs" dxfId="978" priority="936" operator="lessThan">
      <formula>F36</formula>
    </cfRule>
  </conditionalFormatting>
  <conditionalFormatting sqref="AH38">
    <cfRule type="cellIs" dxfId="977" priority="940" operator="equal">
      <formula>0</formula>
    </cfRule>
    <cfRule type="cellIs" dxfId="976" priority="941" operator="lessThan">
      <formula>F38</formula>
    </cfRule>
  </conditionalFormatting>
  <conditionalFormatting sqref="AH39">
    <cfRule type="cellIs" dxfId="975" priority="945" operator="equal">
      <formula>0</formula>
    </cfRule>
    <cfRule type="cellIs" dxfId="974" priority="946" operator="lessThan">
      <formula>F39</formula>
    </cfRule>
  </conditionalFormatting>
  <conditionalFormatting sqref="AH41">
    <cfRule type="cellIs" dxfId="973" priority="951" operator="equal">
      <formula>0</formula>
    </cfRule>
    <cfRule type="cellIs" dxfId="972" priority="952" operator="lessThan">
      <formula>F41</formula>
    </cfRule>
  </conditionalFormatting>
  <conditionalFormatting sqref="AH44">
    <cfRule type="cellIs" dxfId="971" priority="957" operator="equal">
      <formula>0</formula>
    </cfRule>
    <cfRule type="cellIs" dxfId="970" priority="958" operator="lessThan">
      <formula>F44</formula>
    </cfRule>
  </conditionalFormatting>
  <conditionalFormatting sqref="AH45">
    <cfRule type="cellIs" dxfId="969" priority="962" operator="equal">
      <formula>0</formula>
    </cfRule>
    <cfRule type="cellIs" dxfId="968" priority="963" operator="lessThan">
      <formula>F45</formula>
    </cfRule>
  </conditionalFormatting>
  <conditionalFormatting sqref="AH48">
    <cfRule type="cellIs" dxfId="967" priority="967" operator="equal">
      <formula>0</formula>
    </cfRule>
    <cfRule type="cellIs" dxfId="966" priority="968" operator="lessThan">
      <formula>F48</formula>
    </cfRule>
  </conditionalFormatting>
  <conditionalFormatting sqref="AH49">
    <cfRule type="cellIs" dxfId="965" priority="972" operator="equal">
      <formula>0</formula>
    </cfRule>
    <cfRule type="cellIs" dxfId="964" priority="973" operator="lessThan">
      <formula>F49</formula>
    </cfRule>
  </conditionalFormatting>
  <conditionalFormatting sqref="AH50">
    <cfRule type="cellIs" dxfId="963" priority="977" operator="equal">
      <formula>0</formula>
    </cfRule>
    <cfRule type="cellIs" dxfId="962" priority="978" operator="lessThan">
      <formula>F50</formula>
    </cfRule>
  </conditionalFormatting>
  <conditionalFormatting sqref="AH51">
    <cfRule type="cellIs" dxfId="961" priority="983" operator="equal">
      <formula>0</formula>
    </cfRule>
    <cfRule type="cellIs" dxfId="960" priority="984" operator="lessThan">
      <formula>F51</formula>
    </cfRule>
  </conditionalFormatting>
  <conditionalFormatting sqref="AH53">
    <cfRule type="cellIs" dxfId="959" priority="988" operator="equal">
      <formula>0</formula>
    </cfRule>
    <cfRule type="cellIs" dxfId="958" priority="989" operator="lessThan">
      <formula>F53</formula>
    </cfRule>
  </conditionalFormatting>
  <conditionalFormatting sqref="AH54">
    <cfRule type="cellIs" dxfId="957" priority="993" operator="equal">
      <formula>0</formula>
    </cfRule>
    <cfRule type="cellIs" dxfId="956" priority="994" operator="lessThan">
      <formula>F54</formula>
    </cfRule>
  </conditionalFormatting>
  <conditionalFormatting sqref="AH8">
    <cfRule type="cellIs" dxfId="955" priority="823" operator="equal">
      <formula>0</formula>
    </cfRule>
    <cfRule type="cellIs" dxfId="954" priority="824" operator="lessThan">
      <formula>F8</formula>
    </cfRule>
  </conditionalFormatting>
  <conditionalFormatting sqref="AH9">
    <cfRule type="cellIs" dxfId="953" priority="828" operator="equal">
      <formula>0</formula>
    </cfRule>
    <cfRule type="cellIs" dxfId="952" priority="829" operator="lessThan">
      <formula>F9</formula>
    </cfRule>
  </conditionalFormatting>
  <conditionalFormatting sqref="AI13">
    <cfRule type="expression" dxfId="951" priority="835">
      <formula>AND(AI13&gt;0,AI13&lt;10)</formula>
    </cfRule>
    <cfRule type="cellIs" dxfId="950" priority="836" operator="greaterThan">
      <formula>AH13</formula>
    </cfRule>
  </conditionalFormatting>
  <conditionalFormatting sqref="AI14">
    <cfRule type="expression" dxfId="949" priority="841">
      <formula>AND(AI14&gt;0,AI14&lt;10)</formula>
    </cfRule>
    <cfRule type="cellIs" dxfId="948" priority="842" operator="greaterThan">
      <formula>AH14</formula>
    </cfRule>
  </conditionalFormatting>
  <conditionalFormatting sqref="AI15">
    <cfRule type="cellIs" dxfId="947" priority="847" operator="greaterThan">
      <formula>AH15</formula>
    </cfRule>
  </conditionalFormatting>
  <conditionalFormatting sqref="AI18">
    <cfRule type="cellIs" dxfId="946" priority="852" operator="greaterThan">
      <formula>AH18</formula>
    </cfRule>
  </conditionalFormatting>
  <conditionalFormatting sqref="AI19">
    <cfRule type="expression" dxfId="945" priority="857">
      <formula>AND(AI19&gt;0,AI19&lt;1000)</formula>
    </cfRule>
    <cfRule type="cellIs" dxfId="944" priority="858" operator="greaterThan">
      <formula>AH19</formula>
    </cfRule>
  </conditionalFormatting>
  <conditionalFormatting sqref="AI20">
    <cfRule type="expression" dxfId="943" priority="863">
      <formula>AND(AI20&gt;0,AI20&lt;3000)</formula>
    </cfRule>
    <cfRule type="cellIs" dxfId="942" priority="864" operator="greaterThan">
      <formula>AH20</formula>
    </cfRule>
  </conditionalFormatting>
  <conditionalFormatting sqref="AI21">
    <cfRule type="expression" dxfId="941" priority="869">
      <formula>AND(AI21&gt;0,AI21&lt;10)</formula>
    </cfRule>
    <cfRule type="cellIs" dxfId="940" priority="870" operator="greaterThan">
      <formula>AH21</formula>
    </cfRule>
  </conditionalFormatting>
  <conditionalFormatting sqref="AI23">
    <cfRule type="cellIs" dxfId="939" priority="875" operator="greaterThan">
      <formula>AH23</formula>
    </cfRule>
  </conditionalFormatting>
  <conditionalFormatting sqref="AI24">
    <cfRule type="cellIs" dxfId="938" priority="880" operator="greaterThan">
      <formula>AH24</formula>
    </cfRule>
  </conditionalFormatting>
  <conditionalFormatting sqref="AI26">
    <cfRule type="cellIs" dxfId="937" priority="885" operator="greaterThan">
      <formula>AH26</formula>
    </cfRule>
  </conditionalFormatting>
  <conditionalFormatting sqref="AI27">
    <cfRule type="expression" dxfId="936" priority="890">
      <formula>AND(AI27&gt;0,AI27&lt;10)</formula>
    </cfRule>
    <cfRule type="cellIs" dxfId="935" priority="891" operator="greaterThan">
      <formula>AH27</formula>
    </cfRule>
  </conditionalFormatting>
  <conditionalFormatting sqref="AI29">
    <cfRule type="expression" dxfId="934" priority="896">
      <formula>AND(AI29&gt;0,AI29&lt;10)</formula>
    </cfRule>
    <cfRule type="cellIs" dxfId="933" priority="897" operator="greaterThan">
      <formula>AH29</formula>
    </cfRule>
  </conditionalFormatting>
  <conditionalFormatting sqref="AI30">
    <cfRule type="expression" dxfId="932" priority="902">
      <formula>AND(AI30&gt;0,AI30&lt;10)</formula>
    </cfRule>
    <cfRule type="cellIs" dxfId="931" priority="903" operator="greaterThan">
      <formula>AH30</formula>
    </cfRule>
  </conditionalFormatting>
  <conditionalFormatting sqref="AI31">
    <cfRule type="expression" dxfId="930" priority="908">
      <formula>AND(AI31&gt;0,AI31&lt;10)</formula>
    </cfRule>
    <cfRule type="cellIs" dxfId="929" priority="909" operator="greaterThan">
      <formula>AH31</formula>
    </cfRule>
  </conditionalFormatting>
  <conditionalFormatting sqref="AI32">
    <cfRule type="cellIs" dxfId="928" priority="914" operator="greaterThan">
      <formula>AH32</formula>
    </cfRule>
  </conditionalFormatting>
  <conditionalFormatting sqref="AI33">
    <cfRule type="expression" dxfId="927" priority="919">
      <formula>AND(AI33&gt;0,AI33&lt;5000)</formula>
    </cfRule>
    <cfRule type="cellIs" dxfId="926" priority="920" operator="greaterThan">
      <formula>AH33</formula>
    </cfRule>
  </conditionalFormatting>
  <conditionalFormatting sqref="AI34">
    <cfRule type="expression" dxfId="925" priority="925">
      <formula>AND(AI34&gt;0,AI34&lt;10)</formula>
    </cfRule>
    <cfRule type="cellIs" dxfId="924" priority="926" operator="greaterThan">
      <formula>AH34</formula>
    </cfRule>
  </conditionalFormatting>
  <conditionalFormatting sqref="AI35">
    <cfRule type="expression" dxfId="923" priority="931">
      <formula>AND(AI35&gt;0,AI35&lt;10)</formula>
    </cfRule>
    <cfRule type="cellIs" dxfId="922" priority="932" operator="greaterThan">
      <formula>AH35</formula>
    </cfRule>
  </conditionalFormatting>
  <conditionalFormatting sqref="AI36">
    <cfRule type="cellIs" dxfId="921" priority="937" operator="greaterThan">
      <formula>AH36</formula>
    </cfRule>
  </conditionalFormatting>
  <conditionalFormatting sqref="AI38">
    <cfRule type="cellIs" dxfId="920" priority="942" operator="greaterThan">
      <formula>AH38</formula>
    </cfRule>
  </conditionalFormatting>
  <conditionalFormatting sqref="AI39">
    <cfRule type="expression" dxfId="919" priority="947">
      <formula>AND(AI39&gt;0,AI39&lt;10)</formula>
    </cfRule>
    <cfRule type="cellIs" dxfId="918" priority="948" operator="greaterThan">
      <formula>AH39</formula>
    </cfRule>
  </conditionalFormatting>
  <conditionalFormatting sqref="AI41">
    <cfRule type="expression" dxfId="917" priority="953">
      <formula>AND(AI41&gt;0,AI41&lt;5)</formula>
    </cfRule>
    <cfRule type="cellIs" dxfId="916" priority="954" operator="greaterThan">
      <formula>AH41</formula>
    </cfRule>
  </conditionalFormatting>
  <conditionalFormatting sqref="AI44">
    <cfRule type="cellIs" dxfId="915" priority="959" operator="greaterThan">
      <formula>AH44</formula>
    </cfRule>
  </conditionalFormatting>
  <conditionalFormatting sqref="AI45">
    <cfRule type="cellIs" dxfId="914" priority="964" operator="greaterThan">
      <formula>AH45</formula>
    </cfRule>
  </conditionalFormatting>
  <conditionalFormatting sqref="AI48">
    <cfRule type="cellIs" dxfId="913" priority="969" operator="greaterThan">
      <formula>AH48</formula>
    </cfRule>
  </conditionalFormatting>
  <conditionalFormatting sqref="AI49">
    <cfRule type="cellIs" dxfId="912" priority="974" operator="greaterThan">
      <formula>AH49</formula>
    </cfRule>
  </conditionalFormatting>
  <conditionalFormatting sqref="AI50">
    <cfRule type="expression" dxfId="911" priority="979">
      <formula>AND(AI50&gt;0,AI50&lt;3300)</formula>
    </cfRule>
    <cfRule type="cellIs" dxfId="910" priority="980" operator="greaterThan">
      <formula>AH50</formula>
    </cfRule>
  </conditionalFormatting>
  <conditionalFormatting sqref="AI51">
    <cfRule type="cellIs" dxfId="909" priority="985" operator="greaterThan">
      <formula>AH51</formula>
    </cfRule>
  </conditionalFormatting>
  <conditionalFormatting sqref="AI53">
    <cfRule type="cellIs" dxfId="908" priority="990" operator="greaterThan">
      <formula>AH53</formula>
    </cfRule>
  </conditionalFormatting>
  <conditionalFormatting sqref="AI54">
    <cfRule type="cellIs" dxfId="907" priority="995" operator="greaterThan">
      <formula>AH54</formula>
    </cfRule>
  </conditionalFormatting>
  <conditionalFormatting sqref="AI8">
    <cfRule type="cellIs" dxfId="906" priority="825" operator="greaterThan">
      <formula>AH8</formula>
    </cfRule>
  </conditionalFormatting>
  <conditionalFormatting sqref="AI9">
    <cfRule type="cellIs" dxfId="905" priority="830" operator="greaterThan">
      <formula>AH9</formula>
    </cfRule>
  </conditionalFormatting>
  <conditionalFormatting sqref="AJ13">
    <cfRule type="cellIs" dxfId="904" priority="838" operator="lessThanOrEqual">
      <formula>G13</formula>
    </cfRule>
  </conditionalFormatting>
  <conditionalFormatting sqref="AJ14">
    <cfRule type="cellIs" dxfId="903" priority="844" operator="lessThanOrEqual">
      <formula>G14</formula>
    </cfRule>
  </conditionalFormatting>
  <conditionalFormatting sqref="AJ15">
    <cfRule type="cellIs" dxfId="902" priority="849" operator="lessThanOrEqual">
      <formula>G15</formula>
    </cfRule>
  </conditionalFormatting>
  <conditionalFormatting sqref="AJ18">
    <cfRule type="cellIs" dxfId="901" priority="854" operator="lessThanOrEqual">
      <formula>G18</formula>
    </cfRule>
  </conditionalFormatting>
  <conditionalFormatting sqref="AJ19">
    <cfRule type="cellIs" dxfId="900" priority="860" operator="lessThanOrEqual">
      <formula>G19</formula>
    </cfRule>
  </conditionalFormatting>
  <conditionalFormatting sqref="AJ20">
    <cfRule type="cellIs" dxfId="899" priority="866" operator="lessThanOrEqual">
      <formula>G20</formula>
    </cfRule>
  </conditionalFormatting>
  <conditionalFormatting sqref="AJ21">
    <cfRule type="cellIs" dxfId="898" priority="872" operator="lessThanOrEqual">
      <formula>G21</formula>
    </cfRule>
  </conditionalFormatting>
  <conditionalFormatting sqref="AJ23">
    <cfRule type="cellIs" dxfId="897" priority="877" operator="lessThanOrEqual">
      <formula>G23</formula>
    </cfRule>
  </conditionalFormatting>
  <conditionalFormatting sqref="AJ24">
    <cfRule type="cellIs" dxfId="896" priority="882" operator="lessThanOrEqual">
      <formula>G24</formula>
    </cfRule>
  </conditionalFormatting>
  <conditionalFormatting sqref="AJ26">
    <cfRule type="cellIs" dxfId="895" priority="887" operator="lessThanOrEqual">
      <formula>G26</formula>
    </cfRule>
  </conditionalFormatting>
  <conditionalFormatting sqref="AJ27">
    <cfRule type="cellIs" dxfId="894" priority="893" operator="lessThanOrEqual">
      <formula>G27</formula>
    </cfRule>
  </conditionalFormatting>
  <conditionalFormatting sqref="AJ29">
    <cfRule type="cellIs" dxfId="893" priority="899" operator="lessThanOrEqual">
      <formula>G29</formula>
    </cfRule>
  </conditionalFormatting>
  <conditionalFormatting sqref="AJ30">
    <cfRule type="cellIs" dxfId="892" priority="905" operator="lessThanOrEqual">
      <formula>G30</formula>
    </cfRule>
  </conditionalFormatting>
  <conditionalFormatting sqref="AJ31">
    <cfRule type="cellIs" dxfId="891" priority="911" operator="lessThanOrEqual">
      <formula>G31</formula>
    </cfRule>
  </conditionalFormatting>
  <conditionalFormatting sqref="AJ32">
    <cfRule type="cellIs" dxfId="890" priority="916" operator="lessThanOrEqual">
      <formula>G32</formula>
    </cfRule>
  </conditionalFormatting>
  <conditionalFormatting sqref="AJ33">
    <cfRule type="cellIs" dxfId="889" priority="922" operator="lessThanOrEqual">
      <formula>G33</formula>
    </cfRule>
  </conditionalFormatting>
  <conditionalFormatting sqref="AJ34">
    <cfRule type="cellIs" dxfId="888" priority="928" operator="lessThanOrEqual">
      <formula>G34</formula>
    </cfRule>
  </conditionalFormatting>
  <conditionalFormatting sqref="AJ35">
    <cfRule type="cellIs" dxfId="887" priority="934" operator="lessThanOrEqual">
      <formula>G35</formula>
    </cfRule>
  </conditionalFormatting>
  <conditionalFormatting sqref="AJ36">
    <cfRule type="cellIs" dxfId="886" priority="939" operator="lessThanOrEqual">
      <formula>G36</formula>
    </cfRule>
  </conditionalFormatting>
  <conditionalFormatting sqref="AJ38">
    <cfRule type="cellIs" dxfId="885" priority="944" operator="lessThanOrEqual">
      <formula>G38</formula>
    </cfRule>
  </conditionalFormatting>
  <conditionalFormatting sqref="AJ39">
    <cfRule type="cellIs" dxfId="884" priority="950" operator="lessThanOrEqual">
      <formula>G39</formula>
    </cfRule>
  </conditionalFormatting>
  <conditionalFormatting sqref="AJ41">
    <cfRule type="cellIs" dxfId="883" priority="956" operator="lessThanOrEqual">
      <formula>G41</formula>
    </cfRule>
  </conditionalFormatting>
  <conditionalFormatting sqref="AJ44">
    <cfRule type="cellIs" dxfId="882" priority="961" operator="lessThanOrEqual">
      <formula>G44</formula>
    </cfRule>
  </conditionalFormatting>
  <conditionalFormatting sqref="AJ45">
    <cfRule type="cellIs" dxfId="881" priority="966" operator="lessThanOrEqual">
      <formula>G45</formula>
    </cfRule>
  </conditionalFormatting>
  <conditionalFormatting sqref="AJ48">
    <cfRule type="cellIs" dxfId="880" priority="971" operator="lessThanOrEqual">
      <formula>G48</formula>
    </cfRule>
  </conditionalFormatting>
  <conditionalFormatting sqref="AJ49">
    <cfRule type="cellIs" dxfId="879" priority="976" operator="lessThanOrEqual">
      <formula>G49</formula>
    </cfRule>
  </conditionalFormatting>
  <conditionalFormatting sqref="AJ50">
    <cfRule type="cellIs" dxfId="878" priority="982" operator="lessThanOrEqual">
      <formula>G50</formula>
    </cfRule>
  </conditionalFormatting>
  <conditionalFormatting sqref="AJ51">
    <cfRule type="cellIs" dxfId="877" priority="987" operator="lessThanOrEqual">
      <formula>G51</formula>
    </cfRule>
  </conditionalFormatting>
  <conditionalFormatting sqref="AJ53">
    <cfRule type="cellIs" dxfId="876" priority="992" operator="lessThanOrEqual">
      <formula>G53</formula>
    </cfRule>
  </conditionalFormatting>
  <conditionalFormatting sqref="AJ54">
    <cfRule type="cellIs" dxfId="875" priority="997" operator="lessThanOrEqual">
      <formula>G54</formula>
    </cfRule>
  </conditionalFormatting>
  <conditionalFormatting sqref="AJ8">
    <cfRule type="cellIs" dxfId="874" priority="827" operator="lessThanOrEqual">
      <formula>G8</formula>
    </cfRule>
  </conditionalFormatting>
  <conditionalFormatting sqref="AJ9">
    <cfRule type="cellIs" dxfId="873" priority="832" operator="lessThanOrEqual">
      <formula>G9</formula>
    </cfRule>
  </conditionalFormatting>
  <conditionalFormatting sqref="AK13">
    <cfRule type="cellIs" dxfId="872" priority="837" operator="lessThanOrEqual">
      <formula>H13</formula>
    </cfRule>
  </conditionalFormatting>
  <conditionalFormatting sqref="AK14">
    <cfRule type="cellIs" dxfId="871" priority="843" operator="lessThanOrEqual">
      <formula>H14</formula>
    </cfRule>
  </conditionalFormatting>
  <conditionalFormatting sqref="AK15">
    <cfRule type="cellIs" dxfId="870" priority="848" operator="lessThanOrEqual">
      <formula>H15</formula>
    </cfRule>
  </conditionalFormatting>
  <conditionalFormatting sqref="AK18">
    <cfRule type="cellIs" dxfId="869" priority="853" operator="lessThanOrEqual">
      <formula>H18</formula>
    </cfRule>
  </conditionalFormatting>
  <conditionalFormatting sqref="AK19">
    <cfRule type="cellIs" dxfId="868" priority="859" operator="lessThanOrEqual">
      <formula>H19</formula>
    </cfRule>
  </conditionalFormatting>
  <conditionalFormatting sqref="AK20">
    <cfRule type="cellIs" dxfId="867" priority="865" operator="lessThanOrEqual">
      <formula>H20</formula>
    </cfRule>
  </conditionalFormatting>
  <conditionalFormatting sqref="AK21">
    <cfRule type="cellIs" dxfId="866" priority="871" operator="lessThanOrEqual">
      <formula>H21</formula>
    </cfRule>
  </conditionalFormatting>
  <conditionalFormatting sqref="AK23">
    <cfRule type="cellIs" dxfId="865" priority="876" operator="lessThanOrEqual">
      <formula>H23</formula>
    </cfRule>
  </conditionalFormatting>
  <conditionalFormatting sqref="AK24">
    <cfRule type="cellIs" dxfId="864" priority="881" operator="lessThanOrEqual">
      <formula>H24</formula>
    </cfRule>
  </conditionalFormatting>
  <conditionalFormatting sqref="AK26">
    <cfRule type="cellIs" dxfId="863" priority="886" operator="lessThanOrEqual">
      <formula>H26</formula>
    </cfRule>
  </conditionalFormatting>
  <conditionalFormatting sqref="AK27">
    <cfRule type="cellIs" dxfId="862" priority="892" operator="lessThanOrEqual">
      <formula>H27</formula>
    </cfRule>
  </conditionalFormatting>
  <conditionalFormatting sqref="AK29">
    <cfRule type="cellIs" dxfId="861" priority="898" operator="lessThanOrEqual">
      <formula>H29</formula>
    </cfRule>
  </conditionalFormatting>
  <conditionalFormatting sqref="AK30">
    <cfRule type="cellIs" dxfId="860" priority="904" operator="lessThanOrEqual">
      <formula>H30</formula>
    </cfRule>
  </conditionalFormatting>
  <conditionalFormatting sqref="AK31">
    <cfRule type="cellIs" dxfId="859" priority="910" operator="lessThanOrEqual">
      <formula>H31</formula>
    </cfRule>
  </conditionalFormatting>
  <conditionalFormatting sqref="AK32">
    <cfRule type="cellIs" dxfId="858" priority="915" operator="lessThanOrEqual">
      <formula>H32</formula>
    </cfRule>
  </conditionalFormatting>
  <conditionalFormatting sqref="AK33">
    <cfRule type="cellIs" dxfId="857" priority="921" operator="lessThanOrEqual">
      <formula>H33</formula>
    </cfRule>
  </conditionalFormatting>
  <conditionalFormatting sqref="AK34">
    <cfRule type="cellIs" dxfId="856" priority="927" operator="lessThanOrEqual">
      <formula>H34</formula>
    </cfRule>
  </conditionalFormatting>
  <conditionalFormatting sqref="AK35">
    <cfRule type="cellIs" dxfId="855" priority="933" operator="lessThanOrEqual">
      <formula>H35</formula>
    </cfRule>
  </conditionalFormatting>
  <conditionalFormatting sqref="AK36">
    <cfRule type="cellIs" dxfId="854" priority="938" operator="lessThanOrEqual">
      <formula>H36</formula>
    </cfRule>
  </conditionalFormatting>
  <conditionalFormatting sqref="AK38">
    <cfRule type="cellIs" dxfId="853" priority="943" operator="lessThanOrEqual">
      <formula>H38</formula>
    </cfRule>
  </conditionalFormatting>
  <conditionalFormatting sqref="AK39">
    <cfRule type="cellIs" dxfId="852" priority="949" operator="lessThanOrEqual">
      <formula>H39</formula>
    </cfRule>
  </conditionalFormatting>
  <conditionalFormatting sqref="AK41">
    <cfRule type="cellIs" dxfId="851" priority="955" operator="lessThanOrEqual">
      <formula>H41</formula>
    </cfRule>
  </conditionalFormatting>
  <conditionalFormatting sqref="AK44">
    <cfRule type="cellIs" dxfId="850" priority="960" operator="lessThanOrEqual">
      <formula>H44</formula>
    </cfRule>
  </conditionalFormatting>
  <conditionalFormatting sqref="AK45">
    <cfRule type="cellIs" dxfId="849" priority="965" operator="lessThanOrEqual">
      <formula>H45</formula>
    </cfRule>
  </conditionalFormatting>
  <conditionalFormatting sqref="AK48">
    <cfRule type="cellIs" dxfId="848" priority="970" operator="lessThanOrEqual">
      <formula>H48</formula>
    </cfRule>
  </conditionalFormatting>
  <conditionalFormatting sqref="AK49">
    <cfRule type="cellIs" dxfId="847" priority="975" operator="lessThanOrEqual">
      <formula>H49</formula>
    </cfRule>
  </conditionalFormatting>
  <conditionalFormatting sqref="AK50">
    <cfRule type="cellIs" dxfId="846" priority="981" operator="lessThanOrEqual">
      <formula>H50</formula>
    </cfRule>
  </conditionalFormatting>
  <conditionalFormatting sqref="AK51">
    <cfRule type="cellIs" dxfId="845" priority="986" operator="lessThanOrEqual">
      <formula>H51</formula>
    </cfRule>
  </conditionalFormatting>
  <conditionalFormatting sqref="AK53">
    <cfRule type="cellIs" dxfId="844" priority="991" operator="lessThanOrEqual">
      <formula>H53</formula>
    </cfRule>
  </conditionalFormatting>
  <conditionalFormatting sqref="AK54">
    <cfRule type="cellIs" dxfId="843" priority="996" operator="lessThanOrEqual">
      <formula>H54</formula>
    </cfRule>
  </conditionalFormatting>
  <conditionalFormatting sqref="AK8">
    <cfRule type="cellIs" dxfId="842" priority="826" operator="lessThanOrEqual">
      <formula>H8</formula>
    </cfRule>
  </conditionalFormatting>
  <conditionalFormatting sqref="AK9">
    <cfRule type="cellIs" dxfId="841" priority="831" operator="lessThanOrEqual">
      <formula>H9</formula>
    </cfRule>
  </conditionalFormatting>
  <conditionalFormatting sqref="AM14">
    <cfRule type="cellIs" dxfId="840" priority="1010" operator="equal">
      <formula>0</formula>
    </cfRule>
    <cfRule type="cellIs" dxfId="839" priority="1011" operator="lessThan">
      <formula>F14</formula>
    </cfRule>
  </conditionalFormatting>
  <conditionalFormatting sqref="AM15">
    <cfRule type="cellIs" dxfId="838" priority="1016" operator="equal">
      <formula>0</formula>
    </cfRule>
    <cfRule type="cellIs" dxfId="837" priority="1017" operator="lessThan">
      <formula>F15</formula>
    </cfRule>
  </conditionalFormatting>
  <conditionalFormatting sqref="AM19">
    <cfRule type="cellIs" dxfId="836" priority="1022" operator="equal">
      <formula>0</formula>
    </cfRule>
    <cfRule type="cellIs" dxfId="835" priority="1023" operator="lessThan">
      <formula>F19</formula>
    </cfRule>
  </conditionalFormatting>
  <conditionalFormatting sqref="AM23">
    <cfRule type="cellIs" dxfId="834" priority="1027" operator="equal">
      <formula>0</formula>
    </cfRule>
    <cfRule type="cellIs" dxfId="833" priority="1028" operator="lessThan">
      <formula>F23</formula>
    </cfRule>
  </conditionalFormatting>
  <conditionalFormatting sqref="AM24">
    <cfRule type="cellIs" dxfId="832" priority="1033" operator="equal">
      <formula>0</formula>
    </cfRule>
    <cfRule type="cellIs" dxfId="831" priority="1034" operator="lessThan">
      <formula>F24</formula>
    </cfRule>
  </conditionalFormatting>
  <conditionalFormatting sqref="AM26">
    <cfRule type="cellIs" dxfId="830" priority="1039" operator="equal">
      <formula>0</formula>
    </cfRule>
    <cfRule type="cellIs" dxfId="829" priority="1040" operator="lessThan">
      <formula>F26</formula>
    </cfRule>
  </conditionalFormatting>
  <conditionalFormatting sqref="AM27">
    <cfRule type="cellIs" dxfId="828" priority="1045" operator="equal">
      <formula>0</formula>
    </cfRule>
    <cfRule type="cellIs" dxfId="827" priority="1046" operator="lessThan">
      <formula>F27</formula>
    </cfRule>
  </conditionalFormatting>
  <conditionalFormatting sqref="AM32">
    <cfRule type="cellIs" dxfId="826" priority="1051" operator="equal">
      <formula>0</formula>
    </cfRule>
    <cfRule type="cellIs" dxfId="825" priority="1052" operator="lessThan">
      <formula>F32</formula>
    </cfRule>
  </conditionalFormatting>
  <conditionalFormatting sqref="AM33">
    <cfRule type="cellIs" dxfId="824" priority="1057" operator="equal">
      <formula>0</formula>
    </cfRule>
    <cfRule type="cellIs" dxfId="823" priority="1058" operator="lessThan">
      <formula>F33</formula>
    </cfRule>
  </conditionalFormatting>
  <conditionalFormatting sqref="AM34">
    <cfRule type="cellIs" dxfId="822" priority="1063" operator="equal">
      <formula>0</formula>
    </cfRule>
    <cfRule type="cellIs" dxfId="821" priority="1064" operator="lessThan">
      <formula>F34</formula>
    </cfRule>
  </conditionalFormatting>
  <conditionalFormatting sqref="AM38">
    <cfRule type="cellIs" dxfId="820" priority="1069" operator="equal">
      <formula>0</formula>
    </cfRule>
    <cfRule type="cellIs" dxfId="819" priority="1070" operator="lessThan">
      <formula>F38</formula>
    </cfRule>
  </conditionalFormatting>
  <conditionalFormatting sqref="AM41">
    <cfRule type="cellIs" dxfId="818" priority="1075" operator="equal">
      <formula>0</formula>
    </cfRule>
    <cfRule type="cellIs" dxfId="817" priority="1076" operator="lessThan">
      <formula>F41</formula>
    </cfRule>
  </conditionalFormatting>
  <conditionalFormatting sqref="AM45">
    <cfRule type="cellIs" dxfId="816" priority="1081" operator="equal">
      <formula>0</formula>
    </cfRule>
    <cfRule type="cellIs" dxfId="815" priority="1082" operator="lessThan">
      <formula>F45</formula>
    </cfRule>
  </conditionalFormatting>
  <conditionalFormatting sqref="AM51">
    <cfRule type="cellIs" dxfId="814" priority="1086" operator="equal">
      <formula>0</formula>
    </cfRule>
    <cfRule type="cellIs" dxfId="813" priority="1087" operator="lessThan">
      <formula>F51</formula>
    </cfRule>
  </conditionalFormatting>
  <conditionalFormatting sqref="AM53">
    <cfRule type="cellIs" dxfId="812" priority="1091" operator="equal">
      <formula>0</formula>
    </cfRule>
    <cfRule type="cellIs" dxfId="811" priority="1092" operator="lessThan">
      <formula>F53</formula>
    </cfRule>
  </conditionalFormatting>
  <conditionalFormatting sqref="AM54">
    <cfRule type="cellIs" dxfId="810" priority="1096" operator="equal">
      <formula>0</formula>
    </cfRule>
    <cfRule type="cellIs" dxfId="809" priority="1097" operator="lessThan">
      <formula>F54</formula>
    </cfRule>
  </conditionalFormatting>
  <conditionalFormatting sqref="AM8">
    <cfRule type="cellIs" dxfId="808" priority="998" operator="equal">
      <formula>0</formula>
    </cfRule>
    <cfRule type="cellIs" dxfId="807" priority="999" operator="lessThan">
      <formula>F8</formula>
    </cfRule>
  </conditionalFormatting>
  <conditionalFormatting sqref="AM9">
    <cfRule type="cellIs" dxfId="806" priority="1004" operator="equal">
      <formula>0</formula>
    </cfRule>
    <cfRule type="cellIs" dxfId="805" priority="1005" operator="lessThan">
      <formula>F9</formula>
    </cfRule>
  </conditionalFormatting>
  <conditionalFormatting sqref="AN14">
    <cfRule type="expression" dxfId="804" priority="1012">
      <formula>AND(AN14&gt;0,AN14&lt;4000)</formula>
    </cfRule>
    <cfRule type="cellIs" dxfId="803" priority="1013" operator="greaterThan">
      <formula>AM14</formula>
    </cfRule>
  </conditionalFormatting>
  <conditionalFormatting sqref="AN15">
    <cfRule type="expression" dxfId="802" priority="1018">
      <formula>AND(AN15&gt;0,AN15&lt;4000)</formula>
    </cfRule>
    <cfRule type="cellIs" dxfId="801" priority="1019" operator="greaterThan">
      <formula>AM15</formula>
    </cfRule>
  </conditionalFormatting>
  <conditionalFormatting sqref="AN19">
    <cfRule type="cellIs" dxfId="800" priority="1024" operator="greaterThan">
      <formula>AM19</formula>
    </cfRule>
  </conditionalFormatting>
  <conditionalFormatting sqref="AN23">
    <cfRule type="expression" dxfId="799" priority="1029">
      <formula>AND(AN23&gt;0,AN23&lt;5000)</formula>
    </cfRule>
    <cfRule type="cellIs" dxfId="798" priority="1030" operator="greaterThan">
      <formula>AM23</formula>
    </cfRule>
  </conditionalFormatting>
  <conditionalFormatting sqref="AN24">
    <cfRule type="expression" dxfId="797" priority="1035">
      <formula>AND(AN24&gt;0,AN24&lt;5000)</formula>
    </cfRule>
    <cfRule type="cellIs" dxfId="796" priority="1036" operator="greaterThan">
      <formula>AM24</formula>
    </cfRule>
  </conditionalFormatting>
  <conditionalFormatting sqref="AN26">
    <cfRule type="expression" dxfId="795" priority="1041">
      <formula>AND(AN26&gt;0,AN26&lt;5000)</formula>
    </cfRule>
    <cfRule type="cellIs" dxfId="794" priority="1042" operator="greaterThan">
      <formula>AM26</formula>
    </cfRule>
  </conditionalFormatting>
  <conditionalFormatting sqref="AN27">
    <cfRule type="expression" dxfId="793" priority="1047">
      <formula>AND(AN27&gt;0,AN27&lt;5000)</formula>
    </cfRule>
    <cfRule type="cellIs" dxfId="792" priority="1048" operator="greaterThan">
      <formula>AM27</formula>
    </cfRule>
  </conditionalFormatting>
  <conditionalFormatting sqref="AN32">
    <cfRule type="expression" dxfId="791" priority="1053">
      <formula>AND(AN32&gt;0,AN32&lt;5000)</formula>
    </cfRule>
    <cfRule type="cellIs" dxfId="790" priority="1054" operator="greaterThan">
      <formula>AM32</formula>
    </cfRule>
  </conditionalFormatting>
  <conditionalFormatting sqref="AN33">
    <cfRule type="expression" dxfId="789" priority="1059">
      <formula>AND(AN33&gt;0,AN33&lt;100)</formula>
    </cfRule>
    <cfRule type="cellIs" dxfId="788" priority="1060" operator="greaterThan">
      <formula>AM33</formula>
    </cfRule>
  </conditionalFormatting>
  <conditionalFormatting sqref="AN34">
    <cfRule type="expression" dxfId="787" priority="1065">
      <formula>AND(AN34&gt;0,AN34&lt;5000)</formula>
    </cfRule>
    <cfRule type="cellIs" dxfId="786" priority="1066" operator="greaterThan">
      <formula>AM34</formula>
    </cfRule>
  </conditionalFormatting>
  <conditionalFormatting sqref="AN38">
    <cfRule type="expression" dxfId="785" priority="1071">
      <formula>AND(AN38&gt;0,AN38&lt;5000)</formula>
    </cfRule>
    <cfRule type="cellIs" dxfId="784" priority="1072" operator="greaterThan">
      <formula>AM38</formula>
    </cfRule>
  </conditionalFormatting>
  <conditionalFormatting sqref="AN41">
    <cfRule type="expression" dxfId="783" priority="1077">
      <formula>AND(AN41&gt;0,AN41&lt;2500)</formula>
    </cfRule>
    <cfRule type="cellIs" dxfId="782" priority="1078" operator="greaterThan">
      <formula>AM41</formula>
    </cfRule>
  </conditionalFormatting>
  <conditionalFormatting sqref="AN45">
    <cfRule type="cellIs" dxfId="781" priority="1083" operator="greaterThan">
      <formula>AM45</formula>
    </cfRule>
  </conditionalFormatting>
  <conditionalFormatting sqref="AN51">
    <cfRule type="cellIs" dxfId="780" priority="1088" operator="greaterThan">
      <formula>AM51</formula>
    </cfRule>
  </conditionalFormatting>
  <conditionalFormatting sqref="AN53">
    <cfRule type="cellIs" dxfId="779" priority="1093" operator="greaterThan">
      <formula>AM53</formula>
    </cfRule>
  </conditionalFormatting>
  <conditionalFormatting sqref="AN54">
    <cfRule type="cellIs" dxfId="778" priority="1098" operator="greaterThan">
      <formula>AM54</formula>
    </cfRule>
  </conditionalFormatting>
  <conditionalFormatting sqref="AN8">
    <cfRule type="expression" dxfId="777" priority="1000">
      <formula>AND(AN8&gt;0,AN8&lt;4000)</formula>
    </cfRule>
    <cfRule type="cellIs" dxfId="776" priority="1001" operator="greaterThan">
      <formula>AM8</formula>
    </cfRule>
  </conditionalFormatting>
  <conditionalFormatting sqref="AN9">
    <cfRule type="expression" dxfId="775" priority="1006">
      <formula>AND(AN9&gt;0,AN9&lt;4000)</formula>
    </cfRule>
    <cfRule type="cellIs" dxfId="774" priority="1007" operator="greaterThan">
      <formula>AM9</formula>
    </cfRule>
  </conditionalFormatting>
  <conditionalFormatting sqref="AO14">
    <cfRule type="cellIs" dxfId="773" priority="1015" operator="lessThanOrEqual">
      <formula>G14</formula>
    </cfRule>
  </conditionalFormatting>
  <conditionalFormatting sqref="AO15">
    <cfRule type="cellIs" dxfId="772" priority="1021" operator="lessThanOrEqual">
      <formula>G15</formula>
    </cfRule>
  </conditionalFormatting>
  <conditionalFormatting sqref="AO19">
    <cfRule type="cellIs" dxfId="771" priority="1026" operator="lessThanOrEqual">
      <formula>G19</formula>
    </cfRule>
  </conditionalFormatting>
  <conditionalFormatting sqref="AO23">
    <cfRule type="cellIs" dxfId="770" priority="1032" operator="lessThanOrEqual">
      <formula>G23</formula>
    </cfRule>
  </conditionalFormatting>
  <conditionalFormatting sqref="AO24">
    <cfRule type="cellIs" dxfId="769" priority="1038" operator="lessThanOrEqual">
      <formula>G24</formula>
    </cfRule>
  </conditionalFormatting>
  <conditionalFormatting sqref="AO26">
    <cfRule type="cellIs" dxfId="768" priority="1044" operator="lessThanOrEqual">
      <formula>G26</formula>
    </cfRule>
  </conditionalFormatting>
  <conditionalFormatting sqref="AO27">
    <cfRule type="cellIs" dxfId="767" priority="1050" operator="lessThanOrEqual">
      <formula>G27</formula>
    </cfRule>
  </conditionalFormatting>
  <conditionalFormatting sqref="AO32">
    <cfRule type="cellIs" dxfId="766" priority="1056" operator="lessThanOrEqual">
      <formula>G32</formula>
    </cfRule>
  </conditionalFormatting>
  <conditionalFormatting sqref="AO33">
    <cfRule type="cellIs" dxfId="765" priority="1062" operator="lessThanOrEqual">
      <formula>G33</formula>
    </cfRule>
  </conditionalFormatting>
  <conditionalFormatting sqref="AO34">
    <cfRule type="cellIs" dxfId="764" priority="1068" operator="lessThanOrEqual">
      <formula>G34</formula>
    </cfRule>
  </conditionalFormatting>
  <conditionalFormatting sqref="AO38">
    <cfRule type="cellIs" dxfId="763" priority="1074" operator="lessThanOrEqual">
      <formula>G38</formula>
    </cfRule>
  </conditionalFormatting>
  <conditionalFormatting sqref="AO41">
    <cfRule type="cellIs" dxfId="762" priority="1080" operator="lessThanOrEqual">
      <formula>G41</formula>
    </cfRule>
  </conditionalFormatting>
  <conditionalFormatting sqref="AO45">
    <cfRule type="cellIs" dxfId="761" priority="1085" operator="lessThanOrEqual">
      <formula>G45</formula>
    </cfRule>
  </conditionalFormatting>
  <conditionalFormatting sqref="AO51">
    <cfRule type="cellIs" dxfId="760" priority="1090" operator="lessThanOrEqual">
      <formula>G51</formula>
    </cfRule>
  </conditionalFormatting>
  <conditionalFormatting sqref="AO53">
    <cfRule type="cellIs" dxfId="759" priority="1095" operator="lessThanOrEqual">
      <formula>G53</formula>
    </cfRule>
  </conditionalFormatting>
  <conditionalFormatting sqref="AO54">
    <cfRule type="cellIs" dxfId="758" priority="1100" operator="lessThanOrEqual">
      <formula>G54</formula>
    </cfRule>
  </conditionalFormatting>
  <conditionalFormatting sqref="AO8">
    <cfRule type="cellIs" dxfId="757" priority="1003" operator="lessThanOrEqual">
      <formula>G8</formula>
    </cfRule>
  </conditionalFormatting>
  <conditionalFormatting sqref="AO9">
    <cfRule type="cellIs" dxfId="756" priority="1009" operator="lessThanOrEqual">
      <formula>G9</formula>
    </cfRule>
  </conditionalFormatting>
  <conditionalFormatting sqref="AP14">
    <cfRule type="cellIs" dxfId="755" priority="1014" operator="lessThanOrEqual">
      <formula>H14</formula>
    </cfRule>
  </conditionalFormatting>
  <conditionalFormatting sqref="AP15">
    <cfRule type="cellIs" dxfId="754" priority="1020" operator="lessThanOrEqual">
      <formula>H15</formula>
    </cfRule>
  </conditionalFormatting>
  <conditionalFormatting sqref="AP19">
    <cfRule type="cellIs" dxfId="753" priority="1025" operator="lessThanOrEqual">
      <formula>H19</formula>
    </cfRule>
  </conditionalFormatting>
  <conditionalFormatting sqref="AP23">
    <cfRule type="cellIs" dxfId="752" priority="1031" operator="lessThanOrEqual">
      <formula>H23</formula>
    </cfRule>
  </conditionalFormatting>
  <conditionalFormatting sqref="AP24">
    <cfRule type="cellIs" dxfId="751" priority="1037" operator="lessThanOrEqual">
      <formula>H24</formula>
    </cfRule>
  </conditionalFormatting>
  <conditionalFormatting sqref="AP26">
    <cfRule type="cellIs" dxfId="750" priority="1043" operator="lessThanOrEqual">
      <formula>H26</formula>
    </cfRule>
  </conditionalFormatting>
  <conditionalFormatting sqref="AP27">
    <cfRule type="cellIs" dxfId="749" priority="1049" operator="lessThanOrEqual">
      <formula>H27</formula>
    </cfRule>
  </conditionalFormatting>
  <conditionalFormatting sqref="AP32">
    <cfRule type="cellIs" dxfId="748" priority="1055" operator="lessThanOrEqual">
      <formula>H32</formula>
    </cfRule>
  </conditionalFormatting>
  <conditionalFormatting sqref="AP33">
    <cfRule type="cellIs" dxfId="747" priority="1061" operator="lessThanOrEqual">
      <formula>H33</formula>
    </cfRule>
  </conditionalFormatting>
  <conditionalFormatting sqref="AP34">
    <cfRule type="cellIs" dxfId="746" priority="1067" operator="lessThanOrEqual">
      <formula>H34</formula>
    </cfRule>
  </conditionalFormatting>
  <conditionalFormatting sqref="AP38">
    <cfRule type="cellIs" dxfId="745" priority="1073" operator="lessThanOrEqual">
      <formula>H38</formula>
    </cfRule>
  </conditionalFormatting>
  <conditionalFormatting sqref="AP41">
    <cfRule type="cellIs" dxfId="744" priority="1079" operator="lessThanOrEqual">
      <formula>H41</formula>
    </cfRule>
  </conditionalFormatting>
  <conditionalFormatting sqref="AP45">
    <cfRule type="cellIs" dxfId="743" priority="1084" operator="lessThanOrEqual">
      <formula>H45</formula>
    </cfRule>
  </conditionalFormatting>
  <conditionalFormatting sqref="AP51">
    <cfRule type="cellIs" dxfId="742" priority="1089" operator="lessThanOrEqual">
      <formula>H51</formula>
    </cfRule>
  </conditionalFormatting>
  <conditionalFormatting sqref="AP53">
    <cfRule type="cellIs" dxfId="741" priority="1094" operator="lessThanOrEqual">
      <formula>H53</formula>
    </cfRule>
  </conditionalFormatting>
  <conditionalFormatting sqref="AP54">
    <cfRule type="cellIs" dxfId="740" priority="1099" operator="lessThanOrEqual">
      <formula>H54</formula>
    </cfRule>
  </conditionalFormatting>
  <conditionalFormatting sqref="AP8">
    <cfRule type="cellIs" dxfId="739" priority="1002" operator="lessThanOrEqual">
      <formula>H8</formula>
    </cfRule>
  </conditionalFormatting>
  <conditionalFormatting sqref="AP9">
    <cfRule type="cellIs" dxfId="738" priority="1008" operator="lessThanOrEqual">
      <formula>H9</formula>
    </cfRule>
  </conditionalFormatting>
  <conditionalFormatting sqref="AR15">
    <cfRule type="cellIs" dxfId="737" priority="1113" operator="equal">
      <formula>0</formula>
    </cfRule>
    <cfRule type="cellIs" dxfId="736" priority="1114" operator="lessThan">
      <formula>F15</formula>
    </cfRule>
  </conditionalFormatting>
  <conditionalFormatting sqref="AR19">
    <cfRule type="cellIs" dxfId="735" priority="1119" operator="equal">
      <formula>0</formula>
    </cfRule>
    <cfRule type="cellIs" dxfId="734" priority="1120" operator="lessThan">
      <formula>F19</formula>
    </cfRule>
  </conditionalFormatting>
  <conditionalFormatting sqref="AR20">
    <cfRule type="cellIs" dxfId="733" priority="1124" operator="equal">
      <formula>0</formula>
    </cfRule>
    <cfRule type="cellIs" dxfId="732" priority="1125" operator="lessThan">
      <formula>F20</formula>
    </cfRule>
  </conditionalFormatting>
  <conditionalFormatting sqref="AR21">
    <cfRule type="cellIs" dxfId="731" priority="1130" operator="equal">
      <formula>0</formula>
    </cfRule>
    <cfRule type="cellIs" dxfId="730" priority="1131" operator="lessThan">
      <formula>F21</formula>
    </cfRule>
  </conditionalFormatting>
  <conditionalFormatting sqref="AR23">
    <cfRule type="cellIs" dxfId="729" priority="1136" operator="equal">
      <formula>0</formula>
    </cfRule>
    <cfRule type="cellIs" dxfId="728" priority="1137" operator="lessThan">
      <formula>F23</formula>
    </cfRule>
  </conditionalFormatting>
  <conditionalFormatting sqref="AR24">
    <cfRule type="cellIs" dxfId="727" priority="1142" operator="equal">
      <formula>0</formula>
    </cfRule>
    <cfRule type="cellIs" dxfId="726" priority="1143" operator="lessThan">
      <formula>F24</formula>
    </cfRule>
  </conditionalFormatting>
  <conditionalFormatting sqref="AR26">
    <cfRule type="cellIs" dxfId="725" priority="1148" operator="equal">
      <formula>0</formula>
    </cfRule>
    <cfRule type="cellIs" dxfId="724" priority="1149" operator="lessThan">
      <formula>F26</formula>
    </cfRule>
  </conditionalFormatting>
  <conditionalFormatting sqref="AR27">
    <cfRule type="cellIs" dxfId="723" priority="1154" operator="equal">
      <formula>0</formula>
    </cfRule>
    <cfRule type="cellIs" dxfId="722" priority="1155" operator="lessThan">
      <formula>F27</formula>
    </cfRule>
  </conditionalFormatting>
  <conditionalFormatting sqref="AR28">
    <cfRule type="cellIs" dxfId="721" priority="1160" operator="equal">
      <formula>0</formula>
    </cfRule>
    <cfRule type="cellIs" dxfId="720" priority="1161" operator="lessThan">
      <formula>F28</formula>
    </cfRule>
  </conditionalFormatting>
  <conditionalFormatting sqref="AR29">
    <cfRule type="cellIs" dxfId="719" priority="1166" operator="equal">
      <formula>0</formula>
    </cfRule>
    <cfRule type="cellIs" dxfId="718" priority="1167" operator="lessThan">
      <formula>F29</formula>
    </cfRule>
  </conditionalFormatting>
  <conditionalFormatting sqref="AR30">
    <cfRule type="cellIs" dxfId="717" priority="1172" operator="equal">
      <formula>0</formula>
    </cfRule>
    <cfRule type="cellIs" dxfId="716" priority="1173" operator="lessThan">
      <formula>F30</formula>
    </cfRule>
  </conditionalFormatting>
  <conditionalFormatting sqref="AR32">
    <cfRule type="cellIs" dxfId="715" priority="1178" operator="equal">
      <formula>0</formula>
    </cfRule>
    <cfRule type="cellIs" dxfId="714" priority="1179" operator="lessThan">
      <formula>F32</formula>
    </cfRule>
  </conditionalFormatting>
  <conditionalFormatting sqref="AR33">
    <cfRule type="cellIs" dxfId="713" priority="1184" operator="equal">
      <formula>0</formula>
    </cfRule>
    <cfRule type="cellIs" dxfId="712" priority="1185" operator="lessThan">
      <formula>F33</formula>
    </cfRule>
  </conditionalFormatting>
  <conditionalFormatting sqref="AR34">
    <cfRule type="cellIs" dxfId="711" priority="1190" operator="equal">
      <formula>0</formula>
    </cfRule>
    <cfRule type="cellIs" dxfId="710" priority="1191" operator="lessThan">
      <formula>F34</formula>
    </cfRule>
  </conditionalFormatting>
  <conditionalFormatting sqref="AR36">
    <cfRule type="cellIs" dxfId="709" priority="1196" operator="equal">
      <formula>0</formula>
    </cfRule>
    <cfRule type="cellIs" dxfId="708" priority="1197" operator="lessThan">
      <formula>F36</formula>
    </cfRule>
  </conditionalFormatting>
  <conditionalFormatting sqref="AR38">
    <cfRule type="cellIs" dxfId="707" priority="1202" operator="equal">
      <formula>0</formula>
    </cfRule>
    <cfRule type="cellIs" dxfId="706" priority="1203" operator="lessThan">
      <formula>F38</formula>
    </cfRule>
  </conditionalFormatting>
  <conditionalFormatting sqref="AR39">
    <cfRule type="cellIs" dxfId="705" priority="1208" operator="equal">
      <formula>0</formula>
    </cfRule>
    <cfRule type="cellIs" dxfId="704" priority="1209" operator="lessThan">
      <formula>F39</formula>
    </cfRule>
  </conditionalFormatting>
  <conditionalFormatting sqref="AR41">
    <cfRule type="cellIs" dxfId="703" priority="1214" operator="equal">
      <formula>0</formula>
    </cfRule>
    <cfRule type="cellIs" dxfId="702" priority="1215" operator="lessThan">
      <formula>F41</formula>
    </cfRule>
  </conditionalFormatting>
  <conditionalFormatting sqref="AR45">
    <cfRule type="cellIs" dxfId="701" priority="1220" operator="equal">
      <formula>0</formula>
    </cfRule>
    <cfRule type="cellIs" dxfId="700" priority="1221" operator="lessThan">
      <formula>F45</formula>
    </cfRule>
  </conditionalFormatting>
  <conditionalFormatting sqref="AR51">
    <cfRule type="cellIs" dxfId="699" priority="1225" operator="equal">
      <formula>0</formula>
    </cfRule>
    <cfRule type="cellIs" dxfId="698" priority="1226" operator="lessThan">
      <formula>F51</formula>
    </cfRule>
  </conditionalFormatting>
  <conditionalFormatting sqref="AR53">
    <cfRule type="cellIs" dxfId="697" priority="1230" operator="equal">
      <formula>0</formula>
    </cfRule>
    <cfRule type="cellIs" dxfId="696" priority="1231" operator="lessThan">
      <formula>F53</formula>
    </cfRule>
  </conditionalFormatting>
  <conditionalFormatting sqref="AR8">
    <cfRule type="cellIs" dxfId="695" priority="1101" operator="equal">
      <formula>0</formula>
    </cfRule>
    <cfRule type="cellIs" dxfId="694" priority="1102" operator="lessThan">
      <formula>F8</formula>
    </cfRule>
  </conditionalFormatting>
  <conditionalFormatting sqref="AR9">
    <cfRule type="cellIs" dxfId="693" priority="1107" operator="equal">
      <formula>0</formula>
    </cfRule>
    <cfRule type="cellIs" dxfId="692" priority="1108" operator="lessThan">
      <formula>F9</formula>
    </cfRule>
  </conditionalFormatting>
  <conditionalFormatting sqref="AS15">
    <cfRule type="expression" dxfId="691" priority="1115">
      <formula>AND(AS15&gt;0,AS15&lt;100)</formula>
    </cfRule>
    <cfRule type="cellIs" dxfId="690" priority="1116" operator="greaterThan">
      <formula>AR15</formula>
    </cfRule>
  </conditionalFormatting>
  <conditionalFormatting sqref="AS19">
    <cfRule type="cellIs" dxfId="689" priority="1121" operator="greaterThan">
      <formula>AR19</formula>
    </cfRule>
  </conditionalFormatting>
  <conditionalFormatting sqref="AS20">
    <cfRule type="expression" dxfId="688" priority="1126">
      <formula>AND(AS20&gt;0,AS20&lt;20)</formula>
    </cfRule>
    <cfRule type="cellIs" dxfId="687" priority="1127" operator="greaterThan">
      <formula>AR20</formula>
    </cfRule>
  </conditionalFormatting>
  <conditionalFormatting sqref="AS21">
    <cfRule type="expression" dxfId="686" priority="1132">
      <formula>AND(AS21&gt;0,AS21&lt;100)</formula>
    </cfRule>
    <cfRule type="cellIs" dxfId="685" priority="1133" operator="greaterThan">
      <formula>AR21</formula>
    </cfRule>
  </conditionalFormatting>
  <conditionalFormatting sqref="AS23">
    <cfRule type="expression" dxfId="684" priority="1138">
      <formula>AND(AS23&gt;0,AS23&lt;100)</formula>
    </cfRule>
    <cfRule type="cellIs" dxfId="683" priority="1139" operator="greaterThan">
      <formula>AR23</formula>
    </cfRule>
  </conditionalFormatting>
  <conditionalFormatting sqref="AS24">
    <cfRule type="expression" dxfId="682" priority="1144">
      <formula>AND(AS24&gt;0,AS24&lt;100)</formula>
    </cfRule>
    <cfRule type="cellIs" dxfId="681" priority="1145" operator="greaterThan">
      <formula>AR24</formula>
    </cfRule>
  </conditionalFormatting>
  <conditionalFormatting sqref="AS26">
    <cfRule type="expression" dxfId="680" priority="1150">
      <formula>AND(AS26&gt;0,AS26&lt;100)</formula>
    </cfRule>
    <cfRule type="cellIs" dxfId="679" priority="1151" operator="greaterThan">
      <formula>AR26</formula>
    </cfRule>
  </conditionalFormatting>
  <conditionalFormatting sqref="AS27">
    <cfRule type="expression" dxfId="678" priority="1156">
      <formula>AND(AS27&gt;0,AS27&lt;100)</formula>
    </cfRule>
    <cfRule type="cellIs" dxfId="677" priority="1157" operator="greaterThan">
      <formula>AR27</formula>
    </cfRule>
  </conditionalFormatting>
  <conditionalFormatting sqref="AS28">
    <cfRule type="expression" dxfId="676" priority="1162">
      <formula>AND(AS28&gt;0,AS28&lt;100)</formula>
    </cfRule>
    <cfRule type="cellIs" dxfId="675" priority="1163" operator="greaterThan">
      <formula>AR28</formula>
    </cfRule>
  </conditionalFormatting>
  <conditionalFormatting sqref="AS29">
    <cfRule type="expression" dxfId="674" priority="1168">
      <formula>AND(AS29&gt;0,AS29&lt;100)</formula>
    </cfRule>
    <cfRule type="cellIs" dxfId="673" priority="1169" operator="greaterThan">
      <formula>AR29</formula>
    </cfRule>
  </conditionalFormatting>
  <conditionalFormatting sqref="AS30">
    <cfRule type="expression" dxfId="672" priority="1174">
      <formula>AND(AS30&gt;0,AS30&lt;100)</formula>
    </cfRule>
    <cfRule type="cellIs" dxfId="671" priority="1175" operator="greaterThan">
      <formula>AR30</formula>
    </cfRule>
  </conditionalFormatting>
  <conditionalFormatting sqref="AS32">
    <cfRule type="expression" dxfId="670" priority="1180">
      <formula>AND(AS32&gt;0,AS32&lt;100)</formula>
    </cfRule>
    <cfRule type="cellIs" dxfId="669" priority="1181" operator="greaterThan">
      <formula>AR32</formula>
    </cfRule>
  </conditionalFormatting>
  <conditionalFormatting sqref="AS33">
    <cfRule type="expression" dxfId="668" priority="1186">
      <formula>AND(AS33&gt;0,AS33&lt;100)</formula>
    </cfRule>
    <cfRule type="cellIs" dxfId="667" priority="1187" operator="greaterThan">
      <formula>AR33</formula>
    </cfRule>
  </conditionalFormatting>
  <conditionalFormatting sqref="AS34">
    <cfRule type="expression" dxfId="666" priority="1192">
      <formula>AND(AS34&gt;0,AS34&lt;100)</formula>
    </cfRule>
    <cfRule type="cellIs" dxfId="665" priority="1193" operator="greaterThan">
      <formula>AR34</formula>
    </cfRule>
  </conditionalFormatting>
  <conditionalFormatting sqref="AS36">
    <cfRule type="expression" dxfId="664" priority="1198">
      <formula>AND(AS36&gt;0,AS36&lt;100)</formula>
    </cfRule>
    <cfRule type="cellIs" dxfId="663" priority="1199" operator="greaterThan">
      <formula>AR36</formula>
    </cfRule>
  </conditionalFormatting>
  <conditionalFormatting sqref="AS38">
    <cfRule type="expression" dxfId="662" priority="1204">
      <formula>AND(AS38&gt;0,AS38&lt;100)</formula>
    </cfRule>
    <cfRule type="cellIs" dxfId="661" priority="1205" operator="greaterThan">
      <formula>AR38</formula>
    </cfRule>
  </conditionalFormatting>
  <conditionalFormatting sqref="AS39">
    <cfRule type="expression" dxfId="660" priority="1210">
      <formula>AND(AS39&gt;0,AS39&lt;100)</formula>
    </cfRule>
    <cfRule type="cellIs" dxfId="659" priority="1211" operator="greaterThan">
      <formula>AR39</formula>
    </cfRule>
  </conditionalFormatting>
  <conditionalFormatting sqref="AS41">
    <cfRule type="expression" dxfId="658" priority="1216">
      <formula>AND(AS41&gt;0,AS41&lt;3)</formula>
    </cfRule>
    <cfRule type="cellIs" dxfId="657" priority="1217" operator="greaterThan">
      <formula>AR41</formula>
    </cfRule>
  </conditionalFormatting>
  <conditionalFormatting sqref="AS45">
    <cfRule type="cellIs" dxfId="656" priority="1222" operator="greaterThan">
      <formula>AR45</formula>
    </cfRule>
  </conditionalFormatting>
  <conditionalFormatting sqref="AS51">
    <cfRule type="cellIs" dxfId="655" priority="1227" operator="greaterThan">
      <formula>AR51</formula>
    </cfRule>
  </conditionalFormatting>
  <conditionalFormatting sqref="AS53">
    <cfRule type="expression" dxfId="654" priority="1232">
      <formula>AND(AS53&gt;0,AS53&lt;3)</formula>
    </cfRule>
    <cfRule type="cellIs" dxfId="653" priority="1233" operator="greaterThan">
      <formula>AR53</formula>
    </cfRule>
  </conditionalFormatting>
  <conditionalFormatting sqref="AS8">
    <cfRule type="expression" dxfId="652" priority="1103">
      <formula>AND(AS8&gt;0,AS8&lt;100)</formula>
    </cfRule>
    <cfRule type="cellIs" dxfId="651" priority="1104" operator="greaterThan">
      <formula>AR8</formula>
    </cfRule>
  </conditionalFormatting>
  <conditionalFormatting sqref="AS9">
    <cfRule type="expression" dxfId="650" priority="1109">
      <formula>AND(AS9&gt;0,AS9&lt;100)</formula>
    </cfRule>
    <cfRule type="cellIs" dxfId="649" priority="1110" operator="greaterThan">
      <formula>AR9</formula>
    </cfRule>
  </conditionalFormatting>
  <conditionalFormatting sqref="AT15">
    <cfRule type="cellIs" dxfId="648" priority="1118" operator="lessThanOrEqual">
      <formula>G15</formula>
    </cfRule>
  </conditionalFormatting>
  <conditionalFormatting sqref="AT19">
    <cfRule type="cellIs" dxfId="647" priority="1123" operator="lessThanOrEqual">
      <formula>G19</formula>
    </cfRule>
  </conditionalFormatting>
  <conditionalFormatting sqref="AT20">
    <cfRule type="cellIs" dxfId="646" priority="1129" operator="lessThanOrEqual">
      <formula>G20</formula>
    </cfRule>
  </conditionalFormatting>
  <conditionalFormatting sqref="AT21">
    <cfRule type="cellIs" dxfId="645" priority="1135" operator="lessThanOrEqual">
      <formula>G21</formula>
    </cfRule>
  </conditionalFormatting>
  <conditionalFormatting sqref="AT23">
    <cfRule type="cellIs" dxfId="644" priority="1141" operator="lessThanOrEqual">
      <formula>G23</formula>
    </cfRule>
  </conditionalFormatting>
  <conditionalFormatting sqref="AT24">
    <cfRule type="cellIs" dxfId="643" priority="1147" operator="lessThanOrEqual">
      <formula>G24</formula>
    </cfRule>
  </conditionalFormatting>
  <conditionalFormatting sqref="AT26">
    <cfRule type="cellIs" dxfId="642" priority="1153" operator="lessThanOrEqual">
      <formula>G26</formula>
    </cfRule>
  </conditionalFormatting>
  <conditionalFormatting sqref="AT27">
    <cfRule type="cellIs" dxfId="641" priority="1159" operator="lessThanOrEqual">
      <formula>G27</formula>
    </cfRule>
  </conditionalFormatting>
  <conditionalFormatting sqref="AT28">
    <cfRule type="cellIs" dxfId="640" priority="1165" operator="lessThanOrEqual">
      <formula>G28</formula>
    </cfRule>
  </conditionalFormatting>
  <conditionalFormatting sqref="AT29">
    <cfRule type="cellIs" dxfId="639" priority="1171" operator="lessThanOrEqual">
      <formula>G29</formula>
    </cfRule>
  </conditionalFormatting>
  <conditionalFormatting sqref="AT30">
    <cfRule type="cellIs" dxfId="638" priority="1177" operator="lessThanOrEqual">
      <formula>G30</formula>
    </cfRule>
  </conditionalFormatting>
  <conditionalFormatting sqref="AT32">
    <cfRule type="cellIs" dxfId="637" priority="1183" operator="lessThanOrEqual">
      <formula>G32</formula>
    </cfRule>
  </conditionalFormatting>
  <conditionalFormatting sqref="AT33">
    <cfRule type="cellIs" dxfId="636" priority="1189" operator="lessThanOrEqual">
      <formula>G33</formula>
    </cfRule>
  </conditionalFormatting>
  <conditionalFormatting sqref="AT34">
    <cfRule type="cellIs" dxfId="635" priority="1195" operator="lessThanOrEqual">
      <formula>G34</formula>
    </cfRule>
  </conditionalFormatting>
  <conditionalFormatting sqref="AT36">
    <cfRule type="cellIs" dxfId="634" priority="1201" operator="lessThanOrEqual">
      <formula>G36</formula>
    </cfRule>
  </conditionalFormatting>
  <conditionalFormatting sqref="AT38">
    <cfRule type="cellIs" dxfId="633" priority="1207" operator="lessThanOrEqual">
      <formula>G38</formula>
    </cfRule>
  </conditionalFormatting>
  <conditionalFormatting sqref="AT39">
    <cfRule type="cellIs" dxfId="632" priority="1213" operator="lessThanOrEqual">
      <formula>G39</formula>
    </cfRule>
  </conditionalFormatting>
  <conditionalFormatting sqref="AT41">
    <cfRule type="cellIs" dxfId="631" priority="1219" operator="lessThanOrEqual">
      <formula>G41</formula>
    </cfRule>
  </conditionalFormatting>
  <conditionalFormatting sqref="AT45">
    <cfRule type="cellIs" dxfId="630" priority="1224" operator="lessThanOrEqual">
      <formula>G45</formula>
    </cfRule>
  </conditionalFormatting>
  <conditionalFormatting sqref="AT51">
    <cfRule type="cellIs" dxfId="629" priority="1229" operator="lessThanOrEqual">
      <formula>G51</formula>
    </cfRule>
  </conditionalFormatting>
  <conditionalFormatting sqref="AT53">
    <cfRule type="cellIs" dxfId="628" priority="1235" operator="lessThanOrEqual">
      <formula>G53</formula>
    </cfRule>
  </conditionalFormatting>
  <conditionalFormatting sqref="AT8">
    <cfRule type="cellIs" dxfId="627" priority="1106" operator="lessThanOrEqual">
      <formula>G8</formula>
    </cfRule>
  </conditionalFormatting>
  <conditionalFormatting sqref="AT9">
    <cfRule type="cellIs" dxfId="626" priority="1112" operator="lessThanOrEqual">
      <formula>G9</formula>
    </cfRule>
  </conditionalFormatting>
  <conditionalFormatting sqref="AU15">
    <cfRule type="cellIs" dxfId="625" priority="1117" operator="lessThanOrEqual">
      <formula>H15</formula>
    </cfRule>
  </conditionalFormatting>
  <conditionalFormatting sqref="AU19">
    <cfRule type="cellIs" dxfId="624" priority="1122" operator="lessThanOrEqual">
      <formula>H19</formula>
    </cfRule>
  </conditionalFormatting>
  <conditionalFormatting sqref="AU20">
    <cfRule type="cellIs" dxfId="623" priority="1128" operator="lessThanOrEqual">
      <formula>H20</formula>
    </cfRule>
  </conditionalFormatting>
  <conditionalFormatting sqref="AU21">
    <cfRule type="cellIs" dxfId="622" priority="1134" operator="lessThanOrEqual">
      <formula>H21</formula>
    </cfRule>
  </conditionalFormatting>
  <conditionalFormatting sqref="AU23">
    <cfRule type="cellIs" dxfId="621" priority="1140" operator="lessThanOrEqual">
      <formula>H23</formula>
    </cfRule>
  </conditionalFormatting>
  <conditionalFormatting sqref="AU24">
    <cfRule type="cellIs" dxfId="620" priority="1146" operator="lessThanOrEqual">
      <formula>H24</formula>
    </cfRule>
  </conditionalFormatting>
  <conditionalFormatting sqref="AU26">
    <cfRule type="cellIs" dxfId="619" priority="1152" operator="lessThanOrEqual">
      <formula>H26</formula>
    </cfRule>
  </conditionalFormatting>
  <conditionalFormatting sqref="AU27">
    <cfRule type="cellIs" dxfId="618" priority="1158" operator="lessThanOrEqual">
      <formula>H27</formula>
    </cfRule>
  </conditionalFormatting>
  <conditionalFormatting sqref="AU28">
    <cfRule type="cellIs" dxfId="617" priority="1164" operator="lessThanOrEqual">
      <formula>H28</formula>
    </cfRule>
  </conditionalFormatting>
  <conditionalFormatting sqref="AU29">
    <cfRule type="cellIs" dxfId="616" priority="1170" operator="lessThanOrEqual">
      <formula>H29</formula>
    </cfRule>
  </conditionalFormatting>
  <conditionalFormatting sqref="AU30">
    <cfRule type="cellIs" dxfId="615" priority="1176" operator="lessThanOrEqual">
      <formula>H30</formula>
    </cfRule>
  </conditionalFormatting>
  <conditionalFormatting sqref="AU32">
    <cfRule type="cellIs" dxfId="614" priority="1182" operator="lessThanOrEqual">
      <formula>H32</formula>
    </cfRule>
  </conditionalFormatting>
  <conditionalFormatting sqref="AU33">
    <cfRule type="cellIs" dxfId="613" priority="1188" operator="lessThanOrEqual">
      <formula>H33</formula>
    </cfRule>
  </conditionalFormatting>
  <conditionalFormatting sqref="AU34">
    <cfRule type="cellIs" dxfId="612" priority="1194" operator="lessThanOrEqual">
      <formula>H34</formula>
    </cfRule>
  </conditionalFormatting>
  <conditionalFormatting sqref="AU36">
    <cfRule type="cellIs" dxfId="611" priority="1200" operator="lessThanOrEqual">
      <formula>H36</formula>
    </cfRule>
  </conditionalFormatting>
  <conditionalFormatting sqref="AU38">
    <cfRule type="cellIs" dxfId="610" priority="1206" operator="lessThanOrEqual">
      <formula>H38</formula>
    </cfRule>
  </conditionalFormatting>
  <conditionalFormatting sqref="AU39">
    <cfRule type="cellIs" dxfId="609" priority="1212" operator="lessThanOrEqual">
      <formula>H39</formula>
    </cfRule>
  </conditionalFormatting>
  <conditionalFormatting sqref="AU41">
    <cfRule type="cellIs" dxfId="608" priority="1218" operator="lessThanOrEqual">
      <formula>H41</formula>
    </cfRule>
  </conditionalFormatting>
  <conditionalFormatting sqref="AU45">
    <cfRule type="cellIs" dxfId="607" priority="1223" operator="lessThanOrEqual">
      <formula>H45</formula>
    </cfRule>
  </conditionalFormatting>
  <conditionalFormatting sqref="AU51">
    <cfRule type="cellIs" dxfId="606" priority="1228" operator="lessThanOrEqual">
      <formula>H51</formula>
    </cfRule>
  </conditionalFormatting>
  <conditionalFormatting sqref="AU53">
    <cfRule type="cellIs" dxfId="605" priority="1234" operator="lessThanOrEqual">
      <formula>H53</formula>
    </cfRule>
  </conditionalFormatting>
  <conditionalFormatting sqref="AU8">
    <cfRule type="cellIs" dxfId="604" priority="1105" operator="lessThanOrEqual">
      <formula>H8</formula>
    </cfRule>
  </conditionalFormatting>
  <conditionalFormatting sqref="AU9">
    <cfRule type="cellIs" dxfId="603" priority="1111" operator="lessThanOrEqual">
      <formula>H9</formula>
    </cfRule>
  </conditionalFormatting>
  <conditionalFormatting sqref="F10">
    <cfRule type="expression" dxfId="602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60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600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99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598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97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96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95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594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93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9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91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590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89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88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87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586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85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84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8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582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8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80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79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578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77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76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75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574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73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7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71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570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69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68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67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566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65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64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6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562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6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60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59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558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57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56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55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554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53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5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51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550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49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48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47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546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45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44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4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542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4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40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39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538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37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36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35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534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33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3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31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530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29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28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27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526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25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24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2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522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2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20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19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518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17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16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15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514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13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1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11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510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09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08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07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506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05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04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50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502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50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500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99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498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97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96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95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7">
    <cfRule type="expression" dxfId="494" priority="121">
      <formula>AND(ISBLANK(E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93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9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91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8">
    <cfRule type="expression" dxfId="490" priority="125">
      <formula>AND(ISBLANK(E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89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88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87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9">
    <cfRule type="expression" dxfId="486" priority="129">
      <formula>AND(ISBLANK(E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85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84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8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0">
    <cfRule type="expression" dxfId="482" priority="133">
      <formula>AND(ISBLANK(E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8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80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79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1">
    <cfRule type="expression" dxfId="478" priority="137">
      <formula>AND(ISBLANK(E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77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76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75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2">
    <cfRule type="expression" dxfId="474" priority="141">
      <formula>AND(ISBLANK(E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73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7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71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3">
    <cfRule type="expression" dxfId="470" priority="145">
      <formula>AND(ISBLANK(E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69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68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67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4">
    <cfRule type="expression" dxfId="466" priority="149">
      <formula>AND(ISBLANK(E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65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64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6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5">
    <cfRule type="expression" dxfId="462" priority="153">
      <formula>AND(ISBLANK(E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6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60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59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6">
    <cfRule type="expression" dxfId="458" priority="157">
      <formula>AND(ISBLANK(E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57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56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55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7">
    <cfRule type="expression" dxfId="454" priority="161">
      <formula>AND(ISBLANK(E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53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5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51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8">
    <cfRule type="expression" dxfId="450" priority="165">
      <formula>AND(ISBLANK(E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49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48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47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9">
    <cfRule type="expression" dxfId="446" priority="169">
      <formula>AND(ISBLANK(E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45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44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4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0">
    <cfRule type="expression" dxfId="442" priority="173">
      <formula>AND(ISBLANK(E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4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40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39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1">
    <cfRule type="expression" dxfId="438" priority="177">
      <formula>AND(ISBLANK(E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37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36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35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2">
    <cfRule type="expression" dxfId="434" priority="181">
      <formula>AND(ISBLANK(E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33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3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31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3">
    <cfRule type="expression" dxfId="430" priority="185">
      <formula>AND(ISBLANK(E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29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28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27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4">
    <cfRule type="expression" dxfId="426" priority="189">
      <formula>AND(ISBLANK(E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25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24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2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422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2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20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19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418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17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16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15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414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413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41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411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0">
    <cfRule type="cellIs" dxfId="410" priority="203" operator="equal">
      <formula>0</formula>
    </cfRule>
    <cfRule type="cellIs" dxfId="409" priority="204" operator="lessThan">
      <formula>F10</formula>
    </cfRule>
  </conditionalFormatting>
  <conditionalFormatting sqref="N11">
    <cfRule type="cellIs" dxfId="408" priority="208" operator="equal">
      <formula>0</formula>
    </cfRule>
    <cfRule type="cellIs" dxfId="407" priority="209" operator="lessThan">
      <formula>F11</formula>
    </cfRule>
  </conditionalFormatting>
  <conditionalFormatting sqref="N12">
    <cfRule type="cellIs" dxfId="406" priority="213" operator="equal">
      <formula>0</formula>
    </cfRule>
    <cfRule type="cellIs" dxfId="405" priority="214" operator="lessThan">
      <formula>F12</formula>
    </cfRule>
  </conditionalFormatting>
  <conditionalFormatting sqref="N13">
    <cfRule type="cellIs" dxfId="404" priority="218" operator="equal">
      <formula>0</formula>
    </cfRule>
    <cfRule type="cellIs" dxfId="403" priority="219" operator="lessThan">
      <formula>F13</formula>
    </cfRule>
  </conditionalFormatting>
  <conditionalFormatting sqref="N14">
    <cfRule type="cellIs" dxfId="402" priority="223" operator="equal">
      <formula>0</formula>
    </cfRule>
    <cfRule type="cellIs" dxfId="401" priority="224" operator="lessThan">
      <formula>F14</formula>
    </cfRule>
  </conditionalFormatting>
  <conditionalFormatting sqref="N15">
    <cfRule type="cellIs" dxfId="400" priority="228" operator="equal">
      <formula>0</formula>
    </cfRule>
    <cfRule type="cellIs" dxfId="399" priority="229" operator="lessThan">
      <formula>F15</formula>
    </cfRule>
  </conditionalFormatting>
  <conditionalFormatting sqref="N19">
    <cfRule type="cellIs" dxfId="398" priority="233" operator="equal">
      <formula>0</formula>
    </cfRule>
    <cfRule type="cellIs" dxfId="397" priority="234" operator="lessThan">
      <formula>F19</formula>
    </cfRule>
  </conditionalFormatting>
  <conditionalFormatting sqref="N20">
    <cfRule type="cellIs" dxfId="396" priority="238" operator="equal">
      <formula>0</formula>
    </cfRule>
    <cfRule type="cellIs" dxfId="395" priority="239" operator="lessThan">
      <formula>F20</formula>
    </cfRule>
  </conditionalFormatting>
  <conditionalFormatting sqref="N21">
    <cfRule type="cellIs" dxfId="394" priority="243" operator="equal">
      <formula>0</formula>
    </cfRule>
    <cfRule type="cellIs" dxfId="393" priority="244" operator="lessThan">
      <formula>F21</formula>
    </cfRule>
  </conditionalFormatting>
  <conditionalFormatting sqref="N22">
    <cfRule type="cellIs" dxfId="392" priority="248" operator="equal">
      <formula>0</formula>
    </cfRule>
    <cfRule type="cellIs" dxfId="391" priority="249" operator="lessThan">
      <formula>F22</formula>
    </cfRule>
  </conditionalFormatting>
  <conditionalFormatting sqref="N23">
    <cfRule type="cellIs" dxfId="390" priority="253" operator="equal">
      <formula>0</formula>
    </cfRule>
    <cfRule type="cellIs" dxfId="389" priority="254" operator="lessThan">
      <formula>F23</formula>
    </cfRule>
  </conditionalFormatting>
  <conditionalFormatting sqref="N24">
    <cfRule type="cellIs" dxfId="388" priority="258" operator="equal">
      <formula>0</formula>
    </cfRule>
    <cfRule type="cellIs" dxfId="387" priority="259" operator="lessThan">
      <formula>F24</formula>
    </cfRule>
  </conditionalFormatting>
  <conditionalFormatting sqref="N25">
    <cfRule type="cellIs" dxfId="386" priority="263" operator="equal">
      <formula>0</formula>
    </cfRule>
    <cfRule type="cellIs" dxfId="385" priority="264" operator="lessThan">
      <formula>F25</formula>
    </cfRule>
  </conditionalFormatting>
  <conditionalFormatting sqref="N26">
    <cfRule type="cellIs" dxfId="384" priority="268" operator="equal">
      <formula>0</formula>
    </cfRule>
    <cfRule type="cellIs" dxfId="383" priority="269" operator="lessThan">
      <formula>F26</formula>
    </cfRule>
  </conditionalFormatting>
  <conditionalFormatting sqref="N27">
    <cfRule type="cellIs" dxfId="382" priority="273" operator="equal">
      <formula>0</formula>
    </cfRule>
    <cfRule type="cellIs" dxfId="381" priority="274" operator="lessThan">
      <formula>F27</formula>
    </cfRule>
  </conditionalFormatting>
  <conditionalFormatting sqref="N28">
    <cfRule type="cellIs" dxfId="380" priority="278" operator="equal">
      <formula>0</formula>
    </cfRule>
    <cfRule type="cellIs" dxfId="379" priority="279" operator="lessThan">
      <formula>F28</formula>
    </cfRule>
  </conditionalFormatting>
  <conditionalFormatting sqref="N29">
    <cfRule type="cellIs" dxfId="378" priority="283" operator="equal">
      <formula>0</formula>
    </cfRule>
    <cfRule type="cellIs" dxfId="377" priority="284" operator="lessThan">
      <formula>F29</formula>
    </cfRule>
  </conditionalFormatting>
  <conditionalFormatting sqref="N30">
    <cfRule type="cellIs" dxfId="376" priority="288" operator="equal">
      <formula>0</formula>
    </cfRule>
    <cfRule type="cellIs" dxfId="375" priority="289" operator="lessThan">
      <formula>F30</formula>
    </cfRule>
  </conditionalFormatting>
  <conditionalFormatting sqref="N31">
    <cfRule type="cellIs" dxfId="374" priority="293" operator="equal">
      <formula>0</formula>
    </cfRule>
    <cfRule type="cellIs" dxfId="373" priority="294" operator="lessThan">
      <formula>F31</formula>
    </cfRule>
  </conditionalFormatting>
  <conditionalFormatting sqref="N32">
    <cfRule type="cellIs" dxfId="372" priority="298" operator="equal">
      <formula>0</formula>
    </cfRule>
    <cfRule type="cellIs" dxfId="371" priority="299" operator="lessThan">
      <formula>F32</formula>
    </cfRule>
  </conditionalFormatting>
  <conditionalFormatting sqref="N33">
    <cfRule type="cellIs" dxfId="370" priority="303" operator="equal">
      <formula>0</formula>
    </cfRule>
    <cfRule type="cellIs" dxfId="369" priority="304" operator="lessThan">
      <formula>F33</formula>
    </cfRule>
  </conditionalFormatting>
  <conditionalFormatting sqref="N34">
    <cfRule type="cellIs" dxfId="368" priority="308" operator="equal">
      <formula>0</formula>
    </cfRule>
    <cfRule type="cellIs" dxfId="367" priority="309" operator="lessThan">
      <formula>F34</formula>
    </cfRule>
  </conditionalFormatting>
  <conditionalFormatting sqref="N35">
    <cfRule type="cellIs" dxfId="366" priority="313" operator="equal">
      <formula>0</formula>
    </cfRule>
    <cfRule type="cellIs" dxfId="365" priority="314" operator="lessThan">
      <formula>F35</formula>
    </cfRule>
  </conditionalFormatting>
  <conditionalFormatting sqref="N36">
    <cfRule type="cellIs" dxfId="364" priority="318" operator="equal">
      <formula>0</formula>
    </cfRule>
    <cfRule type="cellIs" dxfId="363" priority="319" operator="lessThan">
      <formula>F36</formula>
    </cfRule>
  </conditionalFormatting>
  <conditionalFormatting sqref="N37">
    <cfRule type="cellIs" dxfId="362" priority="323" operator="equal">
      <formula>0</formula>
    </cfRule>
    <cfRule type="cellIs" dxfId="361" priority="324" operator="lessThan">
      <formula>F37</formula>
    </cfRule>
  </conditionalFormatting>
  <conditionalFormatting sqref="N38">
    <cfRule type="cellIs" dxfId="360" priority="328" operator="equal">
      <formula>0</formula>
    </cfRule>
    <cfRule type="cellIs" dxfId="359" priority="329" operator="lessThan">
      <formula>F38</formula>
    </cfRule>
  </conditionalFormatting>
  <conditionalFormatting sqref="N39">
    <cfRule type="cellIs" dxfId="358" priority="333" operator="equal">
      <formula>0</formula>
    </cfRule>
    <cfRule type="cellIs" dxfId="357" priority="334" operator="lessThan">
      <formula>F39</formula>
    </cfRule>
  </conditionalFormatting>
  <conditionalFormatting sqref="N40">
    <cfRule type="cellIs" dxfId="356" priority="338" operator="equal">
      <formula>0</formula>
    </cfRule>
    <cfRule type="cellIs" dxfId="355" priority="339" operator="lessThan">
      <formula>F40</formula>
    </cfRule>
  </conditionalFormatting>
  <conditionalFormatting sqref="N41">
    <cfRule type="cellIs" dxfId="354" priority="343" operator="equal">
      <formula>0</formula>
    </cfRule>
    <cfRule type="cellIs" dxfId="353" priority="344" operator="lessThan">
      <formula>F41</formula>
    </cfRule>
  </conditionalFormatting>
  <conditionalFormatting sqref="N42">
    <cfRule type="cellIs" dxfId="352" priority="348" operator="equal">
      <formula>0</formula>
    </cfRule>
    <cfRule type="cellIs" dxfId="351" priority="349" operator="lessThan">
      <formula>F42</formula>
    </cfRule>
  </conditionalFormatting>
  <conditionalFormatting sqref="N43">
    <cfRule type="cellIs" dxfId="350" priority="353" operator="equal">
      <formula>0</formula>
    </cfRule>
    <cfRule type="cellIs" dxfId="349" priority="354" operator="lessThan">
      <formula>F43</formula>
    </cfRule>
  </conditionalFormatting>
  <conditionalFormatting sqref="N44">
    <cfRule type="cellIs" dxfId="348" priority="358" operator="equal">
      <formula>0</formula>
    </cfRule>
    <cfRule type="cellIs" dxfId="347" priority="359" operator="lessThan">
      <formula>F44</formula>
    </cfRule>
  </conditionalFormatting>
  <conditionalFormatting sqref="N45">
    <cfRule type="cellIs" dxfId="346" priority="363" operator="equal">
      <formula>0</formula>
    </cfRule>
    <cfRule type="cellIs" dxfId="345" priority="364" operator="lessThan">
      <formula>F45</formula>
    </cfRule>
  </conditionalFormatting>
  <conditionalFormatting sqref="N46">
    <cfRule type="cellIs" dxfId="344" priority="368" operator="equal">
      <formula>0</formula>
    </cfRule>
    <cfRule type="cellIs" dxfId="343" priority="369" operator="lessThan">
      <formula>F46</formula>
    </cfRule>
  </conditionalFormatting>
  <conditionalFormatting sqref="N47">
    <cfRule type="cellIs" dxfId="342" priority="373" operator="equal">
      <formula>0</formula>
    </cfRule>
    <cfRule type="cellIs" dxfId="341" priority="374" operator="lessThan">
      <formula>F47</formula>
    </cfRule>
  </conditionalFormatting>
  <conditionalFormatting sqref="N48">
    <cfRule type="cellIs" dxfId="340" priority="378" operator="equal">
      <formula>0</formula>
    </cfRule>
    <cfRule type="cellIs" dxfId="339" priority="379" operator="lessThan">
      <formula>F48</formula>
    </cfRule>
  </conditionalFormatting>
  <conditionalFormatting sqref="N49">
    <cfRule type="cellIs" dxfId="338" priority="383" operator="equal">
      <formula>0</formula>
    </cfRule>
    <cfRule type="cellIs" dxfId="337" priority="384" operator="lessThan">
      <formula>F49</formula>
    </cfRule>
  </conditionalFormatting>
  <conditionalFormatting sqref="N50">
    <cfRule type="cellIs" dxfId="336" priority="388" operator="equal">
      <formula>0</formula>
    </cfRule>
    <cfRule type="cellIs" dxfId="335" priority="389" operator="lessThan">
      <formula>F50</formula>
    </cfRule>
  </conditionalFormatting>
  <conditionalFormatting sqref="N51">
    <cfRule type="cellIs" dxfId="334" priority="393" operator="equal">
      <formula>0</formula>
    </cfRule>
    <cfRule type="cellIs" dxfId="333" priority="394" operator="lessThan">
      <formula>F51</formula>
    </cfRule>
  </conditionalFormatting>
  <conditionalFormatting sqref="N52">
    <cfRule type="cellIs" dxfId="332" priority="398" operator="equal">
      <formula>0</formula>
    </cfRule>
    <cfRule type="cellIs" dxfId="331" priority="399" operator="lessThan">
      <formula>F52</formula>
    </cfRule>
  </conditionalFormatting>
  <conditionalFormatting sqref="N53">
    <cfRule type="cellIs" dxfId="330" priority="403" operator="equal">
      <formula>0</formula>
    </cfRule>
    <cfRule type="cellIs" dxfId="329" priority="404" operator="lessThan">
      <formula>F53</formula>
    </cfRule>
  </conditionalFormatting>
  <conditionalFormatting sqref="N54">
    <cfRule type="cellIs" dxfId="328" priority="408" operator="equal">
      <formula>0</formula>
    </cfRule>
    <cfRule type="cellIs" dxfId="327" priority="409" operator="lessThan">
      <formula>F54</formula>
    </cfRule>
  </conditionalFormatting>
  <conditionalFormatting sqref="N8">
    <cfRule type="cellIs" dxfId="326" priority="193" operator="equal">
      <formula>0</formula>
    </cfRule>
    <cfRule type="cellIs" dxfId="325" priority="194" operator="lessThan">
      <formula>F8</formula>
    </cfRule>
  </conditionalFormatting>
  <conditionalFormatting sqref="N9">
    <cfRule type="cellIs" dxfId="324" priority="198" operator="equal">
      <formula>0</formula>
    </cfRule>
    <cfRule type="cellIs" dxfId="323" priority="199" operator="lessThan">
      <formula>F9</formula>
    </cfRule>
  </conditionalFormatting>
  <conditionalFormatting sqref="O10">
    <cfRule type="cellIs" dxfId="322" priority="205" operator="greaterThan">
      <formula>N10</formula>
    </cfRule>
  </conditionalFormatting>
  <conditionalFormatting sqref="O11">
    <cfRule type="cellIs" dxfId="321" priority="210" operator="greaterThan">
      <formula>N11</formula>
    </cfRule>
  </conditionalFormatting>
  <conditionalFormatting sqref="O12">
    <cfRule type="cellIs" dxfId="320" priority="215" operator="greaterThan">
      <formula>N12</formula>
    </cfRule>
  </conditionalFormatting>
  <conditionalFormatting sqref="O13">
    <cfRule type="cellIs" dxfId="319" priority="220" operator="greaterThan">
      <formula>N13</formula>
    </cfRule>
  </conditionalFormatting>
  <conditionalFormatting sqref="O14">
    <cfRule type="cellIs" dxfId="318" priority="225" operator="greaterThan">
      <formula>N14</formula>
    </cfRule>
  </conditionalFormatting>
  <conditionalFormatting sqref="O15">
    <cfRule type="cellIs" dxfId="317" priority="230" operator="greaterThan">
      <formula>N15</formula>
    </cfRule>
  </conditionalFormatting>
  <conditionalFormatting sqref="O19">
    <cfRule type="cellIs" dxfId="316" priority="235" operator="greaterThan">
      <formula>N19</formula>
    </cfRule>
  </conditionalFormatting>
  <conditionalFormatting sqref="O20">
    <cfRule type="cellIs" dxfId="315" priority="240" operator="greaterThan">
      <formula>N20</formula>
    </cfRule>
  </conditionalFormatting>
  <conditionalFormatting sqref="O21">
    <cfRule type="cellIs" dxfId="314" priority="245" operator="greaterThan">
      <formula>N21</formula>
    </cfRule>
  </conditionalFormatting>
  <conditionalFormatting sqref="O22">
    <cfRule type="cellIs" dxfId="313" priority="250" operator="greaterThan">
      <formula>N22</formula>
    </cfRule>
  </conditionalFormatting>
  <conditionalFormatting sqref="O23">
    <cfRule type="cellIs" dxfId="312" priority="255" operator="greaterThan">
      <formula>N23</formula>
    </cfRule>
  </conditionalFormatting>
  <conditionalFormatting sqref="O24">
    <cfRule type="cellIs" dxfId="311" priority="260" operator="greaterThan">
      <formula>N24</formula>
    </cfRule>
  </conditionalFormatting>
  <conditionalFormatting sqref="O25">
    <cfRule type="cellIs" dxfId="310" priority="265" operator="greaterThan">
      <formula>N25</formula>
    </cfRule>
  </conditionalFormatting>
  <conditionalFormatting sqref="O26">
    <cfRule type="cellIs" dxfId="309" priority="270" operator="greaterThan">
      <formula>N26</formula>
    </cfRule>
  </conditionalFormatting>
  <conditionalFormatting sqref="O27">
    <cfRule type="cellIs" dxfId="308" priority="275" operator="greaterThan">
      <formula>N27</formula>
    </cfRule>
  </conditionalFormatting>
  <conditionalFormatting sqref="O28">
    <cfRule type="cellIs" dxfId="307" priority="280" operator="greaterThan">
      <formula>N28</formula>
    </cfRule>
  </conditionalFormatting>
  <conditionalFormatting sqref="O29">
    <cfRule type="cellIs" dxfId="306" priority="285" operator="greaterThan">
      <formula>N29</formula>
    </cfRule>
  </conditionalFormatting>
  <conditionalFormatting sqref="O30">
    <cfRule type="cellIs" dxfId="305" priority="290" operator="greaterThan">
      <formula>N30</formula>
    </cfRule>
  </conditionalFormatting>
  <conditionalFormatting sqref="O31">
    <cfRule type="cellIs" dxfId="304" priority="295" operator="greaterThan">
      <formula>N31</formula>
    </cfRule>
  </conditionalFormatting>
  <conditionalFormatting sqref="O32">
    <cfRule type="cellIs" dxfId="303" priority="300" operator="greaterThan">
      <formula>N32</formula>
    </cfRule>
  </conditionalFormatting>
  <conditionalFormatting sqref="O33">
    <cfRule type="cellIs" dxfId="302" priority="305" operator="greaterThan">
      <formula>N33</formula>
    </cfRule>
  </conditionalFormatting>
  <conditionalFormatting sqref="O34">
    <cfRule type="cellIs" dxfId="301" priority="310" operator="greaterThan">
      <formula>N34</formula>
    </cfRule>
  </conditionalFormatting>
  <conditionalFormatting sqref="O35">
    <cfRule type="cellIs" dxfId="300" priority="315" operator="greaterThan">
      <formula>N35</formula>
    </cfRule>
  </conditionalFormatting>
  <conditionalFormatting sqref="O36">
    <cfRule type="cellIs" dxfId="299" priority="320" operator="greaterThan">
      <formula>N36</formula>
    </cfRule>
  </conditionalFormatting>
  <conditionalFormatting sqref="O37">
    <cfRule type="cellIs" dxfId="298" priority="325" operator="greaterThan">
      <formula>N37</formula>
    </cfRule>
  </conditionalFormatting>
  <conditionalFormatting sqref="O38">
    <cfRule type="cellIs" dxfId="297" priority="330" operator="greaterThan">
      <formula>N38</formula>
    </cfRule>
  </conditionalFormatting>
  <conditionalFormatting sqref="O39">
    <cfRule type="cellIs" dxfId="296" priority="335" operator="greaterThan">
      <formula>N39</formula>
    </cfRule>
  </conditionalFormatting>
  <conditionalFormatting sqref="O40">
    <cfRule type="cellIs" dxfId="295" priority="340" operator="greaterThan">
      <formula>N40</formula>
    </cfRule>
  </conditionalFormatting>
  <conditionalFormatting sqref="O41">
    <cfRule type="cellIs" dxfId="294" priority="345" operator="greaterThan">
      <formula>N41</formula>
    </cfRule>
  </conditionalFormatting>
  <conditionalFormatting sqref="O42">
    <cfRule type="cellIs" dxfId="293" priority="350" operator="greaterThan">
      <formula>N42</formula>
    </cfRule>
  </conditionalFormatting>
  <conditionalFormatting sqref="O43">
    <cfRule type="cellIs" dxfId="292" priority="355" operator="greaterThan">
      <formula>N43</formula>
    </cfRule>
  </conditionalFormatting>
  <conditionalFormatting sqref="O44">
    <cfRule type="cellIs" dxfId="291" priority="360" operator="greaterThan">
      <formula>N44</formula>
    </cfRule>
  </conditionalFormatting>
  <conditionalFormatting sqref="O45">
    <cfRule type="cellIs" dxfId="290" priority="365" operator="greaterThan">
      <formula>N45</formula>
    </cfRule>
  </conditionalFormatting>
  <conditionalFormatting sqref="O46">
    <cfRule type="cellIs" dxfId="289" priority="370" operator="greaterThan">
      <formula>N46</formula>
    </cfRule>
  </conditionalFormatting>
  <conditionalFormatting sqref="O47">
    <cfRule type="cellIs" dxfId="288" priority="375" operator="greaterThan">
      <formula>N47</formula>
    </cfRule>
  </conditionalFormatting>
  <conditionalFormatting sqref="O48">
    <cfRule type="cellIs" dxfId="287" priority="380" operator="greaterThan">
      <formula>N48</formula>
    </cfRule>
  </conditionalFormatting>
  <conditionalFormatting sqref="O49">
    <cfRule type="cellIs" dxfId="286" priority="385" operator="greaterThan">
      <formula>N49</formula>
    </cfRule>
  </conditionalFormatting>
  <conditionalFormatting sqref="O50">
    <cfRule type="cellIs" dxfId="285" priority="390" operator="greaterThan">
      <formula>N50</formula>
    </cfRule>
  </conditionalFormatting>
  <conditionalFormatting sqref="O51">
    <cfRule type="cellIs" dxfId="284" priority="395" operator="greaterThan">
      <formula>N51</formula>
    </cfRule>
  </conditionalFormatting>
  <conditionalFormatting sqref="O52">
    <cfRule type="cellIs" dxfId="283" priority="400" operator="greaterThan">
      <formula>N52</formula>
    </cfRule>
  </conditionalFormatting>
  <conditionalFormatting sqref="O53">
    <cfRule type="cellIs" dxfId="282" priority="405" operator="greaterThan">
      <formula>N53</formula>
    </cfRule>
  </conditionalFormatting>
  <conditionalFormatting sqref="O54">
    <cfRule type="cellIs" dxfId="281" priority="410" operator="greaterThan">
      <formula>N54</formula>
    </cfRule>
  </conditionalFormatting>
  <conditionalFormatting sqref="O8">
    <cfRule type="cellIs" dxfId="280" priority="195" operator="greaterThan">
      <formula>N8</formula>
    </cfRule>
  </conditionalFormatting>
  <conditionalFormatting sqref="O9">
    <cfRule type="cellIs" dxfId="279" priority="200" operator="greaterThan">
      <formula>N9</formula>
    </cfRule>
  </conditionalFormatting>
  <conditionalFormatting sqref="P10">
    <cfRule type="cellIs" dxfId="278" priority="207" operator="lessThanOrEqual">
      <formula>G10</formula>
    </cfRule>
  </conditionalFormatting>
  <conditionalFormatting sqref="P11">
    <cfRule type="cellIs" dxfId="277" priority="212" operator="lessThanOrEqual">
      <formula>G11</formula>
    </cfRule>
  </conditionalFormatting>
  <conditionalFormatting sqref="P12">
    <cfRule type="cellIs" dxfId="276" priority="217" operator="lessThanOrEqual">
      <formula>G12</formula>
    </cfRule>
  </conditionalFormatting>
  <conditionalFormatting sqref="P13">
    <cfRule type="cellIs" dxfId="275" priority="222" operator="lessThanOrEqual">
      <formula>G13</formula>
    </cfRule>
  </conditionalFormatting>
  <conditionalFormatting sqref="P14">
    <cfRule type="cellIs" dxfId="274" priority="227" operator="lessThanOrEqual">
      <formula>G14</formula>
    </cfRule>
  </conditionalFormatting>
  <conditionalFormatting sqref="P15">
    <cfRule type="cellIs" dxfId="273" priority="232" operator="lessThanOrEqual">
      <formula>G15</formula>
    </cfRule>
  </conditionalFormatting>
  <conditionalFormatting sqref="P19">
    <cfRule type="cellIs" dxfId="272" priority="237" operator="lessThanOrEqual">
      <formula>G19</formula>
    </cfRule>
  </conditionalFormatting>
  <conditionalFormatting sqref="P20">
    <cfRule type="cellIs" dxfId="271" priority="242" operator="lessThanOrEqual">
      <formula>G20</formula>
    </cfRule>
  </conditionalFormatting>
  <conditionalFormatting sqref="P21">
    <cfRule type="cellIs" dxfId="270" priority="247" operator="lessThanOrEqual">
      <formula>G21</formula>
    </cfRule>
  </conditionalFormatting>
  <conditionalFormatting sqref="P22">
    <cfRule type="cellIs" dxfId="269" priority="252" operator="lessThanOrEqual">
      <formula>G22</formula>
    </cfRule>
  </conditionalFormatting>
  <conditionalFormatting sqref="P23">
    <cfRule type="cellIs" dxfId="268" priority="257" operator="lessThanOrEqual">
      <formula>G23</formula>
    </cfRule>
  </conditionalFormatting>
  <conditionalFormatting sqref="P24">
    <cfRule type="cellIs" dxfId="267" priority="262" operator="lessThanOrEqual">
      <formula>G24</formula>
    </cfRule>
  </conditionalFormatting>
  <conditionalFormatting sqref="P25">
    <cfRule type="cellIs" dxfId="266" priority="267" operator="lessThanOrEqual">
      <formula>G25</formula>
    </cfRule>
  </conditionalFormatting>
  <conditionalFormatting sqref="P26">
    <cfRule type="cellIs" dxfId="265" priority="272" operator="lessThanOrEqual">
      <formula>G26</formula>
    </cfRule>
  </conditionalFormatting>
  <conditionalFormatting sqref="P27">
    <cfRule type="cellIs" dxfId="264" priority="277" operator="lessThanOrEqual">
      <formula>G27</formula>
    </cfRule>
  </conditionalFormatting>
  <conditionalFormatting sqref="P28">
    <cfRule type="cellIs" dxfId="263" priority="282" operator="lessThanOrEqual">
      <formula>G28</formula>
    </cfRule>
  </conditionalFormatting>
  <conditionalFormatting sqref="P29">
    <cfRule type="cellIs" dxfId="262" priority="287" operator="lessThanOrEqual">
      <formula>G29</formula>
    </cfRule>
  </conditionalFormatting>
  <conditionalFormatting sqref="P30">
    <cfRule type="cellIs" dxfId="261" priority="292" operator="lessThanOrEqual">
      <formula>G30</formula>
    </cfRule>
  </conditionalFormatting>
  <conditionalFormatting sqref="P31">
    <cfRule type="cellIs" dxfId="260" priority="297" operator="lessThanOrEqual">
      <formula>G31</formula>
    </cfRule>
  </conditionalFormatting>
  <conditionalFormatting sqref="P32">
    <cfRule type="cellIs" dxfId="259" priority="302" operator="lessThanOrEqual">
      <formula>G32</formula>
    </cfRule>
  </conditionalFormatting>
  <conditionalFormatting sqref="P33">
    <cfRule type="cellIs" dxfId="258" priority="307" operator="lessThanOrEqual">
      <formula>G33</formula>
    </cfRule>
  </conditionalFormatting>
  <conditionalFormatting sqref="P34">
    <cfRule type="cellIs" dxfId="257" priority="312" operator="lessThanOrEqual">
      <formula>G34</formula>
    </cfRule>
  </conditionalFormatting>
  <conditionalFormatting sqref="P35">
    <cfRule type="cellIs" dxfId="256" priority="317" operator="lessThanOrEqual">
      <formula>G35</formula>
    </cfRule>
  </conditionalFormatting>
  <conditionalFormatting sqref="P36">
    <cfRule type="cellIs" dxfId="255" priority="322" operator="lessThanOrEqual">
      <formula>G36</formula>
    </cfRule>
  </conditionalFormatting>
  <conditionalFormatting sqref="P37">
    <cfRule type="cellIs" dxfId="254" priority="327" operator="lessThanOrEqual">
      <formula>G37</formula>
    </cfRule>
  </conditionalFormatting>
  <conditionalFormatting sqref="P38">
    <cfRule type="cellIs" dxfId="253" priority="332" operator="lessThanOrEqual">
      <formula>G38</formula>
    </cfRule>
  </conditionalFormatting>
  <conditionalFormatting sqref="P39">
    <cfRule type="cellIs" dxfId="252" priority="337" operator="lessThanOrEqual">
      <formula>G39</formula>
    </cfRule>
  </conditionalFormatting>
  <conditionalFormatting sqref="P40">
    <cfRule type="cellIs" dxfId="251" priority="342" operator="lessThanOrEqual">
      <formula>G40</formula>
    </cfRule>
  </conditionalFormatting>
  <conditionalFormatting sqref="P41">
    <cfRule type="cellIs" dxfId="250" priority="347" operator="lessThanOrEqual">
      <formula>G41</formula>
    </cfRule>
  </conditionalFormatting>
  <conditionalFormatting sqref="P42">
    <cfRule type="cellIs" dxfId="249" priority="352" operator="lessThanOrEqual">
      <formula>G42</formula>
    </cfRule>
  </conditionalFormatting>
  <conditionalFormatting sqref="P43">
    <cfRule type="cellIs" dxfId="248" priority="357" operator="lessThanOrEqual">
      <formula>G43</formula>
    </cfRule>
  </conditionalFormatting>
  <conditionalFormatting sqref="P44">
    <cfRule type="cellIs" dxfId="247" priority="362" operator="lessThanOrEqual">
      <formula>G44</formula>
    </cfRule>
  </conditionalFormatting>
  <conditionalFormatting sqref="P45">
    <cfRule type="cellIs" dxfId="246" priority="367" operator="lessThanOrEqual">
      <formula>G45</formula>
    </cfRule>
  </conditionalFormatting>
  <conditionalFormatting sqref="P46">
    <cfRule type="cellIs" dxfId="245" priority="372" operator="lessThanOrEqual">
      <formula>G46</formula>
    </cfRule>
  </conditionalFormatting>
  <conditionalFormatting sqref="P47">
    <cfRule type="cellIs" dxfId="244" priority="377" operator="lessThanOrEqual">
      <formula>G47</formula>
    </cfRule>
  </conditionalFormatting>
  <conditionalFormatting sqref="P48">
    <cfRule type="cellIs" dxfId="243" priority="382" operator="lessThanOrEqual">
      <formula>G48</formula>
    </cfRule>
  </conditionalFormatting>
  <conditionalFormatting sqref="P49">
    <cfRule type="cellIs" dxfId="242" priority="387" operator="lessThanOrEqual">
      <formula>G49</formula>
    </cfRule>
  </conditionalFormatting>
  <conditionalFormatting sqref="P50">
    <cfRule type="cellIs" dxfId="241" priority="392" operator="lessThanOrEqual">
      <formula>G50</formula>
    </cfRule>
  </conditionalFormatting>
  <conditionalFormatting sqref="P51">
    <cfRule type="cellIs" dxfId="240" priority="397" operator="lessThanOrEqual">
      <formula>G51</formula>
    </cfRule>
  </conditionalFormatting>
  <conditionalFormatting sqref="P52">
    <cfRule type="cellIs" dxfId="239" priority="402" operator="lessThanOrEqual">
      <formula>G52</formula>
    </cfRule>
  </conditionalFormatting>
  <conditionalFormatting sqref="P53">
    <cfRule type="cellIs" dxfId="238" priority="407" operator="lessThanOrEqual">
      <formula>G53</formula>
    </cfRule>
  </conditionalFormatting>
  <conditionalFormatting sqref="P54">
    <cfRule type="cellIs" dxfId="237" priority="412" operator="lessThanOrEqual">
      <formula>G54</formula>
    </cfRule>
  </conditionalFormatting>
  <conditionalFormatting sqref="P8">
    <cfRule type="cellIs" dxfId="236" priority="197" operator="lessThanOrEqual">
      <formula>G8</formula>
    </cfRule>
  </conditionalFormatting>
  <conditionalFormatting sqref="P9">
    <cfRule type="cellIs" dxfId="235" priority="202" operator="lessThanOrEqual">
      <formula>G9</formula>
    </cfRule>
  </conditionalFormatting>
  <conditionalFormatting sqref="Q10">
    <cfRule type="cellIs" dxfId="234" priority="206" operator="lessThanOrEqual">
      <formula>H10</formula>
    </cfRule>
  </conditionalFormatting>
  <conditionalFormatting sqref="Q11">
    <cfRule type="cellIs" dxfId="233" priority="211" operator="lessThanOrEqual">
      <formula>H11</formula>
    </cfRule>
  </conditionalFormatting>
  <conditionalFormatting sqref="Q12">
    <cfRule type="cellIs" dxfId="232" priority="216" operator="lessThanOrEqual">
      <formula>H12</formula>
    </cfRule>
  </conditionalFormatting>
  <conditionalFormatting sqref="Q13">
    <cfRule type="cellIs" dxfId="231" priority="221" operator="lessThanOrEqual">
      <formula>H13</formula>
    </cfRule>
  </conditionalFormatting>
  <conditionalFormatting sqref="Q14">
    <cfRule type="cellIs" dxfId="230" priority="226" operator="lessThanOrEqual">
      <formula>H14</formula>
    </cfRule>
  </conditionalFormatting>
  <conditionalFormatting sqref="Q15">
    <cfRule type="cellIs" dxfId="229" priority="231" operator="lessThanOrEqual">
      <formula>H15</formula>
    </cfRule>
  </conditionalFormatting>
  <conditionalFormatting sqref="Q19">
    <cfRule type="cellIs" dxfId="228" priority="236" operator="lessThanOrEqual">
      <formula>H19</formula>
    </cfRule>
  </conditionalFormatting>
  <conditionalFormatting sqref="Q20">
    <cfRule type="cellIs" dxfId="227" priority="241" operator="lessThanOrEqual">
      <formula>H20</formula>
    </cfRule>
  </conditionalFormatting>
  <conditionalFormatting sqref="Q21">
    <cfRule type="cellIs" dxfId="226" priority="246" operator="lessThanOrEqual">
      <formula>H21</formula>
    </cfRule>
  </conditionalFormatting>
  <conditionalFormatting sqref="Q22">
    <cfRule type="cellIs" dxfId="225" priority="251" operator="lessThanOrEqual">
      <formula>H22</formula>
    </cfRule>
  </conditionalFormatting>
  <conditionalFormatting sqref="Q23">
    <cfRule type="cellIs" dxfId="224" priority="256" operator="lessThanOrEqual">
      <formula>H23</formula>
    </cfRule>
  </conditionalFormatting>
  <conditionalFormatting sqref="Q24">
    <cfRule type="cellIs" dxfId="223" priority="261" operator="lessThanOrEqual">
      <formula>H24</formula>
    </cfRule>
  </conditionalFormatting>
  <conditionalFormatting sqref="Q25">
    <cfRule type="cellIs" dxfId="222" priority="266" operator="lessThanOrEqual">
      <formula>H25</formula>
    </cfRule>
  </conditionalFormatting>
  <conditionalFormatting sqref="Q26">
    <cfRule type="cellIs" dxfId="221" priority="271" operator="lessThanOrEqual">
      <formula>H26</formula>
    </cfRule>
  </conditionalFormatting>
  <conditionalFormatting sqref="Q27">
    <cfRule type="cellIs" dxfId="220" priority="276" operator="lessThanOrEqual">
      <formula>H27</formula>
    </cfRule>
  </conditionalFormatting>
  <conditionalFormatting sqref="Q28">
    <cfRule type="cellIs" dxfId="219" priority="281" operator="lessThanOrEqual">
      <formula>H28</formula>
    </cfRule>
  </conditionalFormatting>
  <conditionalFormatting sqref="Q29">
    <cfRule type="cellIs" dxfId="218" priority="286" operator="lessThanOrEqual">
      <formula>H29</formula>
    </cfRule>
  </conditionalFormatting>
  <conditionalFormatting sqref="Q30">
    <cfRule type="cellIs" dxfId="217" priority="291" operator="lessThanOrEqual">
      <formula>H30</formula>
    </cfRule>
  </conditionalFormatting>
  <conditionalFormatting sqref="Q31">
    <cfRule type="cellIs" dxfId="216" priority="296" operator="lessThanOrEqual">
      <formula>H31</formula>
    </cfRule>
  </conditionalFormatting>
  <conditionalFormatting sqref="Q32">
    <cfRule type="cellIs" dxfId="215" priority="301" operator="lessThanOrEqual">
      <formula>H32</formula>
    </cfRule>
  </conditionalFormatting>
  <conditionalFormatting sqref="Q33">
    <cfRule type="cellIs" dxfId="214" priority="306" operator="lessThanOrEqual">
      <formula>H33</formula>
    </cfRule>
  </conditionalFormatting>
  <conditionalFormatting sqref="Q34">
    <cfRule type="cellIs" dxfId="213" priority="311" operator="lessThanOrEqual">
      <formula>H34</formula>
    </cfRule>
  </conditionalFormatting>
  <conditionalFormatting sqref="Q35">
    <cfRule type="cellIs" dxfId="212" priority="316" operator="lessThanOrEqual">
      <formula>H35</formula>
    </cfRule>
  </conditionalFormatting>
  <conditionalFormatting sqref="Q36">
    <cfRule type="cellIs" dxfId="211" priority="321" operator="lessThanOrEqual">
      <formula>H36</formula>
    </cfRule>
  </conditionalFormatting>
  <conditionalFormatting sqref="Q37">
    <cfRule type="cellIs" dxfId="210" priority="326" operator="lessThanOrEqual">
      <formula>H37</formula>
    </cfRule>
  </conditionalFormatting>
  <conditionalFormatting sqref="Q38">
    <cfRule type="cellIs" dxfId="209" priority="331" operator="lessThanOrEqual">
      <formula>H38</formula>
    </cfRule>
  </conditionalFormatting>
  <conditionalFormatting sqref="Q39">
    <cfRule type="cellIs" dxfId="208" priority="336" operator="lessThanOrEqual">
      <formula>H39</formula>
    </cfRule>
  </conditionalFormatting>
  <conditionalFormatting sqref="Q40">
    <cfRule type="cellIs" dxfId="207" priority="341" operator="lessThanOrEqual">
      <formula>H40</formula>
    </cfRule>
  </conditionalFormatting>
  <conditionalFormatting sqref="Q41">
    <cfRule type="cellIs" dxfId="206" priority="346" operator="lessThanOrEqual">
      <formula>H41</formula>
    </cfRule>
  </conditionalFormatting>
  <conditionalFormatting sqref="Q42">
    <cfRule type="cellIs" dxfId="205" priority="351" operator="lessThanOrEqual">
      <formula>H42</formula>
    </cfRule>
  </conditionalFormatting>
  <conditionalFormatting sqref="Q43">
    <cfRule type="cellIs" dxfId="204" priority="356" operator="lessThanOrEqual">
      <formula>H43</formula>
    </cfRule>
  </conditionalFormatting>
  <conditionalFormatting sqref="Q44">
    <cfRule type="cellIs" dxfId="203" priority="361" operator="lessThanOrEqual">
      <formula>H44</formula>
    </cfRule>
  </conditionalFormatting>
  <conditionalFormatting sqref="Q45">
    <cfRule type="cellIs" dxfId="202" priority="366" operator="lessThanOrEqual">
      <formula>H45</formula>
    </cfRule>
  </conditionalFormatting>
  <conditionalFormatting sqref="Q46">
    <cfRule type="cellIs" dxfId="201" priority="371" operator="lessThanOrEqual">
      <formula>H46</formula>
    </cfRule>
  </conditionalFormatting>
  <conditionalFormatting sqref="Q47">
    <cfRule type="cellIs" dxfId="200" priority="376" operator="lessThanOrEqual">
      <formula>H47</formula>
    </cfRule>
  </conditionalFormatting>
  <conditionalFormatting sqref="Q48">
    <cfRule type="cellIs" dxfId="199" priority="381" operator="lessThanOrEqual">
      <formula>H48</formula>
    </cfRule>
  </conditionalFormatting>
  <conditionalFormatting sqref="Q49">
    <cfRule type="cellIs" dxfId="198" priority="386" operator="lessThanOrEqual">
      <formula>H49</formula>
    </cfRule>
  </conditionalFormatting>
  <conditionalFormatting sqref="Q50">
    <cfRule type="cellIs" dxfId="197" priority="391" operator="lessThanOrEqual">
      <formula>H50</formula>
    </cfRule>
  </conditionalFormatting>
  <conditionalFormatting sqref="Q51">
    <cfRule type="cellIs" dxfId="196" priority="396" operator="lessThanOrEqual">
      <formula>H51</formula>
    </cfRule>
  </conditionalFormatting>
  <conditionalFormatting sqref="Q52">
    <cfRule type="cellIs" dxfId="195" priority="401" operator="lessThanOrEqual">
      <formula>H52</formula>
    </cfRule>
  </conditionalFormatting>
  <conditionalFormatting sqref="Q53">
    <cfRule type="cellIs" dxfId="194" priority="406" operator="lessThanOrEqual">
      <formula>H53</formula>
    </cfRule>
  </conditionalFormatting>
  <conditionalFormatting sqref="Q54">
    <cfRule type="cellIs" dxfId="193" priority="411" operator="lessThanOrEqual">
      <formula>H54</formula>
    </cfRule>
  </conditionalFormatting>
  <conditionalFormatting sqref="Q8">
    <cfRule type="cellIs" dxfId="192" priority="196" operator="lessThanOrEqual">
      <formula>H8</formula>
    </cfRule>
  </conditionalFormatting>
  <conditionalFormatting sqref="Q9">
    <cfRule type="cellIs" dxfId="191" priority="201" operator="lessThanOrEqual">
      <formula>H9</formula>
    </cfRule>
  </conditionalFormatting>
  <conditionalFormatting sqref="S13">
    <cfRule type="cellIs" dxfId="190" priority="425" operator="equal">
      <formula>0</formula>
    </cfRule>
    <cfRule type="cellIs" dxfId="189" priority="426" operator="lessThan">
      <formula>F13</formula>
    </cfRule>
  </conditionalFormatting>
  <conditionalFormatting sqref="S14">
    <cfRule type="cellIs" dxfId="188" priority="431" operator="equal">
      <formula>0</formula>
    </cfRule>
    <cfRule type="cellIs" dxfId="187" priority="432" operator="lessThan">
      <formula>F14</formula>
    </cfRule>
  </conditionalFormatting>
  <conditionalFormatting sqref="S15">
    <cfRule type="cellIs" dxfId="186" priority="437" operator="equal">
      <formula>0</formula>
    </cfRule>
    <cfRule type="cellIs" dxfId="185" priority="438" operator="lessThan">
      <formula>F15</formula>
    </cfRule>
  </conditionalFormatting>
  <conditionalFormatting sqref="S20">
    <cfRule type="cellIs" dxfId="184" priority="443" operator="equal">
      <formula>0</formula>
    </cfRule>
    <cfRule type="cellIs" dxfId="183" priority="444" operator="lessThan">
      <formula>F20</formula>
    </cfRule>
  </conditionalFormatting>
  <conditionalFormatting sqref="S21">
    <cfRule type="cellIs" dxfId="182" priority="449" operator="equal">
      <formula>0</formula>
    </cfRule>
    <cfRule type="cellIs" dxfId="181" priority="450" operator="lessThan">
      <formula>F21</formula>
    </cfRule>
  </conditionalFormatting>
  <conditionalFormatting sqref="S23">
    <cfRule type="cellIs" dxfId="180" priority="455" operator="equal">
      <formula>0</formula>
    </cfRule>
    <cfRule type="cellIs" dxfId="179" priority="456" operator="lessThan">
      <formula>F23</formula>
    </cfRule>
  </conditionalFormatting>
  <conditionalFormatting sqref="S24">
    <cfRule type="cellIs" dxfId="178" priority="461" operator="equal">
      <formula>0</formula>
    </cfRule>
    <cfRule type="cellIs" dxfId="177" priority="462" operator="lessThan">
      <formula>F24</formula>
    </cfRule>
  </conditionalFormatting>
  <conditionalFormatting sqref="S26">
    <cfRule type="cellIs" dxfId="176" priority="467" operator="equal">
      <formula>0</formula>
    </cfRule>
    <cfRule type="cellIs" dxfId="175" priority="468" operator="lessThan">
      <formula>F26</formula>
    </cfRule>
  </conditionalFormatting>
  <conditionalFormatting sqref="S27">
    <cfRule type="cellIs" dxfId="174" priority="473" operator="equal">
      <formula>0</formula>
    </cfRule>
    <cfRule type="cellIs" dxfId="173" priority="474" operator="lessThan">
      <formula>F27</formula>
    </cfRule>
  </conditionalFormatting>
  <conditionalFormatting sqref="S29">
    <cfRule type="cellIs" dxfId="172" priority="479" operator="equal">
      <formula>0</formula>
    </cfRule>
    <cfRule type="cellIs" dxfId="171" priority="480" operator="lessThan">
      <formula>F29</formula>
    </cfRule>
  </conditionalFormatting>
  <conditionalFormatting sqref="S30">
    <cfRule type="cellIs" dxfId="170" priority="485" operator="equal">
      <formula>0</formula>
    </cfRule>
    <cfRule type="cellIs" dxfId="169" priority="486" operator="lessThan">
      <formula>F30</formula>
    </cfRule>
  </conditionalFormatting>
  <conditionalFormatting sqref="S31">
    <cfRule type="cellIs" dxfId="168" priority="491" operator="equal">
      <formula>0</formula>
    </cfRule>
    <cfRule type="cellIs" dxfId="167" priority="492" operator="lessThan">
      <formula>F31</formula>
    </cfRule>
  </conditionalFormatting>
  <conditionalFormatting sqref="S32">
    <cfRule type="cellIs" dxfId="166" priority="497" operator="equal">
      <formula>0</formula>
    </cfRule>
    <cfRule type="cellIs" dxfId="165" priority="498" operator="lessThan">
      <formula>F32</formula>
    </cfRule>
  </conditionalFormatting>
  <conditionalFormatting sqref="S33">
    <cfRule type="cellIs" dxfId="164" priority="503" operator="equal">
      <formula>0</formula>
    </cfRule>
    <cfRule type="cellIs" dxfId="163" priority="504" operator="lessThan">
      <formula>F33</formula>
    </cfRule>
  </conditionalFormatting>
  <conditionalFormatting sqref="S34">
    <cfRule type="cellIs" dxfId="162" priority="509" operator="equal">
      <formula>0</formula>
    </cfRule>
    <cfRule type="cellIs" dxfId="161" priority="510" operator="lessThan">
      <formula>F34</formula>
    </cfRule>
  </conditionalFormatting>
  <conditionalFormatting sqref="S35">
    <cfRule type="cellIs" dxfId="160" priority="515" operator="equal">
      <formula>0</formula>
    </cfRule>
    <cfRule type="cellIs" dxfId="159" priority="516" operator="lessThan">
      <formula>F35</formula>
    </cfRule>
  </conditionalFormatting>
  <conditionalFormatting sqref="S36">
    <cfRule type="cellIs" dxfId="158" priority="521" operator="equal">
      <formula>0</formula>
    </cfRule>
    <cfRule type="cellIs" dxfId="157" priority="522" operator="lessThan">
      <formula>F36</formula>
    </cfRule>
  </conditionalFormatting>
  <conditionalFormatting sqref="S38">
    <cfRule type="cellIs" dxfId="156" priority="527" operator="equal">
      <formula>0</formula>
    </cfRule>
    <cfRule type="cellIs" dxfId="155" priority="528" operator="lessThan">
      <formula>F38</formula>
    </cfRule>
  </conditionalFormatting>
  <conditionalFormatting sqref="S39">
    <cfRule type="cellIs" dxfId="154" priority="533" operator="equal">
      <formula>0</formula>
    </cfRule>
    <cfRule type="cellIs" dxfId="153" priority="534" operator="lessThan">
      <formula>F39</formula>
    </cfRule>
  </conditionalFormatting>
  <conditionalFormatting sqref="S41">
    <cfRule type="cellIs" dxfId="152" priority="539" operator="equal">
      <formula>0</formula>
    </cfRule>
    <cfRule type="cellIs" dxfId="151" priority="540" operator="lessThan">
      <formula>F41</formula>
    </cfRule>
  </conditionalFormatting>
  <conditionalFormatting sqref="S44">
    <cfRule type="cellIs" dxfId="150" priority="545" operator="equal">
      <formula>0</formula>
    </cfRule>
    <cfRule type="cellIs" dxfId="149" priority="546" operator="lessThan">
      <formula>F44</formula>
    </cfRule>
  </conditionalFormatting>
  <conditionalFormatting sqref="S45">
    <cfRule type="cellIs" dxfId="148" priority="550" operator="equal">
      <formula>0</formula>
    </cfRule>
    <cfRule type="cellIs" dxfId="147" priority="551" operator="lessThan">
      <formula>F45</formula>
    </cfRule>
  </conditionalFormatting>
  <conditionalFormatting sqref="S47">
    <cfRule type="cellIs" dxfId="146" priority="555" operator="equal">
      <formula>0</formula>
    </cfRule>
    <cfRule type="cellIs" dxfId="145" priority="556" operator="lessThan">
      <formula>F47</formula>
    </cfRule>
  </conditionalFormatting>
  <conditionalFormatting sqref="S50">
    <cfRule type="cellIs" dxfId="144" priority="560" operator="equal">
      <formula>0</formula>
    </cfRule>
    <cfRule type="cellIs" dxfId="143" priority="561" operator="lessThan">
      <formula>F50</formula>
    </cfRule>
  </conditionalFormatting>
  <conditionalFormatting sqref="S51">
    <cfRule type="cellIs" dxfId="142" priority="566" operator="equal">
      <formula>0</formula>
    </cfRule>
    <cfRule type="cellIs" dxfId="141" priority="567" operator="lessThan">
      <formula>F51</formula>
    </cfRule>
  </conditionalFormatting>
  <conditionalFormatting sqref="S52">
    <cfRule type="cellIs" dxfId="140" priority="571" operator="equal">
      <formula>0</formula>
    </cfRule>
    <cfRule type="cellIs" dxfId="139" priority="572" operator="lessThan">
      <formula>F52</formula>
    </cfRule>
  </conditionalFormatting>
  <conditionalFormatting sqref="S53">
    <cfRule type="cellIs" dxfId="138" priority="576" operator="equal">
      <formula>0</formula>
    </cfRule>
    <cfRule type="cellIs" dxfId="137" priority="577" operator="lessThan">
      <formula>F53</formula>
    </cfRule>
  </conditionalFormatting>
  <conditionalFormatting sqref="S54">
    <cfRule type="cellIs" dxfId="136" priority="581" operator="equal">
      <formula>0</formula>
    </cfRule>
    <cfRule type="cellIs" dxfId="135" priority="582" operator="lessThan">
      <formula>F54</formula>
    </cfRule>
  </conditionalFormatting>
  <conditionalFormatting sqref="S8">
    <cfRule type="cellIs" dxfId="134" priority="413" operator="equal">
      <formula>0</formula>
    </cfRule>
    <cfRule type="cellIs" dxfId="133" priority="414" operator="lessThan">
      <formula>F8</formula>
    </cfRule>
  </conditionalFormatting>
  <conditionalFormatting sqref="S9">
    <cfRule type="cellIs" dxfId="132" priority="419" operator="equal">
      <formula>0</formula>
    </cfRule>
    <cfRule type="cellIs" dxfId="131" priority="420" operator="lessThan">
      <formula>F9</formula>
    </cfRule>
  </conditionalFormatting>
  <conditionalFormatting sqref="T13">
    <cfRule type="expression" dxfId="130" priority="427">
      <formula>AND(T13&gt;0,T13&lt;10)</formula>
    </cfRule>
    <cfRule type="cellIs" dxfId="129" priority="428" operator="greaterThan">
      <formula>S13</formula>
    </cfRule>
  </conditionalFormatting>
  <conditionalFormatting sqref="T14">
    <cfRule type="expression" dxfId="128" priority="433">
      <formula>AND(T14&gt;0,T14&lt;10)</formula>
    </cfRule>
    <cfRule type="cellIs" dxfId="127" priority="434" operator="greaterThan">
      <formula>S14</formula>
    </cfRule>
  </conditionalFormatting>
  <conditionalFormatting sqref="T15">
    <cfRule type="expression" dxfId="126" priority="439">
      <formula>AND(T15&gt;0,T15&lt;10)</formula>
    </cfRule>
    <cfRule type="cellIs" dxfId="125" priority="440" operator="greaterThan">
      <formula>S15</formula>
    </cfRule>
  </conditionalFormatting>
  <conditionalFormatting sqref="T20">
    <cfRule type="expression" dxfId="124" priority="445">
      <formula>AND(T20&gt;0,T20&lt;5)</formula>
    </cfRule>
    <cfRule type="cellIs" dxfId="123" priority="446" operator="greaterThan">
      <formula>S20</formula>
    </cfRule>
  </conditionalFormatting>
  <conditionalFormatting sqref="T21">
    <cfRule type="expression" dxfId="122" priority="451">
      <formula>AND(T21&gt;0,T21&lt;10)</formula>
    </cfRule>
    <cfRule type="cellIs" dxfId="121" priority="452" operator="greaterThan">
      <formula>S21</formula>
    </cfRule>
  </conditionalFormatting>
  <conditionalFormatting sqref="T23">
    <cfRule type="expression" dxfId="120" priority="457">
      <formula>AND(T23&gt;0,T23&lt;10)</formula>
    </cfRule>
    <cfRule type="cellIs" dxfId="119" priority="458" operator="greaterThan">
      <formula>S23</formula>
    </cfRule>
  </conditionalFormatting>
  <conditionalFormatting sqref="T24">
    <cfRule type="expression" dxfId="118" priority="463">
      <formula>AND(T24&gt;0,T24&lt;10)</formula>
    </cfRule>
    <cfRule type="cellIs" dxfId="117" priority="464" operator="greaterThan">
      <formula>S24</formula>
    </cfRule>
  </conditionalFormatting>
  <conditionalFormatting sqref="T26">
    <cfRule type="expression" dxfId="116" priority="469">
      <formula>AND(T26&gt;0,T26&lt;10)</formula>
    </cfRule>
    <cfRule type="cellIs" dxfId="115" priority="470" operator="greaterThan">
      <formula>S26</formula>
    </cfRule>
  </conditionalFormatting>
  <conditionalFormatting sqref="T27">
    <cfRule type="expression" dxfId="114" priority="475">
      <formula>AND(T27&gt;0,T27&lt;10)</formula>
    </cfRule>
    <cfRule type="cellIs" dxfId="113" priority="476" operator="greaterThan">
      <formula>S27</formula>
    </cfRule>
  </conditionalFormatting>
  <conditionalFormatting sqref="T29">
    <cfRule type="expression" dxfId="112" priority="481">
      <formula>AND(T29&gt;0,T29&lt;10)</formula>
    </cfRule>
    <cfRule type="cellIs" dxfId="111" priority="482" operator="greaterThan">
      <formula>S29</formula>
    </cfRule>
  </conditionalFormatting>
  <conditionalFormatting sqref="T30">
    <cfRule type="expression" dxfId="110" priority="487">
      <formula>AND(T30&gt;0,T30&lt;10)</formula>
    </cfRule>
    <cfRule type="cellIs" dxfId="109" priority="488" operator="greaterThan">
      <formula>S30</formula>
    </cfRule>
  </conditionalFormatting>
  <conditionalFormatting sqref="T31">
    <cfRule type="expression" dxfId="108" priority="493">
      <formula>AND(T31&gt;0,T31&lt;10)</formula>
    </cfRule>
    <cfRule type="cellIs" dxfId="107" priority="494" operator="greaterThan">
      <formula>S31</formula>
    </cfRule>
  </conditionalFormatting>
  <conditionalFormatting sqref="T32">
    <cfRule type="expression" dxfId="106" priority="499">
      <formula>AND(T32&gt;0,T32&lt;10)</formula>
    </cfRule>
    <cfRule type="cellIs" dxfId="105" priority="500" operator="greaterThan">
      <formula>S32</formula>
    </cfRule>
  </conditionalFormatting>
  <conditionalFormatting sqref="T33">
    <cfRule type="expression" dxfId="104" priority="505">
      <formula>AND(T33&gt;0,T33&lt;10)</formula>
    </cfRule>
    <cfRule type="cellIs" dxfId="103" priority="506" operator="greaterThan">
      <formula>S33</formula>
    </cfRule>
  </conditionalFormatting>
  <conditionalFormatting sqref="T34">
    <cfRule type="expression" dxfId="102" priority="511">
      <formula>AND(T34&gt;0,T34&lt;10)</formula>
    </cfRule>
    <cfRule type="cellIs" dxfId="101" priority="512" operator="greaterThan">
      <formula>S34</formula>
    </cfRule>
  </conditionalFormatting>
  <conditionalFormatting sqref="T35">
    <cfRule type="expression" dxfId="100" priority="517">
      <formula>AND(T35&gt;0,T35&lt;10)</formula>
    </cfRule>
    <cfRule type="cellIs" dxfId="99" priority="518" operator="greaterThan">
      <formula>S35</formula>
    </cfRule>
  </conditionalFormatting>
  <conditionalFormatting sqref="T36">
    <cfRule type="expression" dxfId="98" priority="523">
      <formula>AND(T36&gt;0,T36&lt;10)</formula>
    </cfRule>
    <cfRule type="cellIs" dxfId="97" priority="524" operator="greaterThan">
      <formula>S36</formula>
    </cfRule>
  </conditionalFormatting>
  <conditionalFormatting sqref="T38">
    <cfRule type="expression" dxfId="96" priority="529">
      <formula>AND(T38&gt;0,T38&lt;10)</formula>
    </cfRule>
    <cfRule type="cellIs" dxfId="95" priority="530" operator="greaterThan">
      <formula>S38</formula>
    </cfRule>
  </conditionalFormatting>
  <conditionalFormatting sqref="T39">
    <cfRule type="expression" dxfId="94" priority="535">
      <formula>AND(T39&gt;0,T39&lt;10)</formula>
    </cfRule>
    <cfRule type="cellIs" dxfId="93" priority="536" operator="greaterThan">
      <formula>S39</formula>
    </cfRule>
  </conditionalFormatting>
  <conditionalFormatting sqref="T41">
    <cfRule type="expression" dxfId="92" priority="541">
      <formula>AND(T41&gt;0,T41&lt;5)</formula>
    </cfRule>
    <cfRule type="cellIs" dxfId="91" priority="542" operator="greaterThan">
      <formula>S41</formula>
    </cfRule>
  </conditionalFormatting>
  <conditionalFormatting sqref="T44">
    <cfRule type="cellIs" dxfId="90" priority="547" operator="greaterThan">
      <formula>S44</formula>
    </cfRule>
  </conditionalFormatting>
  <conditionalFormatting sqref="T45">
    <cfRule type="cellIs" dxfId="89" priority="552" operator="greaterThan">
      <formula>S45</formula>
    </cfRule>
  </conditionalFormatting>
  <conditionalFormatting sqref="T47">
    <cfRule type="cellIs" dxfId="88" priority="557" operator="greaterThan">
      <formula>S47</formula>
    </cfRule>
  </conditionalFormatting>
  <conditionalFormatting sqref="T50">
    <cfRule type="expression" dxfId="87" priority="562">
      <formula>AND(T50&gt;0,T50&lt;3300)</formula>
    </cfRule>
    <cfRule type="cellIs" dxfId="86" priority="563" operator="greaterThan">
      <formula>S50</formula>
    </cfRule>
  </conditionalFormatting>
  <conditionalFormatting sqref="T51">
    <cfRule type="cellIs" dxfId="85" priority="568" operator="greaterThan">
      <formula>S51</formula>
    </cfRule>
  </conditionalFormatting>
  <conditionalFormatting sqref="T52">
    <cfRule type="cellIs" dxfId="84" priority="573" operator="greaterThan">
      <formula>S52</formula>
    </cfRule>
  </conditionalFormatting>
  <conditionalFormatting sqref="T53">
    <cfRule type="cellIs" dxfId="83" priority="578" operator="greaterThan">
      <formula>S53</formula>
    </cfRule>
  </conditionalFormatting>
  <conditionalFormatting sqref="T54">
    <cfRule type="expression" dxfId="82" priority="583">
      <formula>AND(T54&gt;0,T54&lt;10)</formula>
    </cfRule>
    <cfRule type="cellIs" dxfId="81" priority="584" operator="greaterThan">
      <formula>S54</formula>
    </cfRule>
  </conditionalFormatting>
  <conditionalFormatting sqref="T8">
    <cfRule type="expression" dxfId="80" priority="415">
      <formula>AND(T8&gt;0,T8&lt;10)</formula>
    </cfRule>
    <cfRule type="cellIs" dxfId="79" priority="416" operator="greaterThan">
      <formula>S8</formula>
    </cfRule>
  </conditionalFormatting>
  <conditionalFormatting sqref="T9">
    <cfRule type="expression" dxfId="78" priority="421">
      <formula>AND(T9&gt;0,T9&lt;10)</formula>
    </cfRule>
    <cfRule type="cellIs" dxfId="77" priority="422" operator="greaterThan">
      <formula>S9</formula>
    </cfRule>
  </conditionalFormatting>
  <conditionalFormatting sqref="U13">
    <cfRule type="cellIs" dxfId="76" priority="430" operator="lessThanOrEqual">
      <formula>G13</formula>
    </cfRule>
  </conditionalFormatting>
  <conditionalFormatting sqref="U14">
    <cfRule type="cellIs" dxfId="75" priority="436" operator="lessThanOrEqual">
      <formula>G14</formula>
    </cfRule>
  </conditionalFormatting>
  <conditionalFormatting sqref="U15">
    <cfRule type="cellIs" dxfId="74" priority="442" operator="lessThanOrEqual">
      <formula>G15</formula>
    </cfRule>
  </conditionalFormatting>
  <conditionalFormatting sqref="U20">
    <cfRule type="cellIs" dxfId="73" priority="448" operator="lessThanOrEqual">
      <formula>G20</formula>
    </cfRule>
  </conditionalFormatting>
  <conditionalFormatting sqref="U21">
    <cfRule type="cellIs" dxfId="72" priority="454" operator="lessThanOrEqual">
      <formula>G21</formula>
    </cfRule>
  </conditionalFormatting>
  <conditionalFormatting sqref="U23">
    <cfRule type="cellIs" dxfId="71" priority="460" operator="lessThanOrEqual">
      <formula>G23</formula>
    </cfRule>
  </conditionalFormatting>
  <conditionalFormatting sqref="U24">
    <cfRule type="cellIs" dxfId="70" priority="466" operator="lessThanOrEqual">
      <formula>G24</formula>
    </cfRule>
  </conditionalFormatting>
  <conditionalFormatting sqref="U26">
    <cfRule type="cellIs" dxfId="69" priority="472" operator="lessThanOrEqual">
      <formula>G26</formula>
    </cfRule>
  </conditionalFormatting>
  <conditionalFormatting sqref="U27">
    <cfRule type="cellIs" dxfId="68" priority="478" operator="lessThanOrEqual">
      <formula>G27</formula>
    </cfRule>
  </conditionalFormatting>
  <conditionalFormatting sqref="U29">
    <cfRule type="cellIs" dxfId="67" priority="484" operator="lessThanOrEqual">
      <formula>G29</formula>
    </cfRule>
  </conditionalFormatting>
  <conditionalFormatting sqref="U30">
    <cfRule type="cellIs" dxfId="66" priority="490" operator="lessThanOrEqual">
      <formula>G30</formula>
    </cfRule>
  </conditionalFormatting>
  <conditionalFormatting sqref="U31">
    <cfRule type="cellIs" dxfId="65" priority="496" operator="lessThanOrEqual">
      <formula>G31</formula>
    </cfRule>
  </conditionalFormatting>
  <conditionalFormatting sqref="U32">
    <cfRule type="cellIs" dxfId="64" priority="502" operator="lessThanOrEqual">
      <formula>G32</formula>
    </cfRule>
  </conditionalFormatting>
  <conditionalFormatting sqref="U33">
    <cfRule type="cellIs" dxfId="63" priority="508" operator="lessThanOrEqual">
      <formula>G33</formula>
    </cfRule>
  </conditionalFormatting>
  <conditionalFormatting sqref="U34">
    <cfRule type="cellIs" dxfId="62" priority="514" operator="lessThanOrEqual">
      <formula>G34</formula>
    </cfRule>
  </conditionalFormatting>
  <conditionalFormatting sqref="U35">
    <cfRule type="cellIs" dxfId="61" priority="520" operator="lessThanOrEqual">
      <formula>G35</formula>
    </cfRule>
  </conditionalFormatting>
  <conditionalFormatting sqref="U36">
    <cfRule type="cellIs" dxfId="60" priority="526" operator="lessThanOrEqual">
      <formula>G36</formula>
    </cfRule>
  </conditionalFormatting>
  <conditionalFormatting sqref="U38">
    <cfRule type="cellIs" dxfId="59" priority="532" operator="lessThanOrEqual">
      <formula>G38</formula>
    </cfRule>
  </conditionalFormatting>
  <conditionalFormatting sqref="U39">
    <cfRule type="cellIs" dxfId="58" priority="538" operator="lessThanOrEqual">
      <formula>G39</formula>
    </cfRule>
  </conditionalFormatting>
  <conditionalFormatting sqref="U41">
    <cfRule type="cellIs" dxfId="57" priority="544" operator="lessThanOrEqual">
      <formula>G41</formula>
    </cfRule>
  </conditionalFormatting>
  <conditionalFormatting sqref="U44">
    <cfRule type="cellIs" dxfId="56" priority="549" operator="lessThanOrEqual">
      <formula>G44</formula>
    </cfRule>
  </conditionalFormatting>
  <conditionalFormatting sqref="U45">
    <cfRule type="cellIs" dxfId="55" priority="554" operator="lessThanOrEqual">
      <formula>G45</formula>
    </cfRule>
  </conditionalFormatting>
  <conditionalFormatting sqref="U47">
    <cfRule type="cellIs" dxfId="54" priority="559" operator="lessThanOrEqual">
      <formula>G47</formula>
    </cfRule>
  </conditionalFormatting>
  <conditionalFormatting sqref="U50">
    <cfRule type="cellIs" dxfId="53" priority="565" operator="lessThanOrEqual">
      <formula>G50</formula>
    </cfRule>
  </conditionalFormatting>
  <conditionalFormatting sqref="U51">
    <cfRule type="cellIs" dxfId="52" priority="570" operator="lessThanOrEqual">
      <formula>G51</formula>
    </cfRule>
  </conditionalFormatting>
  <conditionalFormatting sqref="U52">
    <cfRule type="cellIs" dxfId="51" priority="575" operator="lessThanOrEqual">
      <formula>G52</formula>
    </cfRule>
  </conditionalFormatting>
  <conditionalFormatting sqref="U53">
    <cfRule type="cellIs" dxfId="50" priority="580" operator="lessThanOrEqual">
      <formula>G53</formula>
    </cfRule>
  </conditionalFormatting>
  <conditionalFormatting sqref="U54">
    <cfRule type="cellIs" dxfId="49" priority="586" operator="lessThanOrEqual">
      <formula>G54</formula>
    </cfRule>
  </conditionalFormatting>
  <conditionalFormatting sqref="U8">
    <cfRule type="cellIs" dxfId="48" priority="418" operator="lessThanOrEqual">
      <formula>G8</formula>
    </cfRule>
  </conditionalFormatting>
  <conditionalFormatting sqref="U9">
    <cfRule type="cellIs" dxfId="47" priority="424" operator="lessThanOrEqual">
      <formula>G9</formula>
    </cfRule>
  </conditionalFormatting>
  <conditionalFormatting sqref="V13">
    <cfRule type="cellIs" dxfId="46" priority="429" operator="lessThanOrEqual">
      <formula>H13</formula>
    </cfRule>
  </conditionalFormatting>
  <conditionalFormatting sqref="V14">
    <cfRule type="cellIs" dxfId="45" priority="435" operator="lessThanOrEqual">
      <formula>H14</formula>
    </cfRule>
  </conditionalFormatting>
  <conditionalFormatting sqref="V15">
    <cfRule type="cellIs" dxfId="44" priority="441" operator="lessThanOrEqual">
      <formula>H15</formula>
    </cfRule>
  </conditionalFormatting>
  <conditionalFormatting sqref="V20">
    <cfRule type="cellIs" dxfId="43" priority="447" operator="lessThanOrEqual">
      <formula>H20</formula>
    </cfRule>
  </conditionalFormatting>
  <conditionalFormatting sqref="V21">
    <cfRule type="cellIs" dxfId="42" priority="453" operator="lessThanOrEqual">
      <formula>H21</formula>
    </cfRule>
  </conditionalFormatting>
  <conditionalFormatting sqref="V23">
    <cfRule type="cellIs" dxfId="41" priority="459" operator="lessThanOrEqual">
      <formula>H23</formula>
    </cfRule>
  </conditionalFormatting>
  <conditionalFormatting sqref="V24">
    <cfRule type="cellIs" dxfId="40" priority="465" operator="lessThanOrEqual">
      <formula>H24</formula>
    </cfRule>
  </conditionalFormatting>
  <conditionalFormatting sqref="V26">
    <cfRule type="cellIs" dxfId="39" priority="471" operator="lessThanOrEqual">
      <formula>H26</formula>
    </cfRule>
  </conditionalFormatting>
  <conditionalFormatting sqref="V27">
    <cfRule type="cellIs" dxfId="38" priority="477" operator="lessThanOrEqual">
      <formula>H27</formula>
    </cfRule>
  </conditionalFormatting>
  <conditionalFormatting sqref="V29">
    <cfRule type="cellIs" dxfId="37" priority="483" operator="lessThanOrEqual">
      <formula>H29</formula>
    </cfRule>
  </conditionalFormatting>
  <conditionalFormatting sqref="V30">
    <cfRule type="cellIs" dxfId="36" priority="489" operator="lessThanOrEqual">
      <formula>H30</formula>
    </cfRule>
  </conditionalFormatting>
  <conditionalFormatting sqref="V31">
    <cfRule type="cellIs" dxfId="35" priority="495" operator="lessThanOrEqual">
      <formula>H31</formula>
    </cfRule>
  </conditionalFormatting>
  <conditionalFormatting sqref="V32">
    <cfRule type="cellIs" dxfId="34" priority="501" operator="lessThanOrEqual">
      <formula>H32</formula>
    </cfRule>
  </conditionalFormatting>
  <conditionalFormatting sqref="V33">
    <cfRule type="cellIs" dxfId="33" priority="507" operator="lessThanOrEqual">
      <formula>H33</formula>
    </cfRule>
  </conditionalFormatting>
  <conditionalFormatting sqref="V34">
    <cfRule type="cellIs" dxfId="32" priority="513" operator="lessThanOrEqual">
      <formula>H34</formula>
    </cfRule>
  </conditionalFormatting>
  <conditionalFormatting sqref="V35">
    <cfRule type="cellIs" dxfId="31" priority="519" operator="lessThanOrEqual">
      <formula>H35</formula>
    </cfRule>
  </conditionalFormatting>
  <conditionalFormatting sqref="V36">
    <cfRule type="cellIs" dxfId="30" priority="525" operator="lessThanOrEqual">
      <formula>H36</formula>
    </cfRule>
  </conditionalFormatting>
  <conditionalFormatting sqref="V38">
    <cfRule type="cellIs" dxfId="29" priority="531" operator="lessThanOrEqual">
      <formula>H38</formula>
    </cfRule>
  </conditionalFormatting>
  <conditionalFormatting sqref="V39">
    <cfRule type="cellIs" dxfId="28" priority="537" operator="lessThanOrEqual">
      <formula>H39</formula>
    </cfRule>
  </conditionalFormatting>
  <conditionalFormatting sqref="V41">
    <cfRule type="cellIs" dxfId="27" priority="543" operator="lessThanOrEqual">
      <formula>H41</formula>
    </cfRule>
  </conditionalFormatting>
  <conditionalFormatting sqref="V44">
    <cfRule type="cellIs" dxfId="26" priority="548" operator="lessThanOrEqual">
      <formula>H44</formula>
    </cfRule>
  </conditionalFormatting>
  <conditionalFormatting sqref="V45">
    <cfRule type="cellIs" dxfId="25" priority="553" operator="lessThanOrEqual">
      <formula>H45</formula>
    </cfRule>
  </conditionalFormatting>
  <conditionalFormatting sqref="V47">
    <cfRule type="cellIs" dxfId="24" priority="558" operator="lessThanOrEqual">
      <formula>H47</formula>
    </cfRule>
  </conditionalFormatting>
  <conditionalFormatting sqref="V50">
    <cfRule type="cellIs" dxfId="23" priority="564" operator="lessThanOrEqual">
      <formula>H50</formula>
    </cfRule>
  </conditionalFormatting>
  <conditionalFormatting sqref="V51">
    <cfRule type="cellIs" dxfId="22" priority="569" operator="lessThanOrEqual">
      <formula>H51</formula>
    </cfRule>
  </conditionalFormatting>
  <conditionalFormatting sqref="V52">
    <cfRule type="cellIs" dxfId="21" priority="574" operator="lessThanOrEqual">
      <formula>H52</formula>
    </cfRule>
  </conditionalFormatting>
  <conditionalFormatting sqref="V53">
    <cfRule type="cellIs" dxfId="20" priority="579" operator="lessThanOrEqual">
      <formula>H53</formula>
    </cfRule>
  </conditionalFormatting>
  <conditionalFormatting sqref="V54">
    <cfRule type="cellIs" dxfId="19" priority="585" operator="lessThanOrEqual">
      <formula>H54</formula>
    </cfRule>
  </conditionalFormatting>
  <conditionalFormatting sqref="V8">
    <cfRule type="cellIs" dxfId="18" priority="417" operator="lessThanOrEqual">
      <formula>H8</formula>
    </cfRule>
  </conditionalFormatting>
  <conditionalFormatting sqref="V9">
    <cfRule type="cellIs" dxfId="17" priority="423" operator="lessThanOrEqual">
      <formula>H9</formula>
    </cfRule>
  </conditionalFormatting>
  <conditionalFormatting sqref="X20">
    <cfRule type="cellIs" dxfId="16" priority="587" operator="equal">
      <formula>0</formula>
    </cfRule>
    <cfRule type="cellIs" dxfId="15" priority="588" operator="lessThan">
      <formula>F20</formula>
    </cfRule>
  </conditionalFormatting>
  <conditionalFormatting sqref="X41">
    <cfRule type="cellIs" dxfId="14" priority="593" operator="equal">
      <formula>0</formula>
    </cfRule>
    <cfRule type="cellIs" dxfId="13" priority="594" operator="lessThan">
      <formula>F41</formula>
    </cfRule>
  </conditionalFormatting>
  <conditionalFormatting sqref="X45">
    <cfRule type="cellIs" dxfId="12" priority="598" operator="equal">
      <formula>0</formula>
    </cfRule>
    <cfRule type="cellIs" dxfId="11" priority="599" operator="lessThan">
      <formula>F45</formula>
    </cfRule>
  </conditionalFormatting>
  <conditionalFormatting sqref="X54">
    <cfRule type="cellIs" dxfId="10" priority="603" operator="equal">
      <formula>0</formula>
    </cfRule>
    <cfRule type="cellIs" dxfId="9" priority="604" operator="lessThan">
      <formula>F54</formula>
    </cfRule>
  </conditionalFormatting>
  <conditionalFormatting sqref="Y20">
    <cfRule type="expression" dxfId="8" priority="589">
      <formula>AND(Y20&gt;0,Y20&lt;10)</formula>
    </cfRule>
    <cfRule type="cellIs" dxfId="7" priority="590" operator="greaterThan">
      <formula>X20</formula>
    </cfRule>
  </conditionalFormatting>
  <conditionalFormatting sqref="Y41">
    <cfRule type="cellIs" dxfId="6" priority="595" operator="greaterThan">
      <formula>X41</formula>
    </cfRule>
  </conditionalFormatting>
  <conditionalFormatting sqref="Y45">
    <cfRule type="cellIs" dxfId="5" priority="600" operator="greaterThan">
      <formula>X45</formula>
    </cfRule>
  </conditionalFormatting>
  <conditionalFormatting sqref="Y54">
    <cfRule type="cellIs" dxfId="4" priority="605" operator="greaterThan">
      <formula>X54</formula>
    </cfRule>
  </conditionalFormatting>
  <conditionalFormatting sqref="Z20">
    <cfRule type="cellIs" dxfId="3" priority="592" operator="lessThanOrEqual">
      <formula>G20</formula>
    </cfRule>
  </conditionalFormatting>
  <conditionalFormatting sqref="Z41">
    <cfRule type="cellIs" dxfId="2" priority="597" operator="lessThanOrEqual">
      <formula>G41</formula>
    </cfRule>
  </conditionalFormatting>
  <conditionalFormatting sqref="Z45">
    <cfRule type="cellIs" dxfId="1" priority="602" operator="lessThanOrEqual">
      <formula>G45</formula>
    </cfRule>
  </conditionalFormatting>
  <conditionalFormatting sqref="Z54">
    <cfRule type="cellIs" dxfId="0" priority="607" operator="lessThanOrEqual">
      <formula>G54</formula>
    </cfRule>
  </conditionalFormatting>
  <hyperlinks>
    <hyperlink ref="R8" r:id="rId1" xr:uid="{00000000-0004-0000-0000-000000000000}"/>
    <hyperlink ref="W8" r:id="rId2" xr:uid="{00000000-0004-0000-0000-000001000000}"/>
    <hyperlink ref="AG8" r:id="rId3" xr:uid="{00000000-0004-0000-0000-000002000000}"/>
    <hyperlink ref="AL8" r:id="rId4" xr:uid="{00000000-0004-0000-0000-000003000000}"/>
    <hyperlink ref="AQ8" r:id="rId5" xr:uid="{00000000-0004-0000-0000-000004000000}"/>
    <hyperlink ref="AV8" r:id="rId6" xr:uid="{00000000-0004-0000-0000-000005000000}"/>
    <hyperlink ref="R9" r:id="rId7" xr:uid="{00000000-0004-0000-0000-000006000000}"/>
    <hyperlink ref="W9" r:id="rId8" xr:uid="{00000000-0004-0000-0000-000007000000}"/>
    <hyperlink ref="AG9" r:id="rId9" xr:uid="{00000000-0004-0000-0000-000008000000}"/>
    <hyperlink ref="AL9" r:id="rId10" xr:uid="{00000000-0004-0000-0000-000009000000}"/>
    <hyperlink ref="AQ9" r:id="rId11" xr:uid="{00000000-0004-0000-0000-00000A000000}"/>
    <hyperlink ref="AV9" r:id="rId12" xr:uid="{00000000-0004-0000-0000-00000B000000}"/>
    <hyperlink ref="R10" r:id="rId13" xr:uid="{00000000-0004-0000-0000-00000C000000}"/>
    <hyperlink ref="AG10" r:id="rId14" xr:uid="{00000000-0004-0000-0000-00000D000000}"/>
    <hyperlink ref="R11" r:id="rId15" xr:uid="{00000000-0004-0000-0000-00000E000000}"/>
    <hyperlink ref="AG11" r:id="rId16" xr:uid="{00000000-0004-0000-0000-00000F000000}"/>
    <hyperlink ref="R12" r:id="rId17" xr:uid="{00000000-0004-0000-0000-000010000000}"/>
    <hyperlink ref="AG12" r:id="rId18" xr:uid="{00000000-0004-0000-0000-000011000000}"/>
    <hyperlink ref="R13" r:id="rId19" xr:uid="{00000000-0004-0000-0000-000012000000}"/>
    <hyperlink ref="W13" r:id="rId20" xr:uid="{00000000-0004-0000-0000-000013000000}"/>
    <hyperlink ref="AG13" r:id="rId21" xr:uid="{00000000-0004-0000-0000-000014000000}"/>
    <hyperlink ref="AL13" r:id="rId22" xr:uid="{00000000-0004-0000-0000-000015000000}"/>
    <hyperlink ref="R14" r:id="rId23" xr:uid="{00000000-0004-0000-0000-000016000000}"/>
    <hyperlink ref="W14" r:id="rId24" xr:uid="{00000000-0004-0000-0000-000017000000}"/>
    <hyperlink ref="AG14" r:id="rId25" xr:uid="{00000000-0004-0000-0000-000018000000}"/>
    <hyperlink ref="AL14" r:id="rId26" xr:uid="{00000000-0004-0000-0000-000019000000}"/>
    <hyperlink ref="AQ14" r:id="rId27" xr:uid="{00000000-0004-0000-0000-00001A000000}"/>
    <hyperlink ref="R15" r:id="rId28" xr:uid="{00000000-0004-0000-0000-00001B000000}"/>
    <hyperlink ref="W15" r:id="rId29" xr:uid="{00000000-0004-0000-0000-00001C000000}"/>
    <hyperlink ref="AG15" r:id="rId30" xr:uid="{00000000-0004-0000-0000-00001D000000}"/>
    <hyperlink ref="AL15" r:id="rId31" xr:uid="{00000000-0004-0000-0000-00001E000000}"/>
    <hyperlink ref="AQ15" r:id="rId32" xr:uid="{00000000-0004-0000-0000-00001F000000}"/>
    <hyperlink ref="AV15" r:id="rId33" xr:uid="{00000000-0004-0000-0000-000020000000}"/>
    <hyperlink ref="E18" r:id="rId34" xr:uid="{00000000-0004-0000-0000-000021000000}"/>
    <hyperlink ref="AG18" r:id="rId35" xr:uid="{00000000-0004-0000-0000-000022000000}"/>
    <hyperlink ref="AL18" r:id="rId36" xr:uid="{00000000-0004-0000-0000-000023000000}"/>
    <hyperlink ref="E19" r:id="rId37" xr:uid="{00000000-0004-0000-0000-000024000000}"/>
    <hyperlink ref="R19" r:id="rId38" xr:uid="{00000000-0004-0000-0000-000025000000}"/>
    <hyperlink ref="AG19" r:id="rId39" xr:uid="{00000000-0004-0000-0000-000026000000}"/>
    <hyperlink ref="AL19" r:id="rId40" xr:uid="{00000000-0004-0000-0000-000027000000}"/>
    <hyperlink ref="AQ19" r:id="rId41" xr:uid="{00000000-0004-0000-0000-000028000000}"/>
    <hyperlink ref="AV19" r:id="rId42" xr:uid="{00000000-0004-0000-0000-000029000000}"/>
    <hyperlink ref="E20" r:id="rId43" xr:uid="{00000000-0004-0000-0000-00002A000000}"/>
    <hyperlink ref="R20" r:id="rId44" xr:uid="{00000000-0004-0000-0000-00002B000000}"/>
    <hyperlink ref="W20" r:id="rId45" xr:uid="{00000000-0004-0000-0000-00002C000000}"/>
    <hyperlink ref="AB20" r:id="rId46" xr:uid="{00000000-0004-0000-0000-00002D000000}"/>
    <hyperlink ref="AG20" r:id="rId47" xr:uid="{00000000-0004-0000-0000-00002E000000}"/>
    <hyperlink ref="AL20" r:id="rId48" xr:uid="{00000000-0004-0000-0000-00002F000000}"/>
    <hyperlink ref="AV20" r:id="rId49" xr:uid="{00000000-0004-0000-0000-000030000000}"/>
    <hyperlink ref="E21" r:id="rId50" xr:uid="{00000000-0004-0000-0000-000031000000}"/>
    <hyperlink ref="R21" r:id="rId51" xr:uid="{00000000-0004-0000-0000-000032000000}"/>
    <hyperlink ref="W21" r:id="rId52" xr:uid="{00000000-0004-0000-0000-000033000000}"/>
    <hyperlink ref="AG21" r:id="rId53" xr:uid="{00000000-0004-0000-0000-000034000000}"/>
    <hyperlink ref="AL21" r:id="rId54" xr:uid="{00000000-0004-0000-0000-000035000000}"/>
    <hyperlink ref="AV21" r:id="rId55" xr:uid="{00000000-0004-0000-0000-000036000000}"/>
    <hyperlink ref="E22" r:id="rId56" xr:uid="{00000000-0004-0000-0000-000037000000}"/>
    <hyperlink ref="R22" r:id="rId57" xr:uid="{00000000-0004-0000-0000-000038000000}"/>
    <hyperlink ref="AG22" r:id="rId58" xr:uid="{00000000-0004-0000-0000-000039000000}"/>
    <hyperlink ref="E23" r:id="rId59" xr:uid="{00000000-0004-0000-0000-00003A000000}"/>
    <hyperlink ref="R23" r:id="rId60" xr:uid="{00000000-0004-0000-0000-00003B000000}"/>
    <hyperlink ref="W23" r:id="rId61" xr:uid="{00000000-0004-0000-0000-00003C000000}"/>
    <hyperlink ref="AG23" r:id="rId62" xr:uid="{00000000-0004-0000-0000-00003D000000}"/>
    <hyperlink ref="AL23" r:id="rId63" xr:uid="{00000000-0004-0000-0000-00003E000000}"/>
    <hyperlink ref="AQ23" r:id="rId64" xr:uid="{00000000-0004-0000-0000-00003F000000}"/>
    <hyperlink ref="AV23" r:id="rId65" xr:uid="{00000000-0004-0000-0000-000040000000}"/>
    <hyperlink ref="E24" r:id="rId66" xr:uid="{00000000-0004-0000-0000-000041000000}"/>
    <hyperlink ref="R24" r:id="rId67" xr:uid="{00000000-0004-0000-0000-000042000000}"/>
    <hyperlink ref="W24" r:id="rId68" xr:uid="{00000000-0004-0000-0000-000043000000}"/>
    <hyperlink ref="AG24" r:id="rId69" xr:uid="{00000000-0004-0000-0000-000044000000}"/>
    <hyperlink ref="AL24" r:id="rId70" xr:uid="{00000000-0004-0000-0000-000045000000}"/>
    <hyperlink ref="AQ24" r:id="rId71" xr:uid="{00000000-0004-0000-0000-000046000000}"/>
    <hyperlink ref="AV24" r:id="rId72" xr:uid="{00000000-0004-0000-0000-000047000000}"/>
    <hyperlink ref="E25" r:id="rId73" xr:uid="{00000000-0004-0000-0000-000048000000}"/>
    <hyperlink ref="R25" r:id="rId74" xr:uid="{00000000-0004-0000-0000-000049000000}"/>
    <hyperlink ref="AG25" r:id="rId75" xr:uid="{00000000-0004-0000-0000-00004A000000}"/>
    <hyperlink ref="E26" r:id="rId76" xr:uid="{00000000-0004-0000-0000-00004B000000}"/>
    <hyperlink ref="R26" r:id="rId77" xr:uid="{00000000-0004-0000-0000-00004C000000}"/>
    <hyperlink ref="W26" r:id="rId78" xr:uid="{00000000-0004-0000-0000-00004D000000}"/>
    <hyperlink ref="AG26" r:id="rId79" xr:uid="{00000000-0004-0000-0000-00004E000000}"/>
    <hyperlink ref="AL26" r:id="rId80" xr:uid="{00000000-0004-0000-0000-00004F000000}"/>
    <hyperlink ref="AQ26" r:id="rId81" xr:uid="{00000000-0004-0000-0000-000050000000}"/>
    <hyperlink ref="AV26" r:id="rId82" xr:uid="{00000000-0004-0000-0000-000051000000}"/>
    <hyperlink ref="E27" r:id="rId83" xr:uid="{00000000-0004-0000-0000-000052000000}"/>
    <hyperlink ref="R27" r:id="rId84" xr:uid="{00000000-0004-0000-0000-000053000000}"/>
    <hyperlink ref="W27" r:id="rId85" xr:uid="{00000000-0004-0000-0000-000054000000}"/>
    <hyperlink ref="AG27" r:id="rId86" xr:uid="{00000000-0004-0000-0000-000055000000}"/>
    <hyperlink ref="AL27" r:id="rId87" xr:uid="{00000000-0004-0000-0000-000056000000}"/>
    <hyperlink ref="AQ27" r:id="rId88" xr:uid="{00000000-0004-0000-0000-000057000000}"/>
    <hyperlink ref="AV27" r:id="rId89" xr:uid="{00000000-0004-0000-0000-000058000000}"/>
    <hyperlink ref="E28" r:id="rId90" xr:uid="{00000000-0004-0000-0000-000059000000}"/>
    <hyperlink ref="R28" r:id="rId91" xr:uid="{00000000-0004-0000-0000-00005A000000}"/>
    <hyperlink ref="AG28" r:id="rId92" xr:uid="{00000000-0004-0000-0000-00005B000000}"/>
    <hyperlink ref="AV28" r:id="rId93" xr:uid="{00000000-0004-0000-0000-00005C000000}"/>
    <hyperlink ref="E29" r:id="rId94" xr:uid="{00000000-0004-0000-0000-00005D000000}"/>
    <hyperlink ref="R29" r:id="rId95" xr:uid="{00000000-0004-0000-0000-00005E000000}"/>
    <hyperlink ref="W29" r:id="rId96" xr:uid="{00000000-0004-0000-0000-00005F000000}"/>
    <hyperlink ref="AG29" r:id="rId97" xr:uid="{00000000-0004-0000-0000-000060000000}"/>
    <hyperlink ref="AL29" r:id="rId98" xr:uid="{00000000-0004-0000-0000-000061000000}"/>
    <hyperlink ref="AV29" r:id="rId99" xr:uid="{00000000-0004-0000-0000-000062000000}"/>
    <hyperlink ref="E30" r:id="rId100" xr:uid="{00000000-0004-0000-0000-000063000000}"/>
    <hyperlink ref="R30" r:id="rId101" xr:uid="{00000000-0004-0000-0000-000064000000}"/>
    <hyperlink ref="W30" r:id="rId102" xr:uid="{00000000-0004-0000-0000-000065000000}"/>
    <hyperlink ref="AG30" r:id="rId103" xr:uid="{00000000-0004-0000-0000-000066000000}"/>
    <hyperlink ref="AL30" r:id="rId104" xr:uid="{00000000-0004-0000-0000-000067000000}"/>
    <hyperlink ref="AV30" r:id="rId105" xr:uid="{00000000-0004-0000-0000-000068000000}"/>
    <hyperlink ref="E31" r:id="rId106" xr:uid="{00000000-0004-0000-0000-000069000000}"/>
    <hyperlink ref="R31" r:id="rId107" xr:uid="{00000000-0004-0000-0000-00006A000000}"/>
    <hyperlink ref="W31" r:id="rId108" xr:uid="{00000000-0004-0000-0000-00006B000000}"/>
    <hyperlink ref="AG31" r:id="rId109" xr:uid="{00000000-0004-0000-0000-00006C000000}"/>
    <hyperlink ref="AL31" r:id="rId110" xr:uid="{00000000-0004-0000-0000-00006D000000}"/>
    <hyperlink ref="E32" r:id="rId111" xr:uid="{00000000-0004-0000-0000-00006E000000}"/>
    <hyperlink ref="R32" r:id="rId112" xr:uid="{00000000-0004-0000-0000-00006F000000}"/>
    <hyperlink ref="W32" r:id="rId113" xr:uid="{00000000-0004-0000-0000-000070000000}"/>
    <hyperlink ref="AG32" r:id="rId114" xr:uid="{00000000-0004-0000-0000-000071000000}"/>
    <hyperlink ref="AL32" r:id="rId115" xr:uid="{00000000-0004-0000-0000-000072000000}"/>
    <hyperlink ref="AQ32" r:id="rId116" xr:uid="{00000000-0004-0000-0000-000073000000}"/>
    <hyperlink ref="AV32" r:id="rId117" xr:uid="{00000000-0004-0000-0000-000074000000}"/>
    <hyperlink ref="E33" r:id="rId118" xr:uid="{00000000-0004-0000-0000-000075000000}"/>
    <hyperlink ref="R33" r:id="rId119" xr:uid="{00000000-0004-0000-0000-000076000000}"/>
    <hyperlink ref="W33" r:id="rId120" xr:uid="{00000000-0004-0000-0000-000077000000}"/>
    <hyperlink ref="AG33" r:id="rId121" xr:uid="{00000000-0004-0000-0000-000078000000}"/>
    <hyperlink ref="AL33" r:id="rId122" xr:uid="{00000000-0004-0000-0000-000079000000}"/>
    <hyperlink ref="AQ33" r:id="rId123" xr:uid="{00000000-0004-0000-0000-00007A000000}"/>
    <hyperlink ref="AV33" r:id="rId124" xr:uid="{00000000-0004-0000-0000-00007B000000}"/>
    <hyperlink ref="E34" r:id="rId125" xr:uid="{00000000-0004-0000-0000-00007C000000}"/>
    <hyperlink ref="R34" r:id="rId126" xr:uid="{00000000-0004-0000-0000-00007D000000}"/>
    <hyperlink ref="W34" r:id="rId127" xr:uid="{00000000-0004-0000-0000-00007E000000}"/>
    <hyperlink ref="AG34" r:id="rId128" xr:uid="{00000000-0004-0000-0000-00007F000000}"/>
    <hyperlink ref="AL34" r:id="rId129" xr:uid="{00000000-0004-0000-0000-000080000000}"/>
    <hyperlink ref="AQ34" r:id="rId130" xr:uid="{00000000-0004-0000-0000-000081000000}"/>
    <hyperlink ref="AV34" r:id="rId131" xr:uid="{00000000-0004-0000-0000-000082000000}"/>
    <hyperlink ref="E35" r:id="rId132" xr:uid="{00000000-0004-0000-0000-000083000000}"/>
    <hyperlink ref="R35" r:id="rId133" xr:uid="{00000000-0004-0000-0000-000084000000}"/>
    <hyperlink ref="W35" r:id="rId134" xr:uid="{00000000-0004-0000-0000-000085000000}"/>
    <hyperlink ref="AG35" r:id="rId135" xr:uid="{00000000-0004-0000-0000-000086000000}"/>
    <hyperlink ref="AL35" r:id="rId136" xr:uid="{00000000-0004-0000-0000-000087000000}"/>
    <hyperlink ref="E36" r:id="rId137" xr:uid="{00000000-0004-0000-0000-000088000000}"/>
    <hyperlink ref="R36" r:id="rId138" xr:uid="{00000000-0004-0000-0000-000089000000}"/>
    <hyperlink ref="W36" r:id="rId139" xr:uid="{00000000-0004-0000-0000-00008A000000}"/>
    <hyperlink ref="AG36" r:id="rId140" xr:uid="{00000000-0004-0000-0000-00008B000000}"/>
    <hyperlink ref="AL36" r:id="rId141" xr:uid="{00000000-0004-0000-0000-00008C000000}"/>
    <hyperlink ref="AV36" r:id="rId142" xr:uid="{00000000-0004-0000-0000-00008D000000}"/>
    <hyperlink ref="E37" r:id="rId143" xr:uid="{00000000-0004-0000-0000-00008E000000}"/>
    <hyperlink ref="R37" r:id="rId144" xr:uid="{00000000-0004-0000-0000-00008F000000}"/>
    <hyperlink ref="AG37" r:id="rId145" xr:uid="{00000000-0004-0000-0000-000090000000}"/>
    <hyperlink ref="E38" r:id="rId146" xr:uid="{00000000-0004-0000-0000-000091000000}"/>
    <hyperlink ref="R38" r:id="rId147" xr:uid="{00000000-0004-0000-0000-000092000000}"/>
    <hyperlink ref="W38" r:id="rId148" xr:uid="{00000000-0004-0000-0000-000093000000}"/>
    <hyperlink ref="AG38" r:id="rId149" xr:uid="{00000000-0004-0000-0000-000094000000}"/>
    <hyperlink ref="AL38" r:id="rId150" xr:uid="{00000000-0004-0000-0000-000095000000}"/>
    <hyperlink ref="AQ38" r:id="rId151" xr:uid="{00000000-0004-0000-0000-000096000000}"/>
    <hyperlink ref="AV38" r:id="rId152" xr:uid="{00000000-0004-0000-0000-000097000000}"/>
    <hyperlink ref="E39" r:id="rId153" xr:uid="{00000000-0004-0000-0000-000098000000}"/>
    <hyperlink ref="R39" r:id="rId154" xr:uid="{00000000-0004-0000-0000-000099000000}"/>
    <hyperlink ref="W39" r:id="rId155" xr:uid="{00000000-0004-0000-0000-00009A000000}"/>
    <hyperlink ref="AG39" r:id="rId156" xr:uid="{00000000-0004-0000-0000-00009B000000}"/>
    <hyperlink ref="AL39" r:id="rId157" xr:uid="{00000000-0004-0000-0000-00009C000000}"/>
    <hyperlink ref="AV39" r:id="rId158" xr:uid="{00000000-0004-0000-0000-00009D000000}"/>
    <hyperlink ref="E40" r:id="rId159" xr:uid="{00000000-0004-0000-0000-00009E000000}"/>
    <hyperlink ref="R40" r:id="rId160" xr:uid="{00000000-0004-0000-0000-00009F000000}"/>
    <hyperlink ref="AG40" r:id="rId161" xr:uid="{00000000-0004-0000-0000-0000A0000000}"/>
    <hyperlink ref="E41" r:id="rId162" xr:uid="{00000000-0004-0000-0000-0000A1000000}"/>
    <hyperlink ref="R41" r:id="rId163" xr:uid="{00000000-0004-0000-0000-0000A2000000}"/>
    <hyperlink ref="W41" r:id="rId164" xr:uid="{00000000-0004-0000-0000-0000A3000000}"/>
    <hyperlink ref="AB41" r:id="rId165" xr:uid="{00000000-0004-0000-0000-0000A4000000}"/>
    <hyperlink ref="AG41" r:id="rId166" xr:uid="{00000000-0004-0000-0000-0000A5000000}"/>
    <hyperlink ref="AL41" r:id="rId167" xr:uid="{00000000-0004-0000-0000-0000A6000000}"/>
    <hyperlink ref="AQ41" r:id="rId168" xr:uid="{00000000-0004-0000-0000-0000A7000000}"/>
    <hyperlink ref="AV41" r:id="rId169" xr:uid="{00000000-0004-0000-0000-0000A8000000}"/>
    <hyperlink ref="E42" r:id="rId170" xr:uid="{00000000-0004-0000-0000-0000A9000000}"/>
    <hyperlink ref="R42" r:id="rId171" xr:uid="{00000000-0004-0000-0000-0000AA000000}"/>
    <hyperlink ref="R43" r:id="rId172" xr:uid="{00000000-0004-0000-0000-0000AB000000}"/>
    <hyperlink ref="AG43" r:id="rId173" xr:uid="{00000000-0004-0000-0000-0000AC000000}"/>
    <hyperlink ref="E44" r:id="rId174" xr:uid="{00000000-0004-0000-0000-0000AD000000}"/>
    <hyperlink ref="R44" r:id="rId175" xr:uid="{00000000-0004-0000-0000-0000AE000000}"/>
    <hyperlink ref="W44" r:id="rId176" xr:uid="{00000000-0004-0000-0000-0000AF000000}"/>
    <hyperlink ref="AG44" r:id="rId177" xr:uid="{00000000-0004-0000-0000-0000B0000000}"/>
    <hyperlink ref="AL44" r:id="rId178" xr:uid="{00000000-0004-0000-0000-0000B1000000}"/>
    <hyperlink ref="E45" r:id="rId179" xr:uid="{00000000-0004-0000-0000-0000B2000000}"/>
    <hyperlink ref="R45" r:id="rId180" xr:uid="{00000000-0004-0000-0000-0000B3000000}"/>
    <hyperlink ref="W45" r:id="rId181" xr:uid="{00000000-0004-0000-0000-0000B4000000}"/>
    <hyperlink ref="AB45" r:id="rId182" xr:uid="{00000000-0004-0000-0000-0000B5000000}"/>
    <hyperlink ref="AG45" r:id="rId183" xr:uid="{00000000-0004-0000-0000-0000B6000000}"/>
    <hyperlink ref="AL45" r:id="rId184" xr:uid="{00000000-0004-0000-0000-0000B7000000}"/>
    <hyperlink ref="AQ45" r:id="rId185" xr:uid="{00000000-0004-0000-0000-0000B8000000}"/>
    <hyperlink ref="AV45" r:id="rId186" xr:uid="{00000000-0004-0000-0000-0000B9000000}"/>
    <hyperlink ref="E46" r:id="rId187" xr:uid="{00000000-0004-0000-0000-0000BA000000}"/>
    <hyperlink ref="R46" r:id="rId188" xr:uid="{00000000-0004-0000-0000-0000BB000000}"/>
    <hyperlink ref="AG46" r:id="rId189" xr:uid="{00000000-0004-0000-0000-0000BC000000}"/>
    <hyperlink ref="AL46" r:id="rId190" xr:uid="{00000000-0004-0000-0000-0000BD000000}"/>
    <hyperlink ref="E47" r:id="rId191" xr:uid="{00000000-0004-0000-0000-0000BE000000}"/>
    <hyperlink ref="R47" r:id="rId192" xr:uid="{00000000-0004-0000-0000-0000BF000000}"/>
    <hyperlink ref="W47" r:id="rId193" xr:uid="{00000000-0004-0000-0000-0000C0000000}"/>
    <hyperlink ref="AG47" r:id="rId194" xr:uid="{00000000-0004-0000-0000-0000C1000000}"/>
    <hyperlink ref="E48" r:id="rId195" xr:uid="{00000000-0004-0000-0000-0000C2000000}"/>
    <hyperlink ref="R48" r:id="rId196" xr:uid="{00000000-0004-0000-0000-0000C3000000}"/>
    <hyperlink ref="AG48" r:id="rId197" xr:uid="{00000000-0004-0000-0000-0000C4000000}"/>
    <hyperlink ref="AL48" r:id="rId198" xr:uid="{00000000-0004-0000-0000-0000C5000000}"/>
    <hyperlink ref="E49" r:id="rId199" xr:uid="{00000000-0004-0000-0000-0000C6000000}"/>
    <hyperlink ref="R49" r:id="rId200" xr:uid="{00000000-0004-0000-0000-0000C7000000}"/>
    <hyperlink ref="AG49" r:id="rId201" xr:uid="{00000000-0004-0000-0000-0000C8000000}"/>
    <hyperlink ref="AL49" r:id="rId202" xr:uid="{00000000-0004-0000-0000-0000C9000000}"/>
    <hyperlink ref="E50" r:id="rId203" xr:uid="{00000000-0004-0000-0000-0000CA000000}"/>
    <hyperlink ref="R50" r:id="rId204" xr:uid="{00000000-0004-0000-0000-0000CB000000}"/>
    <hyperlink ref="W50" r:id="rId205" xr:uid="{00000000-0004-0000-0000-0000CC000000}"/>
    <hyperlink ref="AG50" r:id="rId206" xr:uid="{00000000-0004-0000-0000-0000CD000000}"/>
    <hyperlink ref="AL50" r:id="rId207" xr:uid="{00000000-0004-0000-0000-0000CE000000}"/>
    <hyperlink ref="E51" r:id="rId208" xr:uid="{00000000-0004-0000-0000-0000CF000000}"/>
    <hyperlink ref="R51" r:id="rId209" xr:uid="{00000000-0004-0000-0000-0000D0000000}"/>
    <hyperlink ref="W51" r:id="rId210" xr:uid="{00000000-0004-0000-0000-0000D1000000}"/>
    <hyperlink ref="AG51" r:id="rId211" xr:uid="{00000000-0004-0000-0000-0000D2000000}"/>
    <hyperlink ref="AL51" r:id="rId212" xr:uid="{00000000-0004-0000-0000-0000D3000000}"/>
    <hyperlink ref="AQ51" r:id="rId213" xr:uid="{00000000-0004-0000-0000-0000D4000000}"/>
    <hyperlink ref="AV51" r:id="rId214" xr:uid="{00000000-0004-0000-0000-0000D5000000}"/>
    <hyperlink ref="E52" r:id="rId215" xr:uid="{00000000-0004-0000-0000-0000D6000000}"/>
    <hyperlink ref="R52" r:id="rId216" xr:uid="{00000000-0004-0000-0000-0000D7000000}"/>
    <hyperlink ref="W52" r:id="rId217" xr:uid="{00000000-0004-0000-0000-0000D8000000}"/>
    <hyperlink ref="E53" r:id="rId218" xr:uid="{00000000-0004-0000-0000-0000D9000000}"/>
    <hyperlink ref="R53" r:id="rId219" xr:uid="{00000000-0004-0000-0000-0000DA000000}"/>
    <hyperlink ref="W53" r:id="rId220" xr:uid="{00000000-0004-0000-0000-0000DB000000}"/>
    <hyperlink ref="AG53" r:id="rId221" xr:uid="{00000000-0004-0000-0000-0000DC000000}"/>
    <hyperlink ref="AL53" r:id="rId222" xr:uid="{00000000-0004-0000-0000-0000DD000000}"/>
    <hyperlink ref="AQ53" r:id="rId223" xr:uid="{00000000-0004-0000-0000-0000DE000000}"/>
    <hyperlink ref="AV53" r:id="rId224" xr:uid="{00000000-0004-0000-0000-0000DF000000}"/>
    <hyperlink ref="E54" r:id="rId225" xr:uid="{00000000-0004-0000-0000-0000E0000000}"/>
    <hyperlink ref="R54" r:id="rId226" xr:uid="{00000000-0004-0000-0000-0000E1000000}"/>
    <hyperlink ref="W54" r:id="rId227" xr:uid="{00000000-0004-0000-0000-0000E2000000}"/>
    <hyperlink ref="AB54" r:id="rId228" xr:uid="{00000000-0004-0000-0000-0000E3000000}"/>
    <hyperlink ref="AG54" r:id="rId229" xr:uid="{00000000-0004-0000-0000-0000E4000000}"/>
    <hyperlink ref="AL54" r:id="rId230" xr:uid="{00000000-0004-0000-0000-0000E5000000}"/>
    <hyperlink ref="AQ54" r:id="rId231" xr:uid="{00000000-0004-0000-0000-0000E6000000}"/>
  </hyperlinks>
  <pageMargins left="0.7" right="0.7" top="0.75" bottom="0.75" header="0.3" footer="0.3"/>
  <legacyDrawing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my_design.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Koerner, Lucas J.</cp:lastModifiedBy>
  <dcterms:created xsi:type="dcterms:W3CDTF">2021-05-06T21:30:50Z</dcterms:created>
  <dcterms:modified xsi:type="dcterms:W3CDTF">2021-05-07T02:51:51Z</dcterms:modified>
</cp:coreProperties>
</file>