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2. " sheetId="1" r:id="rId1"/>
  </sheets>
  <definedNames>
    <definedName name="arrow_part_data">'kicost2. '!$J$5:$N$79</definedName>
    <definedName name="BoardQty">'kicost2. '!$I$1</definedName>
    <definedName name="digikey_part_data">'kicost2. '!$O$5:$S$79</definedName>
    <definedName name="farnell_part_data">'kicost2. '!$T$5:$X$79</definedName>
    <definedName name="global_part_data">'kicost2. '!$A$5:$I$79</definedName>
    <definedName name="lcsc_part_data">'kicost2. '!$Y$5:$AC$79</definedName>
    <definedName name="mouser_part_data">'kicost2. '!$AD$5:$AH$79</definedName>
    <definedName name="newark_part_data">'kicost2. '!$AI$5:$AM$79</definedName>
    <definedName name="PURCHASE_DESCRIPTION">'kicost2. '!$I$82</definedName>
    <definedName name="rs_part_data">'kicost2. '!$AN$5:$AR$79</definedName>
    <definedName name="tme_part_data">'kicost2. '!$AS$5:$AW$79</definedName>
    <definedName name="TotalCost">'kicost2. '!$I$3</definedName>
    <definedName name="USD_GBP">'kicost2. '!$C$82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$1.65
   100   $0.03      $2.69
   500   $0.02      $9.62
  1000   $0.02     $15.12
  4000   $0.01     $50.56</t>
        </r>
      </text>
    </comment>
    <comment ref="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£45.60
 20000   £0.01    £166.00</t>
        </r>
      </text>
    </comment>
    <comment ref="AF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$0.79
    50   $0.08      $3.95
   100   $0.04      $3.70
  1000   $0.02     $21.00
 10000   $0.02    $160.00</t>
        </r>
      </text>
    </comment>
    <comment ref="AI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$0.02     $76.00
  8000   $0.01    $112.00</t>
        </r>
      </text>
    </comment>
    <comment ref="O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$0.62
    50   $0.03      $1.70
   100   $0.03      $2.77
   500   $0.02      $9.90
  1000   $0.02     $15.56
  4000   $0.01     $52.04</t>
        </r>
      </text>
    </comment>
    <comment ref="V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£0.05      £0.48
   100   £0.03      £2.87
   150   £0.03      £4.30
   500   £0.02     £10.30
  1000   £0.02     £16.00
  2000   £0.01     £28.80
  4000   £0.01     £52.40
 20000   £0.01    £206.00</t>
        </r>
      </text>
    </comment>
    <comment ref="AF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$0.64
    50   $0.06      $3.20
   100   $0.03      $2.90
  1000   $0.02     $16.00
 10000   $0.01    $110.00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$0.04      $0.40
    25   $0.09      $2.28
    50   $0.08      $3.90
   100   $0.05      $5.40
   250   $0.04     $10.25
   500   $0.03     $16.00
  1000   $0.03     $26.00
  2500   $0.02     $52.50</t>
        </r>
      </text>
    </comment>
    <comment ref="AP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£44.00
 12000   £0.01    £132.00
 40000   £0.01    £440.00</t>
        </r>
      </text>
    </comment>
    <comment ref="AU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£1.17
   300   £0.01      £2.54
  1000   £0.01      £5.48
  4000   £0.00     £15.68
 12000   £0.00     £45.36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$0.70
    50   $0.04      $1.90
   100   $0.03      $3.10
   500   $0.02     $11.07
  1000   $0.02     $17.39
  4000   $0.01     $58.20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£0.42
   100   £0.03      £2.60
   150   £0.03      £3.90
   500   £0.02     £11.45
  1000   £0.02     £17.00
  2000   £0.02     £33.40
  4000   £0.01     £44.80
 20000   £0.01    £216.00</t>
        </r>
      </text>
    </comment>
    <comment ref="AF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$0.84
    50   $0.08      $4.20
   100   $0.04      $3.90
  1000   $0.02     $23.00
 10000   $0.02    $170.00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25   $0.04      $1.10
    50   $0.04      $1.75
   100   $0.03      $2.60
  4000   $0.01     $52.00
  8000   $0.01     $96.00</t>
        </r>
      </text>
    </comment>
    <comment ref="AP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AU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£1.40
   300   £0.01      £3.01
  1000   £0.01      £6.60
  4000   £0.00     £19.96
 12000   £0.00     £57.72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$0.10      $5.16
   100   $0.09      $8.72
   500   $0.06     $29.83
  1000   $0.05     $52.77
  4000   $0.05    $183.56</t>
        </r>
      </text>
    </comment>
    <comment ref="T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£0.03    £139.20
 20000   £0.03    £598.00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$1.87
    50   $0.19      $9.35
   100   $0.11     $10.60
  1000   $0.07     $69.00
 10000   $0.05    $540.00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$224.00
  8000   $0.05    $392.00
 16000   $0.04    $688.00
 24000   $0.04    $864.00</t>
        </r>
      </text>
    </comment>
    <comment ref="Q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$1.59
    50   $0.10      $4.78
   100   $0.08      $8.08
   500   $0.06     $27.63
  1000   $0.05     $48.88
  2000   $0.05     $93.52</t>
        </r>
      </text>
    </comment>
    <comment ref="AF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$0.12      $1.17
    50   $0.12      $5.85
   100   $0.08      $8.30
  1000   $0.05     $50.00
 10000   $0.04    $430.00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$0.55
    50   $0.03      $1.49
   100   $0.02      $2.43
   500   $0.02      $8.69
  1000   $0.01     $13.66
  4000   $0.01     $45.72</t>
        </r>
      </text>
    </comment>
    <comment ref="AD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$0.53
    50   $0.05      $2.65
   100   $0.02      $2.40
  1000   $0.01     $14.00
 10000   $0.01    $100.00</t>
        </r>
      </text>
    </comment>
    <comment ref="O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$0.09      $0.86
    50   $0.05      $2.45
   100   $0.04      $4.06
   500   $0.03     $14.24
  1000   $0.02     $23.58
  4000   $0.02     $80.32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$0.06      $0.61
    50   $0.06      $3.05
   100   $0.04      $4.00
  1000   $0.03     $26.00
 10000   $0.02    $220.00</t>
        </r>
      </text>
    </comment>
    <comment ref="O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$0.60
    50   $0.03      $1.65
   100   $0.03      $2.69
   500   $0.02      $9.62
  1000   $0.02     $15.12
  4000   $0.01     $50.56</t>
        </r>
      </text>
    </comment>
    <comment ref="T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£45.60
 20000   £0.01    £166.00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$0.79
    50   $0.08      $3.95
   100   $0.04      $3.70
  1000   $0.02     $21.00
 10000   $0.02    $160.00</t>
        </r>
      </text>
    </comment>
    <comment ref="AI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$0.02     $76.00
  8000   $0.01    $112.00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$1.32
    50   $0.08      $3.95
   100   $0.07      $6.67
   500   $0.05     $22.81
  1000   $0.04     $40.36
  4000   $0.04    $140.40</t>
        </r>
      </text>
    </comment>
    <comment ref="T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£0.03    £118.40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$0.13      $1.29
    50   $0.13      $6.45
   100   $0.07      $6.60
  1000   $0.04     $42.00
 10000   $0.03    $330.00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$0.46
    50   $0.02      $1.25
   100   $0.02      $2.03
   500   $0.01      $7.27
  1000   $0.01     $11.42
  4000   $0.01     $38.20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£0.28
   100   £0.02      £2.30
   150   £0.02      £3.45
   500   £0.02      £7.90
  1000   £0.01     £12.00
  2000   £0.01     £23.60
  4000   £0.01     £34.00
 20000   £0.01    £166.00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$0.13      $0.13
    10   $0.08      $0.81
    50   $0.08      $4.05
   100   $0.04      $3.60
  1000   $0.02     $21.00
 10000   $0.01    $140.00</t>
        </r>
      </text>
    </comment>
    <comment ref="A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25   $0.10      $2.43
    50   $0.07      $3.50
   100   $0.04      $4.30
   250   $0.04      $9.25
  4000   $0.03    $108.00
  5000   $0.02    $115.00
 10000   $0.02    $180.00
 20000   $0.01    $260.00</t>
        </r>
      </text>
    </comment>
    <comment ref="AU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£1.09
  1000   £0.01      £5.67
  4000   £0.00     £13.68
 12000   £0.00     £37.44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$1.55
    50   $0.09      $4.66
   100   $0.08      $7.87
   500   $0.05     $26.91
  1000   $0.05     $47.61
  4000   $0.04    $165.60</t>
        </r>
      </text>
    </comment>
    <comment ref="T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£0.03    £122.40
  8000   £0.03    £232.00
 16000   £0.03    £436.80
 24000   £0.02    £595.20</t>
        </r>
      </text>
    </comment>
    <comment ref="AF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$1.54
    50   $0.15      $7.70
   100   $0.08      $7.80
  1000   $0.05     $47.00
 10000   $0.04    $390.00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$0.04    $176.00
  8000   $0.04    $336.00
 16000   $0.04    $624.00
 24000   $0.04    $864.00</t>
        </r>
      </text>
    </comment>
    <comment ref="AP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£0.06      £6.00
   500   £0.04     £18.50
  1000   £0.03     £30.00
  4000   £0.03    £108.00</t>
        </r>
      </text>
    </comment>
    <comment ref="O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$0.55
    50   $0.03      $1.51
   100   $0.02      $2.47
   500   $0.02      $8.81
  1000   $0.01     $13.85
  4000   $0.01     $46.36</t>
        </r>
      </text>
    </comment>
    <comment ref="T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£40.00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$0.10      $1.03
    50   $0.10      $5.15
   100   $0.05      $4.80
  1000   $0.03     $29.00
 10000   $0.02    $210.00</t>
        </r>
      </text>
    </comment>
    <comment ref="Q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$0.09      $0.88
    50   $0.05      $2.49
   100   $0.04      $4.13
   500   $0.03     $14.47
  1000   $0.02     $23.96
  4000   $0.02     $81.60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£0.06      £0.58
   100   £0.03      £3.36
   150   £0.03      £5.04
   500   £0.03     £14.25
  1000   £0.02     £23.30
  2000   £0.02     £45.60
  4000   £0.02     £67.20
 20000   £0.02    £330.00</t>
        </r>
      </text>
    </comment>
    <comment ref="AF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$0.14      $1.36
    50   $0.14      $6.80
   100   $0.06      $6.40
  1000   $0.04     $37.00
 10000   $0.03    $280.00</t>
        </r>
      </text>
    </comment>
    <comment ref="AK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$0.44
    25   $0.04      $0.95
    50   $0.03      $1.65
   100   $0.03      $2.70
  4000   $0.03    $108.00
  8000   $0.03    $216.00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$0.83
    50   $0.05      $2.27
   100   $0.04      $3.70
   500   $0.03     $13.22
  1000   $0.02     $20.78
  4000   $0.02     $69.52</t>
        </r>
      </text>
    </comment>
    <comment ref="V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£0.02      £2.50
   150   £0.02      £3.75
   500   £0.02     £11.15
  1000   £0.02     £19.60
  2000   £0.02     £33.60
  4000   £0.01     £57.60
 20000   £0.01    £282.00</t>
        </r>
      </text>
    </comment>
    <comment ref="AF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$0.09      $0.86
    50   $0.09      $4.30
   100   $0.04      $3.80
  1000   $0.02     $22.00
 10000   $0.02    $150.00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$0.56
    25   $0.05      $1.15
    50   $0.04      $1.75
   100   $0.02      $2.40
  4000   $0.02     $60.00
  8000   $0.01    $112.00</t>
        </r>
      </text>
    </comment>
    <comment ref="AP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$0.81
   100   $0.01      $1.33
   500   $0.01      $4.75
  1000   $0.01      $7.46
  4000   $0.01     $24.96</t>
        </r>
      </text>
    </comment>
    <comment ref="AF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$8.00
 10000   $0.00     $50.00</t>
        </r>
      </text>
    </comment>
    <comment ref="O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$0.18      $1.78
    50   $0.11      $5.35
   100   $0.09      $9.04
   500   $0.06     $30.92
  1000   $0.05     $54.70
  2000   $0.05    $104.64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$0.33      $3.28
   100   $0.25     $25.32
   300   $0.24     $71.82
  1000   $0.23    $225.64
  5000   $0.22  $1,097.60
 10000   $0.22  $2,164.90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$0.11      $1.07
    50   $0.11      $5.35
   100   $0.09      $9.10
  1000   $0.06     $60.00
 10000   $0.06    $560.00</t>
        </r>
      </text>
    </comment>
    <comment ref="AI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99999   $0.05  $5,199.95
200000   $0.05 $10,400.00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$0.08      $0.83
    50   $0.05      $2.27
   100   $0.04      $3.70
   500   $0.03     $13.22
  1000   $0.02     $20.78
  4000   $0.02     $69.52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£0.88
   100   £0.02      £2.50
   150   £0.02      £3.75
   500   £0.02     £11.15
  1000   £0.02     £19.60
  2000   £0.02     £33.60
  4000   £0.01     £57.60
 20000   £0.01    £282.00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$0.14      $0.14
    10   $0.09      $0.86
    50   $0.09      $4.30
   100   $0.04      $3.80
  1000   $0.02     $22.00
 10000   $0.02    $150.00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$0.56
    25   $0.05      $1.15
    50   $0.04      $1.75
   100   $0.02      $2.40
  4000   $0.02     $60.00
  8000   $0.01    $112.00</t>
        </r>
      </text>
    </comment>
    <comment ref="AP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£52.00
 12000   £0.01    £144.00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$0.40
    50   $0.02      $1.09
   100   $0.02      $1.79
   500   $0.01      $6.38
  1000   $0.01     $10.03
  4000   $0.01     $33.56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£0.02      £1.93
   150   £0.02      £2.90
   500   £0.01      £6.25
  1000   £0.01     £12.00
  2000   £0.01     £21.40
  4000   £0.01     £38.40
 20000   £0.01    £156.00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$0.06      $0.57
    50   $0.06      $2.85
   100   $0.02      $2.50
  1000   $0.01     $14.00
 10000   $0.01    $100.00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$0.03      $0.26
    25   $0.02      $0.58
    50   $0.02      $0.95
   100   $0.02      $1.60
   250   $0.04      $9.00
   500   $0.03     $14.00
  1000   $0.02     $23.00
  2500   $0.02     $47.50</t>
        </r>
      </text>
    </comment>
    <comment ref="AP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£0.00     £20.00
 12000   £0.01     £72.00
 40000   £0.00    £200.00
200000   £0.00  £1,000.00</t>
        </r>
      </text>
    </comment>
    <comment ref="AS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£1.29
   300   £0.01      £2.57
  1000   £0.01      £5.22
  4000   £0.00     £13.68
 12000   £0.00     £38.40</t>
        </r>
      </text>
    </comment>
    <comment ref="O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  10   $0.13      $1.34
   100   $0.07      $7.31
   500   $0.05     $22.51
  1000   $0.03     $30.69
  3000   $0.03     $78.27
  6000   $0.02    $141.18
 15000   $0.02    $306.90
 30000   $0.02    $552.30
 75000   $0.02  $1,227.75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$0.24      $2.41
    25   $0.20      $4.98
    50   $0.17      $8.59
   100   $0.15     $15.47
   250   $0.13     $32.66
   500   $0.12     $58.44
  1000   $0.10     $99.69
  3000   $0.10    $288.75
  6000   $0.09    $556.86
  9000   $0.09    $795.06
 15000   $0.09  $1,289.10</t>
        </r>
      </text>
    </comment>
    <comment ref="T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£0.07    £214.50
 15000   £0.06    £961.50</t>
        </r>
      </text>
    </comment>
    <comment ref="AA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$0.73      $3.63
    50   $0.57     $28.30
   150   $0.54     $80.50
   500   $0.51    $253.64
  2500   $0.49  $1,235.58
  5000   $0.49  $2,438.90</t>
        </r>
      </text>
    </comment>
    <comment ref="AF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$0.18      $1.79
    50   $0.18      $8.95
   100   $0.15     $15.10
  1000   $0.12    $123.00
 10000   $0.08    $850.00</t>
        </r>
      </text>
    </comment>
    <comment ref="AP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£0.17      £4.35
    50   £0.15      £7.40
   100   £0.13     £13.10
   500   £0.11     £56.50
  2000   £0.10    £208.00</t>
        </r>
      </text>
    </comment>
    <comment ref="AU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£0.21      £2.12
   100   £0.12     £11.57
  1000   £0.08     £81.70
  3000   £0.06    £193.20
  9000   £0.06    £563.40</t>
        </r>
      </text>
    </comment>
    <comment ref="O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$2.14      $2.14
    10   $1.92     $19.19
    25   $1.81     $45.25
   100   $1.54    $154.21
   250   $1.45    $361.99
   500   $1.27    $633.48
  1000   $1.20  $1,195.25
  3000   $1.20  $3,585.75</t>
        </r>
      </text>
    </comment>
    <comment ref="AF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$2.13      $2.13
    10   $1.92     $19.20
    50   $1.81     $90.50
   100   $1.55    $155.00
  1000   $1.14  $1,140.00
 10000   $1.13 $11,300.00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$1.01     $10.06
    25   $0.97     $24.13
    50   $0.94     $47.23
   100   $0.90     $90.34
   400   $0.82    $328.52
   800   $0.72    $574.92
  1200   $0.66    $788.46
  2000   $0.62  $1,231.96
  2800   $0.60  $1,667.26
 10000   $0.55  $5,475.40</t>
        </r>
      </text>
    </comment>
    <comment ref="V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£0.65      £0.65
    10   £0.62      £6.19
   100   £0.59     £58.90
   500   £0.54    £267.50
  1000   £0.48    £481.00
  2500   £0.43  £1,067.50</t>
        </r>
      </text>
    </comment>
    <comment ref="AF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$1.14      $1.14
    10   $0.90      $9.00
    50   $0.90     $45.00
   100   $0.78     $78.30
  1000   $0.63    $626.00
 10000   $0.56  $5,590.00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$1.39      $1.39
    10   $1.28     $12.80
    25   $1.16     $29.00
    50   $1.03     $51.50
   100   $0.99     $99.20
   250   $0.96    $241.00
   400   $0.77    $306.80
   800   $0.75    $598.40
  1600   $0.73  $1,168.00
  2400   $0.71  $1,711.20
  4000   $0.70  $2,788.00</t>
        </r>
      </text>
    </comment>
    <comment ref="AP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1 £1,421.80  £1,421.80
    10   £0.72      £7.15
    50   £0.69     £34.65
   100   £0.66     £66.50
   250   £0.63    £157.50</t>
        </r>
      </text>
    </comment>
    <comment ref="O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$0.21      $2.13
    25   $0.18      $4.46
   100   $0.11     $11.30
   500   $0.07     $37.17
  1000   $0.05     $50.55
  3000   $0.05    $136.77
  6000   $0.04    $237.84
 15000   $0.03    $505.50
 30000   $0.03    $981.90</t>
        </r>
      </text>
    </comment>
    <comment ref="T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£0.18      £0.92
    10   £0.13      £1.27
   100   £0.05      £5.00
   150   £0.05      £7.50
   500   £0.05     £24.45
  3000   £0.02     £72.60</t>
        </r>
      </text>
    </comment>
    <comment ref="AD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$0.21      $2.13
    50   $0.21     $10.65
   100   $0.11     $11.30
  1000   $0.05     $51.00
 10000   $0.03    $330.00</t>
        </r>
      </text>
    </comment>
    <comment ref="AI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10   $0.18      $1.77
   100   $0.06      $6.30
   500   $0.05     $26.00
  3000   $0.03     $90.00
  6000   $0.03    $174.00
 12000   $0.03    $348.00
 18000   $0.03    $522.00
 30000   $0.03    $840.00</t>
        </r>
      </text>
    </comment>
    <comment ref="AS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£0.61
   100   £0.02      £2.10
   500   £0.02      £9.42
  3000   £0.02     £50.04
 12000   £0.02    £180.36</t>
        </r>
      </text>
    </comment>
    <comment ref="O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$0.18      $1.81
    25   $0.17      $4.31
   100   $0.10      $9.85
   500   $0.06     $30.32
  1000   $0.04     $41.34
  3000   $0.04    $105.42
  6000   $0.03    $190.14
 15000   $0.03    $413.40
 30000   $0.02    $744.00
 75000   $0.02  $1,653.75</t>
        </r>
      </text>
    </comment>
    <comment ref="V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£1.17
    10   £0.22      £2.25
   100   £0.11     £11.40
   150   £0.11     £17.10
   500   £0.07     £33.10</t>
        </r>
      </text>
    </comment>
    <comment ref="AA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$0.13      $2.57
   200   $0.10     $19.70
   600   $0.09     $55.78
  2000   $0.09    $174.92
 10000   $0.09    $850.10
 20000   $0.08  $1,676.00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$0.19      $1.92
    50   $0.19      $9.60
   100   $0.10     $10.40
  1000   $0.04     $44.00
 10000   $0.03    $290.00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$0.01      $0.10
    25   $0.01      $0.25
    50   $0.01      $0.50
   100   $0.01      $1.00
   250   $0.01      $2.50
   500   $0.01      $5.00
  1000   $0.01     $10.00
  3000   $0.01     $42.00
  6000   $0.01     $78.00
 12000   $0.01    $156.00
 18000   $0.01    $216.00
 30000   $0.01    $360.00</t>
        </r>
      </text>
    </comment>
    <comment ref="AP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£0.08      £8.40
   500   £0.08     £39.50
  1000   £0.06     £63.00
  2000   £0.06    £120.00
  4000   £0.04    £168.00</t>
        </r>
      </text>
    </comment>
    <comment ref="AU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20   £0.03      £0.63
   100   £0.01      £1.49
   500   £0.01      £6.59
  3000   £0.01     £34.08
 12000   £0.01    £122.16</t>
        </r>
      </text>
    </comment>
    <comment ref="Q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25   $0.01      $0.32
    50   $0.01      $0.49
   100   $0.01      $0.73
   250   $0.01      $1.38
   500   $0.00      $2.21
  1000   $0.00      $3.26
  5000   $0.00     $11.70
 10000   $0.00     $20.30
 25000   $0.00     $44.50
 50000   $0.00     $83.50</t>
        </r>
      </text>
    </comment>
    <comment ref="V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£0.09
   100   £0.01      £0.77
   150   £0.01      £1.16
   500   £0.01      £3.20
  1000   £0.01      £5.40
  2500   £0.00     £11.75
  5000   £0.00     £17.00
 25000   £0.00     £67.50</t>
        </r>
      </text>
    </comment>
    <comment ref="AF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$0.10
    50   $0.01      $0.50
   100   $0.00      $0.40
  1000   $0.00      $3.00
 10000   $0.00     $20.00</t>
        </r>
      </text>
    </comment>
    <comment ref="AK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$0.01      $0.12
    25   $0.01      $0.25
    50   $0.01      $0.35
   100   $0.00      $0.50
  5000   $0.00     $25.00
 10000   $0.00     $40.00</t>
        </r>
      </text>
    </comment>
    <comment ref="AS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£1.56
  1000   £0.00      £2.78
  5000   £0.00      £6.05
 15000   £0.00     £16.50</t>
        </r>
      </text>
    </comment>
    <comment ref="Q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D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Q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£0.25
   100   £0.01      £0.90
   150   £0.01      £1.35
   500   £0.01      £3.75
  1000   £0.01      £6.00
  2500   £0.01     £13.25
  5000   £0.00     £17.50
 25000   £0.00     £87.50</t>
        </r>
      </text>
    </comment>
    <comment ref="AF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$5.00
 10000   $0.00     $30.00</t>
        </r>
      </text>
    </comment>
    <comment ref="AK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$0.02      $0.22
    25   $0.02      $0.43
    50   $0.01      $0.60
   100   $0.01      $0.70
  5000   $0.00     $20.00</t>
        </r>
      </text>
    </comment>
    <comment ref="AP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£0.00      £0.50
   500   £0.00      £2.50
  1000   £0.00      £4.00
  2000   £0.00      £8.00</t>
        </r>
      </text>
    </comment>
    <comment ref="AS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O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£0.01      £0.01
    10   £0.02      £0.22
   100   £0.01      £0.78
   150   £0.01      £1.17
   500   £0.01      £3.25
  1000   £0.01      £5.20
  2500   £0.00     £11.50
  5000   £0.00     £20.50
 25000   £0.00     £72.50</t>
        </r>
      </text>
    </comment>
    <comment ref="AF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I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$0.01      $0.07
   250   $0.01      $1.50
   500   $0.00      $2.50
  1000   $0.00      $5.00
  5000   $0.00     $10.00</t>
        </r>
      </text>
    </comment>
    <comment ref="AP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U3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£2.78
  1000   £0.01      £9.85
  5000   £0.00     £19.55
 15000   £0.00     £48.15
 50000   £0.00    £136.50</t>
        </r>
      </text>
    </comment>
    <comment ref="Q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£0.21
   100   £0.01      £0.75
   150   £0.01      £1.12
   500   £0.01      £3.15
  1000   £0.01      £5.10
  2500   £0.00     £11.25
  5000   £0.01     £36.50
 25000   £0.00     £77.50</t>
        </r>
      </text>
    </comment>
    <comment ref="AD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$0.02      $0.45
    50   $0.01      $0.65
   100   $0.01      $0.70
  5000   $0.00     $10.00</t>
        </r>
      </text>
    </comment>
    <comment ref="AP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£0.70
  1000   £0.01      £7.00
  2500   £0.01     £15.00
  5000   £0.00     £15.00
 10000   £0.00     £50.00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3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£0.96
  1000   £0.00      £2.13
  5000   £0.00      £4.75
 15000   £0.00     £13.35
 50000   £0.00     £43.00</t>
        </r>
      </text>
    </comment>
    <comment ref="Q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D3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$0.12
    50   $0.01      $0.60
   100   $0.00      $0.40
  1000   $0.00      $3.00
 10000   $0.00     $20.00</t>
        </r>
      </text>
    </comment>
    <comment ref="O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$0.49      $4.89
   100   $0.28     $28.46
  1000   $0.16    $159.62
  2000   $0.16    $312.80</t>
        </r>
      </text>
    </comment>
    <comment ref="AD4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$0.57      $0.57
    10   $0.42      $4.20
    50   $0.42     $20.75
   100   $0.33     $32.80
  1000   $0.17    $167.00
 10000   $0.15  $1,500.00</t>
        </r>
      </text>
    </comment>
    <comment ref="Q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D4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$0.12
    50   $0.01      $0.60
   100   $0.00      $0.40
  1000   $0.00      $3.00
 10000   $0.00     $20.00</t>
        </r>
      </text>
    </comment>
    <comment ref="Q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£0.15
   100   £0.01      £1.40
   150   £0.01      £2.10
   500   £0.01      £5.45
  1000   £0.01      £8.80
  2500   £0.01     £18.00
  5000   £0.01     £30.50
 25000   £0.00    £102.50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K4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$0.23
    25   $0.02      $0.48
    50   $0.01      $0.70
   100   $0.01      $1.00</t>
        </r>
      </text>
    </comment>
    <comment ref="AP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S4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4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£3.25
  1000   £0.01      £5.20
  2500   £0.00     £11.50
  5000   £0.00     £20.50
 25000   £0.00     £72.50</t>
        </r>
      </text>
    </comment>
    <comment ref="AD4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K4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$0.07
   250   $0.01      $1.50
   500   $0.00      $2.50
  1000   $0.00      $5.00
  5000   $0.00     $25.00</t>
        </r>
      </text>
    </comment>
    <comment ref="AS4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4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£0.23
   100   £0.01      £0.78
   150   £0.01      £1.17
   500   £0.01      £3.25
  1000   £0.01      £5.20
  2500   £0.00     £11.50
  5000   £0.00     £20.50
 25000   £0.00     £72.50</t>
        </r>
      </text>
    </comment>
    <comment ref="AD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K4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AS4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4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4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£3.45
  1000   £0.01      £6.00
  2500   £0.01     £13.00
  5000   £0.00     £21.50
 25000   £0.00    £100.00</t>
        </r>
      </text>
    </comment>
    <comment ref="AF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$0.01      $6.00
 10000   $0.00     $30.00</t>
        </r>
      </text>
    </comment>
    <comment ref="AK4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O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4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£0.27
   100   £0.01      £0.78
   150   £0.01      £1.17
   500   £0.01      £3.25
  1000   £0.01      £5.20
  2500   £0.00     £11.50
  5000   £0.00     £20.50
 25000   £0.00     £72.50</t>
        </r>
      </text>
    </comment>
    <comment ref="AD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$20.00</t>
        </r>
      </text>
    </comment>
    <comment ref="AK4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$0.07
   250   $0.01      $1.50
   500   $0.00      $2.50
  1000   $0.00      $5.00
  5000   $0.00     $20.00</t>
        </r>
      </text>
    </comment>
    <comment ref="AP4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
 10000   £0.00     £30.00
 15000   £0.00     £45.00
 20000   £0.00     £40.00</t>
        </r>
      </text>
    </comment>
    <comment ref="AS4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4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O4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£3.25
  1000   £0.01      £5.20
  2500   £0.00     £11.50
  5000   £0.00     £25.00
 25000   £0.00     £77.50</t>
        </r>
      </text>
    </comment>
    <comment ref="AF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K4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$0.01      $0.07
   250   $0.01      $1.50
   500   $0.00      $2.50
  1000   $0.00      $5.00
  5000   $0.00     $15.00</t>
        </r>
      </text>
    </comment>
    <comment ref="AU4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£2.78
  1000   £0.01      £9.85
  5000   £0.00     £19.55
 15000   £0.00     £48.15</t>
        </r>
      </text>
    </comment>
    <comment ref="O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£0.25
   100   £0.01      £1.08
   150   £0.01      £1.62
   500   £0.01      £4.00
  1000   £0.01      £5.20
  2500   £0.00     £11.50
  5000   £0.01     £33.00
 25000   £0.00     £72.50</t>
        </r>
      </text>
    </comment>
    <comment ref="AD4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K4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$0.01      $0.07
   250   $0.01      $1.50
   500   $0.00      $2.50
  1000   $0.00      $5.00
  5000   $0.00     $25.00</t>
        </r>
      </text>
    </comment>
    <comment ref="AU4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£2.78
  1000   £0.01      £9.85
  5000   £0.00     £19.55
 15000   £0.00     £48.15</t>
        </r>
      </text>
    </comment>
    <comment ref="O4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£0.25
   100   £0.01      £0.90
   150   £0.01      £1.35
   500   £0.01      £3.75
  1000   £0.01      £6.00
  2500   £0.01     £13.25
  5000   £0.01     £26.00
 25000   £0.00     £90.00</t>
        </r>
      </text>
    </comment>
    <comment ref="AD4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K4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$0.12      $1.20
    25   $0.02      $0.55
    50   $0.01      $0.70
   100   $0.01      $0.70
  5000   $0.00     $20.00</t>
        </r>
      </text>
    </comment>
    <comment ref="AP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U4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£2.01
  1000   £0.00      £4.86
  5000   £0.00     £10.40
 15000   £0.00     £28.95
 50000   £0.00     £92.00</t>
        </r>
      </text>
    </comment>
    <comment ref="Q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£0.32
   100   £0.01      £1.23
   150   £0.01      £1.84
   500   £0.01      £4.45
  1000   £0.01      £5.40
  2500   £0.00     £11.25
  5000   £0.00     £17.50
 10000   £0.00     £30.00
 25000   £0.00     £77.50</t>
        </r>
      </text>
    </comment>
    <comment ref="AF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K5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$0.02      $0.23
    25   $0.03      $0.70
    50   $0.02      $0.95
   100   $0.01      $1.10
  5000   $0.00     $20.00
 10000   $0.00     $30.00</t>
        </r>
      </text>
    </comment>
    <comment ref="AP5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U5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£0.02      £2.17
  1000   £0.00      £4.90
  5000   £0.00      £9.10
 15000   £0.00     £25.20
 50000   £0.00     £81.00</t>
        </r>
      </text>
    </comment>
    <comment ref="Q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£0.15
   100   £0.01      £1.40
   150   £0.01      £2.10
   500   £0.01      £5.45
  1000   £0.01      £8.80
  2500   £0.01     £18.00
  5000   £0.01     £30.50
 25000   £0.00    £102.50</t>
        </r>
      </text>
    </comment>
    <comment ref="AD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I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5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AP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</t>
        </r>
      </text>
    </comment>
    <comment ref="AS5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5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£0.15
   100   £0.01      £1.38
   150   £0.01      £2.07
   500   £0.01      £5.35
  1000   £0.01      £8.60
  2500   £0.01     £17.75
  5000   £0.01     £30.00
 25000   £0.00    £102.50</t>
        </r>
      </text>
    </comment>
    <comment ref="AF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$0.21
    50   $0.02      $1.05
   100   $0.01      $0.70
  1000   $0.00      $4.00
 10000   $0.00     $20.00</t>
        </r>
      </text>
    </comment>
    <comment ref="AK5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AP5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
 10000   £0.00     £30.00
 15000   £0.00     £45.00
 20000   £0.00     £40.00</t>
        </r>
      </text>
    </comment>
    <comment ref="AS5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5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£3.45
  1000   £0.01      £6.00
  2500   £0.01     £12.75
  5000   £0.00     £20.50
 25000   £0.00    £100.00</t>
        </r>
      </text>
    </comment>
    <comment ref="AF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I5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5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AS5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5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£3.25
  1000   £0.01      £5.20
  2500   £0.00     £11.50
  5000   £0.00     £20.50
 25000   £0.00     £72.50</t>
        </r>
      </text>
    </comment>
    <comment ref="AD5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K5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Q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£3.20
  1000   £0.00      £5.00
  2500   £0.00     £11.00
  5000   £0.00     £25.00
 25000   £0.00     £77.50</t>
        </r>
      </text>
    </comment>
    <comment ref="AF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K5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$0.02      $0.22
    25   $0.04      $1.00
    50   $0.03      $1.30
   100   $0.02      $1.80
   250   $0.01      $3.50
   500   $0.01      $5.50
  1000   $0.01      $8.00
  2500   $0.01     $15.00
  5000   $0.00     $25.00</t>
        </r>
      </text>
    </comment>
    <comment ref="AS5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5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£0.77
   150   £0.01      £1.16
   500   £0.01      £3.25
  1000   £0.01      £5.10
  2500   £0.00     £11.25
  5000   £0.00     £22.00
 25000   £0.00     £77.50</t>
        </r>
      </text>
    </comment>
    <comment ref="AF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K5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$0.02      $0.18
    25   $0.01      $0.35
    50   $0.01      $0.55
   100   $0.01      $0.70
   250   $0.01      $3.50
   500   $0.01      $5.50
  1000   $0.01      $8.00
  2500   $0.01     $15.00
  5000   $0.00     $15.00</t>
        </r>
      </text>
    </comment>
    <comment ref="AP5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£0.60
  1000   £0.00      £5.00
  2500   £0.00     £12.50
  5000   £0.00     £25.00
 10000   £0.00     £40.00
 15000   £0.00     £45.00
 20000   £0.00     £40.00</t>
        </r>
      </text>
    </comment>
    <comment ref="AU5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£2.80
  1000   £0.01      £9.92
  5000   £0.00     £19.70
 15000   £0.00     £48.45
 50000   £0.00    £137.50</t>
        </r>
      </text>
    </comment>
    <comment ref="Q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£0.91
   150   £0.01      £1.36
   500   £0.01      £3.90
  1000   £0.01      £6.40
  2500   £0.01     £14.00
  5000   £0.00     £25.00
 25000   £0.00     £90.00</t>
        </r>
      </text>
    </comment>
    <comment ref="AF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$0.70
  1000   $0.00      $4.00
 10000   $0.00     $20.00</t>
        </r>
      </text>
    </comment>
    <comment ref="AK5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$0.02      $0.22
    25   $0.02      $0.43
    50   $0.01      $0.65
   100   $0.01      $0.80
   250   $0.01      $3.50
   500   $0.01      $5.50
  1000   $0.01      $8.00
  2500   $0.01     $15.00
  5000   $0.00     $10.00</t>
        </r>
      </text>
    </comment>
    <comment ref="AP5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
 10000   £0.00     £30.00
 15000   £0.00     £45.00
 20000   £0.00     £40.00</t>
        </r>
      </text>
    </comment>
    <comment ref="AS5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5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£3.25
  1000   £0.01      £5.20
  2500   £0.00     £11.50
  5000   £0.00     £20.50
 25000   £0.00     £77.50</t>
        </r>
      </text>
    </comment>
    <comment ref="AF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K5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$0.01      $0.07
   250   $0.01      $1.50
   500   $0.00      $2.50
  1000   $0.00      $5.00
  5000   $0.00     $15.00</t>
        </r>
      </text>
    </comment>
    <comment ref="AP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£20.00</t>
        </r>
      </text>
    </comment>
    <comment ref="AS5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5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5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£3.25
  1000   £0.01      £5.20
  2500   £0.00     £11.50
  5000   £0.00     £20.50
 25000   £0.00     £72.50</t>
        </r>
      </text>
    </comment>
    <comment ref="AF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K5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25   $0.04      $1.00
    50   $0.03      $1.30
   100   $0.02      $1.80
   250   $0.01      $3.50
   500   $0.01      $5.50
  1000   $0.01      $8.00
  2500   $0.01     $15.00
  5000   $0.00     $20.00</t>
        </r>
      </text>
    </comment>
    <comment ref="AP5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
 10000   £0.00     £30.00
 15000   £0.00     £45.00
 20000   £0.00     £40.00</t>
        </r>
      </text>
    </comment>
    <comment ref="AU5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£2.78
  1000   £0.01      £9.85
  5000   £0.00     £19.55
 15000   £0.00     £48.15
 50000   £0.00    £136.50</t>
        </r>
      </text>
    </comment>
    <comment ref="Q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AF6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$0.60
  1000   $0.00      $5.00
 10000   $0.00     $30.00</t>
        </r>
      </text>
    </comment>
    <comment ref="O6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6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£0.25
   100   £0.01      £0.90
   150   £0.01      £1.35
   500   £0.01      £3.75
  1000   £0.01      £6.00
  2500   £0.01     £13.25
  5000   £0.01     £26.00
 25000   £0.00     £90.00</t>
        </r>
      </text>
    </comment>
    <comment ref="AD6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$20.00</t>
        </r>
      </text>
    </comment>
    <comment ref="AK6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$0.00      $0.00
    10   $0.02      $0.22
    25   $0.02      $0.43
    50   $0.01      $0.65
   100   $0.01      $0.80
  5000   $0.00     $10.00</t>
        </r>
      </text>
    </comment>
    <comment ref="AP6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£0.00     £15.00
 10000   £0.00     £30.00</t>
        </r>
      </text>
    </comment>
    <comment ref="AU6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£0.01      £1.44
  1000   £0.00      £3.09
  5000   £0.00      £6.60
 15000   £0.00     £17.55</t>
        </r>
      </text>
    </comment>
    <comment ref="Q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100   $0.01      $0.97
  1000   $0.00      $4.36
  2500   $0.00      $9.45
  5000   $0.00     $15.60</t>
        </r>
      </text>
    </comment>
    <comment ref="V6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£0.22
   100   £0.01      £0.78
   150   £0.01      £1.17
   500   £0.01      £3.45
  1000   £0.01      £6.00
  2500   £0.01     £12.75
  5000   £0.00     £20.50
 25000   £0.00    £100.00</t>
        </r>
      </text>
    </comment>
    <comment ref="AF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$0.02      $1.20
   100   $0.01      $1.00
  1000   $0.00      $4.00
 10000   $0.00     $30.00</t>
        </r>
      </text>
    </comment>
    <comment ref="AI6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6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25   $0.02      $0.38
    50   $0.01      $0.55
   100   $0.01      $0.70</t>
        </r>
      </text>
    </comment>
    <comment ref="AS6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6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100   £0.03      £2.67
  1000   £0.01      £9.61
  5000   £0.00     £19.45
 15000   £0.00     £49.20</t>
        </r>
      </text>
    </comment>
    <comment ref="Q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$8.39      $8.39
    10   $7.58     $75.80
    25   $7.23    $180.68
   100   $6.28    $627.55
   250   $5.99  $1,498.36
   500   $5.82  $2,910.25</t>
        </r>
      </text>
    </comment>
    <comment ref="AF6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$8.39      $8.39
    10   $7.58     $75.80
    50   $7.23    $361.50
   100   $6.27    $627.00
  1000   $5.11  $5,110.00
 10000   $5.11 $51,100.00</t>
        </r>
      </text>
    </comment>
    <comment ref="Q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$0.58      $5.76
    25   $0.54     $13.44
   100   $0.43     $43.01
   250   $0.40     $99.84
   500   $0.34    $168.95
  1000   $0.26    $261.11
  2500   $0.25    $633.95</t>
        </r>
      </text>
    </comment>
    <comment ref="V6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£0.62      £3.12
    10   £0.51      £5.14
   100   £0.31     £31.30
   150   £0.31     £46.95
   500   £0.24    £117.50</t>
        </r>
      </text>
    </comment>
    <comment ref="AF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$0.68      $0.68
    10   $0.58      $5.77
    50   $0.58     $28.85
   100   $0.40     $40.00
  1000   $0.26    $262.00
 10000   $0.24  $2,380.00</t>
        </r>
      </text>
    </comment>
    <comment ref="AK6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$0.73      $0.73
     5   $0.73      $3.64
    10   $0.62      $6.16
   100   $0.42     $42.00
  2500   $0.27    $680.00
  7500   $0.20  $1,515.00
 20000   $0.20  $3,900.00
 37500   $0.19  $7,087.50</t>
        </r>
      </text>
    </comment>
    <comment ref="AP6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2   £0.44      £0.87
    10   £0.35      £3.50
   100   £0.21     £21.00
  1000   £0.15    £150.00
  2500   £0.14    £362.50</t>
        </r>
      </text>
    </comment>
    <comment ref="Q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$1.55      $1.55
    10   $1.38     $13.85
    25   $1.31     $32.87
   100   $1.08    $108.00
   250   $1.01    $252.40
   500   $0.89    $446.10
  1000   $0.78    $775.25
  3000   $0.78  $2,325.75</t>
        </r>
      </text>
    </comment>
    <comment ref="AF6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$1.54      $1.54
    10   $1.39     $13.90
    50   $1.32     $66.00
   100   $1.08    $108.00
  1000   $0.70    $705.00
 10000   $0.68  $6,810.00</t>
        </r>
      </text>
    </comment>
    <comment ref="O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$1.87      $1.87
    10   $1.68     $16.77
    25   $1.58     $39.55
   100   $1.35    $134.79
   250   $1.27    $316.41
   500   $1.11    $553.72
  1000   $1.04  $1,044.75
  2000   $1.04  $2,089.50</t>
        </r>
      </text>
    </comment>
    <comment ref="T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6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£1.76      £1.76
    10   £1.32     £13.20
    50   £1.22     £61.00
   100   £1.12    £112.00
   250   £1.06    £265.00</t>
        </r>
      </text>
    </comment>
    <comment ref="AD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$1.86      $1.86
    10   $1.68     $16.80
    50   $1.59     $79.50
   100   $1.35    $135.00
  1000   $0.92    $919.00
 10000   $0.92  $9,180.00</t>
        </r>
      </text>
    </comment>
    <comment ref="AI6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6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$3.04      $3.04
    10   $2.83     $28.30
    25   $2.67     $66.75
    50   $2.50    $125.00
   100   $2.33    $233.00
   250   $2.15    $537.50</t>
        </r>
      </text>
    </comment>
    <comment ref="Q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$4.30      $4.30
    10   $3.86     $38.65
    25   $3.65     $91.35
   100   $3.36    $336.00</t>
        </r>
      </text>
    </comment>
    <comment ref="V6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£2.44      £2.44
    10   £2.80     £28.00
    25   £2.23     £55.75
    50   £2.52    £126.00
   100   £2.05    £205.00
   250   £1.90    £475.00
   500   £2.36  £1,180.00</t>
        </r>
      </text>
    </comment>
    <comment ref="AF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$6.69      $6.69
    10   $6.01     $60.10
    50   $5.68    $284.00
   100   $4.91    $491.00
  1000   $3.56  $3,560.00
 10000   $3.56 $35,600.00</t>
        </r>
      </text>
    </comment>
    <comment ref="AK6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$4.30      $4.30
    10   $3.87     $38.70
    25   $3.65     $91.25
    50   $3.51    $175.50
   100   $3.36    $336.00</t>
        </r>
      </text>
    </comment>
    <comment ref="Q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$3.31     $33.12
    25   $3.13     $78.29
   100   $2.49    $249.13
   250   $2.37    $591.51
   500   $2.30  $1,148.88
  2000   $2.30  $4,595.50</t>
        </r>
      </text>
    </comment>
    <comment ref="AF6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$3.32     $33.20
    50   $3.14    $157.00
   100   $2.72    $272.00
  1000   $2.02  $2,020.00
 10000   $2.02 $20,200.00</t>
        </r>
      </text>
    </comment>
    <comment ref="O7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$6.85      $6.85
    10   $6.16     $61.56
    25   $5.82    $145.48
   100   $5.04    $504.35
   250   $4.78  $1,196.21
   500   $4.29  $2,146.71
  1000   $4.03  $4,026.00</t>
        </r>
      </text>
    </comment>
    <comment ref="V7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£4.93      £4.93
    10   £4.19     £41.90
    25   £4.13    £103.25
    50   £4.06    £203.00
   100   £3.44    £344.00
   250   £3.08    £770.00
   500   £2.97  £1,485.00</t>
        </r>
      </text>
    </comment>
    <comment ref="AD7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7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$6.85      $6.85
    10   $5.82     $58.20
    50   $5.81    $290.50
   100   $5.04    $504.00
  1000   $4.78  $4,780.00
 10000   $4.78 $47,800.00</t>
        </r>
      </text>
    </comment>
    <comment ref="AP7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£4.19     £41.90
    50   £4.06    £203.00
   100   £3.44    £344.00
   250   £3.08    £770.00</t>
        </r>
      </text>
    </comment>
    <comment ref="AS7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$3.31     $33.12
    25   $3.13     $78.29
   100   $2.71    $271.40
   250   $2.57    $643.70
   500   $2.31  $1,155.18
  1000   $2.30  $2,297.75
  2000   $2.30  $4,595.50</t>
        </r>
      </text>
    </comment>
    <comment ref="AF7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$3.69      $3.69
    10   $3.32     $33.20
    50   $3.14    $157.00
   100   $2.72    $272.00
  1000   $2.02  $2,020.00
 10000   $2.02 $20,200.00</t>
        </r>
      </text>
    </comment>
    <comment ref="O7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$6.96      $6.96
    10   $6.29     $62.90
    25   $6.00    $149.94
   100   $5.21    $520.76
   250   $4.97  $1,243.38
   500   $4.55  $2,277.00
  1500   $4.55  $6,831.00</t>
        </r>
      </text>
    </comment>
    <comment ref="T7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7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£5.15      £5.15
    10   £4.19     £41.90
    25   £3.95     £98.75
    50   £3.71    £185.50
   100   £3.52    £352.00
   250   £3.31    £827.50
   500   £2.96  £1,480.00</t>
        </r>
      </text>
    </comment>
    <comment ref="AD7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7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$6.87      $6.87
    10   $6.21     $62.10
    50   $5.91    $295.50
   100   $5.09    $509.00
  1000   $4.40  $4,400.00
 10000   $4.26 $42,600.00</t>
        </r>
      </text>
    </comment>
    <comment ref="Q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$2.79      $2.79
    10   $2.50     $25.03
    25   $2.36     $59.03
   100   $2.01    $201.17
   250   $1.89    $472.23
   500   $1.65    $826.40
  1000   $1.56  $1,559.25
  3000   $1.56  $4,677.75</t>
        </r>
      </text>
    </comment>
    <comment ref="AF7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$2.78      $2.78
    10   $2.51     $25.10
    50   $2.37    $118.50
   100   $2.02    $202.00
  1000   $1.38  $1,380.00
 10000   $1.37 $13,700.00</t>
        </r>
      </text>
    </comment>
    <comment ref="AS7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7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£2.54      £2.54
     5   £2.23     £11.17
    25   £1.94     £48.48
   100   £1.70    £169.62
   500   £1.58    £788.75</t>
        </r>
      </text>
    </comment>
    <comment ref="Q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$7.51      $7.51
    10   $6.78     $67.85
    25   $6.47    $161.73
   100   $5.62    $561.70
   250   $5.36  $1,341.14
   500   $5.21  $2,604.88</t>
        </r>
      </text>
    </comment>
    <comment ref="V7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£6.58      £6.58
    10   £5.40     £54.00
    25   £5.15    £128.75
    50   £4.94    £247.00
   100   £4.73    £473.00</t>
        </r>
      </text>
    </comment>
    <comment ref="AF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$7.51      $7.51
    10   $6.79     $67.90
    50   $6.47    $323.50
   100   $5.61    $561.00
  1000   $4.58  $4,580.00
 10000   $4.58 $45,800.00</t>
        </r>
      </text>
    </comment>
    <comment ref="AK7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$8.65      $8.65
    10   $8.26     $82.60
    25   $8.00    $200.00
    50   $7.59    $379.50
   100   $7.31    $731.00
   250   $7.01  $1,752.50</t>
        </r>
      </text>
    </comment>
    <comment ref="O7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3300   $0.28    $940.50</t>
        </r>
      </text>
    </comment>
    <comment ref="T7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7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3300   £0.22    £732.60</t>
        </r>
      </text>
    </comment>
    <comment ref="AD7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$2.80
    50   $0.28     $14.00
   100   $0.28     $28.00
  1000   $0.28    $280.00
 10000   $0.28  $2,800.00</t>
        </r>
      </text>
    </comment>
    <comment ref="AI7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7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3300   $0.28    $907.50</t>
        </r>
      </text>
    </comment>
    <comment ref="O7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$1.06      $1.06
    10   $0.95      $9.47
    25   $0.90     $22.48
   100   $0.74     $73.87
   250   $0.69    $172.63
   500   $0.61    $305.12
  1000   $0.53    $530.25</t>
        </r>
      </text>
    </comment>
    <comment ref="T7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7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£0.96      £0.96
    10   £0.75      £7.46
    50   £0.66     £32.85
   100   £0.57     £56.80
   250   £0.53    £131.75
   500   £0.30    £151.50
  1000   £0.28    £280.00
  2500   £0.27    £672.50
  5000   £0.26  £1,285.00</t>
        </r>
      </text>
    </comment>
    <comment ref="AD7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$1.05      $1.05
    10   $0.95      $9.48
    50   $0.90     $45.00
   100   $0.74     $73.80
  1000   $0.48    $481.00
 10000   $0.47  $4,660.00</t>
        </r>
      </text>
    </comment>
    <comment ref="AI7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7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$1.34      $1.34
    10   $1.24     $12.40
   100   $1.13    $113.00</t>
        </r>
      </text>
    </comment>
    <comment ref="AP7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£0.82      £0.82
    20   £0.47      £9.40
    48   £0.46     £22.08</t>
        </r>
      </text>
    </comment>
    <comment ref="AS7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7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£0.63      £0.63
     5   £0.57      £2.87
    25   £0.52     £13.05
    95   £0.43     £40.75
   450   £0.35    £157.95</t>
        </r>
      </text>
    </comment>
    <comment ref="Q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$3.24      $3.24
    10   $2.91     $29.14
    25   $2.75     $68.87
   100   $2.39    $238.74
   250   $2.26    $566.24
   500   $2.03  $1,016.17
  1000   $2.02  $2,021.25
  2500   $2.02  $5,053.13</t>
        </r>
      </text>
    </comment>
    <comment ref="AD7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7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$3.25      $3.25
    10   $2.92     $29.20
    50   $2.76    $138.00
   100   $2.39    $239.00
  1000   $1.78  $1,780.00
 10000   $1.77 $17,700.00</t>
        </r>
      </text>
    </comment>
    <comment ref="O7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25   $0.59     $14.75
   100   $0.57     $57.00
  3000   $0.57  $1,717.20</t>
        </r>
      </text>
    </comment>
    <comment ref="T7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7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£0.86      £0.86
    25   £0.65     £16.35
   100   £0.58     £57.50
   150   £0.58     £86.25</t>
        </r>
      </text>
    </comment>
    <comment ref="AD7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$0.70      $0.70
    10   $0.70      $7.00
    50   $0.59     $29.50
   100   $0.55     $55.10
  1000   $0.55    $551.00
 10000   $0.55  $5,510.00</t>
        </r>
      </text>
    </comment>
    <comment ref="AI7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7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3000   $0.59  $1,782.00</t>
        </r>
      </text>
    </comment>
    <comment ref="AP7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£0.54      £0.54
    25   £0.52     £13.00
   100   £0.50     £50.00</t>
        </r>
      </text>
    </comment>
    <comment ref="AS7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7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3   £0.56      £1.68
    10   £0.52      £5.20
    25   £0.43     £10.75
   100   £0.40     £40.00</t>
        </r>
      </text>
    </comment>
    <comment ref="O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$3.08      $3.08
    10   $2.89     $28.90
    25   $2.57     $64.22
    50   $2.44    $122.03
   100   $2.31    $231.21
   250   $2.25    $561.97
  1000   $2.25  $2,247.88</t>
        </r>
      </text>
    </comment>
    <comment ref="AD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$3.08      $3.08
    10   $2.45     $24.50
    50   $2.45    $122.50
   100   $2.20    $220.00
  1000   $2.06  $2,060.00
 10000   $1.99 $19,900.00</t>
        </r>
      </text>
    </comment>
    <comment ref="AI7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7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1 $2,241.46  $2,241.46
     5 $2,164.39 $10,821.95
    10 $2,125.86 $21,258.60
    25 $2,087.32 $52,183.00
    50 $2,023.10 $101,155.00</t>
        </r>
      </text>
    </comment>
    <comment ref="H8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8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8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8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8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8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8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8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T8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8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Z82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<sst xmlns="http://schemas.openxmlformats.org/spreadsheetml/2006/main" count="1068" uniqueCount="550">
  <si>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</si>
  <si>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</si>
  <si>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</si>
  <si>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</si>
  <si>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</si>
  <si>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</si>
  <si>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</si>
  <si>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</si>
  <si>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</si>
  <si>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</si>
  <si>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C1,C27,C28,C37</t>
  </si>
  <si>
    <t>DNI</t>
  </si>
  <si>
    <t>C_0603_1608Metric</t>
  </si>
  <si>
    <t>CC0603MRX7R8BB104</t>
  </si>
  <si>
    <t>C10</t>
  </si>
  <si>
    <t>200pF</t>
  </si>
  <si>
    <t>CC0603JRNPO9BN221</t>
  </si>
  <si>
    <t>C11</t>
  </si>
  <si>
    <t>1nF</t>
  </si>
  <si>
    <t>CC0603JRNPO9BN102</t>
  </si>
  <si>
    <t>C12</t>
  </si>
  <si>
    <t>4.7nF</t>
  </si>
  <si>
    <t>CC0603JRNPO9BN332</t>
  </si>
  <si>
    <t>C15,C16</t>
  </si>
  <si>
    <t>4.7u</t>
  </si>
  <si>
    <t>C_1206_3216Metric</t>
  </si>
  <si>
    <t>CL31B475KAHNFNE</t>
  </si>
  <si>
    <t>C17,C18</t>
  </si>
  <si>
    <t>0.01u</t>
  </si>
  <si>
    <t>CC0603MRX7R8BB103</t>
  </si>
  <si>
    <t>C19</t>
  </si>
  <si>
    <t>2.2u</t>
  </si>
  <si>
    <t>CL10B225KP8NFNC</t>
  </si>
  <si>
    <t>C2,C5,C7,C8,C13,C14,C20-C22,C29-C32,C34-C36,C38-C44,C47</t>
  </si>
  <si>
    <t>0.1u</t>
  </si>
  <si>
    <t>C23</t>
  </si>
  <si>
    <t>68p</t>
  </si>
  <si>
    <t>CC0603FRNPO0BN680</t>
  </si>
  <si>
    <t>C24</t>
  </si>
  <si>
    <t>20p</t>
  </si>
  <si>
    <t>CC0603JRNPO9BN200</t>
  </si>
  <si>
    <t>C25</t>
  </si>
  <si>
    <t>8p</t>
  </si>
  <si>
    <t>06031A8R0CAT2A</t>
  </si>
  <si>
    <t>C26</t>
  </si>
  <si>
    <t>4p</t>
  </si>
  <si>
    <t>CC0603CRNPO9BN4R0</t>
  </si>
  <si>
    <t>C3</t>
  </si>
  <si>
    <t>1u</t>
  </si>
  <si>
    <t>CC0603MRX5R8BB105</t>
  </si>
  <si>
    <t>C33</t>
  </si>
  <si>
    <t>5p</t>
  </si>
  <si>
    <t>CC0603JRX7R9BB472</t>
  </si>
  <si>
    <t>C4</t>
  </si>
  <si>
    <t>CL10B104KA8NNWC</t>
  </si>
  <si>
    <t>C45,C46</t>
  </si>
  <si>
    <t>10u</t>
  </si>
  <si>
    <t>CL31B106KAHNFNE</t>
  </si>
  <si>
    <t>C6</t>
  </si>
  <si>
    <t>4.7n</t>
  </si>
  <si>
    <t>C9</t>
  </si>
  <si>
    <t>47pF</t>
  </si>
  <si>
    <t>CC0603JRNPO9BN470</t>
  </si>
  <si>
    <t>D1-D5</t>
  </si>
  <si>
    <t>1N4007</t>
  </si>
  <si>
    <t>D_SOD-123F</t>
  </si>
  <si>
    <t>1N4007FLTR</t>
  </si>
  <si>
    <t>FB1</t>
  </si>
  <si>
    <t>Ferrite_Bead</t>
  </si>
  <si>
    <t>BLM31PG500SN1L</t>
  </si>
  <si>
    <t>H1,H3,H5,H7</t>
  </si>
  <si>
    <t>MountingHole_Pad</t>
  </si>
  <si>
    <t>MountingHole_3.2mm_M3_DIN965_Pad</t>
  </si>
  <si>
    <t>IC1</t>
  </si>
  <si>
    <t>DAC53401DSGR</t>
  </si>
  <si>
    <t>Digital to Analog Converters - DAC 10-bit 1-channel DAC with NVM, buffered voltage output and I2C interface 8-WSON -40 to 125</t>
  </si>
  <si>
    <t>WSON-8-1EP_2x2mm_P0.5mm_EP0.9x1.6mm_posMask</t>
  </si>
  <si>
    <t>J4</t>
  </si>
  <si>
    <t>HDMI_A</t>
  </si>
  <si>
    <t>CONN_10029449-111RLF_HDMI_A</t>
  </si>
  <si>
    <t>10029449-111RLF</t>
  </si>
  <si>
    <t>J1-J3</t>
  </si>
  <si>
    <t>105-1103-001</t>
  </si>
  <si>
    <t>CONN TIP JACK SOLDER BLACK</t>
  </si>
  <si>
    <t>Test_Jack_Horiz</t>
  </si>
  <si>
    <t>Cinch Connectivity Solutions Johnson</t>
  </si>
  <si>
    <t>K1,K2</t>
  </si>
  <si>
    <t>1462042-8</t>
  </si>
  <si>
    <t>RELAY_1462042-8</t>
  </si>
  <si>
    <t>TE Connectivity</t>
  </si>
  <si>
    <t>Q1,Q3,Q4</t>
  </si>
  <si>
    <t>MBT3904DW1T1G</t>
  </si>
  <si>
    <t>TRANS 2NPN 40V 0.2A SC88</t>
  </si>
  <si>
    <t>SOT-363_SC-70-6</t>
  </si>
  <si>
    <t>ON Semiconductor</t>
  </si>
  <si>
    <t>Q2</t>
  </si>
  <si>
    <t>BC856</t>
  </si>
  <si>
    <t>SOT-23</t>
  </si>
  <si>
    <t>BC856B-7-F</t>
  </si>
  <si>
    <t>R1,R20,R23,R26,R27,R53,R54,R71</t>
  </si>
  <si>
    <t>0</t>
  </si>
  <si>
    <t>R_0603_1608Metric</t>
  </si>
  <si>
    <t>RC0603FR-070RL</t>
  </si>
  <si>
    <t>R17</t>
  </si>
  <si>
    <t>1.13k</t>
  </si>
  <si>
    <t>RC0603FR-071K13L</t>
  </si>
  <si>
    <t>R18,R24,R44,R45,R57</t>
  </si>
  <si>
    <t>33</t>
  </si>
  <si>
    <t>RC0603FR-0733RL</t>
  </si>
  <si>
    <t>R19,R25,R30</t>
  </si>
  <si>
    <t>20k</t>
  </si>
  <si>
    <t>RC0603FR-0720KL</t>
  </si>
  <si>
    <t>R2,R9-R13,R22,R31,R38,R41,R50,R56,R62</t>
  </si>
  <si>
    <t>10k</t>
  </si>
  <si>
    <t>RC0603FR-0710KL</t>
  </si>
  <si>
    <t>R21</t>
  </si>
  <si>
    <t>2k</t>
  </si>
  <si>
    <t>RC0603FR-0773K2L</t>
  </si>
  <si>
    <t>R28,R52,R59,R60</t>
  </si>
  <si>
    <t>4.7M</t>
  </si>
  <si>
    <t>R_1206_3216Metric</t>
  </si>
  <si>
    <t>RG3216P-4704-B-T1</t>
  </si>
  <si>
    <t>R29,R51,R55,R65,R67,R69,R70</t>
  </si>
  <si>
    <t>R3,R47</t>
  </si>
  <si>
    <t>33.2k</t>
  </si>
  <si>
    <t>RC0603FR-0733K2L</t>
  </si>
  <si>
    <t>R32</t>
  </si>
  <si>
    <t>12.1k</t>
  </si>
  <si>
    <t>RC0603FR-0712K1L</t>
  </si>
  <si>
    <t>R33</t>
  </si>
  <si>
    <t>30.1k</t>
  </si>
  <si>
    <t>RC0603FR-0730K1L</t>
  </si>
  <si>
    <t>R34</t>
  </si>
  <si>
    <t>60.4k</t>
  </si>
  <si>
    <t>RC0603FR-0760k4L</t>
  </si>
  <si>
    <t>R35</t>
  </si>
  <si>
    <t>200</t>
  </si>
  <si>
    <t>RC0603FR-07200RL</t>
  </si>
  <si>
    <t>R36</t>
  </si>
  <si>
    <t>1.1k</t>
  </si>
  <si>
    <t>RC0603FR-071K1L</t>
  </si>
  <si>
    <t>R37</t>
  </si>
  <si>
    <t>2.49k</t>
  </si>
  <si>
    <t>RC0603FR-072K49L</t>
  </si>
  <si>
    <t>R39,R40</t>
  </si>
  <si>
    <t>1500</t>
  </si>
  <si>
    <t>RC0603FR-071K5L</t>
  </si>
  <si>
    <t>R4</t>
  </si>
  <si>
    <t>100k</t>
  </si>
  <si>
    <t>RC0603FR-07100KL</t>
  </si>
  <si>
    <t>R42,R43</t>
  </si>
  <si>
    <t>499</t>
  </si>
  <si>
    <t>RC0603FR-07499RL</t>
  </si>
  <si>
    <t>R46,R49</t>
  </si>
  <si>
    <t>3.01k</t>
  </si>
  <si>
    <t>RC0603FR-073k01L</t>
  </si>
  <si>
    <t>R48</t>
  </si>
  <si>
    <t>27.4k</t>
  </si>
  <si>
    <t>RC0603FR-0727K4L</t>
  </si>
  <si>
    <t>R5</t>
  </si>
  <si>
    <t>332k</t>
  </si>
  <si>
    <t>RC0603FR-07332KL</t>
  </si>
  <si>
    <t>R58</t>
  </si>
  <si>
    <t>120</t>
  </si>
  <si>
    <t>RC0603FR-07120RL</t>
  </si>
  <si>
    <t>R6</t>
  </si>
  <si>
    <t>1M</t>
  </si>
  <si>
    <t>RC0603FR-071ML</t>
  </si>
  <si>
    <t>R61</t>
  </si>
  <si>
    <t>470k</t>
  </si>
  <si>
    <t>RC0603FR-07470KL</t>
  </si>
  <si>
    <t>R63</t>
  </si>
  <si>
    <t>30k</t>
  </si>
  <si>
    <t>RC0603FR-0730KL</t>
  </si>
  <si>
    <t>R64</t>
  </si>
  <si>
    <t>3k</t>
  </si>
  <si>
    <t>RC0603FR-073KL</t>
  </si>
  <si>
    <t>R7</t>
  </si>
  <si>
    <t>3.32M</t>
  </si>
  <si>
    <t>RC0603FR-073M32L</t>
  </si>
  <si>
    <t>R8</t>
  </si>
  <si>
    <t>10M</t>
  </si>
  <si>
    <t>RC0603FR-0710ML</t>
  </si>
  <si>
    <t>R14-R16</t>
  </si>
  <si>
    <t>240</t>
  </si>
  <si>
    <t>RC0603FR-07240RL</t>
  </si>
  <si>
    <t>TP1-TP8</t>
  </si>
  <si>
    <t>RCT-0C</t>
  </si>
  <si>
    <t>PC TEST POINT NATURAL</t>
  </si>
  <si>
    <t>PROBE_PAD_0805</t>
  </si>
  <si>
    <t>TE Connectivity AMP Connectors</t>
  </si>
  <si>
    <t>U1,U15</t>
  </si>
  <si>
    <t>OPA828</t>
  </si>
  <si>
    <t>SOIC-8_3.9x4.9mm_P1.27mm</t>
  </si>
  <si>
    <t>OPA828ID</t>
  </si>
  <si>
    <t>U10</t>
  </si>
  <si>
    <t>LP2951_SOIC</t>
  </si>
  <si>
    <t>LP2951ACDR2G</t>
  </si>
  <si>
    <t>U11</t>
  </si>
  <si>
    <t>OPA991S</t>
  </si>
  <si>
    <t>SOT-23-6</t>
  </si>
  <si>
    <t>OPA991SIDBVR</t>
  </si>
  <si>
    <t>U12,U13</t>
  </si>
  <si>
    <t>TCA9555DBR</t>
  </si>
  <si>
    <t>SSOP-24_5.3x8.2mm_P0.65mm</t>
  </si>
  <si>
    <t>U14,U17</t>
  </si>
  <si>
    <t>DG412xUE</t>
  </si>
  <si>
    <t>TSSOP-16_4.4x5mm_P0.65mm</t>
  </si>
  <si>
    <t>DG412CUE+</t>
  </si>
  <si>
    <t>U16,U20,U21</t>
  </si>
  <si>
    <t>TMUX6111PWR</t>
  </si>
  <si>
    <t>U18</t>
  </si>
  <si>
    <t>AD8421ARZ</t>
  </si>
  <si>
    <t>TSSOP-8_3x3mm_P0.65mm</t>
  </si>
  <si>
    <t>AD8421ARMZ</t>
  </si>
  <si>
    <t>U19,U22</t>
  </si>
  <si>
    <t>TMUX6136PWR</t>
  </si>
  <si>
    <t>U2</t>
  </si>
  <si>
    <t>ADG1208</t>
  </si>
  <si>
    <t>ADG1208YCPZ-REEL7</t>
  </si>
  <si>
    <t>U23</t>
  </si>
  <si>
    <t>OPA188xxDBV</t>
  </si>
  <si>
    <t>TSOT-23-5</t>
  </si>
  <si>
    <t>OPA188AIDBVR</t>
  </si>
  <si>
    <t>U24</t>
  </si>
  <si>
    <t>LMP8350MA_NOPB</t>
  </si>
  <si>
    <t>LMP8350MA/NOPB</t>
  </si>
  <si>
    <t>U6</t>
  </si>
  <si>
    <t>24AA025UID</t>
  </si>
  <si>
    <t>24AA025UIDT-I/SN</t>
  </si>
  <si>
    <t>U7</t>
  </si>
  <si>
    <t>LM337L_SO8</t>
  </si>
  <si>
    <t>LM337LM/NOPB</t>
  </si>
  <si>
    <t>U8,U25</t>
  </si>
  <si>
    <t>OPA2156xD</t>
  </si>
  <si>
    <t>OPA2156IDR</t>
  </si>
  <si>
    <t>U9</t>
  </si>
  <si>
    <t>MCP1804x-3302xOT</t>
  </si>
  <si>
    <t>SOT-23-5</t>
  </si>
  <si>
    <t>MCP1804T-3302I/OT</t>
  </si>
  <si>
    <t>U3-U5</t>
  </si>
  <si>
    <t>G6L-1F-TR-DC5</t>
  </si>
  <si>
    <t>Total Purchase:</t>
  </si>
  <si>
    <t>Purchase description:</t>
  </si>
  <si>
    <t>Used currency rates:</t>
  </si>
  <si>
    <t>USD($)/GBP(£):</t>
  </si>
  <si>
    <t>Prj:</t>
  </si>
  <si>
    <t>Bath/Guard Clamp</t>
  </si>
  <si>
    <t>Co.:</t>
  </si>
  <si>
    <t>UST Electrical Instrumentation</t>
  </si>
  <si>
    <t>Prj date:</t>
  </si>
  <si>
    <t>Thursday, 12 August 2021 at 16:36:47</t>
  </si>
  <si>
    <t>Board Qty:</t>
  </si>
  <si>
    <t>Total Cost:</t>
  </si>
  <si>
    <t>Unit Cost:</t>
  </si>
  <si>
    <t>$ date:</t>
  </si>
  <si>
    <t>2021-08-12 16:39:09</t>
  </si>
  <si>
    <t>Arrow</t>
  </si>
  <si>
    <t>Avail</t>
  </si>
  <si>
    <t>Purch</t>
  </si>
  <si>
    <t>Cat#</t>
  </si>
  <si>
    <t>Digi-Key</t>
  </si>
  <si>
    <t>311-1825-1-ND</t>
  </si>
  <si>
    <t>NonStk</t>
  </si>
  <si>
    <t>311-1073-1-ND</t>
  </si>
  <si>
    <t>311-1423-1-ND</t>
  </si>
  <si>
    <t>311-3968-1-ND</t>
  </si>
  <si>
    <t>1276-3177-1-ND</t>
  </si>
  <si>
    <t>311-4108-1-ND</t>
  </si>
  <si>
    <t>1276-2016-1-ND</t>
  </si>
  <si>
    <t>311-3883-1-ND</t>
  </si>
  <si>
    <t>311-1424-1-ND</t>
  </si>
  <si>
    <t>478-3697-1-ND</t>
  </si>
  <si>
    <t>311-1053-1-ND</t>
  </si>
  <si>
    <t>311-1823-1-ND</t>
  </si>
  <si>
    <t>311-3363-1-ND</t>
  </si>
  <si>
    <t>1276-1932-1-ND</t>
  </si>
  <si>
    <t>1276-3100-1-ND</t>
  </si>
  <si>
    <t>311-1065-1-ND</t>
  </si>
  <si>
    <t>1655-1N4007FLCT-ND</t>
  </si>
  <si>
    <t>490-1055-1-ND</t>
  </si>
  <si>
    <t>296-DAC53401DSGRCT-ND</t>
  </si>
  <si>
    <t>609-4614-1-ND</t>
  </si>
  <si>
    <t>MBT3904DW1T1GOSCT-ND</t>
  </si>
  <si>
    <t>BC856B-7FDICT-ND</t>
  </si>
  <si>
    <t>311-0.0HRCT-ND</t>
  </si>
  <si>
    <t>311-1.13KHRCT-ND</t>
  </si>
  <si>
    <t>311-33.0HRCT-ND</t>
  </si>
  <si>
    <t>311-20.0KHRCT-ND</t>
  </si>
  <si>
    <t>311-10.0KHRCT-ND</t>
  </si>
  <si>
    <t>311-73.2KHRCT-ND</t>
  </si>
  <si>
    <t>408-2037-1-ND</t>
  </si>
  <si>
    <t>311-33.2KHRCT-ND</t>
  </si>
  <si>
    <t>311-12.1KHRCT-ND</t>
  </si>
  <si>
    <t>311-30.1KHRCT-ND</t>
  </si>
  <si>
    <t>311-60.4KHRCT-ND</t>
  </si>
  <si>
    <t>311-200HRCT-ND</t>
  </si>
  <si>
    <t>311-1.10KHRCT-ND</t>
  </si>
  <si>
    <t>311-2.49KHRCT-ND</t>
  </si>
  <si>
    <t>311-1.50KHRCT-ND</t>
  </si>
  <si>
    <t>311-100KHRCT-ND</t>
  </si>
  <si>
    <t>311-499HRCT-ND</t>
  </si>
  <si>
    <t>311-3.01KHRCT-ND</t>
  </si>
  <si>
    <t>311-27.4KHRCT-ND</t>
  </si>
  <si>
    <t>311-332KHRCT-ND</t>
  </si>
  <si>
    <t>311-120HRCT-ND</t>
  </si>
  <si>
    <t>311-1.00MHRCT-ND</t>
  </si>
  <si>
    <t>311-470KHRCT-ND</t>
  </si>
  <si>
    <t>311-30.0KHRCT-ND</t>
  </si>
  <si>
    <t>311-3.00KHRCT-ND</t>
  </si>
  <si>
    <t>13-RC0603FR-073M32LCT-ND</t>
  </si>
  <si>
    <t>311-10.0MHRCT-ND</t>
  </si>
  <si>
    <t>311-240HRCT-ND</t>
  </si>
  <si>
    <t>296-53407-ND</t>
  </si>
  <si>
    <t>LP2951ACDR2GOSCT-ND</t>
  </si>
  <si>
    <t>296-OPA991SIDBVRCT-ND</t>
  </si>
  <si>
    <t>296-44626-1-ND</t>
  </si>
  <si>
    <t>DG412CUE+-ND</t>
  </si>
  <si>
    <t>296-53259-1-ND</t>
  </si>
  <si>
    <t>AD8421ARMZ-ND</t>
  </si>
  <si>
    <t>296-53265-1-ND</t>
  </si>
  <si>
    <t>ADG1208YCPZ-REEL7CT-ND</t>
  </si>
  <si>
    <t>296-40438-1-ND</t>
  </si>
  <si>
    <t>LMP8350MA/NOPB-ND</t>
  </si>
  <si>
    <t>24AA025UIDT-I/SNCT-ND</t>
  </si>
  <si>
    <t>LM337LM/NOPB-ND</t>
  </si>
  <si>
    <t>296-OPA2156IDRCT-ND</t>
  </si>
  <si>
    <t>MCP1804T-3302I/OTCT-ND</t>
  </si>
  <si>
    <t>Z3707CT-ND</t>
  </si>
  <si>
    <t>Farnell</t>
  </si>
  <si>
    <t>3759834</t>
  </si>
  <si>
    <t>430948</t>
  </si>
  <si>
    <t>3369207</t>
  </si>
  <si>
    <t>3759666</t>
  </si>
  <si>
    <t>3759555</t>
  </si>
  <si>
    <t>3369208</t>
  </si>
  <si>
    <t>2690790</t>
  </si>
  <si>
    <t>3759531</t>
  </si>
  <si>
    <t>3369259</t>
  </si>
  <si>
    <t>3369216</t>
  </si>
  <si>
    <t>722042</t>
  </si>
  <si>
    <t>1401077</t>
  </si>
  <si>
    <t>2751197</t>
  </si>
  <si>
    <t>1653615</t>
  </si>
  <si>
    <t>1773623</t>
  </si>
  <si>
    <t>2309106</t>
  </si>
  <si>
    <t>9238301</t>
  </si>
  <si>
    <t>3495765</t>
  </si>
  <si>
    <t>9238603</t>
  </si>
  <si>
    <t>3495819</t>
  </si>
  <si>
    <t>3495729</t>
  </si>
  <si>
    <t>3495809</t>
  </si>
  <si>
    <t>3495888</t>
  </si>
  <si>
    <t>3495763RL</t>
  </si>
  <si>
    <t>1799322</t>
  </si>
  <si>
    <t>3495795</t>
  </si>
  <si>
    <t>2421857</t>
  </si>
  <si>
    <t>2363474</t>
  </si>
  <si>
    <t>3495855</t>
  </si>
  <si>
    <t>3495828</t>
  </si>
  <si>
    <t>3495788</t>
  </si>
  <si>
    <t>3495817</t>
  </si>
  <si>
    <t>2134805</t>
  </si>
  <si>
    <t>9238840</t>
  </si>
  <si>
    <t>2146238</t>
  </si>
  <si>
    <t>3495811</t>
  </si>
  <si>
    <t>3495834</t>
  </si>
  <si>
    <t>9238964</t>
  </si>
  <si>
    <t>3495779</t>
  </si>
  <si>
    <t>2534187</t>
  </si>
  <si>
    <t>3124763</t>
  </si>
  <si>
    <t>2512852</t>
  </si>
  <si>
    <t>2126089</t>
  </si>
  <si>
    <t>2727796</t>
  </si>
  <si>
    <t>3004448</t>
  </si>
  <si>
    <t>3589524</t>
  </si>
  <si>
    <t>3008050</t>
  </si>
  <si>
    <t>1825006</t>
  </si>
  <si>
    <t>LCSC</t>
  </si>
  <si>
    <t>C307567</t>
  </si>
  <si>
    <t>C88997</t>
  </si>
  <si>
    <t>C260879</t>
  </si>
  <si>
    <t>Mouser</t>
  </si>
  <si>
    <t>603CC603MRX7R8BB104</t>
  </si>
  <si>
    <t>603C0603JRNPO9BN221</t>
  </si>
  <si>
    <t>603C0603JRNPO9BN102</t>
  </si>
  <si>
    <t>603CC603JRNPO9BN332</t>
  </si>
  <si>
    <t>187CL31B475KAHNFNE</t>
  </si>
  <si>
    <t>603CC603MRX7R8BB103</t>
  </si>
  <si>
    <t>187CL10B225KP8NFNC</t>
  </si>
  <si>
    <t>603CC603FRNPO0BN680</t>
  </si>
  <si>
    <t>603C0603JRNPO9BN200</t>
  </si>
  <si>
    <t>58106031A8R0CAT2A</t>
  </si>
  <si>
    <t>603CC603CRNPO9BN4R0</t>
  </si>
  <si>
    <t>603CC603MRX5R8BB105</t>
  </si>
  <si>
    <t>603CC603JRX7R9BB472</t>
  </si>
  <si>
    <t>187CL10B104KA8NNWC</t>
  </si>
  <si>
    <t>187CL31B106KAHNFNE</t>
  </si>
  <si>
    <t>603CC603JRNPO9BN470</t>
  </si>
  <si>
    <t>81BLM31P500S</t>
  </si>
  <si>
    <t>595DAC53401DSGR</t>
  </si>
  <si>
    <t>64910029449111RLF</t>
  </si>
  <si>
    <t>863MBT3904DW1T1G</t>
  </si>
  <si>
    <t>621BC856B7F</t>
  </si>
  <si>
    <t>603RC0603FR070RL</t>
  </si>
  <si>
    <t>603RC0603FR071K13L</t>
  </si>
  <si>
    <t>603RC0603FR0733RL</t>
  </si>
  <si>
    <t>603RC0603FR0720KL</t>
  </si>
  <si>
    <t>603RC0603FR0710KL</t>
  </si>
  <si>
    <t>603RC0603FR0773K2L</t>
  </si>
  <si>
    <t>754RG3216P4704BT1</t>
  </si>
  <si>
    <t>603RC0603FR0733K2L</t>
  </si>
  <si>
    <t>603RC0603FR0712K1L</t>
  </si>
  <si>
    <t>603RC0603FR0730K1L</t>
  </si>
  <si>
    <t>603RC0603FR0760K4L</t>
  </si>
  <si>
    <t>603RC0603FR07200RL</t>
  </si>
  <si>
    <t>603RC0603FR071K1L</t>
  </si>
  <si>
    <t>603RC0603FR072K49L</t>
  </si>
  <si>
    <t>603RC0603FR071K5L</t>
  </si>
  <si>
    <t>603RC0603FR07100KL</t>
  </si>
  <si>
    <t>603RC0603FR07499RL</t>
  </si>
  <si>
    <t>603RC0603FR073K01L</t>
  </si>
  <si>
    <t>603RC0603FR0727K4L</t>
  </si>
  <si>
    <t>603RC0603FR07332KL</t>
  </si>
  <si>
    <t>603RC0603FR07120RL</t>
  </si>
  <si>
    <t>603RC0603FR071ML</t>
  </si>
  <si>
    <t>603RC0603FR07470KL</t>
  </si>
  <si>
    <t>603RC0603FR0730KL</t>
  </si>
  <si>
    <t>603RC0603FR073KL</t>
  </si>
  <si>
    <t>603RC0603FR073M32L</t>
  </si>
  <si>
    <t>603RC0603FR0710ML</t>
  </si>
  <si>
    <t>603RC0603FR07240RL</t>
  </si>
  <si>
    <t>595OPA828ID</t>
  </si>
  <si>
    <t>863LP2951ACDR2G</t>
  </si>
  <si>
    <t>595OPA991SIDBVR</t>
  </si>
  <si>
    <t>595TCA9555DBR</t>
  </si>
  <si>
    <t>700DG412CUE</t>
  </si>
  <si>
    <t>595TMUX6111PWR</t>
  </si>
  <si>
    <t>584AD8421ARMZ</t>
  </si>
  <si>
    <t>595TMUX6136PWR</t>
  </si>
  <si>
    <t>584ADG1208YCPZR7</t>
  </si>
  <si>
    <t>595OPA188AIDBVR</t>
  </si>
  <si>
    <t>926LMP8350MA/NOPB</t>
  </si>
  <si>
    <t>57924AA025UIDTI/SN</t>
  </si>
  <si>
    <t>926LM337LM/NOPB</t>
  </si>
  <si>
    <t>595OPA2156IDR</t>
  </si>
  <si>
    <t>579MCP1804T3302IOT</t>
  </si>
  <si>
    <t>653G6L1FTRDC5</t>
  </si>
  <si>
    <t>Newark</t>
  </si>
  <si>
    <t>50AJ2733</t>
  </si>
  <si>
    <t>68C4428</t>
  </si>
  <si>
    <t>68R4714</t>
  </si>
  <si>
    <t>50AJ2656</t>
  </si>
  <si>
    <t>68R4721</t>
  </si>
  <si>
    <t>84AC3318</t>
  </si>
  <si>
    <t>40AJ6458</t>
  </si>
  <si>
    <t>40AJ6419</t>
  </si>
  <si>
    <t>07AH5406</t>
  </si>
  <si>
    <t>46WX095</t>
  </si>
  <si>
    <t>76T8273</t>
  </si>
  <si>
    <t>88H4687</t>
  </si>
  <si>
    <t>51R6401</t>
  </si>
  <si>
    <t>50Y7761</t>
  </si>
  <si>
    <t>26M6756</t>
  </si>
  <si>
    <t>82AH8092</t>
  </si>
  <si>
    <t>68R0049</t>
  </si>
  <si>
    <t>82AH8138</t>
  </si>
  <si>
    <t>82AH8057</t>
  </si>
  <si>
    <t>82AH8128</t>
  </si>
  <si>
    <t>82AH8198</t>
  </si>
  <si>
    <t>82AH8096</t>
  </si>
  <si>
    <t>82AH8042</t>
  </si>
  <si>
    <t>82AH8086</t>
  </si>
  <si>
    <t>68R0045</t>
  </si>
  <si>
    <t>68R0051</t>
  </si>
  <si>
    <t>82AH8174</t>
  </si>
  <si>
    <t>82AH8119</t>
  </si>
  <si>
    <t>82AH8115</t>
  </si>
  <si>
    <t>82AH8140</t>
  </si>
  <si>
    <t>68R0056</t>
  </si>
  <si>
    <t>98K7342</t>
  </si>
  <si>
    <t>98K7413</t>
  </si>
  <si>
    <t>82AH8127</t>
  </si>
  <si>
    <t>68R0078</t>
  </si>
  <si>
    <t>98K7344</t>
  </si>
  <si>
    <t>82AH8111</t>
  </si>
  <si>
    <t>81Y6469</t>
  </si>
  <si>
    <t>26AJ9813</t>
  </si>
  <si>
    <t>73Y0968</t>
  </si>
  <si>
    <t>28AH2880</t>
  </si>
  <si>
    <t>70W1671</t>
  </si>
  <si>
    <t>29AH6303</t>
  </si>
  <si>
    <t>52R9938</t>
  </si>
  <si>
    <t>26K6105</t>
  </si>
  <si>
    <t>RS Components</t>
  </si>
  <si>
    <t>2006485</t>
  </si>
  <si>
    <t>2006470</t>
  </si>
  <si>
    <t>1356579</t>
  </si>
  <si>
    <t>2006522</t>
  </si>
  <si>
    <t>2006495</t>
  </si>
  <si>
    <t>7241589</t>
  </si>
  <si>
    <t>1822113</t>
  </si>
  <si>
    <t>7114850</t>
  </si>
  <si>
    <t>1995548</t>
  </si>
  <si>
    <t>1995490</t>
  </si>
  <si>
    <t>1995443</t>
  </si>
  <si>
    <t>1995543</t>
  </si>
  <si>
    <t>1995488</t>
  </si>
  <si>
    <t>1995473</t>
  </si>
  <si>
    <t>1995438</t>
  </si>
  <si>
    <t>1995585</t>
  </si>
  <si>
    <t>1995558</t>
  </si>
  <si>
    <t>1995481</t>
  </si>
  <si>
    <t>1995573</t>
  </si>
  <si>
    <t>1995537</t>
  </si>
  <si>
    <t>1995567</t>
  </si>
  <si>
    <t>5048962</t>
  </si>
  <si>
    <t>6889363</t>
  </si>
  <si>
    <t>8067988P</t>
  </si>
  <si>
    <t>5361322</t>
  </si>
  <si>
    <t>7047637</t>
  </si>
  <si>
    <t>TME</t>
  </si>
  <si>
    <t>CC0603JRNPO9221</t>
  </si>
  <si>
    <t>CC0603JRNPO9102</t>
  </si>
  <si>
    <t>CC0603JRNPO9470</t>
  </si>
  <si>
    <t>BC856B7F</t>
  </si>
  <si>
    <t>RC0603FR070RL</t>
  </si>
  <si>
    <t>RC0603FR0733RL</t>
  </si>
  <si>
    <t>RC0603FR0720K</t>
  </si>
  <si>
    <t>RC0603FR0710K</t>
  </si>
  <si>
    <t>RC0603FR0733K2L</t>
  </si>
  <si>
    <t>RC0603FR0712K1L</t>
  </si>
  <si>
    <t>RC0603FR0730K1L</t>
  </si>
  <si>
    <t>RC0603FR07200RL</t>
  </si>
  <si>
    <t>RC0603FR071K1L</t>
  </si>
  <si>
    <t>RC0603FR072K49L</t>
  </si>
  <si>
    <t>RC0603FR071K5</t>
  </si>
  <si>
    <t>RC0603FR07100K</t>
  </si>
  <si>
    <t>RC0603FR07499RL</t>
  </si>
  <si>
    <t>RC0603FR073K01L</t>
  </si>
  <si>
    <t>RC0603FR0727K4L</t>
  </si>
  <si>
    <t>RC0603FR07120RL</t>
  </si>
  <si>
    <t>RC0603FR071M</t>
  </si>
  <si>
    <t>RC0603FR07470KL</t>
  </si>
  <si>
    <t>RC0603FR0730KL</t>
  </si>
  <si>
    <t>RC0603FR073K</t>
  </si>
  <si>
    <t>RC0603FR0710ML</t>
  </si>
  <si>
    <t>RC0603FR07240RL</t>
  </si>
  <si>
    <t>MCP1804T3302I/OT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</si>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</sst>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ctopart.com/click/track?c=1&amp;ai=8078&amp;sig=0d3c707&amp;sid=459&amp;ppid=12817663&amp;vpid=193846562&amp;ct=offers" TargetMode="External"/><Relationship Id="rId2" Type="http://schemas.openxmlformats.org/officeDocument/2006/relationships/hyperlink" Target="https://octopart.com/click/track?c=1&amp;ai=8078&amp;sig=060b4e1&amp;sid=11744&amp;ppid=12817663&amp;vpid=718348350&amp;ct=offers" TargetMode="External"/><Relationship Id="rId3" Type="http://schemas.openxmlformats.org/officeDocument/2006/relationships/hyperlink" Target="https://octopart.com/click/track?ai=8078&amp;sig=08422d9&amp;sid=2401&amp;ppid=12817663&amp;vpid=238670869&amp;ct=offers" TargetMode="External"/><Relationship Id="rId4" Type="http://schemas.openxmlformats.org/officeDocument/2006/relationships/hyperlink" Target="https://octopart.com/click/track?c=1&amp;ai=8078&amp;sig=06ce7bf&amp;sid=2402&amp;ppid=12817663&amp;vpid=719401272&amp;ct=offers" TargetMode="External"/><Relationship Id="rId5" Type="http://schemas.openxmlformats.org/officeDocument/2006/relationships/hyperlink" Target="https://octopart.com/click/track?c=1&amp;ai=8078&amp;sig=0c9b474&amp;sid=459&amp;ppid=8409962&amp;vpid=119670961&amp;ct=offers" TargetMode="External"/><Relationship Id="rId6" Type="http://schemas.openxmlformats.org/officeDocument/2006/relationships/hyperlink" Target="https://octopart.com/click/track?ai=8078&amp;sig=0d4ae36&amp;sid=819&amp;ppid=8409962&amp;vpid=521334857&amp;ct=offers" TargetMode="External"/><Relationship Id="rId7" Type="http://schemas.openxmlformats.org/officeDocument/2006/relationships/hyperlink" Target="https://octopart.com/click/track?ai=8078&amp;sig=0832ebe&amp;sid=2401&amp;ppid=8409962&amp;vpid=116521266&amp;ct=offers" TargetMode="External"/><Relationship Id="rId8" Type="http://schemas.openxmlformats.org/officeDocument/2006/relationships/hyperlink" Target="https://octopart.com/click/track?ai=8078&amp;sig=0c44f61&amp;sid=2402&amp;ppid=8409962&amp;vpid=115423480&amp;ct=offers" TargetMode="External"/><Relationship Id="rId9" Type="http://schemas.openxmlformats.org/officeDocument/2006/relationships/hyperlink" Target="https://octopart.com/click/track?ai=8078&amp;sig=0c2cbbc&amp;sid=10022&amp;ppid=8409962&amp;vpid=658005358&amp;ct=offers" TargetMode="External"/><Relationship Id="rId10" Type="http://schemas.openxmlformats.org/officeDocument/2006/relationships/hyperlink" Target="https://octopart.com/click/track?ai=8078&amp;sig=0a9ca68&amp;sid=1532&amp;ppid=8409962&amp;vpid=709256882&amp;ct=offers" TargetMode="External"/><Relationship Id="rId11" Type="http://schemas.openxmlformats.org/officeDocument/2006/relationships/hyperlink" Target="https://octopart.com/click/track?ai=8078&amp;sig=0ae7871&amp;sid=459&amp;ppid=9292454&amp;vpid=45699632&amp;ct=offers" TargetMode="External"/><Relationship Id="rId12" Type="http://schemas.openxmlformats.org/officeDocument/2006/relationships/hyperlink" Target="https://octopart.com/click/track?ai=8078&amp;sig=0288f91&amp;sid=11744&amp;ppid=9292454&amp;vpid=667996749&amp;ct=offers" TargetMode="External"/><Relationship Id="rId13" Type="http://schemas.openxmlformats.org/officeDocument/2006/relationships/hyperlink" Target="https://octopart.com/click/track?ai=8078&amp;sig=08b9619&amp;sid=2401&amp;ppid=9292454&amp;vpid=39335198&amp;ct=offers" TargetMode="External"/><Relationship Id="rId14" Type="http://schemas.openxmlformats.org/officeDocument/2006/relationships/hyperlink" Target="https://octopart.com/click/track?ai=8078&amp;sig=0187d57&amp;sid=2402&amp;ppid=9292454&amp;vpid=21910781&amp;ct=offers" TargetMode="External"/><Relationship Id="rId15" Type="http://schemas.openxmlformats.org/officeDocument/2006/relationships/hyperlink" Target="https://octopart.com/click/track?ai=8078&amp;sig=0e63bc3&amp;sid=10022&amp;ppid=9292454&amp;vpid=635571335&amp;ct=offers" TargetMode="External"/><Relationship Id="rId16" Type="http://schemas.openxmlformats.org/officeDocument/2006/relationships/hyperlink" Target="https://octopart.com/click/track?ai=8078&amp;sig=03213ee&amp;sid=1532&amp;ppid=9292454&amp;vpid=709256875&amp;ct=offers" TargetMode="External"/><Relationship Id="rId17" Type="http://schemas.openxmlformats.org/officeDocument/2006/relationships/hyperlink" Target="https://octopart.com/click/track?ai=8078&amp;sig=0b38a70&amp;sid=459&amp;ppid=30511391&amp;vpid=457174873&amp;ct=offers" TargetMode="External"/><Relationship Id="rId18" Type="http://schemas.openxmlformats.org/officeDocument/2006/relationships/hyperlink" Target="https://octopart.com/click/track?c=1&amp;ai=8078&amp;sig=04160d3&amp;sid=11744&amp;ppid=30511391&amp;vpid=718348273&amp;ct=offers" TargetMode="External"/><Relationship Id="rId19" Type="http://schemas.openxmlformats.org/officeDocument/2006/relationships/hyperlink" Target="https://octopart.com/click/track?c=1&amp;ai=8078&amp;sig=0d95e35&amp;sid=2401&amp;ppid=30511391&amp;vpid=202863501&amp;ct=offers" TargetMode="External"/><Relationship Id="rId20" Type="http://schemas.openxmlformats.org/officeDocument/2006/relationships/hyperlink" Target="https://octopart.com/click/track?c=1&amp;ai=8078&amp;sig=0754508&amp;sid=2402&amp;ppid=30511391&amp;vpid=719401195&amp;ct=offers" TargetMode="External"/><Relationship Id="rId21" Type="http://schemas.openxmlformats.org/officeDocument/2006/relationships/hyperlink" Target="https://octopart.com/click/track?ai=8078&amp;sig=043d275&amp;sid=459&amp;ppid=22240773&amp;vpid=72528537&amp;ct=offers" TargetMode="External"/><Relationship Id="rId22" Type="http://schemas.openxmlformats.org/officeDocument/2006/relationships/hyperlink" Target="https://octopart.com/click/track?ai=8078&amp;sig=0f8a7b1&amp;sid=2401&amp;ppid=22240773&amp;vpid=659502020&amp;ct=offers" TargetMode="External"/><Relationship Id="rId23" Type="http://schemas.openxmlformats.org/officeDocument/2006/relationships/hyperlink" Target="https://octopart.com/click/track?ai=8078&amp;sig=00a7cb2&amp;sid=459&amp;ppid=18816920&amp;vpid=457175301&amp;ct=offers" TargetMode="External"/><Relationship Id="rId24" Type="http://schemas.openxmlformats.org/officeDocument/2006/relationships/hyperlink" Target="https://octopart.com/click/track?c=1&amp;ai=8078&amp;sig=007bc63&amp;sid=2401&amp;ppid=18816920&amp;vpid=269059949&amp;ct=offers" TargetMode="External"/><Relationship Id="rId25" Type="http://schemas.openxmlformats.org/officeDocument/2006/relationships/hyperlink" Target="https://octopart.com/click/track?c=1&amp;ai=8078&amp;sig=06f4a0d&amp;sid=459&amp;ppid=22240545&amp;vpid=72524198&amp;ct=offers" TargetMode="External"/><Relationship Id="rId26" Type="http://schemas.openxmlformats.org/officeDocument/2006/relationships/hyperlink" Target="https://octopart.com/click/track?ai=8078&amp;sig=0a1d77b&amp;sid=2401&amp;ppid=22240545&amp;vpid=659501208&amp;ct=offers" TargetMode="External"/><Relationship Id="rId27" Type="http://schemas.openxmlformats.org/officeDocument/2006/relationships/hyperlink" Target="https://octopart.com/click/track?c=1&amp;ai=8078&amp;sig=0d3c707&amp;sid=459&amp;ppid=12817663&amp;vpid=193846562&amp;ct=offers" TargetMode="External"/><Relationship Id="rId28" Type="http://schemas.openxmlformats.org/officeDocument/2006/relationships/hyperlink" Target="https://octopart.com/click/track?c=1&amp;ai=8078&amp;sig=060b4e1&amp;sid=11744&amp;ppid=12817663&amp;vpid=718348350&amp;ct=offers" TargetMode="External"/><Relationship Id="rId29" Type="http://schemas.openxmlformats.org/officeDocument/2006/relationships/hyperlink" Target="https://octopart.com/click/track?ai=8078&amp;sig=08422d9&amp;sid=2401&amp;ppid=12817663&amp;vpid=238670869&amp;ct=offers" TargetMode="External"/><Relationship Id="rId30" Type="http://schemas.openxmlformats.org/officeDocument/2006/relationships/hyperlink" Target="https://octopart.com/click/track?c=1&amp;ai=8078&amp;sig=06ce7bf&amp;sid=2402&amp;ppid=12817663&amp;vpid=719401272&amp;ct=offers" TargetMode="External"/><Relationship Id="rId31" Type="http://schemas.openxmlformats.org/officeDocument/2006/relationships/hyperlink" Target="https://octopart.com/click/track?ai=8078&amp;sig=0192cad&amp;sid=459&amp;ppid=71334416&amp;vpid=457174593&amp;ct=offers" TargetMode="External"/><Relationship Id="rId32" Type="http://schemas.openxmlformats.org/officeDocument/2006/relationships/hyperlink" Target="https://octopart.com/click/track?c=1&amp;ai=8078&amp;sig=043461d&amp;sid=819&amp;ppid=71334416&amp;vpid=720554829&amp;ct=offers" TargetMode="External"/><Relationship Id="rId33" Type="http://schemas.openxmlformats.org/officeDocument/2006/relationships/hyperlink" Target="https://octopart.com/click/track?ai=8078&amp;sig=025923c&amp;sid=2401&amp;ppid=71334416&amp;vpid=459006473&amp;ct=offers" TargetMode="External"/><Relationship Id="rId34" Type="http://schemas.openxmlformats.org/officeDocument/2006/relationships/hyperlink" Target="https://octopart.com/click/track?ai=8078&amp;sig=04d8db1&amp;sid=459&amp;ppid=7455984&amp;vpid=45699635&amp;ct=offers" TargetMode="External"/><Relationship Id="rId35" Type="http://schemas.openxmlformats.org/officeDocument/2006/relationships/hyperlink" Target="https://octopart.com/click/track?ai=8078&amp;sig=08ca3d9&amp;sid=11744&amp;ppid=7455984&amp;vpid=667996750&amp;ct=offers" TargetMode="External"/><Relationship Id="rId36" Type="http://schemas.openxmlformats.org/officeDocument/2006/relationships/hyperlink" Target="https://octopart.com/click/track?ai=8078&amp;sig=04695e8&amp;sid=2401&amp;ppid=7455984&amp;vpid=200637324&amp;ct=offers" TargetMode="External"/><Relationship Id="rId37" Type="http://schemas.openxmlformats.org/officeDocument/2006/relationships/hyperlink" Target="https://octopart.com/click/track?ai=8078&amp;sig=07bab88&amp;sid=2402&amp;ppid=7455984&amp;vpid=21910795&amp;ct=offers" TargetMode="External"/><Relationship Id="rId38" Type="http://schemas.openxmlformats.org/officeDocument/2006/relationships/hyperlink" Target="https://octopart.com/click/track?ai=8078&amp;sig=0a81140&amp;sid=1532&amp;ppid=7455984&amp;vpid=709256880&amp;ct=offers" TargetMode="External"/><Relationship Id="rId39" Type="http://schemas.openxmlformats.org/officeDocument/2006/relationships/hyperlink" Target="https://octopart.com/click/track?ai=8078&amp;sig=0e2446c&amp;sid=459&amp;ppid=195737&amp;vpid=1224651&amp;ct=offers" TargetMode="External"/><Relationship Id="rId40" Type="http://schemas.openxmlformats.org/officeDocument/2006/relationships/hyperlink" Target="https://octopart.com/click/track?c=1&amp;ai=8078&amp;sig=052646d&amp;sid=819&amp;ppid=195737&amp;vpid=409490604&amp;ct=offers" TargetMode="External"/><Relationship Id="rId41" Type="http://schemas.openxmlformats.org/officeDocument/2006/relationships/hyperlink" Target="https://octopart.com/click/track?ai=8078&amp;sig=0df86b4&amp;sid=2401&amp;ppid=195737&amp;vpid=37838211&amp;ct=offers" TargetMode="External"/><Relationship Id="rId42" Type="http://schemas.openxmlformats.org/officeDocument/2006/relationships/hyperlink" Target="https://octopart.com/click/track?c=1&amp;ai=8078&amp;sig=067a669&amp;sid=2402&amp;ppid=195737&amp;vpid=634292431&amp;ct=offers" TargetMode="External"/><Relationship Id="rId43" Type="http://schemas.openxmlformats.org/officeDocument/2006/relationships/hyperlink" Target="https://octopart.com/click/track?ai=8078&amp;sig=011a67b&amp;sid=10022&amp;ppid=195737&amp;vpid=500983467&amp;ct=offers" TargetMode="External"/><Relationship Id="rId44" Type="http://schemas.openxmlformats.org/officeDocument/2006/relationships/hyperlink" Target="https://octopart.com/click/track?c=1&amp;ai=8078&amp;sig=00e8d7f&amp;sid=459&amp;ppid=192906&amp;vpid=45680527&amp;ct=offers" TargetMode="External"/><Relationship Id="rId45" Type="http://schemas.openxmlformats.org/officeDocument/2006/relationships/hyperlink" Target="https://octopart.com/click/track?c=1&amp;ai=8078&amp;sig=01ae1d8&amp;sid=819&amp;ppid=192906&amp;vpid=720554815&amp;ct=offers" TargetMode="External"/><Relationship Id="rId46" Type="http://schemas.openxmlformats.org/officeDocument/2006/relationships/hyperlink" Target="https://octopart.com/click/track?c=1&amp;ai=8078&amp;sig=0d36311&amp;sid=2401&amp;ppid=192906&amp;vpid=200637316&amp;ct=offers" TargetMode="External"/><Relationship Id="rId47" Type="http://schemas.openxmlformats.org/officeDocument/2006/relationships/hyperlink" Target="https://octopart.com/click/track?ai=8078&amp;sig=0eca1c5&amp;sid=459&amp;ppid=57080766&amp;vpid=193846556&amp;ct=offers" TargetMode="External"/><Relationship Id="rId48" Type="http://schemas.openxmlformats.org/officeDocument/2006/relationships/hyperlink" Target="https://octopart.com/click/track?ai=8078&amp;sig=06e2530&amp;sid=819&amp;ppid=57080766&amp;vpid=667702762&amp;ct=offers" TargetMode="External"/><Relationship Id="rId49" Type="http://schemas.openxmlformats.org/officeDocument/2006/relationships/hyperlink" Target="https://octopart.com/click/track?ai=8078&amp;sig=0182d2b&amp;sid=2401&amp;ppid=57080766&amp;vpid=219547870&amp;ct=offers" TargetMode="External"/><Relationship Id="rId50" Type="http://schemas.openxmlformats.org/officeDocument/2006/relationships/hyperlink" Target="https://octopart.com/click/track?ai=8078&amp;sig=0423e53&amp;sid=2402&amp;ppid=57080766&amp;vpid=717119554&amp;ct=offers" TargetMode="External"/><Relationship Id="rId51" Type="http://schemas.openxmlformats.org/officeDocument/2006/relationships/hyperlink" Target="https://octopart.com/click/track?c=1&amp;ai=8078&amp;sig=0529e63&amp;sid=459&amp;ppid=9291745&amp;vpid=418658245&amp;ct=offers" TargetMode="External"/><Relationship Id="rId52" Type="http://schemas.openxmlformats.org/officeDocument/2006/relationships/hyperlink" Target="https://octopart.com/click/track?ai=8078&amp;sig=0923cce&amp;sid=819&amp;ppid=9291745&amp;vpid=667702680&amp;ct=offers" TargetMode="External"/><Relationship Id="rId53" Type="http://schemas.openxmlformats.org/officeDocument/2006/relationships/hyperlink" Target="https://octopart.com/click/track?ai=8078&amp;sig=03f63a0&amp;sid=2401&amp;ppid=9291745&amp;vpid=191440200&amp;ct=offers" TargetMode="External"/><Relationship Id="rId54" Type="http://schemas.openxmlformats.org/officeDocument/2006/relationships/hyperlink" Target="https://octopart.com/click/track?c=1&amp;ai=8078&amp;sig=0d5b2b0&amp;sid=2402&amp;ppid=9291745&amp;vpid=717119523&amp;ct=offers" TargetMode="External"/><Relationship Id="rId55" Type="http://schemas.openxmlformats.org/officeDocument/2006/relationships/hyperlink" Target="https://octopart.com/click/track?ai=8078&amp;sig=0996d37&amp;sid=10022&amp;ppid=9291745&amp;vpid=661517060&amp;ct=offers" TargetMode="External"/><Relationship Id="rId56" Type="http://schemas.openxmlformats.org/officeDocument/2006/relationships/hyperlink" Target="https://octopart.com/click/track?ai=8078&amp;sig=0abac32&amp;sid=459&amp;ppid=24957910&amp;vpid=72523878&amp;ct=offers" TargetMode="External"/><Relationship Id="rId57" Type="http://schemas.openxmlformats.org/officeDocument/2006/relationships/hyperlink" Target="https://octopart.com/click/track?ai=8078&amp;sig=0d431dc&amp;sid=2401&amp;ppid=24957910&amp;vpid=658751325&amp;ct=offers" TargetMode="External"/><Relationship Id="rId58" Type="http://schemas.openxmlformats.org/officeDocument/2006/relationships/hyperlink" Target="https://octopart.com/click/track?c=1&amp;ai=8078&amp;sig=02160d2&amp;sid=459&amp;ppid=19832869&amp;vpid=72528090&amp;ct=offers" TargetMode="External"/><Relationship Id="rId59" Type="http://schemas.openxmlformats.org/officeDocument/2006/relationships/hyperlink" Target="https://octopart.com/click/track?ai=8078&amp;sig=0f557d2&amp;sid=27971&amp;ppid=19832869&amp;vpid=507188940&amp;ct=offers" TargetMode="External"/><Relationship Id="rId60" Type="http://schemas.openxmlformats.org/officeDocument/2006/relationships/hyperlink" Target="https://octopart.com/click/track?c=1&amp;ai=8078&amp;sig=0babd5b&amp;sid=2401&amp;ppid=19832869&amp;vpid=659501964&amp;ct=offers" TargetMode="External"/><Relationship Id="rId61" Type="http://schemas.openxmlformats.org/officeDocument/2006/relationships/hyperlink" Target="https://octopart.com/click/track?c=1&amp;ai=8078&amp;sig=0f7cbff&amp;sid=2402&amp;ppid=19832869&amp;vpid=550535710&amp;ct=offers" TargetMode="External"/><Relationship Id="rId62" Type="http://schemas.openxmlformats.org/officeDocument/2006/relationships/hyperlink" Target="https://octopart.com/click/track?c=1&amp;ai=8078&amp;sig=0529e63&amp;sid=459&amp;ppid=9291745&amp;vpid=418658245&amp;ct=offers" TargetMode="External"/><Relationship Id="rId63" Type="http://schemas.openxmlformats.org/officeDocument/2006/relationships/hyperlink" Target="https://octopart.com/click/track?ai=8078&amp;sig=0923cce&amp;sid=819&amp;ppid=9291745&amp;vpid=667702680&amp;ct=offers" TargetMode="External"/><Relationship Id="rId64" Type="http://schemas.openxmlformats.org/officeDocument/2006/relationships/hyperlink" Target="https://octopart.com/click/track?ai=8078&amp;sig=03f63a0&amp;sid=2401&amp;ppid=9291745&amp;vpid=191440200&amp;ct=offers" TargetMode="External"/><Relationship Id="rId65" Type="http://schemas.openxmlformats.org/officeDocument/2006/relationships/hyperlink" Target="https://octopart.com/click/track?c=1&amp;ai=8078&amp;sig=0d5b2b0&amp;sid=2402&amp;ppid=9291745&amp;vpid=717119523&amp;ct=offers" TargetMode="External"/><Relationship Id="rId66" Type="http://schemas.openxmlformats.org/officeDocument/2006/relationships/hyperlink" Target="https://octopart.com/click/track?ai=8078&amp;sig=0996d37&amp;sid=10022&amp;ppid=9291745&amp;vpid=661517060&amp;ct=offers" TargetMode="External"/><Relationship Id="rId67" Type="http://schemas.openxmlformats.org/officeDocument/2006/relationships/hyperlink" Target="https://octopart.com/click/track?ai=8078&amp;sig=02bfd01&amp;sid=459&amp;ppid=39467680&amp;vpid=115141221&amp;ct=offers" TargetMode="External"/><Relationship Id="rId68" Type="http://schemas.openxmlformats.org/officeDocument/2006/relationships/hyperlink" Target="https://octopart.com/click/track?ai=8078&amp;sig=0b119cc&amp;sid=819&amp;ppid=39467680&amp;vpid=508509117&amp;ct=offers" TargetMode="External"/><Relationship Id="rId69" Type="http://schemas.openxmlformats.org/officeDocument/2006/relationships/hyperlink" Target="https://octopart.com/click/track?ai=8078&amp;sig=08b0e04&amp;sid=2401&amp;ppid=39467680&amp;vpid=116521267&amp;ct=offers" TargetMode="External"/><Relationship Id="rId70" Type="http://schemas.openxmlformats.org/officeDocument/2006/relationships/hyperlink" Target="https://octopart.com/click/track?ai=8078&amp;sig=066e7bb&amp;sid=2402&amp;ppid=39467680&amp;vpid=115423489&amp;ct=offers" TargetMode="External"/><Relationship Id="rId71" Type="http://schemas.openxmlformats.org/officeDocument/2006/relationships/hyperlink" Target="https://octopart.com/click/track?ai=8078&amp;sig=042e117&amp;sid=10022&amp;ppid=39467680&amp;vpid=658005359&amp;ct=offers" TargetMode="External"/><Relationship Id="rId72" Type="http://schemas.openxmlformats.org/officeDocument/2006/relationships/hyperlink" Target="https://octopart.com/click/track?ai=8078&amp;sig=05969a8&amp;sid=1532&amp;ppid=39467680&amp;vpid=709256886&amp;ct=offers" TargetMode="External"/><Relationship Id="rId73" Type="http://schemas.openxmlformats.org/officeDocument/2006/relationships/hyperlink" Target="https://octopart.com/click/track?c=1&amp;ai=8078&amp;sig=0fef56a&amp;sid=459&amp;ppid=107926047&amp;vpid=612771933&amp;ct=offers" TargetMode="External"/><Relationship Id="rId74" Type="http://schemas.openxmlformats.org/officeDocument/2006/relationships/hyperlink" Target="https://octopart.com/click/track?ai=8078&amp;sig=0ac572b&amp;sid=459&amp;ppid=26207&amp;vpid=1445751&amp;ct=offers" TargetMode="External"/><Relationship Id="rId75" Type="http://schemas.openxmlformats.org/officeDocument/2006/relationships/hyperlink" Target="https://octopart.com/click/track?c=1&amp;ai=8078&amp;sig=0b0dbfb&amp;sid=11744&amp;ppid=26207&amp;vpid=725898673&amp;ct=offers" TargetMode="External"/><Relationship Id="rId76" Type="http://schemas.openxmlformats.org/officeDocument/2006/relationships/hyperlink" Target="https://octopart.com/click/track?ai=8078&amp;sig=0931601&amp;sid=27971&amp;ppid=26207&amp;vpid=445986641&amp;ct=offers" TargetMode="External"/><Relationship Id="rId77" Type="http://schemas.openxmlformats.org/officeDocument/2006/relationships/hyperlink" Target="https://octopart.com/click/track?ai=8078&amp;sig=02c64dd&amp;sid=2401&amp;ppid=26207&amp;vpid=37601758&amp;ct=offers" TargetMode="External"/><Relationship Id="rId78" Type="http://schemas.openxmlformats.org/officeDocument/2006/relationships/hyperlink" Target="https://octopart.com/click/track?ai=8078&amp;sig=0a36d9d&amp;sid=10022&amp;ppid=26207&amp;vpid=199071165&amp;ct=offers" TargetMode="External"/><Relationship Id="rId79" Type="http://schemas.openxmlformats.org/officeDocument/2006/relationships/hyperlink" Target="https://octopart.com/click/track?ai=8078&amp;sig=09a4496&amp;sid=1532&amp;ppid=26207&amp;vpid=709097456&amp;ct=offers" TargetMode="External"/><Relationship Id="rId80" Type="http://schemas.openxmlformats.org/officeDocument/2006/relationships/hyperlink" Target="https://octopart.com/click/track?c=1&amp;ai=8078&amp;sig=0c70e06&amp;sid=459&amp;ppid=106221412&amp;vpid=600487049&amp;ct=offers" TargetMode="External"/><Relationship Id="rId81" Type="http://schemas.openxmlformats.org/officeDocument/2006/relationships/hyperlink" Target="https://octopart.com/click/track?ai=8078&amp;sig=047be1e&amp;sid=2401&amp;ppid=106221412&amp;vpid=605324907&amp;ct=offers" TargetMode="External"/><Relationship Id="rId82" Type="http://schemas.openxmlformats.org/officeDocument/2006/relationships/hyperlink" Target="https://en.wikipedia.org/wiki/HDMI" TargetMode="External"/><Relationship Id="rId83" Type="http://schemas.openxmlformats.org/officeDocument/2006/relationships/hyperlink" Target="https://octopart.com/click/track?ai=8078&amp;sig=065fd85&amp;sid=459&amp;ppid=90332945&amp;vpid=531263891&amp;ct=offers" TargetMode="External"/><Relationship Id="rId84" Type="http://schemas.openxmlformats.org/officeDocument/2006/relationships/hyperlink" Target="https://octopart.com/click/track?ai=8078&amp;sig=055f209&amp;sid=11744&amp;ppid=90332945&amp;vpid=474302156&amp;ct=offers" TargetMode="External"/><Relationship Id="rId85" Type="http://schemas.openxmlformats.org/officeDocument/2006/relationships/hyperlink" Target="https://octopart.com/click/track?ai=8078&amp;sig=069f759&amp;sid=2401&amp;ppid=90332945&amp;vpid=97293195&amp;ct=offers" TargetMode="External"/><Relationship Id="rId86" Type="http://schemas.openxmlformats.org/officeDocument/2006/relationships/hyperlink" Target="https://octopart.com/click/track?ai=8078&amp;sig=0fbdf25&amp;sid=2402&amp;ppid=90332945&amp;vpid=474119741&amp;ct=offers" TargetMode="External"/><Relationship Id="rId87" Type="http://schemas.openxmlformats.org/officeDocument/2006/relationships/hyperlink" Target="https://octopart.com/click/track?ai=8078&amp;sig=0781733&amp;sid=10022&amp;ppid=90332945&amp;vpid=527529119&amp;ct=offers" TargetMode="External"/><Relationship Id="rId88" Type="http://schemas.openxmlformats.org/officeDocument/2006/relationships/hyperlink" Target="https://belfuse.com/resources/Johnson/drawings/dr-1051101001.pdf" TargetMode="External"/><Relationship Id="rId89" Type="http://schemas.openxmlformats.org/officeDocument/2006/relationships/hyperlink" Target="http://www.onsemi.com/pub/Collateral/MBT3904DW1T1-D.PDF" TargetMode="External"/><Relationship Id="rId90" Type="http://schemas.openxmlformats.org/officeDocument/2006/relationships/hyperlink" Target="https://octopart.com/click/track?c=1&amp;ai=8078&amp;sig=0cecf06&amp;sid=459&amp;ppid=112664&amp;vpid=1293050&amp;ct=offers" TargetMode="External"/><Relationship Id="rId91" Type="http://schemas.openxmlformats.org/officeDocument/2006/relationships/hyperlink" Target="https://octopart.com/click/track?c=1&amp;ai=8078&amp;sig=00d2952&amp;sid=819&amp;ppid=112664&amp;vpid=139241426&amp;ct=offers" TargetMode="External"/><Relationship Id="rId92" Type="http://schemas.openxmlformats.org/officeDocument/2006/relationships/hyperlink" Target="https://octopart.com/click/track?c=1&amp;ai=8078&amp;sig=0aadbf7&amp;sid=2401&amp;ppid=112664&amp;vpid=37819574&amp;ct=offers" TargetMode="External"/><Relationship Id="rId93" Type="http://schemas.openxmlformats.org/officeDocument/2006/relationships/hyperlink" Target="https://octopart.com/click/track?c=1&amp;ai=8078&amp;sig=035500c&amp;sid=2402&amp;ppid=112664&amp;vpid=3159811&amp;ct=offers" TargetMode="External"/><Relationship Id="rId94" Type="http://schemas.openxmlformats.org/officeDocument/2006/relationships/hyperlink" Target="https://octopart.com/click/track?ai=8078&amp;sig=05c9541&amp;sid=1532&amp;ppid=112664&amp;vpid=709120282&amp;ct=offers" TargetMode="External"/><Relationship Id="rId95" Type="http://schemas.openxmlformats.org/officeDocument/2006/relationships/hyperlink" Target="https://www.onsemi.com/pub/Collateral/BC860-D.pdf" TargetMode="External"/><Relationship Id="rId96" Type="http://schemas.openxmlformats.org/officeDocument/2006/relationships/hyperlink" Target="https://octopart.com/click/track?c=1&amp;ai=8078&amp;sig=0afb645&amp;sid=459&amp;ppid=12177349&amp;vpid=63806649&amp;ct=offers" TargetMode="External"/><Relationship Id="rId97" Type="http://schemas.openxmlformats.org/officeDocument/2006/relationships/hyperlink" Target="https://octopart.com/click/track?ai=8078&amp;sig=01cd7f9&amp;sid=11744&amp;ppid=12177349&amp;vpid=132237164&amp;ct=offers" TargetMode="External"/><Relationship Id="rId98" Type="http://schemas.openxmlformats.org/officeDocument/2006/relationships/hyperlink" Target="https://octopart.com/click/track?ai=8078&amp;sig=0eb3ef0&amp;sid=27971&amp;ppid=12177349&amp;vpid=511070499&amp;ct=offers" TargetMode="External"/><Relationship Id="rId99" Type="http://schemas.openxmlformats.org/officeDocument/2006/relationships/hyperlink" Target="https://octopart.com/click/track?ai=8078&amp;sig=0529f37&amp;sid=2401&amp;ppid=12177349&amp;vpid=90578187&amp;ct=offers" TargetMode="External"/><Relationship Id="rId100" Type="http://schemas.openxmlformats.org/officeDocument/2006/relationships/hyperlink" Target="https://octopart.com/click/track?ai=8078&amp;sig=0b17478&amp;sid=2402&amp;ppid=12177349&amp;vpid=22465024&amp;ct=offers" TargetMode="External"/><Relationship Id="rId101" Type="http://schemas.openxmlformats.org/officeDocument/2006/relationships/hyperlink" Target="https://octopart.com/click/track?ai=8078&amp;sig=0267b0c&amp;sid=10022&amp;ppid=12177349&amp;vpid=199007838&amp;ct=offers" TargetMode="External"/><Relationship Id="rId102" Type="http://schemas.openxmlformats.org/officeDocument/2006/relationships/hyperlink" Target="https://octopart.com/click/track?ai=8078&amp;sig=0f388c6&amp;sid=1532&amp;ppid=12177349&amp;vpid=707844597&amp;ct=offers" TargetMode="External"/><Relationship Id="rId103" Type="http://schemas.openxmlformats.org/officeDocument/2006/relationships/hyperlink" Target="http://datasheet.octopart.com/RC0603FR-070RL-Yageo-datasheet-8328172.pdf" TargetMode="External"/><Relationship Id="rId104" Type="http://schemas.openxmlformats.org/officeDocument/2006/relationships/hyperlink" Target="https://octopart.com/click/track?ai=8078&amp;sig=08367b6&amp;sid=459&amp;ppid=1180803&amp;vpid=88049501&amp;ct=offers" TargetMode="External"/><Relationship Id="rId105" Type="http://schemas.openxmlformats.org/officeDocument/2006/relationships/hyperlink" Target="https://octopart.com/click/track?c=1&amp;ai=8078&amp;sig=0af1779&amp;sid=11744&amp;ppid=1180803&amp;vpid=132762899&amp;ct=offers" TargetMode="External"/><Relationship Id="rId106" Type="http://schemas.openxmlformats.org/officeDocument/2006/relationships/hyperlink" Target="https://octopart.com/click/track?ai=8078&amp;sig=058e129&amp;sid=2401&amp;ppid=1180803&amp;vpid=45348878&amp;ct=offers" TargetMode="External"/><Relationship Id="rId107" Type="http://schemas.openxmlformats.org/officeDocument/2006/relationships/hyperlink" Target="https://octopart.com/click/track?ai=8078&amp;sig=02e3980&amp;sid=2402&amp;ppid=1180803&amp;vpid=215610244&amp;ct=offers" TargetMode="External"/><Relationship Id="rId108" Type="http://schemas.openxmlformats.org/officeDocument/2006/relationships/hyperlink" Target="https://octopart.com/click/track?ai=8078&amp;sig=0c4ac5d&amp;sid=1532&amp;ppid=1180803&amp;vpid=709257724&amp;ct=offers" TargetMode="External"/><Relationship Id="rId109" Type="http://schemas.openxmlformats.org/officeDocument/2006/relationships/hyperlink" Target="http://datasheet.octopart.com/RC0603FR-071K13L-Yageo-datasheet-8328172.pdf" TargetMode="External"/><Relationship Id="rId110" Type="http://schemas.openxmlformats.org/officeDocument/2006/relationships/hyperlink" Target="https://octopart.com/click/track?ai=8078&amp;sig=03fde76&amp;sid=459&amp;ppid=1225781&amp;vpid=1274312&amp;ct=offers" TargetMode="External"/><Relationship Id="rId111" Type="http://schemas.openxmlformats.org/officeDocument/2006/relationships/hyperlink" Target="https://octopart.com/click/track?c=1&amp;ai=8078&amp;sig=02b2358&amp;sid=2401&amp;ppid=1225781&amp;vpid=39254979&amp;ct=offers" TargetMode="External"/><Relationship Id="rId112" Type="http://schemas.openxmlformats.org/officeDocument/2006/relationships/hyperlink" Target="http://datasheet.octopart.com/RC0603FR-0733RL-Yageo-datasheet-8328172.pdf" TargetMode="External"/><Relationship Id="rId113" Type="http://schemas.openxmlformats.org/officeDocument/2006/relationships/hyperlink" Target="https://octopart.com/click/track?ai=8078&amp;sig=0a5884d&amp;sid=459&amp;ppid=40946050&amp;vpid=114982939&amp;ct=offers" TargetMode="External"/><Relationship Id="rId114" Type="http://schemas.openxmlformats.org/officeDocument/2006/relationships/hyperlink" Target="https://octopart.com/click/track?ai=8078&amp;sig=0ca2430&amp;sid=819&amp;ppid=40946050&amp;vpid=521336414&amp;ct=offers" TargetMode="External"/><Relationship Id="rId115" Type="http://schemas.openxmlformats.org/officeDocument/2006/relationships/hyperlink" Target="https://octopart.com/click/track?ai=8078&amp;sig=05018a2&amp;sid=2401&amp;ppid=40946050&amp;vpid=115540566&amp;ct=offers" TargetMode="External"/><Relationship Id="rId116" Type="http://schemas.openxmlformats.org/officeDocument/2006/relationships/hyperlink" Target="https://octopart.com/click/track?ai=8078&amp;sig=0e35eff&amp;sid=2402&amp;ppid=40946050&amp;vpid=115424146&amp;ct=offers" TargetMode="External"/><Relationship Id="rId117" Type="http://schemas.openxmlformats.org/officeDocument/2006/relationships/hyperlink" Target="https://octopart.com/click/track?ai=8078&amp;sig=01bda52&amp;sid=10022&amp;ppid=40946050&amp;vpid=694057465&amp;ct=offers" TargetMode="External"/><Relationship Id="rId118" Type="http://schemas.openxmlformats.org/officeDocument/2006/relationships/hyperlink" Target="https://octopart.com/click/track?ai=8078&amp;sig=0fffef9&amp;sid=1532&amp;ppid=40946050&amp;vpid=709257921&amp;ct=offers" TargetMode="External"/><Relationship Id="rId119" Type="http://schemas.openxmlformats.org/officeDocument/2006/relationships/hyperlink" Target="http://datasheet.octopart.com/RC0603FR-0720KL-Yageo-datasheet-8328172.pdf" TargetMode="External"/><Relationship Id="rId120" Type="http://schemas.openxmlformats.org/officeDocument/2006/relationships/hyperlink" Target="https://octopart.com/click/track?c=1&amp;ai=8078&amp;sig=0636a2e&amp;sid=459&amp;ppid=1197359&amp;vpid=1315555&amp;ct=offers" TargetMode="External"/><Relationship Id="rId121" Type="http://schemas.openxmlformats.org/officeDocument/2006/relationships/hyperlink" Target="https://octopart.com/click/track?ai=8078&amp;sig=010054b&amp;sid=819&amp;ppid=1197359&amp;vpid=653863277&amp;ct=offers" TargetMode="External"/><Relationship Id="rId122" Type="http://schemas.openxmlformats.org/officeDocument/2006/relationships/hyperlink" Target="https://octopart.com/click/track?ai=8078&amp;sig=028b128&amp;sid=2401&amp;ppid=1197359&amp;vpid=37706694&amp;ct=offers" TargetMode="External"/><Relationship Id="rId123" Type="http://schemas.openxmlformats.org/officeDocument/2006/relationships/hyperlink" Target="https://octopart.com/click/track?c=1&amp;ai=8078&amp;sig=07253ae&amp;sid=2402&amp;ppid=1197359&amp;vpid=728061924&amp;ct=offers" TargetMode="External"/><Relationship Id="rId124" Type="http://schemas.openxmlformats.org/officeDocument/2006/relationships/hyperlink" Target="https://octopart.com/click/track?ai=8078&amp;sig=09c2659&amp;sid=10022&amp;ppid=1197359&amp;vpid=654200470&amp;ct=offers" TargetMode="External"/><Relationship Id="rId125" Type="http://schemas.openxmlformats.org/officeDocument/2006/relationships/hyperlink" Target="https://octopart.com/click/track?ai=8078&amp;sig=06c5968&amp;sid=1532&amp;ppid=1197359&amp;vpid=709257853&amp;ct=offers" TargetMode="External"/><Relationship Id="rId126" Type="http://schemas.openxmlformats.org/officeDocument/2006/relationships/hyperlink" Target="http://datasheet.octopart.com/RC0603FR-0710KL-Yageo-datasheet-8328172.pdf" TargetMode="External"/><Relationship Id="rId127" Type="http://schemas.openxmlformats.org/officeDocument/2006/relationships/hyperlink" Target="https://octopart.com/click/track?ai=8078&amp;sig=03bdc7a&amp;sid=459&amp;ppid=40025538&amp;vpid=114982759&amp;ct=offers" TargetMode="External"/><Relationship Id="rId128" Type="http://schemas.openxmlformats.org/officeDocument/2006/relationships/hyperlink" Target="https://octopart.com/click/track?ai=8078&amp;sig=09e8397&amp;sid=819&amp;ppid=40025538&amp;vpid=508509528&amp;ct=offers" TargetMode="External"/><Relationship Id="rId129" Type="http://schemas.openxmlformats.org/officeDocument/2006/relationships/hyperlink" Target="https://octopart.com/click/track?c=1&amp;ai=8078&amp;sig=01dd918&amp;sid=2401&amp;ppid=40025538&amp;vpid=115161137&amp;ct=offers" TargetMode="External"/><Relationship Id="rId130" Type="http://schemas.openxmlformats.org/officeDocument/2006/relationships/hyperlink" Target="https://octopart.com/click/track?ai=8078&amp;sig=0811f32&amp;sid=2402&amp;ppid=40025538&amp;vpid=115424063&amp;ct=offers" TargetMode="External"/><Relationship Id="rId131" Type="http://schemas.openxmlformats.org/officeDocument/2006/relationships/hyperlink" Target="https://octopart.com/click/track?ai=8078&amp;sig=0602c5b&amp;sid=10022&amp;ppid=40025538&amp;vpid=694057360&amp;ct=offers" TargetMode="External"/><Relationship Id="rId132" Type="http://schemas.openxmlformats.org/officeDocument/2006/relationships/hyperlink" Target="https://octopart.com/click/track?ai=8078&amp;sig=0db17d2&amp;sid=1532&amp;ppid=40025538&amp;vpid=709257732&amp;ct=offers" TargetMode="External"/><Relationship Id="rId133" Type="http://schemas.openxmlformats.org/officeDocument/2006/relationships/hyperlink" Target="http://datasheet.octopart.com/RC0603FR-0773K2L-Yageo-datasheet-8328172.pdf" TargetMode="External"/><Relationship Id="rId134" Type="http://schemas.openxmlformats.org/officeDocument/2006/relationships/hyperlink" Target="https://octopart.com/click/track?ai=8078&amp;sig=06620ea&amp;sid=459&amp;ppid=1407457&amp;vpid=1768428&amp;ct=offers" TargetMode="External"/><Relationship Id="rId135" Type="http://schemas.openxmlformats.org/officeDocument/2006/relationships/hyperlink" Target="https://octopart.com/click/track?c=1&amp;ai=8078&amp;sig=0f49673&amp;sid=2401&amp;ppid=1407457&amp;vpid=55869130&amp;ct=offers" TargetMode="External"/><Relationship Id="rId136" Type="http://schemas.openxmlformats.org/officeDocument/2006/relationships/hyperlink" Target="http://datasheet.octopart.com/RG3216P-4704-B-T1-Susumu-datasheet-12509734.pdf" TargetMode="External"/><Relationship Id="rId137" Type="http://schemas.openxmlformats.org/officeDocument/2006/relationships/hyperlink" Target="https://octopart.com/click/track?c=1&amp;ai=8078&amp;sig=0404bac&amp;sid=459&amp;ppid=81680122&amp;vpid=420190873&amp;ct=offers" TargetMode="External"/><Relationship Id="rId138" Type="http://schemas.openxmlformats.org/officeDocument/2006/relationships/hyperlink" Target="https://octopart.com/click/track?c=1&amp;ai=8078&amp;sig=0793ae8&amp;sid=2401&amp;ppid=81680122&amp;vpid=448426716&amp;ct=offers" TargetMode="External"/><Relationship Id="rId139" Type="http://schemas.openxmlformats.org/officeDocument/2006/relationships/hyperlink" Target="http://datasheet.octopart.com/RC0603FR-0773K2L-Yageo-datasheet-8328172.pdf" TargetMode="External"/><Relationship Id="rId140" Type="http://schemas.openxmlformats.org/officeDocument/2006/relationships/hyperlink" Target="https://octopart.com/click/track?ai=8078&amp;sig=06620ea&amp;sid=459&amp;ppid=1407457&amp;vpid=1768428&amp;ct=offers" TargetMode="External"/><Relationship Id="rId141" Type="http://schemas.openxmlformats.org/officeDocument/2006/relationships/hyperlink" Target="https://octopart.com/click/track?c=1&amp;ai=8078&amp;sig=0f49673&amp;sid=2401&amp;ppid=1407457&amp;vpid=55869130&amp;ct=offers" TargetMode="External"/><Relationship Id="rId142" Type="http://schemas.openxmlformats.org/officeDocument/2006/relationships/hyperlink" Target="http://datasheet.octopart.com/RC0603FR-0733K2L-Yageo-datasheet-12596169.pdf" TargetMode="External"/><Relationship Id="rId143" Type="http://schemas.openxmlformats.org/officeDocument/2006/relationships/hyperlink" Target="https://octopart.com/click/track?ai=8078&amp;sig=0660a9f&amp;sid=459&amp;ppid=39790760&amp;vpid=114982933&amp;ct=offers" TargetMode="External"/><Relationship Id="rId144" Type="http://schemas.openxmlformats.org/officeDocument/2006/relationships/hyperlink" Target="https://octopart.com/click/track?ai=8078&amp;sig=076982d&amp;sid=819&amp;ppid=39790760&amp;vpid=653863375&amp;ct=offers" TargetMode="External"/><Relationship Id="rId145" Type="http://schemas.openxmlformats.org/officeDocument/2006/relationships/hyperlink" Target="https://octopart.com/click/track?c=1&amp;ai=8078&amp;sig=0e42f0f&amp;sid=2401&amp;ppid=39790760&amp;vpid=120109723&amp;ct=offers" TargetMode="External"/><Relationship Id="rId146" Type="http://schemas.openxmlformats.org/officeDocument/2006/relationships/hyperlink" Target="https://octopart.com/click/track?ai=8078&amp;sig=0b42a2c&amp;sid=2402&amp;ppid=39790760&amp;vpid=655850390&amp;ct=offers" TargetMode="External"/><Relationship Id="rId147" Type="http://schemas.openxmlformats.org/officeDocument/2006/relationships/hyperlink" Target="https://octopart.com/click/track?ai=8078&amp;sig=007317a&amp;sid=10022&amp;ppid=39790760&amp;vpid=653083714&amp;ct=offers" TargetMode="External"/><Relationship Id="rId148" Type="http://schemas.openxmlformats.org/officeDocument/2006/relationships/hyperlink" Target="https://octopart.com/click/track?ai=8078&amp;sig=0aa4c60&amp;sid=1532&amp;ppid=39790760&amp;vpid=709257918&amp;ct=offers" TargetMode="External"/><Relationship Id="rId149" Type="http://schemas.openxmlformats.org/officeDocument/2006/relationships/hyperlink" Target="http://datasheet.octopart.com/RC0603FR-0712K1L-Yageo-datasheet-8328172.pdf" TargetMode="External"/><Relationship Id="rId150" Type="http://schemas.openxmlformats.org/officeDocument/2006/relationships/hyperlink" Target="https://octopart.com/click/track?ai=8078&amp;sig=09ad5b6&amp;sid=459&amp;ppid=55402880&amp;vpid=188128888&amp;ct=offers" TargetMode="External"/><Relationship Id="rId151" Type="http://schemas.openxmlformats.org/officeDocument/2006/relationships/hyperlink" Target="https://octopart.com/click/track?ai=8078&amp;sig=05a6a0b&amp;sid=11744&amp;ppid=55402880&amp;vpid=654129508&amp;ct=offers" TargetMode="External"/><Relationship Id="rId152" Type="http://schemas.openxmlformats.org/officeDocument/2006/relationships/hyperlink" Target="https://octopart.com/click/track?c=1&amp;ai=8078&amp;sig=0381918&amp;sid=2401&amp;ppid=55402880&amp;vpid=193244045&amp;ct=offers" TargetMode="External"/><Relationship Id="rId153" Type="http://schemas.openxmlformats.org/officeDocument/2006/relationships/hyperlink" Target="https://octopart.com/click/track?ai=8078&amp;sig=0441769&amp;sid=2402&amp;ppid=55402880&amp;vpid=705454482&amp;ct=offers" TargetMode="External"/><Relationship Id="rId154" Type="http://schemas.openxmlformats.org/officeDocument/2006/relationships/hyperlink" Target="https://octopart.com/click/track?ai=8078&amp;sig=063524a&amp;sid=1532&amp;ppid=55402880&amp;vpid=709257751&amp;ct=offers" TargetMode="External"/><Relationship Id="rId155" Type="http://schemas.openxmlformats.org/officeDocument/2006/relationships/hyperlink" Target="http://datasheet.octopart.com/RC0603FR-0730K1L-Yageo-datasheet-8328172.pdf" TargetMode="External"/><Relationship Id="rId156" Type="http://schemas.openxmlformats.org/officeDocument/2006/relationships/hyperlink" Target="https://octopart.com/click/track?ai=8078&amp;sig=0e05a69&amp;sid=459&amp;ppid=55458484&amp;vpid=188128915&amp;ct=offers" TargetMode="External"/><Relationship Id="rId157" Type="http://schemas.openxmlformats.org/officeDocument/2006/relationships/hyperlink" Target="https://octopart.com/click/track?ai=8078&amp;sig=02b2e0e&amp;sid=819&amp;ppid=55458484&amp;vpid=653863357&amp;ct=offers" TargetMode="External"/><Relationship Id="rId158" Type="http://schemas.openxmlformats.org/officeDocument/2006/relationships/hyperlink" Target="https://octopart.com/click/track?c=1&amp;ai=8078&amp;sig=05185f7&amp;sid=2401&amp;ppid=55458484&amp;vpid=189038668&amp;ct=offers" TargetMode="External"/><Relationship Id="rId159" Type="http://schemas.openxmlformats.org/officeDocument/2006/relationships/hyperlink" Target="https://octopart.com/click/track?ai=8078&amp;sig=0bdec1f&amp;sid=2402&amp;ppid=55458484&amp;vpid=658256892&amp;ct=offers" TargetMode="External"/><Relationship Id="rId160" Type="http://schemas.openxmlformats.org/officeDocument/2006/relationships/hyperlink" Target="https://octopart.com/click/track?ai=8078&amp;sig=0955934&amp;sid=1532&amp;ppid=55458484&amp;vpid=709257909&amp;ct=offers" TargetMode="External"/><Relationship Id="rId161" Type="http://schemas.openxmlformats.org/officeDocument/2006/relationships/hyperlink" Target="http://datasheet.octopart.com/RC0603FR-0760K4L-Yageo-datasheet-118562.pdf" TargetMode="External"/><Relationship Id="rId162" Type="http://schemas.openxmlformats.org/officeDocument/2006/relationships/hyperlink" Target="https://octopart.com/click/track?ai=8078&amp;sig=0dd05b5&amp;sid=459&amp;ppid=1382409&amp;vpid=1918439&amp;ct=offers" TargetMode="External"/><Relationship Id="rId163" Type="http://schemas.openxmlformats.org/officeDocument/2006/relationships/hyperlink" Target="https://octopart.com/click/track?ai=8078&amp;sig=07a9c00&amp;sid=819&amp;ppid=1382409&amp;vpid=653863499&amp;ct=offers" TargetMode="External"/><Relationship Id="rId164" Type="http://schemas.openxmlformats.org/officeDocument/2006/relationships/hyperlink" Target="https://octopart.com/click/track?ai=8078&amp;sig=075080a&amp;sid=2401&amp;ppid=1382409&amp;vpid=38010018&amp;ct=offers" TargetMode="External"/><Relationship Id="rId165" Type="http://schemas.openxmlformats.org/officeDocument/2006/relationships/hyperlink" Target="https://octopart.com/click/track?ai=8078&amp;sig=0b7022d&amp;sid=2402&amp;ppid=1382409&amp;vpid=655850433&amp;ct=offers" TargetMode="External"/><Relationship Id="rId166" Type="http://schemas.openxmlformats.org/officeDocument/2006/relationships/hyperlink" Target="http://datasheet.octopart.com/RC0603FR-07200RL-Yageo-datasheet-8328172.pdf" TargetMode="External"/><Relationship Id="rId167" Type="http://schemas.openxmlformats.org/officeDocument/2006/relationships/hyperlink" Target="https://octopart.com/click/track?c=1&amp;ai=8078&amp;sig=087c88a&amp;sid=459&amp;ppid=1241382&amp;vpid=1338205&amp;ct=offers" TargetMode="External"/><Relationship Id="rId168" Type="http://schemas.openxmlformats.org/officeDocument/2006/relationships/hyperlink" Target="https://octopart.com/click/track?ai=8078&amp;sig=0680c42&amp;sid=819&amp;ppid=1241382&amp;vpid=653863274&amp;ct=offers" TargetMode="External"/><Relationship Id="rId169" Type="http://schemas.openxmlformats.org/officeDocument/2006/relationships/hyperlink" Target="https://octopart.com/click/track?c=1&amp;ai=8078&amp;sig=085505d&amp;sid=2401&amp;ppid=1241382&amp;vpid=37849394&amp;ct=offers" TargetMode="External"/><Relationship Id="rId170" Type="http://schemas.openxmlformats.org/officeDocument/2006/relationships/hyperlink" Target="https://octopart.com/click/track?ai=8078&amp;sig=0148ab4&amp;sid=2402&amp;ppid=1241382&amp;vpid=697635382&amp;ct=offers" TargetMode="External"/><Relationship Id="rId171" Type="http://schemas.openxmlformats.org/officeDocument/2006/relationships/hyperlink" Target="https://octopart.com/click/track?ai=8078&amp;sig=088fa3e&amp;sid=10022&amp;ppid=1241382&amp;vpid=654200469&amp;ct=offers" TargetMode="External"/><Relationship Id="rId172" Type="http://schemas.openxmlformats.org/officeDocument/2006/relationships/hyperlink" Target="https://octopart.com/click/track?ai=8078&amp;sig=064c0fe&amp;sid=1532&amp;ppid=1241382&amp;vpid=709257852&amp;ct=offers" TargetMode="External"/><Relationship Id="rId173" Type="http://schemas.openxmlformats.org/officeDocument/2006/relationships/hyperlink" Target="http://datasheet.octopart.com/RC0603FR-071K1L-Yageo-datasheet-8328172.pdf" TargetMode="External"/><Relationship Id="rId174" Type="http://schemas.openxmlformats.org/officeDocument/2006/relationships/hyperlink" Target="https://octopart.com/click/track?c=1&amp;ai=8078&amp;sig=0956f9e&amp;sid=459&amp;ppid=39799182&amp;vpid=114982834&amp;ct=offers" TargetMode="External"/><Relationship Id="rId175" Type="http://schemas.openxmlformats.org/officeDocument/2006/relationships/hyperlink" Target="https://octopart.com/click/track?c=1&amp;ai=8078&amp;sig=0957ee7&amp;sid=11744&amp;ppid=39799182&amp;vpid=629364132&amp;ct=offers" TargetMode="External"/><Relationship Id="rId176" Type="http://schemas.openxmlformats.org/officeDocument/2006/relationships/hyperlink" Target="https://octopart.com/click/track?ai=8078&amp;sig=0c9b6bc&amp;sid=2401&amp;ppid=39799182&amp;vpid=118691142&amp;ct=offers" TargetMode="External"/><Relationship Id="rId177" Type="http://schemas.openxmlformats.org/officeDocument/2006/relationships/hyperlink" Target="https://octopart.com/click/track?ai=8078&amp;sig=055fcb1&amp;sid=2402&amp;ppid=39799182&amp;vpid=705454484&amp;ct=offers" TargetMode="External"/><Relationship Id="rId178" Type="http://schemas.openxmlformats.org/officeDocument/2006/relationships/hyperlink" Target="https://octopart.com/click/track?ai=8078&amp;sig=03f1262&amp;sid=1532&amp;ppid=39799182&amp;vpid=709257814&amp;ct=offers" TargetMode="External"/><Relationship Id="rId179" Type="http://schemas.openxmlformats.org/officeDocument/2006/relationships/hyperlink" Target="http://datasheet.octopart.com/RC0603FR-072K49L-Yageo-datasheet-8328172.pdf" TargetMode="External"/><Relationship Id="rId180" Type="http://schemas.openxmlformats.org/officeDocument/2006/relationships/hyperlink" Target="https://octopart.com/click/track?c=1&amp;ai=8078&amp;sig=08c0afe&amp;sid=459&amp;ppid=39839369&amp;vpid=114982918&amp;ct=offers" TargetMode="External"/><Relationship Id="rId181" Type="http://schemas.openxmlformats.org/officeDocument/2006/relationships/hyperlink" Target="https://octopart.com/click/track?ai=8078&amp;sig=00ce685&amp;sid=819&amp;ppid=39839369&amp;vpid=653863333&amp;ct=offers" TargetMode="External"/><Relationship Id="rId182" Type="http://schemas.openxmlformats.org/officeDocument/2006/relationships/hyperlink" Target="https://octopart.com/click/track?c=1&amp;ai=8078&amp;sig=0064b2f&amp;sid=2401&amp;ppid=39839369&amp;vpid=116126354&amp;ct=offers" TargetMode="External"/><Relationship Id="rId183" Type="http://schemas.openxmlformats.org/officeDocument/2006/relationships/hyperlink" Target="https://octopart.com/click/track?ai=8078&amp;sig=0e06e10&amp;sid=2402&amp;ppid=39839369&amp;vpid=697635386&amp;ct=offers" TargetMode="External"/><Relationship Id="rId184" Type="http://schemas.openxmlformats.org/officeDocument/2006/relationships/hyperlink" Target="https://octopart.com/click/track?ai=8078&amp;sig=03005b7&amp;sid=1532&amp;ppid=39839369&amp;vpid=709257893&amp;ct=offers" TargetMode="External"/><Relationship Id="rId185" Type="http://schemas.openxmlformats.org/officeDocument/2006/relationships/hyperlink" Target="http://datasheet.octopart.com/RC0603FR-071K5L-Yageo-datasheet-8328172.pdf" TargetMode="External"/><Relationship Id="rId186" Type="http://schemas.openxmlformats.org/officeDocument/2006/relationships/hyperlink" Target="https://octopart.com/click/track?c=1&amp;ai=8078&amp;sig=0453673&amp;sid=459&amp;ppid=55458478&amp;vpid=188128903&amp;ct=offers" TargetMode="External"/><Relationship Id="rId187" Type="http://schemas.openxmlformats.org/officeDocument/2006/relationships/hyperlink" Target="https://octopart.com/click/track?c=1&amp;ai=8078&amp;sig=0f14d70&amp;sid=819&amp;ppid=55458478&amp;vpid=478818754&amp;ct=offers" TargetMode="External"/><Relationship Id="rId188" Type="http://schemas.openxmlformats.org/officeDocument/2006/relationships/hyperlink" Target="https://octopart.com/click/track?c=1&amp;ai=8078&amp;sig=038d1d1&amp;sid=2401&amp;ppid=55458478&amp;vpid=187885223&amp;ct=offers" TargetMode="External"/><Relationship Id="rId189" Type="http://schemas.openxmlformats.org/officeDocument/2006/relationships/hyperlink" Target="https://octopart.com/click/track?ai=8078&amp;sig=03245f5&amp;sid=2402&amp;ppid=55458478&amp;vpid=190899750&amp;ct=offers" TargetMode="External"/><Relationship Id="rId190" Type="http://schemas.openxmlformats.org/officeDocument/2006/relationships/hyperlink" Target="https://octopart.com/click/track?ai=8078&amp;sig=00d198e&amp;sid=10022&amp;ppid=55458478&amp;vpid=658005405&amp;ct=offers" TargetMode="External"/><Relationship Id="rId191" Type="http://schemas.openxmlformats.org/officeDocument/2006/relationships/hyperlink" Target="https://octopart.com/click/track?ai=8078&amp;sig=0debb12&amp;sid=1532&amp;ppid=55458478&amp;vpid=709257828&amp;ct=offers" TargetMode="External"/><Relationship Id="rId192" Type="http://schemas.openxmlformats.org/officeDocument/2006/relationships/hyperlink" Target="http://datasheet.octopart.com/RC0603FR-07100KL-Yageo-datasheet-8328172.pdf" TargetMode="External"/><Relationship Id="rId193" Type="http://schemas.openxmlformats.org/officeDocument/2006/relationships/hyperlink" Target="https://octopart.com/click/track?ai=8078&amp;sig=08a3cd1&amp;sid=459&amp;ppid=40946036&amp;vpid=114982751&amp;ct=offers" TargetMode="External"/><Relationship Id="rId194" Type="http://schemas.openxmlformats.org/officeDocument/2006/relationships/hyperlink" Target="https://octopart.com/click/track?ai=8078&amp;sig=0a9f7b0&amp;sid=819&amp;ppid=40946036&amp;vpid=532285462&amp;ct=offers" TargetMode="External"/><Relationship Id="rId195" Type="http://schemas.openxmlformats.org/officeDocument/2006/relationships/hyperlink" Target="https://octopart.com/click/track?ai=8078&amp;sig=053969b&amp;sid=2401&amp;ppid=40946036&amp;vpid=115001591&amp;ct=offers" TargetMode="External"/><Relationship Id="rId196" Type="http://schemas.openxmlformats.org/officeDocument/2006/relationships/hyperlink" Target="https://octopart.com/click/track?ai=8078&amp;sig=0aea520&amp;sid=2402&amp;ppid=40946036&amp;vpid=115424057&amp;ct=offers" TargetMode="External"/><Relationship Id="rId197" Type="http://schemas.openxmlformats.org/officeDocument/2006/relationships/hyperlink" Target="https://octopart.com/click/track?ai=8078&amp;sig=08c3fb7&amp;sid=10022&amp;ppid=40946036&amp;vpid=655980879&amp;ct=offers" TargetMode="External"/><Relationship Id="rId198" Type="http://schemas.openxmlformats.org/officeDocument/2006/relationships/hyperlink" Target="https://octopart.com/click/track?ai=8078&amp;sig=06355db&amp;sid=1532&amp;ppid=40946036&amp;vpid=709257726&amp;ct=offers" TargetMode="External"/><Relationship Id="rId199" Type="http://schemas.openxmlformats.org/officeDocument/2006/relationships/hyperlink" Target="http://datasheet.octopart.com/RC0603FR-07499RL-Yageo-datasheet-8328172.pdf" TargetMode="External"/><Relationship Id="rId200" Type="http://schemas.openxmlformats.org/officeDocument/2006/relationships/hyperlink" Target="https://octopart.com/click/track?ai=8078&amp;sig=0309451&amp;sid=459&amp;ppid=1184376&amp;vpid=1112069&amp;ct=offers" TargetMode="External"/><Relationship Id="rId201" Type="http://schemas.openxmlformats.org/officeDocument/2006/relationships/hyperlink" Target="https://octopart.com/click/track?c=1&amp;ai=8078&amp;sig=0dace77&amp;sid=11744&amp;ppid=1184376&amp;vpid=654129621&amp;ct=offers" TargetMode="External"/><Relationship Id="rId202" Type="http://schemas.openxmlformats.org/officeDocument/2006/relationships/hyperlink" Target="https://octopart.com/click/track?c=1&amp;ai=8078&amp;sig=0c0fa4a&amp;sid=2401&amp;ppid=1184376&amp;vpid=37769753&amp;ct=offers" TargetMode="External"/><Relationship Id="rId203" Type="http://schemas.openxmlformats.org/officeDocument/2006/relationships/hyperlink" Target="https://octopart.com/click/track?c=1&amp;ai=8078&amp;sig=0ba7b6b&amp;sid=2402&amp;ppid=1184376&amp;vpid=658256898&amp;ct=offers" TargetMode="External"/><Relationship Id="rId204" Type="http://schemas.openxmlformats.org/officeDocument/2006/relationships/hyperlink" Target="https://octopart.com/click/track?ai=8078&amp;sig=09f63e8&amp;sid=10022&amp;ppid=1184376&amp;vpid=658005425&amp;ct=offers" TargetMode="External"/><Relationship Id="rId205" Type="http://schemas.openxmlformats.org/officeDocument/2006/relationships/hyperlink" Target="https://octopart.com/click/track?ai=8078&amp;sig=06db98f&amp;sid=1532&amp;ppid=1184376&amp;vpid=709257967&amp;ct=offers" TargetMode="External"/><Relationship Id="rId206" Type="http://schemas.openxmlformats.org/officeDocument/2006/relationships/hyperlink" Target="http://datasheet.octopart.com/RC0603FR-073K01L-Yageo-datasheet-8328172.pdf" TargetMode="External"/><Relationship Id="rId207" Type="http://schemas.openxmlformats.org/officeDocument/2006/relationships/hyperlink" Target="https://octopart.com/click/track?ai=8078&amp;sig=032e58a&amp;sid=459&amp;ppid=1235983&amp;vpid=1358497&amp;ct=offers" TargetMode="External"/><Relationship Id="rId208" Type="http://schemas.openxmlformats.org/officeDocument/2006/relationships/hyperlink" Target="https://octopart.com/click/track?ai=8078&amp;sig=0134080&amp;sid=819&amp;ppid=1235983&amp;vpid=653863391&amp;ct=offers" TargetMode="External"/><Relationship Id="rId209" Type="http://schemas.openxmlformats.org/officeDocument/2006/relationships/hyperlink" Target="https://octopart.com/click/track?ai=8078&amp;sig=0ea78f2&amp;sid=2401&amp;ppid=1235983&amp;vpid=37798523&amp;ct=offers" TargetMode="External"/><Relationship Id="rId210" Type="http://schemas.openxmlformats.org/officeDocument/2006/relationships/hyperlink" Target="https://octopart.com/click/track?ai=8078&amp;sig=0ec963c&amp;sid=2402&amp;ppid=1235983&amp;vpid=658256893&amp;ct=offers" TargetMode="External"/><Relationship Id="rId211" Type="http://schemas.openxmlformats.org/officeDocument/2006/relationships/hyperlink" Target="https://octopart.com/click/track?ai=8078&amp;sig=07daea5&amp;sid=10022&amp;ppid=1235983&amp;vpid=658005420&amp;ct=offers" TargetMode="External"/><Relationship Id="rId212" Type="http://schemas.openxmlformats.org/officeDocument/2006/relationships/hyperlink" Target="https://octopart.com/click/track?ai=8078&amp;sig=0fc2a51&amp;sid=1532&amp;ppid=1235983&amp;vpid=709257937&amp;ct=offers" TargetMode="External"/><Relationship Id="rId213" Type="http://schemas.openxmlformats.org/officeDocument/2006/relationships/hyperlink" Target="http://datasheet.octopart.com/RC0603FR-0727K4L-Yageo-datasheet-118562.pdf" TargetMode="External"/><Relationship Id="rId214" Type="http://schemas.openxmlformats.org/officeDocument/2006/relationships/hyperlink" Target="https://octopart.com/click/track?ai=8078&amp;sig=0cc9cca&amp;sid=459&amp;ppid=1228519&amp;vpid=1285352&amp;ct=offers" TargetMode="External"/><Relationship Id="rId215" Type="http://schemas.openxmlformats.org/officeDocument/2006/relationships/hyperlink" Target="https://octopart.com/click/track?ai=8078&amp;sig=039fb50&amp;sid=819&amp;ppid=1228519&amp;vpid=653863319&amp;ct=offers" TargetMode="External"/><Relationship Id="rId216" Type="http://schemas.openxmlformats.org/officeDocument/2006/relationships/hyperlink" Target="https://octopart.com/click/track?ai=8078&amp;sig=061c12c&amp;sid=2401&amp;ppid=1228519&amp;vpid=39186050&amp;ct=offers" TargetMode="External"/><Relationship Id="rId217" Type="http://schemas.openxmlformats.org/officeDocument/2006/relationships/hyperlink" Target="https://octopart.com/click/track?c=1&amp;ai=8078&amp;sig=09a616d&amp;sid=2402&amp;ppid=1228519&amp;vpid=655850371&amp;ct=offers" TargetMode="External"/><Relationship Id="rId218" Type="http://schemas.openxmlformats.org/officeDocument/2006/relationships/hyperlink" Target="https://octopart.com/click/track?ai=8078&amp;sig=009ca92&amp;sid=1532&amp;ppid=1228519&amp;vpid=709257881&amp;ct=offers" TargetMode="External"/><Relationship Id="rId219" Type="http://schemas.openxmlformats.org/officeDocument/2006/relationships/hyperlink" Target="http://datasheet.octopart.com/RC0603FR-07332KL-Yageo-datasheet-8328172.pdf" TargetMode="External"/><Relationship Id="rId220" Type="http://schemas.openxmlformats.org/officeDocument/2006/relationships/hyperlink" Target="https://octopart.com/click/track?ai=8078&amp;sig=008ea01&amp;sid=459&amp;ppid=39804565&amp;vpid=115141429&amp;ct=offers" TargetMode="External"/><Relationship Id="rId221" Type="http://schemas.openxmlformats.org/officeDocument/2006/relationships/hyperlink" Target="https://octopart.com/click/track?ai=8078&amp;sig=03bda9f&amp;sid=11744&amp;ppid=39804565&amp;vpid=654129587&amp;ct=offers" TargetMode="External"/><Relationship Id="rId222" Type="http://schemas.openxmlformats.org/officeDocument/2006/relationships/hyperlink" Target="https://octopart.com/click/track?c=1&amp;ai=8078&amp;sig=0a17763&amp;sid=2401&amp;ppid=39804565&amp;vpid=121772737&amp;ct=offers" TargetMode="External"/><Relationship Id="rId223" Type="http://schemas.openxmlformats.org/officeDocument/2006/relationships/hyperlink" Target="https://octopart.com/click/track?ai=8078&amp;sig=00d5cd9&amp;sid=2402&amp;ppid=39804565&amp;vpid=655850389&amp;ct=offers" TargetMode="External"/><Relationship Id="rId224" Type="http://schemas.openxmlformats.org/officeDocument/2006/relationships/hyperlink" Target="http://datasheet.octopart.com/RC0603FR-07120RL-Yageo-datasheet-8328172.pdf" TargetMode="External"/><Relationship Id="rId225" Type="http://schemas.openxmlformats.org/officeDocument/2006/relationships/hyperlink" Target="https://octopart.com/click/track?ai=8078&amp;sig=0ec7571&amp;sid=459&amp;ppid=40254891&amp;vpid=114982770&amp;ct=offers" TargetMode="External"/><Relationship Id="rId226" Type="http://schemas.openxmlformats.org/officeDocument/2006/relationships/hyperlink" Target="https://octopart.com/click/track?ai=8078&amp;sig=047618e&amp;sid=11744&amp;ppid=40254891&amp;vpid=132762912&amp;ct=offers" TargetMode="External"/><Relationship Id="rId227" Type="http://schemas.openxmlformats.org/officeDocument/2006/relationships/hyperlink" Target="https://octopart.com/click/track?ai=8078&amp;sig=05c5117&amp;sid=2401&amp;ppid=40254891&amp;vpid=115540560&amp;ct=offers" TargetMode="External"/><Relationship Id="rId228" Type="http://schemas.openxmlformats.org/officeDocument/2006/relationships/hyperlink" Target="https://octopart.com/click/track?ai=8078&amp;sig=02dfa0e&amp;sid=2402&amp;ppid=40254891&amp;vpid=115424072&amp;ct=offers" TargetMode="External"/><Relationship Id="rId229" Type="http://schemas.openxmlformats.org/officeDocument/2006/relationships/hyperlink" Target="https://octopart.com/click/track?ai=8078&amp;sig=0da5cd3&amp;sid=1532&amp;ppid=40254891&amp;vpid=709257746&amp;ct=offers" TargetMode="External"/><Relationship Id="rId230" Type="http://schemas.openxmlformats.org/officeDocument/2006/relationships/hyperlink" Target="http://datasheet.octopart.com/RC0603FR-071ML-Yageo-datasheet-8328172.pdf" TargetMode="External"/><Relationship Id="rId231" Type="http://schemas.openxmlformats.org/officeDocument/2006/relationships/hyperlink" Target="https://octopart.com/click/track?ai=8078&amp;sig=026478a&amp;sid=459&amp;ppid=1168402&amp;vpid=115263520&amp;ct=offers" TargetMode="External"/><Relationship Id="rId232" Type="http://schemas.openxmlformats.org/officeDocument/2006/relationships/hyperlink" Target="https://octopart.com/click/track?ai=8078&amp;sig=0569c18&amp;sid=11744&amp;ppid=1168402&amp;vpid=480880108&amp;ct=offers" TargetMode="External"/><Relationship Id="rId233" Type="http://schemas.openxmlformats.org/officeDocument/2006/relationships/hyperlink" Target="https://octopart.com/click/track?ai=8078&amp;sig=03fe4a5&amp;sid=2401&amp;ppid=1168402&amp;vpid=116521345&amp;ct=offers" TargetMode="External"/><Relationship Id="rId234" Type="http://schemas.openxmlformats.org/officeDocument/2006/relationships/hyperlink" Target="https://octopart.com/click/track?ai=8078&amp;sig=0d58fc3&amp;sid=2402&amp;ppid=1168402&amp;vpid=22457743&amp;ct=offers" TargetMode="External"/><Relationship Id="rId235" Type="http://schemas.openxmlformats.org/officeDocument/2006/relationships/hyperlink" Target="https://octopart.com/click/track?ai=8078&amp;sig=0dbaab2&amp;sid=10022&amp;ppid=1168402&amp;vpid=694057395&amp;ct=offers" TargetMode="External"/><Relationship Id="rId236" Type="http://schemas.openxmlformats.org/officeDocument/2006/relationships/hyperlink" Target="https://octopart.com/click/track?ai=8078&amp;sig=0ca75ec&amp;sid=1532&amp;ppid=1168402&amp;vpid=709257845&amp;ct=offers" TargetMode="External"/><Relationship Id="rId237" Type="http://schemas.openxmlformats.org/officeDocument/2006/relationships/hyperlink" Target="http://datasheet.octopart.com/RC0603FR-07470KL-Yageo-datasheet-8328172.pdf" TargetMode="External"/><Relationship Id="rId238" Type="http://schemas.openxmlformats.org/officeDocument/2006/relationships/hyperlink" Target="https://octopart.com/click/track?ai=8078&amp;sig=093c465&amp;sid=459&amp;ppid=39817977&amp;vpid=114982985&amp;ct=offers" TargetMode="External"/><Relationship Id="rId239" Type="http://schemas.openxmlformats.org/officeDocument/2006/relationships/hyperlink" Target="https://octopart.com/click/track?ai=8078&amp;sig=0abed8d&amp;sid=11744&amp;ppid=39817977&amp;vpid=179884181&amp;ct=offers" TargetMode="External"/><Relationship Id="rId240" Type="http://schemas.openxmlformats.org/officeDocument/2006/relationships/hyperlink" Target="https://octopart.com/click/track?ai=8078&amp;sig=0ce5167&amp;sid=2401&amp;ppid=39817977&amp;vpid=115540567&amp;ct=offers" TargetMode="External"/><Relationship Id="rId241" Type="http://schemas.openxmlformats.org/officeDocument/2006/relationships/hyperlink" Target="https://octopart.com/click/track?ai=8078&amp;sig=0787825&amp;sid=2402&amp;ppid=39817977&amp;vpid=115424167&amp;ct=offers" TargetMode="External"/><Relationship Id="rId242" Type="http://schemas.openxmlformats.org/officeDocument/2006/relationships/hyperlink" Target="https://octopart.com/click/track?ai=8078&amp;sig=037d5cb&amp;sid=10022&amp;ppid=39817977&amp;vpid=656930600&amp;ct=offers" TargetMode="External"/><Relationship Id="rId243" Type="http://schemas.openxmlformats.org/officeDocument/2006/relationships/hyperlink" Target="https://octopart.com/click/track?ai=8078&amp;sig=0d84d61&amp;sid=1532&amp;ppid=39817977&amp;vpid=709257958&amp;ct=offers" TargetMode="External"/><Relationship Id="rId244" Type="http://schemas.openxmlformats.org/officeDocument/2006/relationships/hyperlink" Target="http://datasheet.octopart.com/RC0603FR-0730KL-Yageo-datasheet-8328172.pdf" TargetMode="External"/><Relationship Id="rId245" Type="http://schemas.openxmlformats.org/officeDocument/2006/relationships/hyperlink" Target="https://octopart.com/click/track?ai=8078&amp;sig=05a6514&amp;sid=459&amp;ppid=1245666&amp;vpid=1669740&amp;ct=offers" TargetMode="External"/><Relationship Id="rId246" Type="http://schemas.openxmlformats.org/officeDocument/2006/relationships/hyperlink" Target="https://octopart.com/click/track?ai=8078&amp;sig=0e74505&amp;sid=11744&amp;ppid=1245666&amp;vpid=654129582&amp;ct=offers" TargetMode="External"/><Relationship Id="rId247" Type="http://schemas.openxmlformats.org/officeDocument/2006/relationships/hyperlink" Target="https://octopart.com/click/track?ai=8078&amp;sig=060c092&amp;sid=2401&amp;ppid=1245666&amp;vpid=37775159&amp;ct=offers" TargetMode="External"/><Relationship Id="rId248" Type="http://schemas.openxmlformats.org/officeDocument/2006/relationships/hyperlink" Target="https://octopart.com/click/track?ai=8078&amp;sig=04e12d6&amp;sid=2402&amp;ppid=1245666&amp;vpid=718674637&amp;ct=offers" TargetMode="External"/><Relationship Id="rId249" Type="http://schemas.openxmlformats.org/officeDocument/2006/relationships/hyperlink" Target="https://octopart.com/click/track?ai=8078&amp;sig=068d747&amp;sid=10022&amp;ppid=1245666&amp;vpid=658005416&amp;ct=offers" TargetMode="External"/><Relationship Id="rId250" Type="http://schemas.openxmlformats.org/officeDocument/2006/relationships/hyperlink" Target="https://octopart.com/click/track?ai=8078&amp;sig=0b1e978&amp;sid=1532&amp;ppid=1245666&amp;vpid=709257911&amp;ct=offers" TargetMode="External"/><Relationship Id="rId251" Type="http://schemas.openxmlformats.org/officeDocument/2006/relationships/hyperlink" Target="http://datasheet.octopart.com/RC0603FR-073KL-Yageo-datasheet-8328172.pdf" TargetMode="External"/><Relationship Id="rId252" Type="http://schemas.openxmlformats.org/officeDocument/2006/relationships/hyperlink" Target="https://octopart.com/click/track?ai=8078&amp;sig=0549a78&amp;sid=459&amp;ppid=1163433&amp;vpid=1278857&amp;ct=offers" TargetMode="External"/><Relationship Id="rId253" Type="http://schemas.openxmlformats.org/officeDocument/2006/relationships/hyperlink" Target="https://octopart.com/click/track?ai=8078&amp;sig=0528bcb&amp;sid=819&amp;ppid=1163433&amp;vpid=653863403&amp;ct=offers" TargetMode="External"/><Relationship Id="rId254" Type="http://schemas.openxmlformats.org/officeDocument/2006/relationships/hyperlink" Target="https://octopart.com/click/track?ai=8078&amp;sig=09c52c7&amp;sid=2401&amp;ppid=1163433&amp;vpid=39222626&amp;ct=offers" TargetMode="External"/><Relationship Id="rId255" Type="http://schemas.openxmlformats.org/officeDocument/2006/relationships/hyperlink" Target="https://octopart.com/click/track?ai=8078&amp;sig=0d8a47d&amp;sid=2402&amp;ppid=1163433&amp;vpid=21831711&amp;ct=offers" TargetMode="External"/><Relationship Id="rId256" Type="http://schemas.openxmlformats.org/officeDocument/2006/relationships/hyperlink" Target="https://octopart.com/click/track?ai=8078&amp;sig=0ff8040&amp;sid=10022&amp;ppid=1163433&amp;vpid=658005422&amp;ct=offers" TargetMode="External"/><Relationship Id="rId257" Type="http://schemas.openxmlformats.org/officeDocument/2006/relationships/hyperlink" Target="https://octopart.com/click/track?ai=8078&amp;sig=0719fa7&amp;sid=1532&amp;ppid=1163433&amp;vpid=709257944&amp;ct=offers" TargetMode="External"/><Relationship Id="rId258" Type="http://schemas.openxmlformats.org/officeDocument/2006/relationships/hyperlink" Target="http://datasheet.octopart.com/RC0603FR-073M32L-Yageo-datasheet-8328172.pdf" TargetMode="External"/><Relationship Id="rId259" Type="http://schemas.openxmlformats.org/officeDocument/2006/relationships/hyperlink" Target="https://octopart.com/click/track?ai=8078&amp;sig=0bf3d4d&amp;sid=459&amp;ppid=24734290&amp;vpid=634566286&amp;ct=offers" TargetMode="External"/><Relationship Id="rId260" Type="http://schemas.openxmlformats.org/officeDocument/2006/relationships/hyperlink" Target="https://octopart.com/click/track?ai=8078&amp;sig=0b7be21&amp;sid=2401&amp;ppid=24734290&amp;vpid=448116954&amp;ct=offers" TargetMode="External"/><Relationship Id="rId261" Type="http://schemas.openxmlformats.org/officeDocument/2006/relationships/hyperlink" Target="http://datasheet.octopart.com/RC0603FR-0710ML-Yageo-datasheet-8328172.pdf" TargetMode="External"/><Relationship Id="rId262" Type="http://schemas.openxmlformats.org/officeDocument/2006/relationships/hyperlink" Target="https://octopart.com/click/track?c=1&amp;ai=8078&amp;sig=041b11d&amp;sid=459&amp;ppid=55434396&amp;vpid=188128883&amp;ct=offers" TargetMode="External"/><Relationship Id="rId263" Type="http://schemas.openxmlformats.org/officeDocument/2006/relationships/hyperlink" Target="https://octopart.com/click/track?ai=8078&amp;sig=0ee879d&amp;sid=819&amp;ppid=55434396&amp;vpid=508509531&amp;ct=offers" TargetMode="External"/><Relationship Id="rId264" Type="http://schemas.openxmlformats.org/officeDocument/2006/relationships/hyperlink" Target="https://octopart.com/click/track?c=1&amp;ai=8078&amp;sig=0fd3854&amp;sid=2401&amp;ppid=55434396&amp;vpid=191440243&amp;ct=offers" TargetMode="External"/><Relationship Id="rId265" Type="http://schemas.openxmlformats.org/officeDocument/2006/relationships/hyperlink" Target="https://octopart.com/click/track?ai=8078&amp;sig=0f5fa1b&amp;sid=2402&amp;ppid=55434396&amp;vpid=479779000&amp;ct=offers" TargetMode="External"/><Relationship Id="rId266" Type="http://schemas.openxmlformats.org/officeDocument/2006/relationships/hyperlink" Target="https://octopart.com/click/track?ai=8078&amp;sig=042f0f8&amp;sid=10022&amp;ppid=55434396&amp;vpid=199200366&amp;ct=offers" TargetMode="External"/><Relationship Id="rId267" Type="http://schemas.openxmlformats.org/officeDocument/2006/relationships/hyperlink" Target="https://octopart.com/click/track?ai=8078&amp;sig=0dcf6d1&amp;sid=1532&amp;ppid=55434396&amp;vpid=709257734&amp;ct=offers" TargetMode="External"/><Relationship Id="rId268" Type="http://schemas.openxmlformats.org/officeDocument/2006/relationships/hyperlink" Target="http://datasheet.octopart.com/RC0603FR-07240RL-Yageo-datasheet-118562.pdf" TargetMode="External"/><Relationship Id="rId269" Type="http://schemas.openxmlformats.org/officeDocument/2006/relationships/hyperlink" Target="https://octopart.com/click/track?ai=8078&amp;sig=089f498&amp;sid=459&amp;ppid=1187482&amp;vpid=1181482&amp;ct=offers" TargetMode="External"/><Relationship Id="rId270" Type="http://schemas.openxmlformats.org/officeDocument/2006/relationships/hyperlink" Target="https://octopart.com/click/track?ai=8078&amp;sig=06bdba1&amp;sid=819&amp;ppid=1187482&amp;vpid=653863303&amp;ct=offers" TargetMode="External"/><Relationship Id="rId271" Type="http://schemas.openxmlformats.org/officeDocument/2006/relationships/hyperlink" Target="https://octopart.com/click/track?ai=8078&amp;sig=0913d64&amp;sid=2401&amp;ppid=1187482&amp;vpid=41083175&amp;ct=offers" TargetMode="External"/><Relationship Id="rId272" Type="http://schemas.openxmlformats.org/officeDocument/2006/relationships/hyperlink" Target="https://octopart.com/click/track?c=1&amp;ai=8078&amp;sig=0441e6e&amp;sid=2402&amp;ppid=1187482&amp;vpid=655850366&amp;ct=offers" TargetMode="External"/><Relationship Id="rId273" Type="http://schemas.openxmlformats.org/officeDocument/2006/relationships/hyperlink" Target="https://octopart.com/click/track?ai=8078&amp;sig=0c6359b&amp;sid=1532&amp;ppid=1187482&amp;vpid=709257866&amp;ct=offers" TargetMode="External"/><Relationship Id="rId274" Type="http://schemas.openxmlformats.org/officeDocument/2006/relationships/hyperlink" Target="http://www.ti.com/lit/ds/symlink/opa828.pdf" TargetMode="External"/><Relationship Id="rId275" Type="http://schemas.openxmlformats.org/officeDocument/2006/relationships/hyperlink" Target="https://octopart.com/click/track?ai=8078&amp;sig=01a8c48&amp;sid=459&amp;ppid=95825382&amp;vpid=527585036&amp;ct=offers" TargetMode="External"/><Relationship Id="rId276" Type="http://schemas.openxmlformats.org/officeDocument/2006/relationships/hyperlink" Target="https://octopart.com/click/track?ai=8078&amp;sig=015efc7&amp;sid=2401&amp;ppid=95825382&amp;vpid=522853256&amp;ct=offers" TargetMode="External"/><Relationship Id="rId277" Type="http://schemas.openxmlformats.org/officeDocument/2006/relationships/hyperlink" Target="http://www.ti.com/lit/ds/symlink/lp2951-n.pdf" TargetMode="External"/><Relationship Id="rId278" Type="http://schemas.openxmlformats.org/officeDocument/2006/relationships/hyperlink" Target="https://octopart.com/click/track?ai=8078&amp;sig=05fdfa2&amp;sid=459&amp;ppid=530745&amp;vpid=1998752&amp;ct=offers" TargetMode="External"/><Relationship Id="rId279" Type="http://schemas.openxmlformats.org/officeDocument/2006/relationships/hyperlink" Target="https://octopart.com/click/track?ai=8078&amp;sig=09bb67d&amp;sid=11744&amp;ppid=530745&amp;vpid=260824822&amp;ct=offers" TargetMode="External"/><Relationship Id="rId280" Type="http://schemas.openxmlformats.org/officeDocument/2006/relationships/hyperlink" Target="https://octopart.com/click/track?ai=8078&amp;sig=04d93b3&amp;sid=2401&amp;ppid=530745&amp;vpid=44815672&amp;ct=offers" TargetMode="External"/><Relationship Id="rId281" Type="http://schemas.openxmlformats.org/officeDocument/2006/relationships/hyperlink" Target="https://octopart.com/click/track?ai=8078&amp;sig=09003ad&amp;sid=2402&amp;ppid=530745&amp;vpid=360718619&amp;ct=offers" TargetMode="External"/><Relationship Id="rId282" Type="http://schemas.openxmlformats.org/officeDocument/2006/relationships/hyperlink" Target="https://octopart.com/click/track?ai=8078&amp;sig=031437e&amp;sid=10022&amp;ppid=530745&amp;vpid=199084678&amp;ct=offers" TargetMode="External"/><Relationship Id="rId283" Type="http://schemas.openxmlformats.org/officeDocument/2006/relationships/hyperlink" Target="https://www.ti.com/lit/ds/symlink/opa991.pdf" TargetMode="External"/><Relationship Id="rId284" Type="http://schemas.openxmlformats.org/officeDocument/2006/relationships/hyperlink" Target="https://octopart.com/click/track?ai=8078&amp;sig=0ab66ae&amp;sid=459&amp;ppid=109077649&amp;vpid=658145768&amp;ct=offers" TargetMode="External"/><Relationship Id="rId285" Type="http://schemas.openxmlformats.org/officeDocument/2006/relationships/hyperlink" Target="https://octopart.com/click/track?ai=8078&amp;sig=000aad8&amp;sid=2401&amp;ppid=109077649&amp;vpid=654741938&amp;ct=offers" TargetMode="External"/><Relationship Id="rId286" Type="http://schemas.openxmlformats.org/officeDocument/2006/relationships/hyperlink" Target="http://www.ti.com/lit/ds/symlink/tca9555.pdf" TargetMode="External"/><Relationship Id="rId287" Type="http://schemas.openxmlformats.org/officeDocument/2006/relationships/hyperlink" Target="https://octopart.com/click/track?c=1&amp;ai=8078&amp;sig=0e87380&amp;sid=459&amp;ppid=74606494&amp;vpid=268971818&amp;ct=offers" TargetMode="External"/><Relationship Id="rId288" Type="http://schemas.openxmlformats.org/officeDocument/2006/relationships/hyperlink" Target="https://octopart.com/click/track?c=1&amp;ai=8078&amp;sig=09fe355&amp;sid=819&amp;ppid=74606494&amp;vpid=698032603&amp;ct=offers" TargetMode="External"/><Relationship Id="rId289" Type="http://schemas.openxmlformats.org/officeDocument/2006/relationships/hyperlink" Target="https://octopart.com/click/track?c=1&amp;ai=8078&amp;sig=077a5fd&amp;sid=2401&amp;ppid=74606494&amp;vpid=269061268&amp;ct=offers" TargetMode="External"/><Relationship Id="rId290" Type="http://schemas.openxmlformats.org/officeDocument/2006/relationships/hyperlink" Target="https://octopart.com/click/track?c=1&amp;ai=8078&amp;sig=0429030&amp;sid=2402&amp;ppid=74606494&amp;vpid=702463304&amp;ct=offers" TargetMode="External"/><Relationship Id="rId291" Type="http://schemas.openxmlformats.org/officeDocument/2006/relationships/hyperlink" Target="https://datasheets.maximintegrated.com/en/ds/DG411-DG413.pdf" TargetMode="External"/><Relationship Id="rId292" Type="http://schemas.openxmlformats.org/officeDocument/2006/relationships/hyperlink" Target="https://octopart.com/click/track?ai=8078&amp;sig=072a454&amp;sid=459&amp;ppid=39622420&amp;vpid=115947727&amp;ct=offers" TargetMode="External"/><Relationship Id="rId293" Type="http://schemas.openxmlformats.org/officeDocument/2006/relationships/hyperlink" Target="https://octopart.com/click/track?ai=8078&amp;sig=0d5333e&amp;sid=819&amp;ppid=39622420&amp;vpid=247808006&amp;ct=offers" TargetMode="External"/><Relationship Id="rId294" Type="http://schemas.openxmlformats.org/officeDocument/2006/relationships/hyperlink" Target="https://octopart.com/click/track?ai=8078&amp;sig=0565054&amp;sid=2401&amp;ppid=39622420&amp;vpid=165380242&amp;ct=offers" TargetMode="External"/><Relationship Id="rId295" Type="http://schemas.openxmlformats.org/officeDocument/2006/relationships/hyperlink" Target="https://octopart.com/click/track?ai=8078&amp;sig=0c77ce1&amp;sid=2402&amp;ppid=39622420&amp;vpid=252528060&amp;ct=offers" TargetMode="External"/><Relationship Id="rId296" Type="http://schemas.openxmlformats.org/officeDocument/2006/relationships/hyperlink" Target="https://octopart.com/click/track?ai=8078&amp;sig=0316205&amp;sid=459&amp;ppid=94966384&amp;vpid=528037645&amp;ct=offers" TargetMode="External"/><Relationship Id="rId297" Type="http://schemas.openxmlformats.org/officeDocument/2006/relationships/hyperlink" Target="https://octopart.com/click/track?ai=8078&amp;sig=01ec7c4&amp;sid=2401&amp;ppid=94966384&amp;vpid=511660519&amp;ct=offers" TargetMode="External"/><Relationship Id="rId298" Type="http://schemas.openxmlformats.org/officeDocument/2006/relationships/hyperlink" Target="https://www.analog.com/media/en/technical-documentation/data-sheets/AD8421.pdf" TargetMode="External"/><Relationship Id="rId299" Type="http://schemas.openxmlformats.org/officeDocument/2006/relationships/hyperlink" Target="https://octopart.com/click/track?c=1&amp;ai=8078&amp;sig=0963724&amp;sid=459&amp;ppid=21054800&amp;vpid=50351239&amp;ct=offers" TargetMode="External"/><Relationship Id="rId300" Type="http://schemas.openxmlformats.org/officeDocument/2006/relationships/hyperlink" Target="https://octopart.com/click/track?ai=8078&amp;sig=0feda44&amp;sid=11744&amp;ppid=21054800&amp;vpid=132115876&amp;ct=offers" TargetMode="External"/><Relationship Id="rId301" Type="http://schemas.openxmlformats.org/officeDocument/2006/relationships/hyperlink" Target="https://octopart.com/click/track?c=1&amp;ai=8078&amp;sig=07e7855&amp;sid=2401&amp;ppid=21054800&amp;vpid=76857057&amp;ct=offers" TargetMode="External"/><Relationship Id="rId302" Type="http://schemas.openxmlformats.org/officeDocument/2006/relationships/hyperlink" Target="https://octopart.com/click/track?ai=8078&amp;sig=013fa67&amp;sid=10022&amp;ppid=21054800&amp;vpid=437438706&amp;ct=offers" TargetMode="External"/><Relationship Id="rId303" Type="http://schemas.openxmlformats.org/officeDocument/2006/relationships/hyperlink" Target="https://octopart.com/click/track?ai=8078&amp;sig=0ee58d3&amp;sid=1532&amp;ppid=21054800&amp;vpid=712967068&amp;ct=offers" TargetMode="External"/><Relationship Id="rId304" Type="http://schemas.openxmlformats.org/officeDocument/2006/relationships/hyperlink" Target="https://octopart.com/click/track?ai=8078&amp;sig=0c2d191&amp;sid=459&amp;ppid=97359468&amp;vpid=528037660&amp;ct=offers" TargetMode="External"/><Relationship Id="rId305" Type="http://schemas.openxmlformats.org/officeDocument/2006/relationships/hyperlink" Target="https://octopart.com/click/track?ai=8078&amp;sig=0b8ad0a&amp;sid=2401&amp;ppid=97359468&amp;vpid=511660522&amp;ct=offers" TargetMode="External"/><Relationship Id="rId306" Type="http://schemas.openxmlformats.org/officeDocument/2006/relationships/hyperlink" Target="https://www.analog.com/media/en/technical-documentation/data-sheets/ADG1208_1209.pdf" TargetMode="External"/><Relationship Id="rId307" Type="http://schemas.openxmlformats.org/officeDocument/2006/relationships/hyperlink" Target="https://octopart.com/click/track?c=1&amp;ai=8078&amp;sig=0f34d9a&amp;sid=459&amp;ppid=12767512&amp;vpid=34201402&amp;ct=offers" TargetMode="External"/><Relationship Id="rId308" Type="http://schemas.openxmlformats.org/officeDocument/2006/relationships/hyperlink" Target="https://octopart.com/click/track?c=1&amp;ai=8078&amp;sig=072cd97&amp;sid=819&amp;ppid=12767512&amp;vpid=424031918&amp;ct=offers" TargetMode="External"/><Relationship Id="rId309" Type="http://schemas.openxmlformats.org/officeDocument/2006/relationships/hyperlink" Target="https://octopart.com/click/track?c=1&amp;ai=8078&amp;sig=0c88b06&amp;sid=2401&amp;ppid=12767512&amp;vpid=251853898&amp;ct=offers" TargetMode="External"/><Relationship Id="rId310" Type="http://schemas.openxmlformats.org/officeDocument/2006/relationships/hyperlink" Target="http://www.ti.com/lit/ds/symlink/opa188.pdf" TargetMode="External"/><Relationship Id="rId311" Type="http://schemas.openxmlformats.org/officeDocument/2006/relationships/hyperlink" Target="https://octopart.com/click/track?ai=8078&amp;sig=0931ba7&amp;sid=459&amp;ppid=27810397&amp;vpid=192870300&amp;ct=offers" TargetMode="External"/><Relationship Id="rId312" Type="http://schemas.openxmlformats.org/officeDocument/2006/relationships/hyperlink" Target="https://octopart.com/click/track?ai=8078&amp;sig=0e5949c&amp;sid=2401&amp;ppid=27810397&amp;vpid=214729493&amp;ct=offers" TargetMode="External"/><Relationship Id="rId313" Type="http://schemas.openxmlformats.org/officeDocument/2006/relationships/hyperlink" Target="https://octopart.com/click/track?ai=8078&amp;sig=0c036d6&amp;sid=1532&amp;ppid=27810397&amp;vpid=709228221&amp;ct=offers" TargetMode="External"/><Relationship Id="rId314" Type="http://schemas.openxmlformats.org/officeDocument/2006/relationships/hyperlink" Target="https://octopart.com/click/track?ai=8078&amp;sig=04e34e0&amp;sid=459&amp;ppid=24815714&amp;vpid=57508680&amp;ct=offers" TargetMode="External"/><Relationship Id="rId315" Type="http://schemas.openxmlformats.org/officeDocument/2006/relationships/hyperlink" Target="https://octopart.com/click/track?ai=8078&amp;sig=01c5f64&amp;sid=11744&amp;ppid=24815714&amp;vpid=576401709&amp;ct=offers" TargetMode="External"/><Relationship Id="rId316" Type="http://schemas.openxmlformats.org/officeDocument/2006/relationships/hyperlink" Target="https://octopart.com/click/track?ai=8078&amp;sig=0fee71e&amp;sid=2401&amp;ppid=24815714&amp;vpid=57206786&amp;ct=offers" TargetMode="External"/><Relationship Id="rId317" Type="http://schemas.openxmlformats.org/officeDocument/2006/relationships/hyperlink" Target="https://octopart.com/click/track?ai=8078&amp;sig=0e1f497&amp;sid=2402&amp;ppid=24815714&amp;vpid=578993641&amp;ct=offers" TargetMode="External"/><Relationship Id="rId318" Type="http://schemas.openxmlformats.org/officeDocument/2006/relationships/hyperlink" Target="https://ww1.microchip.com/downloads/en/DeviceDoc/20005202A.pdf" TargetMode="External"/><Relationship Id="rId319" Type="http://schemas.openxmlformats.org/officeDocument/2006/relationships/hyperlink" Target="https://octopart.com/click/track?c=1&amp;ai=8078&amp;sig=07d9dba&amp;sid=459&amp;ppid=28160807&amp;vpid=462964766&amp;ct=offers" TargetMode="External"/><Relationship Id="rId320" Type="http://schemas.openxmlformats.org/officeDocument/2006/relationships/hyperlink" Target="https://octopart.com/click/track?c=1&amp;ai=8078&amp;sig=0f22a5f&amp;sid=819&amp;ppid=28160807&amp;vpid=671898961&amp;ct=offers" TargetMode="External"/><Relationship Id="rId321" Type="http://schemas.openxmlformats.org/officeDocument/2006/relationships/hyperlink" Target="https://octopart.com/click/track?c=1&amp;ai=8078&amp;sig=0ebea38&amp;sid=2401&amp;ppid=28160807&amp;vpid=410280499&amp;ct=offers" TargetMode="External"/><Relationship Id="rId322" Type="http://schemas.openxmlformats.org/officeDocument/2006/relationships/hyperlink" Target="https://octopart.com/click/track?c=1&amp;ai=8078&amp;sig=07ce189&amp;sid=2402&amp;ppid=28160807&amp;vpid=96332414&amp;ct=offers" TargetMode="External"/><Relationship Id="rId323" Type="http://schemas.openxmlformats.org/officeDocument/2006/relationships/hyperlink" Target="http://www.ti.com/lit/ds/symlink/lm337l.pdf" TargetMode="External"/><Relationship Id="rId324" Type="http://schemas.openxmlformats.org/officeDocument/2006/relationships/hyperlink" Target="https://octopart.com/click/track?c=1&amp;ai=8078&amp;sig=08bc585&amp;sid=459&amp;ppid=24813735&amp;vpid=57503671&amp;ct=offers" TargetMode="External"/><Relationship Id="rId325" Type="http://schemas.openxmlformats.org/officeDocument/2006/relationships/hyperlink" Target="https://octopart.com/click/track?c=1&amp;ai=8078&amp;sig=0c82f9f&amp;sid=819&amp;ppid=24813735&amp;vpid=579543916&amp;ct=offers" TargetMode="External"/><Relationship Id="rId326" Type="http://schemas.openxmlformats.org/officeDocument/2006/relationships/hyperlink" Target="https://octopart.com/click/track?c=1&amp;ai=8078&amp;sig=00a8f07&amp;sid=2401&amp;ppid=24813735&amp;vpid=57204660&amp;ct=offers" TargetMode="External"/><Relationship Id="rId327" Type="http://schemas.openxmlformats.org/officeDocument/2006/relationships/hyperlink" Target="https://octopart.com/click/track?c=1&amp;ai=8078&amp;sig=0492cdf&amp;sid=2402&amp;ppid=24813735&amp;vpid=582717336&amp;ct=offers" TargetMode="External"/><Relationship Id="rId328" Type="http://schemas.openxmlformats.org/officeDocument/2006/relationships/hyperlink" Target="https://octopart.com/click/track?ai=8078&amp;sig=0601df2&amp;sid=10022&amp;ppid=24813735&amp;vpid=199163405&amp;ct=offers" TargetMode="External"/><Relationship Id="rId329" Type="http://schemas.openxmlformats.org/officeDocument/2006/relationships/hyperlink" Target="https://octopart.com/click/track?ai=8078&amp;sig=0ab7da3&amp;sid=1532&amp;ppid=24813735&amp;vpid=709227160&amp;ct=offers" TargetMode="External"/><Relationship Id="rId330" Type="http://schemas.openxmlformats.org/officeDocument/2006/relationships/hyperlink" Target="https://www.ti.com/lit/ds/symlink/opa2156.pdf" TargetMode="External"/><Relationship Id="rId331" Type="http://schemas.openxmlformats.org/officeDocument/2006/relationships/hyperlink" Target="https://octopart.com/click/track?ai=8078&amp;sig=0e6c7ab&amp;sid=459&amp;ppid=95825379&amp;vpid=625743947&amp;ct=offers" TargetMode="External"/><Relationship Id="rId332" Type="http://schemas.openxmlformats.org/officeDocument/2006/relationships/hyperlink" Target="https://octopart.com/click/track?c=1&amp;ai=8078&amp;sig=0a58609&amp;sid=2401&amp;ppid=95825379&amp;vpid=577109425&amp;ct=offers" TargetMode="External"/><Relationship Id="rId333" Type="http://schemas.openxmlformats.org/officeDocument/2006/relationships/hyperlink" Target="http://ww1.microchip.com/downloads/en/DeviceDoc/20002200D.pdf" TargetMode="External"/><Relationship Id="rId334" Type="http://schemas.openxmlformats.org/officeDocument/2006/relationships/hyperlink" Target="https://octopart.com/click/track?c=1&amp;ai=8078&amp;sig=08796fc&amp;sid=459&amp;ppid=12637562&amp;vpid=34018224&amp;ct=offers" TargetMode="External"/><Relationship Id="rId335" Type="http://schemas.openxmlformats.org/officeDocument/2006/relationships/hyperlink" Target="https://octopart.com/click/track?c=1&amp;ai=8078&amp;sig=09b5557&amp;sid=819&amp;ppid=12637562&amp;vpid=139007072&amp;ct=offers" TargetMode="External"/><Relationship Id="rId336" Type="http://schemas.openxmlformats.org/officeDocument/2006/relationships/hyperlink" Target="https://octopart.com/click/track?c=1&amp;ai=8078&amp;sig=00d9952&amp;sid=2401&amp;ppid=12637562&amp;vpid=37993004&amp;ct=offers" TargetMode="External"/><Relationship Id="rId337" Type="http://schemas.openxmlformats.org/officeDocument/2006/relationships/hyperlink" Target="https://octopart.com/click/track?c=1&amp;ai=8078&amp;sig=067ed75&amp;sid=2402&amp;ppid=12637562&amp;vpid=96334123&amp;ct=offers" TargetMode="External"/><Relationship Id="rId338" Type="http://schemas.openxmlformats.org/officeDocument/2006/relationships/hyperlink" Target="https://octopart.com/click/track?ai=8078&amp;sig=0957d91&amp;sid=10022&amp;ppid=12637562&amp;vpid=199061061&amp;ct=offers" TargetMode="External"/><Relationship Id="rId339" Type="http://schemas.openxmlformats.org/officeDocument/2006/relationships/hyperlink" Target="https://octopart.com/click/track?ai=8078&amp;sig=049c1fc&amp;sid=1532&amp;ppid=12637562&amp;vpid=709081467&amp;ct=offers" TargetMode="External"/><Relationship Id="rId340" Type="http://schemas.openxmlformats.org/officeDocument/2006/relationships/hyperlink" Target="http://datasheet.octopart.com/G6L-1F-TR-DC5-Omron-datasheet-10910207.pdf" TargetMode="External"/><Relationship Id="rId341" Type="http://schemas.openxmlformats.org/officeDocument/2006/relationships/hyperlink" Target="https://octopart.com/click/track?c=1&amp;ai=8078&amp;sig=0749d72&amp;sid=459&amp;ppid=25805894&amp;vpid=69867617&amp;ct=offers" TargetMode="External"/><Relationship Id="rId342" Type="http://schemas.openxmlformats.org/officeDocument/2006/relationships/hyperlink" Target="https://octopart.com/click/track?c=1&amp;ai=8078&amp;sig=08c7f35&amp;sid=2401&amp;ppid=25805894&amp;vpid=90514633&amp;ct=offers" TargetMode="External"/><Relationship Id="rId343" Type="http://schemas.openxmlformats.org/officeDocument/2006/relationships/hyperlink" Target="https://octopart.com/click/track?c=1&amp;ai=8078&amp;sig=014f218&amp;sid=2402&amp;ppid=25805894&amp;vpid=260822620&amp;ct=offers" TargetMode="External"/><Relationship Id="rId344" Type="http://schemas.openxmlformats.org/officeDocument/2006/relationships/vmlDrawing" Target="../drawings/vmlDrawing1.vml"/><Relationship Id="rId34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5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 outlineLevel="1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15.7109375" customWidth="1" outlineLevel="2"/>
    <col min="45" max="45" width="9.140625" outlineLevel="1"/>
    <col min="46" max="46" width="9.140625" outlineLevel="2"/>
    <col min="47" max="47" width="9.140625" outlineLevel="2"/>
    <col min="48" max="48" width="15.7109375" customWidth="1"/>
    <col min="49" max="49" width="15.7109375" customWidth="1" outlineLevel="2"/>
  </cols>
  <sheetData>
    <row r="1" spans="1:49">
      <c r="A1" s="1" t="s">
        <v>246</v>
      </c>
      <c r="B1" s="2" t="s">
        <v>247</v>
      </c>
      <c r="H1" s="3" t="s">
        <v>252</v>
      </c>
      <c r="I1" s="3">
        <v>100</v>
      </c>
    </row>
    <row r="2" spans="1:49">
      <c r="A2" s="1" t="s">
        <v>248</v>
      </c>
      <c r="B2" s="2" t="s">
        <v>249</v>
      </c>
      <c r="H2" s="1" t="s">
        <v>254</v>
      </c>
      <c r="I2" s="4">
        <f>TotalCost/BoardQty</f>
        <v>0</v>
      </c>
    </row>
    <row r="3" spans="1:49">
      <c r="A3" s="1" t="s">
        <v>250</v>
      </c>
      <c r="B3" s="2" t="s">
        <v>251</v>
      </c>
      <c r="H3" s="1" t="s">
        <v>253</v>
      </c>
      <c r="I3" s="5">
        <f>SUM(I7:I79)</f>
        <v>0</v>
      </c>
      <c r="M3" s="5">
        <f>SUM(M7:M79)</f>
        <v>0</v>
      </c>
      <c r="N3" s="6">
        <f>(COUNTA(M7:M79)&amp;" of "&amp;ROWS(M7:M79)&amp;" parts found"</f>
        <v>0</v>
      </c>
      <c r="R3" s="5">
        <f>SUM(R7:R79)</f>
        <v>0</v>
      </c>
      <c r="S3" s="6">
        <f>(COUNTA(R7:R79)&amp;" of "&amp;ROWS(R7:R79)&amp;" parts found"</f>
        <v>0</v>
      </c>
      <c r="W3" s="5">
        <f>SUM(W7:W79)</f>
        <v>0</v>
      </c>
      <c r="X3" s="6">
        <f>(COUNTA(W7:W79)&amp;" of "&amp;ROWS(W7:W79)&amp;" parts found"</f>
        <v>0</v>
      </c>
      <c r="AB3" s="5">
        <f>SUM(AB7:AB79)</f>
        <v>0</v>
      </c>
      <c r="AC3" s="6">
        <f>(COUNTA(AB7:AB79)&amp;" of "&amp;ROWS(AB7:AB79)&amp;" parts found"</f>
        <v>0</v>
      </c>
      <c r="AG3" s="5">
        <f>SUM(AG7:AG79)</f>
        <v>0</v>
      </c>
      <c r="AH3" s="6">
        <f>(COUNTA(AG7:AG79)&amp;" of "&amp;ROWS(AG7:AG79)&amp;" parts found"</f>
        <v>0</v>
      </c>
      <c r="AL3" s="5">
        <f>SUM(AL7:AL79)</f>
        <v>0</v>
      </c>
      <c r="AM3" s="6">
        <f>(COUNTA(AL7:AL79)&amp;" of "&amp;ROWS(AL7:AL79)&amp;" parts found"</f>
        <v>0</v>
      </c>
      <c r="AQ3" s="5">
        <f>SUM(AQ7:AQ79)</f>
        <v>0</v>
      </c>
      <c r="AR3" s="6">
        <f>(COUNTA(AQ7:AQ79)&amp;" of "&amp;ROWS(AQ7:AQ79)&amp;" parts found"</f>
        <v>0</v>
      </c>
      <c r="AV3" s="5">
        <f>SUM(AV7:AV79)</f>
        <v>0</v>
      </c>
      <c r="AW3" s="6">
        <f>(COUNTA(AV7:AV79)&amp;" of "&amp;ROWS(AV7:AV79)&amp;" parts found"</f>
        <v>0</v>
      </c>
    </row>
    <row r="4" spans="1:49">
      <c r="A4" s="1" t="s">
        <v>255</v>
      </c>
      <c r="B4" s="2" t="s">
        <v>256</v>
      </c>
    </row>
    <row r="5" spans="1:49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257</v>
      </c>
      <c r="K5" s="8"/>
      <c r="L5" s="8"/>
      <c r="M5" s="8"/>
      <c r="N5" s="8"/>
      <c r="O5" s="9" t="s">
        <v>261</v>
      </c>
      <c r="P5" s="9"/>
      <c r="Q5" s="9"/>
      <c r="R5" s="9"/>
      <c r="S5" s="9"/>
      <c r="T5" s="10" t="s">
        <v>329</v>
      </c>
      <c r="U5" s="10"/>
      <c r="V5" s="10"/>
      <c r="W5" s="10"/>
      <c r="X5" s="10"/>
      <c r="Y5" s="11" t="s">
        <v>378</v>
      </c>
      <c r="Z5" s="11"/>
      <c r="AA5" s="11"/>
      <c r="AB5" s="11"/>
      <c r="AC5" s="11"/>
      <c r="AD5" s="12" t="s">
        <v>382</v>
      </c>
      <c r="AE5" s="12"/>
      <c r="AF5" s="12"/>
      <c r="AG5" s="12"/>
      <c r="AH5" s="12"/>
      <c r="AI5" s="13" t="s">
        <v>448</v>
      </c>
      <c r="AJ5" s="13"/>
      <c r="AK5" s="13"/>
      <c r="AL5" s="13"/>
      <c r="AM5" s="13"/>
      <c r="AN5" s="14" t="s">
        <v>494</v>
      </c>
      <c r="AO5" s="14"/>
      <c r="AP5" s="14"/>
      <c r="AQ5" s="14"/>
      <c r="AR5" s="14"/>
      <c r="AS5" s="15" t="s">
        <v>521</v>
      </c>
      <c r="AT5" s="15"/>
      <c r="AU5" s="15"/>
      <c r="AV5" s="15"/>
      <c r="AW5" s="15"/>
    </row>
    <row r="6" spans="1:49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258</v>
      </c>
      <c r="K6" s="16" t="s">
        <v>259</v>
      </c>
      <c r="L6" s="16" t="s">
        <v>8</v>
      </c>
      <c r="M6" s="16" t="s">
        <v>9</v>
      </c>
      <c r="N6" s="16" t="s">
        <v>260</v>
      </c>
      <c r="O6" s="16" t="s">
        <v>258</v>
      </c>
      <c r="P6" s="16" t="s">
        <v>259</v>
      </c>
      <c r="Q6" s="16" t="s">
        <v>8</v>
      </c>
      <c r="R6" s="16" t="s">
        <v>9</v>
      </c>
      <c r="S6" s="16" t="s">
        <v>260</v>
      </c>
      <c r="T6" s="16" t="s">
        <v>258</v>
      </c>
      <c r="U6" s="16" t="s">
        <v>259</v>
      </c>
      <c r="V6" s="16" t="s">
        <v>8</v>
      </c>
      <c r="W6" s="16" t="s">
        <v>9</v>
      </c>
      <c r="X6" s="16" t="s">
        <v>260</v>
      </c>
      <c r="Y6" s="16" t="s">
        <v>258</v>
      </c>
      <c r="Z6" s="16" t="s">
        <v>259</v>
      </c>
      <c r="AA6" s="16" t="s">
        <v>8</v>
      </c>
      <c r="AB6" s="16" t="s">
        <v>9</v>
      </c>
      <c r="AC6" s="16" t="s">
        <v>260</v>
      </c>
      <c r="AD6" s="16" t="s">
        <v>258</v>
      </c>
      <c r="AE6" s="16" t="s">
        <v>259</v>
      </c>
      <c r="AF6" s="16" t="s">
        <v>8</v>
      </c>
      <c r="AG6" s="16" t="s">
        <v>9</v>
      </c>
      <c r="AH6" s="16" t="s">
        <v>260</v>
      </c>
      <c r="AI6" s="16" t="s">
        <v>258</v>
      </c>
      <c r="AJ6" s="16" t="s">
        <v>259</v>
      </c>
      <c r="AK6" s="16" t="s">
        <v>8</v>
      </c>
      <c r="AL6" s="16" t="s">
        <v>9</v>
      </c>
      <c r="AM6" s="16" t="s">
        <v>260</v>
      </c>
      <c r="AN6" s="16" t="s">
        <v>258</v>
      </c>
      <c r="AO6" s="16" t="s">
        <v>259</v>
      </c>
      <c r="AP6" s="16" t="s">
        <v>8</v>
      </c>
      <c r="AQ6" s="16" t="s">
        <v>9</v>
      </c>
      <c r="AR6" s="16" t="s">
        <v>260</v>
      </c>
      <c r="AS6" s="16" t="s">
        <v>258</v>
      </c>
      <c r="AT6" s="16" t="s">
        <v>259</v>
      </c>
      <c r="AU6" s="16" t="s">
        <v>8</v>
      </c>
      <c r="AV6" s="16" t="s">
        <v>9</v>
      </c>
      <c r="AW6" s="16" t="s">
        <v>260</v>
      </c>
    </row>
    <row r="7" spans="1:49">
      <c r="A7" s="17" t="s">
        <v>10</v>
      </c>
      <c r="B7" s="17" t="s">
        <v>11</v>
      </c>
      <c r="D7" s="17" t="s">
        <v>12</v>
      </c>
      <c r="F7" s="17" t="s">
        <v>13</v>
      </c>
      <c r="G7" s="17">
        <f>BoardQty*4</f>
        <v>0</v>
      </c>
      <c r="H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" s="18">
        <f>iferror(G7*H7,"")</f>
        <v>0</v>
      </c>
      <c r="O7" s="19" t="s">
        <v>263</v>
      </c>
      <c r="Q7" s="18">
        <f>iferror(lookup(if(P7="",G7,P7),{0,1,10,50,100,500,1000,4000},{0.0,0.1,0.06,0.033,0.0269,0.01924,0.01512,0.01264}),"")</f>
        <v>0</v>
      </c>
      <c r="R7" s="18">
        <f>iferror(if(P7="",G7,P7)*Q7,"")</f>
        <v>0</v>
      </c>
      <c r="S7" s="20" t="s">
        <v>262</v>
      </c>
      <c r="T7" s="19" t="s">
        <v>263</v>
      </c>
      <c r="V7" s="18">
        <f>iferror(USD_GBP*lookup(if(U7="",G7,U7),{0,1,4000,20000},{0.0,0.0114,0.0114,0.0083}),"")</f>
        <v>0</v>
      </c>
      <c r="W7" s="18">
        <f>iferror(if(U7="",G7,U7)*V7,"")</f>
        <v>0</v>
      </c>
      <c r="X7" s="20" t="s">
        <v>330</v>
      </c>
      <c r="AD7" s="17">
        <v>232</v>
      </c>
      <c r="AF7" s="18">
        <f>iferror(lookup(if(AE7="",G7,AE7),{0,1,10,50,100,1000,10000},{0.0,0.11,0.079,0.079,0.037,0.021,0.016}),"")</f>
        <v>0</v>
      </c>
      <c r="AG7" s="18">
        <f>iferror(if(AE7="",G7,AE7)*AF7,"")</f>
        <v>0</v>
      </c>
      <c r="AH7" s="20" t="s">
        <v>383</v>
      </c>
      <c r="AI7" s="19" t="s">
        <v>263</v>
      </c>
      <c r="AK7" s="18">
        <f>iferror(lookup(if(AJ7="",G7,AJ7),{0,1,4000,8000},{0.0,0.019,0.019,0.014}),"")</f>
        <v>0</v>
      </c>
      <c r="AL7" s="18">
        <f>iferror(if(AJ7="",G7,AJ7)*AK7,"")</f>
        <v>0</v>
      </c>
      <c r="AM7" s="20" t="s">
        <v>449</v>
      </c>
    </row>
    <row r="8" spans="1:49">
      <c r="A8" s="17" t="s">
        <v>14</v>
      </c>
      <c r="B8" s="17" t="s">
        <v>15</v>
      </c>
      <c r="D8" s="17" t="s">
        <v>12</v>
      </c>
      <c r="F8" s="17" t="s">
        <v>16</v>
      </c>
      <c r="G8" s="17">
        <f>BoardQty*1</f>
        <v>0</v>
      </c>
      <c r="H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8" s="18">
        <f>iferror(G8*H8,"")</f>
        <v>0</v>
      </c>
      <c r="O8" s="19" t="s">
        <v>263</v>
      </c>
      <c r="Q8" s="18">
        <f>iferror(lookup(if(P8="",G8,P8),{0,1,10,50,100,500,1000,4000},{0.0,0.1,0.062,0.034,0.0277,0.0198,0.01556,0.01301}),"")</f>
        <v>0</v>
      </c>
      <c r="R8" s="18">
        <f>iferror(if(P8="",G8,P8)*Q8,"")</f>
        <v>0</v>
      </c>
      <c r="S8" s="20" t="s">
        <v>264</v>
      </c>
      <c r="T8" s="17">
        <v>165204</v>
      </c>
      <c r="V8" s="18">
        <f>iferror(USD_GBP*lookup(if(U8="",G8,U8),{0,1,10,100,150,500,1000,2000,4000,20000},{0.0,0.048,0.048,0.0287,0.0287,0.0206,0.016,0.0144,0.0131,0.0103}),"")</f>
        <v>0</v>
      </c>
      <c r="W8" s="18">
        <f>iferror(if(U8="",G8,U8)*V8,"")</f>
        <v>0</v>
      </c>
      <c r="X8" s="20" t="s">
        <v>331</v>
      </c>
      <c r="AD8" s="17">
        <v>18340</v>
      </c>
      <c r="AF8" s="18">
        <f>iferror(lookup(if(AE8="",G8,AE8),{0,1,10,50,100,1000,10000},{0.0,0.1,0.064,0.064,0.029,0.016,0.011}),"")</f>
        <v>0</v>
      </c>
      <c r="AG8" s="18">
        <f>iferror(if(AE8="",G8,AE8)*AF8,"")</f>
        <v>0</v>
      </c>
      <c r="AH8" s="20" t="s">
        <v>384</v>
      </c>
      <c r="AI8" s="17">
        <v>11382</v>
      </c>
      <c r="AK8" s="18">
        <f>iferror(lookup(if(AJ8="",G8,AJ8),{0,1,10,25,50,100,250,500,1000,2500},{0.0,0.112,0.04,0.091,0.078,0.054,0.041,0.032,0.026,0.021}),"")</f>
        <v>0</v>
      </c>
      <c r="AL8" s="18">
        <f>iferror(if(AJ8="",G8,AJ8)*AK8,"")</f>
        <v>0</v>
      </c>
      <c r="AM8" s="20" t="s">
        <v>450</v>
      </c>
      <c r="AN8" s="17">
        <v>12000</v>
      </c>
      <c r="AP8" s="18">
        <f>iferror(USD_GBP*lookup(if(AO8="",G8,AO8),{0,1,4000,12000,40000},{0.0,0.011,0.011,0.011,0.011}),"")</f>
        <v>0</v>
      </c>
      <c r="AQ8" s="18">
        <f>iferror(if(AO8="",G8,AO8)*AP8,"")</f>
        <v>0</v>
      </c>
      <c r="AR8" s="20" t="s">
        <v>495</v>
      </c>
      <c r="AS8" s="17">
        <v>143300</v>
      </c>
      <c r="AU8" s="18">
        <f>iferror(USD_GBP*lookup(if(AT8="",G8,AT8),{0,1,100,300,1000,4000,12000},{0.0,0.0117,0.0117,0.00847,0.00548,0.00392,0.00378}),"")</f>
        <v>0</v>
      </c>
      <c r="AV8" s="18">
        <f>iferror(if(AT8="",G8,AT8)*AU8,"")</f>
        <v>0</v>
      </c>
      <c r="AW8" s="20" t="s">
        <v>522</v>
      </c>
    </row>
    <row r="9" spans="1:49">
      <c r="A9" s="17" t="s">
        <v>17</v>
      </c>
      <c r="B9" s="17" t="s">
        <v>18</v>
      </c>
      <c r="D9" s="17" t="s">
        <v>12</v>
      </c>
      <c r="F9" s="17" t="s">
        <v>19</v>
      </c>
      <c r="G9" s="17">
        <f>BoardQty*1</f>
        <v>0</v>
      </c>
      <c r="H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9" s="18">
        <f>iferror(G9*H9,"")</f>
        <v>0</v>
      </c>
      <c r="O9" s="17">
        <v>152997</v>
      </c>
      <c r="Q9" s="18">
        <f>iferror(lookup(if(P9="",G9,P9),{0,1,10,50,100,500,1000,4000},{0.0,0.1,0.07,0.038,0.031,0.02214,0.01739,0.01455}),"")</f>
        <v>0</v>
      </c>
      <c r="R9" s="18">
        <f>iferror(if(P9="",G9,P9)*Q9,"")</f>
        <v>0</v>
      </c>
      <c r="S9" s="20" t="s">
        <v>265</v>
      </c>
      <c r="T9" s="17">
        <v>58000</v>
      </c>
      <c r="V9" s="18">
        <f>iferror(USD_GBP*lookup(if(U9="",G9,U9),{0,1,10,100,150,500,1000,2000,4000,20000},{0.0,0.042,0.042,0.026,0.026,0.0229,0.017,0.0167,0.0112,0.0108}),"")</f>
        <v>0</v>
      </c>
      <c r="W9" s="18">
        <f>iferror(if(U9="",G9,U9)*V9,"")</f>
        <v>0</v>
      </c>
      <c r="X9" s="20" t="s">
        <v>332</v>
      </c>
      <c r="AD9" s="17">
        <v>79199</v>
      </c>
      <c r="AF9" s="18">
        <f>iferror(lookup(if(AE9="",G9,AE9),{0,1,10,50,100,1000,10000},{0.0,0.11,0.084,0.084,0.039,0.023,0.017}),"")</f>
        <v>0</v>
      </c>
      <c r="AG9" s="18">
        <f>iferror(if(AE9="",G9,AE9)*AF9,"")</f>
        <v>0</v>
      </c>
      <c r="AH9" s="20" t="s">
        <v>385</v>
      </c>
      <c r="AI9" s="17">
        <v>28000</v>
      </c>
      <c r="AK9" s="18">
        <f>iferror(lookup(if(AJ9="",G9,AJ9),{0,1,25,50,100,4000,8000},{0.0,0.12,0.044,0.035,0.026,0.013,0.012}),"")</f>
        <v>0</v>
      </c>
      <c r="AL9" s="18">
        <f>iferror(if(AJ9="",G9,AJ9)*AK9,"")</f>
        <v>0</v>
      </c>
      <c r="AM9" s="20" t="s">
        <v>451</v>
      </c>
      <c r="AN9" s="17">
        <v>2200</v>
      </c>
      <c r="AP9" s="18">
        <f>iferror(USD_GBP*lookup(if(AO9="",G9,AO9),{0,1,4000,12000},{0.0,0.013,0.013,0.012}),"")</f>
        <v>0</v>
      </c>
      <c r="AQ9" s="18">
        <f>iferror(if(AO9="",G9,AO9)*AP9,"")</f>
        <v>0</v>
      </c>
      <c r="AR9" s="20" t="s">
        <v>496</v>
      </c>
      <c r="AS9" s="17">
        <v>28300</v>
      </c>
      <c r="AU9" s="18">
        <f>iferror(USD_GBP*lookup(if(AT9="",G9,AT9),{0,1,100,300,1000,4000,12000},{0.0,0.014,0.014,0.01003,0.0066,0.00499,0.00481}),"")</f>
        <v>0</v>
      </c>
      <c r="AV9" s="18">
        <f>iferror(if(AT9="",G9,AT9)*AU9,"")</f>
        <v>0</v>
      </c>
      <c r="AW9" s="20" t="s">
        <v>523</v>
      </c>
    </row>
    <row r="10" spans="1:49">
      <c r="A10" s="17" t="s">
        <v>20</v>
      </c>
      <c r="B10" s="17" t="s">
        <v>21</v>
      </c>
      <c r="D10" s="17" t="s">
        <v>12</v>
      </c>
      <c r="F10" s="17" t="s">
        <v>22</v>
      </c>
      <c r="G10" s="17">
        <f>BoardQty*1</f>
        <v>0</v>
      </c>
      <c r="H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0" s="18">
        <f>iferror(G10*H10,"")</f>
        <v>0</v>
      </c>
      <c r="O10" s="17">
        <v>7</v>
      </c>
      <c r="Q10" s="18">
        <f>iferror(lookup(if(P10="",G10,P10),{0,1,10,50,100,500,1000,4000},{0.0,0.25,0.172,0.1032,0.0872,0.05966,0.05277,0.04589}),"")</f>
        <v>0</v>
      </c>
      <c r="R10" s="18">
        <f>iferror(if(P10="",G10,P10)*Q10,"")</f>
        <v>0</v>
      </c>
      <c r="S10" s="20" t="s">
        <v>266</v>
      </c>
      <c r="T10" s="19" t="s">
        <v>263</v>
      </c>
      <c r="V10" s="18">
        <f>iferror(USD_GBP*lookup(if(U10="",G10,U10),{0,1,4000,20000},{0.0,0.0348,0.0348,0.0299}),"")</f>
        <v>0</v>
      </c>
      <c r="W10" s="18">
        <f>iferror(if(U10="",G10,U10)*V10,"")</f>
        <v>0</v>
      </c>
      <c r="X10" s="20" t="s">
        <v>333</v>
      </c>
      <c r="AD10" s="19" t="s">
        <v>263</v>
      </c>
      <c r="AF10" s="18">
        <f>iferror(lookup(if(AE10="",G10,AE10),{0,1,10,50,100,1000,10000},{0.0,0.28,0.187,0.187,0.106,0.069,0.054}),"")</f>
        <v>0</v>
      </c>
      <c r="AG10" s="18">
        <f>iferror(if(AE10="",G10,AE10)*AF10,"")</f>
        <v>0</v>
      </c>
      <c r="AH10" s="20" t="s">
        <v>386</v>
      </c>
      <c r="AI10" s="19" t="s">
        <v>263</v>
      </c>
      <c r="AK10" s="18">
        <f>iferror(lookup(if(AJ10="",G10,AJ10),{0,1,4000,8000,16000,24000},{0.0,0.056,0.056,0.049,0.043,0.036}),"")</f>
        <v>0</v>
      </c>
      <c r="AL10" s="18">
        <f>iferror(if(AJ10="",G10,AJ10)*AK10,"")</f>
        <v>0</v>
      </c>
      <c r="AM10" s="20" t="s">
        <v>452</v>
      </c>
    </row>
    <row r="11" spans="1:49">
      <c r="A11" s="17" t="s">
        <v>23</v>
      </c>
      <c r="B11" s="17" t="s">
        <v>24</v>
      </c>
      <c r="D11" s="17" t="s">
        <v>25</v>
      </c>
      <c r="F11" s="17" t="s">
        <v>26</v>
      </c>
      <c r="G11" s="17">
        <f>BoardQty*2</f>
        <v>0</v>
      </c>
      <c r="H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1" s="18">
        <f>iferror(G11*H11,"")</f>
        <v>0</v>
      </c>
      <c r="O11" s="17">
        <v>6607</v>
      </c>
      <c r="Q11" s="18">
        <f>iferror(lookup(if(P11="",G11,P11),{0,1,10,50,100,500,1000,2000},{0.0,0.23,0.159,0.0956,0.0808,0.05526,0.04888,0.04676}),"")</f>
        <v>0</v>
      </c>
      <c r="R11" s="18">
        <f>iferror(if(P11="",G11,P11)*Q11,"")</f>
        <v>0</v>
      </c>
      <c r="S11" s="20" t="s">
        <v>267</v>
      </c>
      <c r="AD11" s="17">
        <v>78776</v>
      </c>
      <c r="AF11" s="18">
        <f>iferror(lookup(if(AE11="",G11,AE11),{0,1,10,50,100,1000,10000},{0.0,0.23,0.117,0.117,0.083,0.05,0.043}),"")</f>
        <v>0</v>
      </c>
      <c r="AG11" s="18">
        <f>iferror(if(AE11="",G11,AE11)*AF11,"")</f>
        <v>0</v>
      </c>
      <c r="AH11" s="20" t="s">
        <v>387</v>
      </c>
    </row>
    <row r="12" spans="1:49">
      <c r="A12" s="17" t="s">
        <v>27</v>
      </c>
      <c r="B12" s="17" t="s">
        <v>28</v>
      </c>
      <c r="D12" s="17" t="s">
        <v>12</v>
      </c>
      <c r="F12" s="17" t="s">
        <v>29</v>
      </c>
      <c r="G12" s="17">
        <f>BoardQty*2</f>
        <v>0</v>
      </c>
      <c r="H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2" s="18">
        <f>iferror(G12*H12,"")</f>
        <v>0</v>
      </c>
      <c r="O12" s="17">
        <v>3531</v>
      </c>
      <c r="Q12" s="18">
        <f>iferror(lookup(if(P12="",G12,P12),{0,1,10,50,100,500,1000,4000},{0.0,0.1,0.055,0.0298,0.0243,0.01738,0.01366,0.01143}),"")</f>
        <v>0</v>
      </c>
      <c r="R12" s="18">
        <f>iferror(if(P12="",G12,P12)*Q12,"")</f>
        <v>0</v>
      </c>
      <c r="S12" s="20" t="s">
        <v>268</v>
      </c>
      <c r="AD12" s="19" t="s">
        <v>263</v>
      </c>
      <c r="AF12" s="18">
        <f>iferror(lookup(if(AE12="",G12,AE12),{0,1,10,50,100,1000,10000},{0.0,0.1,0.053,0.053,0.024,0.014,0.01}),"")</f>
        <v>0</v>
      </c>
      <c r="AG12" s="18">
        <f>iferror(if(AE12="",G12,AE12)*AF12,"")</f>
        <v>0</v>
      </c>
      <c r="AH12" s="20" t="s">
        <v>388</v>
      </c>
    </row>
    <row r="13" spans="1:49">
      <c r="A13" s="17" t="s">
        <v>30</v>
      </c>
      <c r="B13" s="17" t="s">
        <v>31</v>
      </c>
      <c r="D13" s="17" t="s">
        <v>12</v>
      </c>
      <c r="F13" s="17" t="s">
        <v>32</v>
      </c>
      <c r="G13" s="17">
        <f>BoardQty*1</f>
        <v>0</v>
      </c>
      <c r="H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3" s="18">
        <f>iferror(G13*H13,"")</f>
        <v>0</v>
      </c>
      <c r="O13" s="19" t="s">
        <v>263</v>
      </c>
      <c r="Q13" s="18">
        <f>iferror(lookup(if(P13="",G13,P13),{0,1,10,50,100,500,1000,4000},{0.0,0.12,0.086,0.049,0.0406,0.02848,0.02358,0.02008}),"")</f>
        <v>0</v>
      </c>
      <c r="R13" s="18">
        <f>iferror(if(P13="",G13,P13)*Q13,"")</f>
        <v>0</v>
      </c>
      <c r="S13" s="20" t="s">
        <v>269</v>
      </c>
      <c r="AD13" s="17">
        <v>122</v>
      </c>
      <c r="AF13" s="18">
        <f>iferror(lookup(if(AE13="",G13,AE13),{0,1,10,50,100,1000,10000},{0.0,0.12,0.061,0.061,0.04,0.026,0.022}),"")</f>
        <v>0</v>
      </c>
      <c r="AG13" s="18">
        <f>iferror(if(AE13="",G13,AE13)*AF13,"")</f>
        <v>0</v>
      </c>
      <c r="AH13" s="20" t="s">
        <v>389</v>
      </c>
    </row>
    <row r="14" spans="1:49">
      <c r="A14" s="17" t="s">
        <v>33</v>
      </c>
      <c r="B14" s="17" t="s">
        <v>34</v>
      </c>
      <c r="D14" s="17" t="s">
        <v>12</v>
      </c>
      <c r="F14" s="17" t="s">
        <v>13</v>
      </c>
      <c r="G14" s="17">
        <f>BoardQty*24</f>
        <v>0</v>
      </c>
      <c r="H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4" s="18">
        <f>iferror(G14*H14,"")</f>
        <v>0</v>
      </c>
      <c r="O14" s="19" t="s">
        <v>263</v>
      </c>
      <c r="Q14" s="18">
        <f>iferror(lookup(if(P14="",G14,P14),{0,1,10,50,100,500,1000,4000},{0.0,0.1,0.06,0.033,0.0269,0.01924,0.01512,0.01264}),"")</f>
        <v>0</v>
      </c>
      <c r="R14" s="18">
        <f>iferror(if(P14="",G14,P14)*Q14,"")</f>
        <v>0</v>
      </c>
      <c r="S14" s="20" t="s">
        <v>262</v>
      </c>
      <c r="T14" s="19" t="s">
        <v>263</v>
      </c>
      <c r="V14" s="18">
        <f>iferror(USD_GBP*lookup(if(U14="",G14,U14),{0,1,4000,20000},{0.0,0.0114,0.0114,0.0083}),"")</f>
        <v>0</v>
      </c>
      <c r="W14" s="18">
        <f>iferror(if(U14="",G14,U14)*V14,"")</f>
        <v>0</v>
      </c>
      <c r="X14" s="20" t="s">
        <v>330</v>
      </c>
      <c r="AD14" s="17">
        <v>232</v>
      </c>
      <c r="AF14" s="18">
        <f>iferror(lookup(if(AE14="",G14,AE14),{0,1,10,50,100,1000,10000},{0.0,0.11,0.079,0.079,0.037,0.021,0.016}),"")</f>
        <v>0</v>
      </c>
      <c r="AG14" s="18">
        <f>iferror(if(AE14="",G14,AE14)*AF14,"")</f>
        <v>0</v>
      </c>
      <c r="AH14" s="20" t="s">
        <v>383</v>
      </c>
      <c r="AI14" s="19" t="s">
        <v>263</v>
      </c>
      <c r="AK14" s="18">
        <f>iferror(lookup(if(AJ14="",G14,AJ14),{0,1,4000,8000},{0.0,0.019,0.019,0.014}),"")</f>
        <v>0</v>
      </c>
      <c r="AL14" s="18">
        <f>iferror(if(AJ14="",G14,AJ14)*AK14,"")</f>
        <v>0</v>
      </c>
      <c r="AM14" s="20" t="s">
        <v>449</v>
      </c>
    </row>
    <row r="15" spans="1:49">
      <c r="A15" s="17" t="s">
        <v>35</v>
      </c>
      <c r="B15" s="17" t="s">
        <v>36</v>
      </c>
      <c r="D15" s="17" t="s">
        <v>12</v>
      </c>
      <c r="F15" s="17" t="s">
        <v>37</v>
      </c>
      <c r="G15" s="17">
        <f>BoardQty*1</f>
        <v>0</v>
      </c>
      <c r="H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5" s="18">
        <f>iferror(G15*H15,"")</f>
        <v>0</v>
      </c>
      <c r="O15" s="17">
        <v>8430</v>
      </c>
      <c r="Q15" s="18">
        <f>iferror(lookup(if(P15="",G15,P15),{0,1,10,50,100,500,1000,4000},{0.0,0.19,0.132,0.079,0.0667,0.04562,0.04036,0.0351}),"")</f>
        <v>0</v>
      </c>
      <c r="R15" s="18">
        <f>iferror(if(P15="",G15,P15)*Q15,"")</f>
        <v>0</v>
      </c>
      <c r="S15" s="20" t="s">
        <v>270</v>
      </c>
      <c r="T15" s="19" t="s">
        <v>263</v>
      </c>
      <c r="V15" s="18">
        <f>iferror(USD_GBP*lookup(if(U15="",G15,U15),{0,1,4000},{0.0,0.0296,0.0296}),"")</f>
        <v>0</v>
      </c>
      <c r="W15" s="18">
        <f>iferror(if(U15="",G15,U15)*V15,"")</f>
        <v>0</v>
      </c>
      <c r="X15" s="20" t="s">
        <v>334</v>
      </c>
      <c r="AD15" s="17">
        <v>22337</v>
      </c>
      <c r="AF15" s="18">
        <f>iferror(lookup(if(AE15="",G15,AE15),{0,1,10,50,100,1000,10000},{0.0,0.2,0.129,0.129,0.066,0.042,0.033}),"")</f>
        <v>0</v>
      </c>
      <c r="AG15" s="18">
        <f>iferror(if(AE15="",G15,AE15)*AF15,"")</f>
        <v>0</v>
      </c>
      <c r="AH15" s="20" t="s">
        <v>390</v>
      </c>
    </row>
    <row r="16" spans="1:49">
      <c r="A16" s="17" t="s">
        <v>38</v>
      </c>
      <c r="B16" s="17" t="s">
        <v>39</v>
      </c>
      <c r="D16" s="17" t="s">
        <v>12</v>
      </c>
      <c r="F16" s="17" t="s">
        <v>40</v>
      </c>
      <c r="G16" s="17">
        <f>BoardQty*1</f>
        <v>0</v>
      </c>
      <c r="H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6" s="18">
        <f>iferror(G16*H16,"")</f>
        <v>0</v>
      </c>
      <c r="O16" s="17">
        <v>123104</v>
      </c>
      <c r="Q16" s="18">
        <f>iferror(lookup(if(P16="",G16,P16),{0,1,10,50,100,500,1000,4000},{0.0,0.1,0.046,0.025,0.0203,0.01454,0.01142,0.00955}),"")</f>
        <v>0</v>
      </c>
      <c r="R16" s="18">
        <f>iferror(if(P16="",G16,P16)*Q16,"")</f>
        <v>0</v>
      </c>
      <c r="S16" s="20" t="s">
        <v>271</v>
      </c>
      <c r="T16" s="17">
        <v>92000</v>
      </c>
      <c r="V16" s="18">
        <f>iferror(USD_GBP*lookup(if(U16="",G16,U16),{0,1,10,100,150,500,1000,2000,4000,20000},{0.0,0.0284,0.0284,0.023,0.023,0.0158,0.012,0.0118,0.0085,0.0083}),"")</f>
        <v>0</v>
      </c>
      <c r="W16" s="18">
        <f>iferror(if(U16="",G16,U16)*V16,"")</f>
        <v>0</v>
      </c>
      <c r="X16" s="20" t="s">
        <v>335</v>
      </c>
      <c r="AD16" s="17">
        <v>54174</v>
      </c>
      <c r="AF16" s="18">
        <f>iferror(lookup(if(AE16="",G16,AE16),{0,1,10,50,100,1000,10000},{0.0,0.13,0.081,0.081,0.036,0.021,0.014}),"")</f>
        <v>0</v>
      </c>
      <c r="AG16" s="18">
        <f>iferror(if(AE16="",G16,AE16)*AF16,"")</f>
        <v>0</v>
      </c>
      <c r="AH16" s="20" t="s">
        <v>391</v>
      </c>
      <c r="AI16" s="17">
        <v>8000</v>
      </c>
      <c r="AK16" s="18">
        <f>iferror(lookup(if(AJ16="",G16,AJ16),{0,1,25,50,100,250,4000,5000,10000,20000},{0.0,0.027,0.097,0.07,0.043,0.037,0.027,0.023,0.018,0.013}),"")</f>
        <v>0</v>
      </c>
      <c r="AL16" s="18">
        <f>iferror(if(AJ16="",G16,AJ16)*AK16,"")</f>
        <v>0</v>
      </c>
      <c r="AM16" s="20" t="s">
        <v>453</v>
      </c>
      <c r="AS16" s="17">
        <v>19900</v>
      </c>
      <c r="AU16" s="18">
        <f>iferror(USD_GBP*lookup(if(AT16="",G16,AT16),{0,1,100,1000,4000,12000},{0.0,0.0109,0.0109,0.00567,0.00342,0.00312}),"")</f>
        <v>0</v>
      </c>
      <c r="AV16" s="18">
        <f>iferror(if(AT16="",G16,AT16)*AU16,"")</f>
        <v>0</v>
      </c>
      <c r="AW16" s="20" t="s">
        <v>40</v>
      </c>
    </row>
    <row r="17" spans="1:49">
      <c r="A17" s="17" t="s">
        <v>41</v>
      </c>
      <c r="B17" s="17" t="s">
        <v>42</v>
      </c>
      <c r="D17" s="17" t="s">
        <v>12</v>
      </c>
      <c r="F17" s="17" t="s">
        <v>43</v>
      </c>
      <c r="G17" s="17">
        <f>BoardQty*1</f>
        <v>0</v>
      </c>
      <c r="H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7" s="18">
        <f>iferror(G17*H17,"")</f>
        <v>0</v>
      </c>
      <c r="O17" s="17">
        <v>44262</v>
      </c>
      <c r="Q17" s="18">
        <f>iferror(lookup(if(P17="",G17,P17),{0,1,10,50,100,500,1000,4000},{0.0,0.23,0.155,0.0932,0.0787,0.05382,0.04761,0.0414}),"")</f>
        <v>0</v>
      </c>
      <c r="R17" s="18">
        <f>iferror(if(P17="",G17,P17)*Q17,"")</f>
        <v>0</v>
      </c>
      <c r="S17" s="20" t="s">
        <v>272</v>
      </c>
      <c r="T17" s="19" t="s">
        <v>263</v>
      </c>
      <c r="V17" s="18">
        <f>iferror(USD_GBP*lookup(if(U17="",G17,U17),{0,1,4000,8000,16000,24000},{0.0,0.0306,0.0306,0.029,0.0273,0.0248}),"")</f>
        <v>0</v>
      </c>
      <c r="W17" s="18">
        <f>iferror(if(U17="",G17,U17)*V17,"")</f>
        <v>0</v>
      </c>
      <c r="X17" s="20" t="s">
        <v>336</v>
      </c>
      <c r="AD17" s="17">
        <v>9730</v>
      </c>
      <c r="AF17" s="18">
        <f>iferror(lookup(if(AE17="",G17,AE17),{0,1,10,50,100,1000,10000},{0.0,0.22,0.154,0.154,0.078,0.047,0.039}),"")</f>
        <v>0</v>
      </c>
      <c r="AG17" s="18">
        <f>iferror(if(AE17="",G17,AE17)*AF17,"")</f>
        <v>0</v>
      </c>
      <c r="AH17" s="20" t="s">
        <v>392</v>
      </c>
      <c r="AI17" s="19" t="s">
        <v>263</v>
      </c>
      <c r="AK17" s="18">
        <f>iferror(lookup(if(AJ17="",G17,AJ17),{0,1,4000,8000,16000,24000},{0.0,0.044,0.044,0.042,0.039,0.036}),"")</f>
        <v>0</v>
      </c>
      <c r="AL17" s="18">
        <f>iferror(if(AJ17="",G17,AJ17)*AK17,"")</f>
        <v>0</v>
      </c>
      <c r="AM17" s="20" t="s">
        <v>454</v>
      </c>
      <c r="AN17" s="17">
        <v>11800</v>
      </c>
      <c r="AP17" s="18">
        <f>iferror(USD_GBP*lookup(if(AO17="",G17,AO17),{0,1,100,500,1000,4000},{0.0,0.06,0.06,0.037,0.03,0.027}),"")</f>
        <v>0</v>
      </c>
      <c r="AQ17" s="18">
        <f>iferror(if(AO17="",G17,AO17)*AP17,"")</f>
        <v>0</v>
      </c>
      <c r="AR17" s="20" t="s">
        <v>497</v>
      </c>
    </row>
    <row r="18" spans="1:49">
      <c r="A18" s="17" t="s">
        <v>44</v>
      </c>
      <c r="B18" s="17" t="s">
        <v>45</v>
      </c>
      <c r="D18" s="17" t="s">
        <v>12</v>
      </c>
      <c r="F18" s="17" t="s">
        <v>46</v>
      </c>
      <c r="G18" s="17">
        <f>BoardQty*1</f>
        <v>0</v>
      </c>
      <c r="H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8" s="18">
        <f>iferror(G18*H18,"")</f>
        <v>0</v>
      </c>
      <c r="O18" s="19" t="s">
        <v>263</v>
      </c>
      <c r="Q18" s="18">
        <f>iferror(lookup(if(P18="",G18,P18),{0,1,10,50,100,500,1000,4000},{0.0,0.1,0.055,0.0302,0.0247,0.01762,0.01385,0.01159}),"")</f>
        <v>0</v>
      </c>
      <c r="R18" s="18">
        <f>iferror(if(P18="",G18,P18)*Q18,"")</f>
        <v>0</v>
      </c>
      <c r="S18" s="20" t="s">
        <v>273</v>
      </c>
      <c r="T18" s="19" t="s">
        <v>263</v>
      </c>
      <c r="V18" s="18">
        <f>iferror(USD_GBP*lookup(if(U18="",G18,U18),{0,1,4000},{0.0,0.01,0.01}),"")</f>
        <v>0</v>
      </c>
      <c r="W18" s="18">
        <f>iferror(if(U18="",G18,U18)*V18,"")</f>
        <v>0</v>
      </c>
      <c r="X18" s="20" t="s">
        <v>337</v>
      </c>
      <c r="AD18" s="19" t="s">
        <v>263</v>
      </c>
      <c r="AF18" s="18">
        <f>iferror(lookup(if(AE18="",G18,AE18),{0,1,10,50,100,1000,10000},{0.0,0.16,0.103,0.103,0.048,0.029,0.021}),"")</f>
        <v>0</v>
      </c>
      <c r="AG18" s="18">
        <f>iferror(if(AE18="",G18,AE18)*AF18,"")</f>
        <v>0</v>
      </c>
      <c r="AH18" s="20" t="s">
        <v>393</v>
      </c>
    </row>
    <row r="19" spans="1:49">
      <c r="A19" s="17" t="s">
        <v>47</v>
      </c>
      <c r="B19" s="17" t="s">
        <v>48</v>
      </c>
      <c r="D19" s="17" t="s">
        <v>12</v>
      </c>
      <c r="F19" s="17" t="s">
        <v>49</v>
      </c>
      <c r="G19" s="17">
        <f>BoardQty*1</f>
        <v>0</v>
      </c>
      <c r="H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9" s="18">
        <f>iferror(G19*H19,"")</f>
        <v>0</v>
      </c>
      <c r="O19" s="17">
        <v>1417</v>
      </c>
      <c r="Q19" s="18">
        <f>iferror(lookup(if(P19="",G19,P19),{0,1,10,50,100,500,1000,4000},{0.0,0.12,0.088,0.0498,0.0413,0.02894,0.02396,0.0204}),"")</f>
        <v>0</v>
      </c>
      <c r="R19" s="18">
        <f>iferror(if(P19="",G19,P19)*Q19,"")</f>
        <v>0</v>
      </c>
      <c r="S19" s="20" t="s">
        <v>274</v>
      </c>
      <c r="T19" s="17">
        <v>28000</v>
      </c>
      <c r="V19" s="18">
        <f>iferror(USD_GBP*lookup(if(U19="",G19,U19),{0,1,10,100,150,500,1000,2000,4000,20000},{0.0,0.0575,0.0575,0.0336,0.0336,0.0285,0.0233,0.0228,0.0168,0.0165}),"")</f>
        <v>0</v>
      </c>
      <c r="W19" s="18">
        <f>iferror(if(U19="",G19,U19)*V19,"")</f>
        <v>0</v>
      </c>
      <c r="X19" s="20" t="s">
        <v>338</v>
      </c>
      <c r="AD19" s="17">
        <v>3540</v>
      </c>
      <c r="AF19" s="18">
        <f>iferror(lookup(if(AE19="",G19,AE19),{0,1,10,50,100,1000,10000},{0.0,0.18,0.136,0.136,0.064,0.037,0.028}),"")</f>
        <v>0</v>
      </c>
      <c r="AG19" s="18">
        <f>iferror(if(AE19="",G19,AE19)*AF19,"")</f>
        <v>0</v>
      </c>
      <c r="AH19" s="20" t="s">
        <v>394</v>
      </c>
      <c r="AI19" s="17">
        <v>28000</v>
      </c>
      <c r="AK19" s="18">
        <f>iferror(lookup(if(AJ19="",G19,AJ19),{0,1,10,25,50,100,4000,8000},{0.0,0.105,0.044,0.038,0.033,0.027,0.027,0.027}),"")</f>
        <v>0</v>
      </c>
      <c r="AL19" s="18">
        <f>iferror(if(AJ19="",G19,AJ19)*AK19,"")</f>
        <v>0</v>
      </c>
      <c r="AM19" s="20" t="s">
        <v>455</v>
      </c>
    </row>
    <row r="20" spans="1:49">
      <c r="A20" s="17" t="s">
        <v>50</v>
      </c>
      <c r="B20" s="17" t="s">
        <v>51</v>
      </c>
      <c r="D20" s="17" t="s">
        <v>12</v>
      </c>
      <c r="F20" s="17" t="s">
        <v>52</v>
      </c>
      <c r="G20" s="17">
        <f>BoardQty*1</f>
        <v>0</v>
      </c>
      <c r="H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0" s="18">
        <f>iferror(G20*H20,"")</f>
        <v>0</v>
      </c>
      <c r="O20" s="19" t="s">
        <v>263</v>
      </c>
      <c r="Q20" s="18">
        <f>iferror(lookup(if(P20="",G20,P20),{0,1,10,50,100,500,1000,4000},{0.0,0.11,0.083,0.0454,0.037,0.02644,0.02078,0.01738}),"")</f>
        <v>0</v>
      </c>
      <c r="R20" s="18">
        <f>iferror(if(P20="",G20,P20)*Q20,"")</f>
        <v>0</v>
      </c>
      <c r="S20" s="20" t="s">
        <v>275</v>
      </c>
      <c r="T20" s="17">
        <v>28000</v>
      </c>
      <c r="V20" s="18">
        <f>iferror(USD_GBP*lookup(if(U20="",G20,U20),{0,1,10,100,150,500,1000,2000,4000,20000},{0.0,0.0882,0.0882,0.025,0.025,0.0223,0.0196,0.0168,0.0144,0.0141}),"")</f>
        <v>0</v>
      </c>
      <c r="W20" s="18">
        <f>iferror(if(U20="",G20,U20)*V20,"")</f>
        <v>0</v>
      </c>
      <c r="X20" s="20" t="s">
        <v>339</v>
      </c>
      <c r="AD20" s="17">
        <v>3860</v>
      </c>
      <c r="AF20" s="18">
        <f>iferror(lookup(if(AE20="",G20,AE20),{0,1,10,50,100,1000,10000},{0.0,0.14,0.086,0.086,0.038,0.022,0.015}),"")</f>
        <v>0</v>
      </c>
      <c r="AG20" s="18">
        <f>iferror(if(AE20="",G20,AE20)*AF20,"")</f>
        <v>0</v>
      </c>
      <c r="AH20" s="20" t="s">
        <v>395</v>
      </c>
      <c r="AI20" s="17">
        <v>28000</v>
      </c>
      <c r="AK20" s="18">
        <f>iferror(lookup(if(AJ20="",G20,AJ20),{0,1,10,25,50,100,4000,8000},{0.0,0.056,0.056,0.046,0.035,0.024,0.015,0.014}),"")</f>
        <v>0</v>
      </c>
      <c r="AL20" s="18">
        <f>iferror(if(AJ20="",G20,AJ20)*AK20,"")</f>
        <v>0</v>
      </c>
      <c r="AM20" s="20" t="s">
        <v>456</v>
      </c>
      <c r="AN20" s="17">
        <v>2800</v>
      </c>
      <c r="AP20" s="18">
        <f>iferror(USD_GBP*lookup(if(AO20="",G20,AO20),{0,1,4000,12000},{0.0,0.013,0.013,0.012}),"")</f>
        <v>0</v>
      </c>
      <c r="AQ20" s="18">
        <f>iferror(if(AO20="",G20,AO20)*AP20,"")</f>
        <v>0</v>
      </c>
      <c r="AR20" s="20" t="s">
        <v>498</v>
      </c>
    </row>
    <row r="21" spans="1:49">
      <c r="A21" s="17" t="s">
        <v>53</v>
      </c>
      <c r="B21" s="17" t="s">
        <v>34</v>
      </c>
      <c r="D21" s="17" t="s">
        <v>12</v>
      </c>
      <c r="F21" s="17" t="s">
        <v>54</v>
      </c>
      <c r="G21" s="17">
        <f>BoardQty*1</f>
        <v>0</v>
      </c>
      <c r="H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1" s="18">
        <f>iferror(G21*H21,"")</f>
        <v>0</v>
      </c>
      <c r="O21" s="17">
        <v>1832</v>
      </c>
      <c r="Q21" s="18">
        <f>iferror(lookup(if(P21="",G21,P21),{0,1,10,50,100,500,1000,4000},{0.0,0.1,0.03,0.0162,0.0133,0.0095,0.00746,0.00624}),"")</f>
        <v>0</v>
      </c>
      <c r="R21" s="18">
        <f>iferror(if(P21="",G21,P21)*Q21,"")</f>
        <v>0</v>
      </c>
      <c r="S21" s="20" t="s">
        <v>276</v>
      </c>
      <c r="AD21" s="17">
        <v>7841</v>
      </c>
      <c r="AF21" s="18">
        <f>iferror(lookup(if(AE21="",G21,AE21),{0,1,10,50,100,1000,10000},{0.0,0.1,0.031,0.031,0.014,0.008,0.005}),"")</f>
        <v>0</v>
      </c>
      <c r="AG21" s="18">
        <f>iferror(if(AE21="",G21,AE21)*AF21,"")</f>
        <v>0</v>
      </c>
      <c r="AH21" s="20" t="s">
        <v>396</v>
      </c>
    </row>
    <row r="22" spans="1:49">
      <c r="A22" s="17" t="s">
        <v>55</v>
      </c>
      <c r="B22" s="17" t="s">
        <v>56</v>
      </c>
      <c r="D22" s="17" t="s">
        <v>25</v>
      </c>
      <c r="F22" s="17" t="s">
        <v>57</v>
      </c>
      <c r="G22" s="17">
        <f>BoardQty*2</f>
        <v>0</v>
      </c>
      <c r="H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2" s="18">
        <f>iferror(G22*H22,"")</f>
        <v>0</v>
      </c>
      <c r="O22" s="19" t="s">
        <v>263</v>
      </c>
      <c r="Q22" s="18">
        <f>iferror(lookup(if(P22="",G22,P22),{0,1,10,50,100,500,1000,2000},{0.0,0.26,0.178,0.107,0.0904,0.06184,0.0547,0.05232}),"")</f>
        <v>0</v>
      </c>
      <c r="R22" s="18">
        <f>iferror(if(P22="",G22,P22)*Q22,"")</f>
        <v>0</v>
      </c>
      <c r="S22" s="20" t="s">
        <v>277</v>
      </c>
      <c r="Y22" s="17">
        <v>5870</v>
      </c>
      <c r="AA22" s="18">
        <f>iferror(lookup(if(Z22="",G22,Z22),{0,1,10,100,300,1000,5000,10000},{0.0,0.32815,0.32815,0.25318,0.23941,0.22564,0.21952,0.21649}),"")</f>
        <v>0</v>
      </c>
      <c r="AB22" s="18">
        <f>iferror(if(Z22="",G22,Z22)*AA22,"")</f>
        <v>0</v>
      </c>
      <c r="AC22" s="20" t="s">
        <v>379</v>
      </c>
      <c r="AD22" s="19" t="s">
        <v>263</v>
      </c>
      <c r="AF22" s="18">
        <f>iferror(lookup(if(AE22="",G22,AE22),{0,1,10,50,100,1000,10000},{0.0,0.26,0.107,0.107,0.091,0.06,0.056}),"")</f>
        <v>0</v>
      </c>
      <c r="AG22" s="18">
        <f>iferror(if(AE22="",G22,AE22)*AF22,"")</f>
        <v>0</v>
      </c>
      <c r="AH22" s="20" t="s">
        <v>397</v>
      </c>
      <c r="AI22" s="19" t="s">
        <v>263</v>
      </c>
      <c r="AK22" s="18">
        <f>iferror(lookup(if(AJ22="",G22,AJ22),{0,1,99999,200000},{0.0,0.052,0.052,0.052}),"")</f>
        <v>0</v>
      </c>
      <c r="AL22" s="18">
        <f>iferror(if(AJ22="",G22,AJ22)*AK22,"")</f>
        <v>0</v>
      </c>
      <c r="AM22" s="20" t="s">
        <v>457</v>
      </c>
    </row>
    <row r="23" spans="1:49">
      <c r="A23" s="17" t="s">
        <v>58</v>
      </c>
      <c r="B23" s="17" t="s">
        <v>59</v>
      </c>
      <c r="D23" s="17" t="s">
        <v>12</v>
      </c>
      <c r="F23" s="17" t="s">
        <v>52</v>
      </c>
      <c r="G23" s="17">
        <f>BoardQty*1</f>
        <v>0</v>
      </c>
      <c r="H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3" s="18">
        <f>iferror(G23*H23,"")</f>
        <v>0</v>
      </c>
      <c r="O23" s="19" t="s">
        <v>263</v>
      </c>
      <c r="Q23" s="18">
        <f>iferror(lookup(if(P23="",G23,P23),{0,1,10,50,100,500,1000,4000},{0.0,0.11,0.083,0.0454,0.037,0.02644,0.02078,0.01738}),"")</f>
        <v>0</v>
      </c>
      <c r="R23" s="18">
        <f>iferror(if(P23="",G23,P23)*Q23,"")</f>
        <v>0</v>
      </c>
      <c r="S23" s="20" t="s">
        <v>275</v>
      </c>
      <c r="T23" s="17">
        <v>28000</v>
      </c>
      <c r="V23" s="18">
        <f>iferror(USD_GBP*lookup(if(U23="",G23,U23),{0,1,10,100,150,500,1000,2000,4000,20000},{0.0,0.0882,0.0882,0.025,0.025,0.0223,0.0196,0.0168,0.0144,0.0141}),"")</f>
        <v>0</v>
      </c>
      <c r="W23" s="18">
        <f>iferror(if(U23="",G23,U23)*V23,"")</f>
        <v>0</v>
      </c>
      <c r="X23" s="20" t="s">
        <v>339</v>
      </c>
      <c r="AD23" s="17">
        <v>3860</v>
      </c>
      <c r="AF23" s="18">
        <f>iferror(lookup(if(AE23="",G23,AE23),{0,1,10,50,100,1000,10000},{0.0,0.14,0.086,0.086,0.038,0.022,0.015}),"")</f>
        <v>0</v>
      </c>
      <c r="AG23" s="18">
        <f>iferror(if(AE23="",G23,AE23)*AF23,"")</f>
        <v>0</v>
      </c>
      <c r="AH23" s="20" t="s">
        <v>395</v>
      </c>
      <c r="AI23" s="17">
        <v>28000</v>
      </c>
      <c r="AK23" s="18">
        <f>iferror(lookup(if(AJ23="",G23,AJ23),{0,1,10,25,50,100,4000,8000},{0.0,0.056,0.056,0.046,0.035,0.024,0.015,0.014}),"")</f>
        <v>0</v>
      </c>
      <c r="AL23" s="18">
        <f>iferror(if(AJ23="",G23,AJ23)*AK23,"")</f>
        <v>0</v>
      </c>
      <c r="AM23" s="20" t="s">
        <v>456</v>
      </c>
      <c r="AN23" s="17">
        <v>2800</v>
      </c>
      <c r="AP23" s="18">
        <f>iferror(USD_GBP*lookup(if(AO23="",G23,AO23),{0,1,4000,12000},{0.0,0.013,0.013,0.012}),"")</f>
        <v>0</v>
      </c>
      <c r="AQ23" s="18">
        <f>iferror(if(AO23="",G23,AO23)*AP23,"")</f>
        <v>0</v>
      </c>
      <c r="AR23" s="20" t="s">
        <v>498</v>
      </c>
    </row>
    <row r="24" spans="1:49">
      <c r="A24" s="17" t="s">
        <v>60</v>
      </c>
      <c r="B24" s="17" t="s">
        <v>61</v>
      </c>
      <c r="D24" s="17" t="s">
        <v>12</v>
      </c>
      <c r="F24" s="17" t="s">
        <v>62</v>
      </c>
      <c r="G24" s="17">
        <f>BoardQty*1</f>
        <v>0</v>
      </c>
      <c r="H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4" s="18">
        <f>iferror(G24*H24,"")</f>
        <v>0</v>
      </c>
      <c r="O24" s="17">
        <v>27570</v>
      </c>
      <c r="Q24" s="18">
        <f>iferror(lookup(if(P24="",G24,P24),{0,1,10,50,100,500,1000,4000},{0.0,0.1,0.04,0.0218,0.0179,0.01276,0.01003,0.00839}),"")</f>
        <v>0</v>
      </c>
      <c r="R24" s="18">
        <f>iferror(if(P24="",G24,P24)*Q24,"")</f>
        <v>0</v>
      </c>
      <c r="S24" s="20" t="s">
        <v>278</v>
      </c>
      <c r="T24" s="17">
        <v>1879951</v>
      </c>
      <c r="V24" s="18">
        <f>iferror(USD_GBP*lookup(if(U24="",G24,U24),{0,1,10,100,150,500,1000,2000,4000,20000},{0.0,0.0322,0.0322,0.0193,0.0193,0.0125,0.012,0.0107,0.0096,0.0078}),"")</f>
        <v>0</v>
      </c>
      <c r="W24" s="18">
        <f>iferror(if(U24="",G24,U24)*V24,"")</f>
        <v>0</v>
      </c>
      <c r="X24" s="20" t="s">
        <v>340</v>
      </c>
      <c r="AD24" s="17">
        <v>171</v>
      </c>
      <c r="AF24" s="18">
        <f>iferror(lookup(if(AE24="",G24,AE24),{0,1,10,50,100,1000,10000},{0.0,0.1,0.057,0.057,0.025,0.014,0.01}),"")</f>
        <v>0</v>
      </c>
      <c r="AG24" s="18">
        <f>iferror(if(AE24="",G24,AE24)*AF24,"")</f>
        <v>0</v>
      </c>
      <c r="AH24" s="20" t="s">
        <v>398</v>
      </c>
      <c r="AI24" s="17">
        <v>1860563</v>
      </c>
      <c r="AK24" s="18">
        <f>iferror(lookup(if(AJ24="",G24,AJ24),{0,1,10,25,50,100,250,500,1000,2500},{0.0,0.12,0.026,0.023,0.019,0.016,0.036,0.028,0.023,0.019}),"")</f>
        <v>0</v>
      </c>
      <c r="AL24" s="18">
        <f>iferror(if(AJ24="",G24,AJ24)*AK24,"")</f>
        <v>0</v>
      </c>
      <c r="AM24" s="20" t="s">
        <v>458</v>
      </c>
      <c r="AN24" s="17">
        <v>32000</v>
      </c>
      <c r="AP24" s="18">
        <f>iferror(USD_GBP*lookup(if(AO24="",G24,AO24),{0,1,4000,12000,40000,200000},{0.0,0.005,0.005,0.006,0.005,0.005}),"")</f>
        <v>0</v>
      </c>
      <c r="AQ24" s="18">
        <f>iferror(if(AO24="",G24,AO24)*AP24,"")</f>
        <v>0</v>
      </c>
      <c r="AR24" s="20" t="s">
        <v>499</v>
      </c>
      <c r="AS24" s="19" t="s">
        <v>263</v>
      </c>
      <c r="AU24" s="18">
        <f>iferror(USD_GBP*lookup(if(AT24="",G24,AT24),{0,1,100,300,1000,4000,12000},{0.0,0.0129,0.0129,0.00857,0.00522,0.00342,0.0032}),"")</f>
        <v>0</v>
      </c>
      <c r="AV24" s="18">
        <f>iferror(if(AT24="",G24,AT24)*AU24,"")</f>
        <v>0</v>
      </c>
      <c r="AW24" s="20" t="s">
        <v>524</v>
      </c>
    </row>
    <row r="25" spans="1:49">
      <c r="A25" s="17" t="s">
        <v>63</v>
      </c>
      <c r="B25" s="17" t="s">
        <v>64</v>
      </c>
      <c r="D25" s="17" t="s">
        <v>65</v>
      </c>
      <c r="F25" s="17" t="s">
        <v>66</v>
      </c>
      <c r="G25" s="17">
        <f>BoardQty*5</f>
        <v>0</v>
      </c>
      <c r="H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5" s="18">
        <f>iferror(G25*H25,"")</f>
        <v>0</v>
      </c>
      <c r="O25" s="19" t="s">
        <v>263</v>
      </c>
      <c r="Q25" s="18">
        <f>iferror(lookup(if(P25="",G25,P25),{0,1,10,100,500,1000,3000,6000,15000,30000,75000},{0.0,0.15,0.134,0.0731,0.04502,0.03069,0.02609,0.02353,0.02046,0.01841,0.01637}),"")</f>
        <v>0</v>
      </c>
      <c r="R25" s="18">
        <f>iferror(if(P25="",G25,P25)*Q25,"")</f>
        <v>0</v>
      </c>
      <c r="S25" s="20" t="s">
        <v>279</v>
      </c>
    </row>
    <row r="26" spans="1:49">
      <c r="A26" s="17" t="s">
        <v>67</v>
      </c>
      <c r="B26" s="17" t="s">
        <v>68</v>
      </c>
      <c r="D26" s="17" t="s">
        <v>25</v>
      </c>
      <c r="F26" s="17" t="s">
        <v>69</v>
      </c>
      <c r="G26" s="17">
        <f>BoardQty*1</f>
        <v>0</v>
      </c>
      <c r="H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6" s="18">
        <f>iferror(G26*H26,"")</f>
        <v>0</v>
      </c>
      <c r="O26" s="17">
        <v>79748</v>
      </c>
      <c r="Q26" s="18">
        <f>iferror(lookup(if(P26="",G26,P26),{0,1,10,25,50,100,250,500,1000,3000,6000,9000,15000},{0.0,0.31,0.241,0.1992,0.1718,0.1547,0.13064,0.11688,0.09969,0.09625,0.09281,0.08834,0.08594}),"")</f>
        <v>0</v>
      </c>
      <c r="R26" s="18">
        <f>iferror(if(P26="",G26,P26)*Q26,"")</f>
        <v>0</v>
      </c>
      <c r="S26" s="20" t="s">
        <v>280</v>
      </c>
      <c r="T26" s="19" t="s">
        <v>263</v>
      </c>
      <c r="V26" s="18">
        <f>iferror(USD_GBP*lookup(if(U26="",G26,U26),{0,1,3000,15000},{0.0,0.0715,0.0715,0.0641}),"")</f>
        <v>0</v>
      </c>
      <c r="W26" s="18">
        <f>iferror(if(U26="",G26,U26)*V26,"")</f>
        <v>0</v>
      </c>
      <c r="X26" s="20" t="s">
        <v>341</v>
      </c>
      <c r="Y26" s="17">
        <v>15485</v>
      </c>
      <c r="AA26" s="18">
        <f>iferror(lookup(if(Z26="",G26,Z26),{0,1,5,50,150,500,2500,5000},{0.0,0.72592,0.72592,0.56602,0.53665,0.50728,0.49423,0.48778}),"")</f>
        <v>0</v>
      </c>
      <c r="AB26" s="18">
        <f>iferror(if(Z26="",G26,Z26)*AA26,"")</f>
        <v>0</v>
      </c>
      <c r="AC26" s="20" t="s">
        <v>380</v>
      </c>
      <c r="AD26" s="17">
        <v>1600</v>
      </c>
      <c r="AF26" s="18">
        <f>iferror(lookup(if(AE26="",G26,AE26),{0,1,10,50,100,1000,10000},{0.0,0.28,0.179,0.179,0.151,0.123,0.085}),"")</f>
        <v>0</v>
      </c>
      <c r="AG26" s="18">
        <f>iferror(if(AE26="",G26,AE26)*AF26,"")</f>
        <v>0</v>
      </c>
      <c r="AH26" s="20" t="s">
        <v>399</v>
      </c>
      <c r="AN26" s="17">
        <v>10050</v>
      </c>
      <c r="AP26" s="18">
        <f>iferror(USD_GBP*lookup(if(AO26="",G26,AO26),{0,1,25,50,100,500,2000},{0.0,0.174,0.174,0.148,0.131,0.113,0.104}),"")</f>
        <v>0</v>
      </c>
      <c r="AQ26" s="18">
        <f>iferror(if(AO26="",G26,AO26)*AP26,"")</f>
        <v>0</v>
      </c>
      <c r="AR26" s="20" t="s">
        <v>500</v>
      </c>
      <c r="AS26" s="17">
        <v>15030</v>
      </c>
      <c r="AU26" s="18">
        <f>iferror(USD_GBP*lookup(if(AT26="",G26,AT26),{0,1,10,100,1000,3000,9000},{0.0,0.212,0.212,0.1157,0.0817,0.0644,0.0626}),"")</f>
        <v>0</v>
      </c>
      <c r="AV26" s="18">
        <f>iferror(if(AT26="",G26,AT26)*AU26,"")</f>
        <v>0</v>
      </c>
      <c r="AW26" s="20" t="s">
        <v>69</v>
      </c>
    </row>
    <row r="27" spans="1:49">
      <c r="A27" s="17" t="s">
        <v>70</v>
      </c>
      <c r="B27" s="17" t="s">
        <v>71</v>
      </c>
      <c r="D27" s="17" t="s">
        <v>72</v>
      </c>
      <c r="G27" s="17">
        <f>BoardQty*4</f>
        <v>0</v>
      </c>
      <c r="H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7" s="18">
        <f>iferror(G27*H27,"")</f>
        <v>0</v>
      </c>
    </row>
    <row r="28" spans="1:49">
      <c r="A28" s="17" t="s">
        <v>73</v>
      </c>
      <c r="B28" s="17" t="s">
        <v>74</v>
      </c>
      <c r="C28" s="17" t="s">
        <v>75</v>
      </c>
      <c r="D28" s="17" t="s">
        <v>76</v>
      </c>
      <c r="F28" s="17" t="s">
        <v>74</v>
      </c>
      <c r="G28" s="17">
        <f>BoardQty*1</f>
        <v>0</v>
      </c>
      <c r="H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8" s="18">
        <f>iferror(G28*H28,"")</f>
        <v>0</v>
      </c>
      <c r="O28" s="19" t="s">
        <v>263</v>
      </c>
      <c r="Q28" s="18">
        <f>iferror(lookup(if(P28="",G28,P28),{0,1,10,25,100,250,500,1000,3000},{0.0,2.14,1.919,1.81,1.5421,1.44796,1.26696,1.19525,1.19525}),"")</f>
        <v>0</v>
      </c>
      <c r="R28" s="18">
        <f>iferror(if(P28="",G28,P28)*Q28,"")</f>
        <v>0</v>
      </c>
      <c r="S28" s="20" t="s">
        <v>281</v>
      </c>
      <c r="AD28" s="17">
        <v>147</v>
      </c>
      <c r="AF28" s="18">
        <f>iferror(lookup(if(AE28="",G28,AE28),{0,1,10,50,100,1000,10000},{0.0,2.13,1.92,1.81,1.55,1.14,1.13}),"")</f>
        <v>0</v>
      </c>
      <c r="AG28" s="18">
        <f>iferror(if(AE28="",G28,AE28)*AF28,"")</f>
        <v>0</v>
      </c>
      <c r="AH28" s="20" t="s">
        <v>400</v>
      </c>
    </row>
    <row r="29" spans="1:49">
      <c r="A29" s="17" t="s">
        <v>77</v>
      </c>
      <c r="B29" s="17" t="s">
        <v>78</v>
      </c>
      <c r="D29" s="17" t="s">
        <v>79</v>
      </c>
      <c r="F29" s="17" t="s">
        <v>80</v>
      </c>
      <c r="G29" s="17">
        <f>BoardQty*1</f>
        <v>0</v>
      </c>
      <c r="H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9" s="18">
        <f>iferror(G29*H29,"")</f>
        <v>0</v>
      </c>
      <c r="O29" s="17">
        <v>12258</v>
      </c>
      <c r="Q29" s="18">
        <f>iferror(lookup(if(P29="",G29,P29),{0,1,10,25,50,100,400,800,1200,2000,2800,10000},{0.0,1.19,1.006,0.9652,0.9446,0.9034,0.8213,0.71865,0.65705,0.61598,0.59545,0.54754}),"")</f>
        <v>0</v>
      </c>
      <c r="R29" s="18">
        <f>iferror(if(P29="",G29,P29)*Q29,"")</f>
        <v>0</v>
      </c>
      <c r="S29" s="20" t="s">
        <v>282</v>
      </c>
      <c r="T29" s="17">
        <v>8793</v>
      </c>
      <c r="V29" s="18">
        <f>iferror(USD_GBP*lookup(if(U29="",G29,U29),{0,1,10,100,500,1000,2500},{0.0,0.648,0.619,0.589,0.535,0.481,0.427}),"")</f>
        <v>0</v>
      </c>
      <c r="W29" s="18">
        <f>iferror(if(U29="",G29,U29)*V29,"")</f>
        <v>0</v>
      </c>
      <c r="X29" s="20" t="s">
        <v>342</v>
      </c>
      <c r="AD29" s="17">
        <v>9465</v>
      </c>
      <c r="AF29" s="18">
        <f>iferror(lookup(if(AE29="",G29,AE29),{0,1,10,50,100,1000,10000},{0.0,1.14,0.9,0.9,0.783,0.626,0.559}),"")</f>
        <v>0</v>
      </c>
      <c r="AG29" s="18">
        <f>iferror(if(AE29="",G29,AE29)*AF29,"")</f>
        <v>0</v>
      </c>
      <c r="AH29" s="20" t="s">
        <v>401</v>
      </c>
      <c r="AI29" s="17">
        <v>2794</v>
      </c>
      <c r="AK29" s="18">
        <f>iferror(lookup(if(AJ29="",G29,AJ29),{0,1,10,25,50,100,250,400,800,1600,2400,4000},{0.0,1.39,1.28,1.16,1.03,0.992,0.964,0.767,0.748,0.73,0.713,0.697}),"")</f>
        <v>0</v>
      </c>
      <c r="AL29" s="18">
        <f>iferror(if(AJ29="",G29,AJ29)*AK29,"")</f>
        <v>0</v>
      </c>
      <c r="AM29" s="20" t="s">
        <v>459</v>
      </c>
      <c r="AN29" s="17">
        <v>6520</v>
      </c>
      <c r="AP29" s="18">
        <f>iferror(USD_GBP*lookup(if(AO29="",G29,AO29),{0,1,10,50,100,250},{0.0,1421.8,0.715,0.693,0.665,0.63}),"")</f>
        <v>0</v>
      </c>
      <c r="AQ29" s="18">
        <f>iferror(if(AO29="",G29,AO29)*AP29,"")</f>
        <v>0</v>
      </c>
      <c r="AR29" s="20" t="s">
        <v>501</v>
      </c>
    </row>
    <row r="30" spans="1:49">
      <c r="A30" s="17" t="s">
        <v>81</v>
      </c>
      <c r="B30" s="17" t="s">
        <v>82</v>
      </c>
      <c r="C30" s="17" t="s">
        <v>83</v>
      </c>
      <c r="D30" s="17" t="s">
        <v>84</v>
      </c>
      <c r="E30" s="17" t="s">
        <v>85</v>
      </c>
      <c r="F30" s="17" t="s">
        <v>82</v>
      </c>
      <c r="G30" s="17">
        <f>BoardQty*3</f>
        <v>0</v>
      </c>
      <c r="H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0" s="18">
        <f>iferror(G30*H30,"")</f>
        <v>0</v>
      </c>
    </row>
    <row r="31" spans="1:49">
      <c r="A31" s="17" t="s">
        <v>86</v>
      </c>
      <c r="B31" s="17" t="s">
        <v>87</v>
      </c>
      <c r="D31" s="17" t="s">
        <v>88</v>
      </c>
      <c r="E31" s="17" t="s">
        <v>89</v>
      </c>
      <c r="F31" s="17" t="s">
        <v>87</v>
      </c>
      <c r="G31" s="17">
        <f>BoardQty*2</f>
        <v>0</v>
      </c>
      <c r="H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1" s="18">
        <f>iferror(G31*H31,"")</f>
        <v>0</v>
      </c>
    </row>
    <row r="32" spans="1:49">
      <c r="A32" s="17" t="s">
        <v>90</v>
      </c>
      <c r="B32" s="17" t="s">
        <v>91</v>
      </c>
      <c r="C32" s="17" t="s">
        <v>92</v>
      </c>
      <c r="D32" s="17" t="s">
        <v>93</v>
      </c>
      <c r="E32" s="17" t="s">
        <v>94</v>
      </c>
      <c r="F32" s="17" t="s">
        <v>91</v>
      </c>
      <c r="G32" s="17">
        <f>BoardQty*3</f>
        <v>0</v>
      </c>
      <c r="H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2" s="18">
        <f>iferror(G32*H32,"")</f>
        <v>0</v>
      </c>
      <c r="O32" s="19" t="s">
        <v>263</v>
      </c>
      <c r="Q32" s="18">
        <f>iferror(lookup(if(P32="",G32,P32),{0,1,10,25,100,500,1000,3000,6000,15000,30000},{0.0,0.26,0.213,0.1784,0.113,0.07434,0.05055,0.04559,0.03964,0.0337,0.03273}),"")</f>
        <v>0</v>
      </c>
      <c r="R32" s="18">
        <f>iferror(if(P32="",G32,P32)*Q32,"")</f>
        <v>0</v>
      </c>
      <c r="S32" s="20" t="s">
        <v>283</v>
      </c>
      <c r="T32" s="19" t="s">
        <v>263</v>
      </c>
      <c r="V32" s="18">
        <f>iferror(USD_GBP*lookup(if(U32="",G32,U32),{0,1,5,10,100,150,500,3000},{0.0,0.183,0.183,0.127,0.05,0.05,0.0489,0.0242}),"")</f>
        <v>0</v>
      </c>
      <c r="W32" s="18">
        <f>iferror(if(U32="",G32,U32)*V32,"")</f>
        <v>0</v>
      </c>
      <c r="X32" s="20" t="s">
        <v>343</v>
      </c>
      <c r="AD32" s="19" t="s">
        <v>263</v>
      </c>
      <c r="AF32" s="18">
        <f>iferror(lookup(if(AE32="",G32,AE32),{0,1,10,50,100,1000,10000},{0.0,0.26,0.213,0.213,0.113,0.051,0.033}),"")</f>
        <v>0</v>
      </c>
      <c r="AG32" s="18">
        <f>iferror(if(AE32="",G32,AE32)*AF32,"")</f>
        <v>0</v>
      </c>
      <c r="AH32" s="20" t="s">
        <v>402</v>
      </c>
      <c r="AI32" s="19" t="s">
        <v>263</v>
      </c>
      <c r="AK32" s="18">
        <f>iferror(lookup(if(AJ32="",G32,AJ32),{0,1,10,100,500,3000,6000,12000,18000,30000},{0.0,0.03,0.177,0.063,0.052,0.03,0.029,0.029,0.029,0.028}),"")</f>
        <v>0</v>
      </c>
      <c r="AL32" s="18">
        <f>iferror(if(AJ32="",G32,AJ32)*AK32,"")</f>
        <v>0</v>
      </c>
      <c r="AM32" s="20" t="s">
        <v>460</v>
      </c>
      <c r="AS32" s="19" t="s">
        <v>263</v>
      </c>
      <c r="AU32" s="18">
        <f>iferror(USD_GBP*lookup(if(AT32="",G32,AT32),{0,1,20,100,500,3000,12000},{0.0,0.0304,0.0304,0.02102,0.01885,0.01668,0.01503}),"")</f>
        <v>0</v>
      </c>
      <c r="AV32" s="18">
        <f>iferror(if(AT32="",G32,AT32)*AU32,"")</f>
        <v>0</v>
      </c>
      <c r="AW32" s="20" t="s">
        <v>91</v>
      </c>
    </row>
    <row r="33" spans="1:49">
      <c r="A33" s="17" t="s">
        <v>95</v>
      </c>
      <c r="B33" s="17" t="s">
        <v>96</v>
      </c>
      <c r="D33" s="17" t="s">
        <v>97</v>
      </c>
      <c r="F33" s="17" t="s">
        <v>98</v>
      </c>
      <c r="G33" s="17">
        <f>BoardQty*1</f>
        <v>0</v>
      </c>
      <c r="H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3" s="18">
        <f>iferror(G33*H33,"")</f>
        <v>0</v>
      </c>
      <c r="O33" s="19" t="s">
        <v>263</v>
      </c>
      <c r="Q33" s="18">
        <f>iferror(lookup(if(P33="",G33,P33),{0,1,10,25,100,500,1000,3000,6000,15000,30000,75000},{0.0,0.2,0.181,0.1724,0.0985,0.06064,0.04134,0.03514,0.03169,0.02756,0.0248,0.02205}),"")</f>
        <v>0</v>
      </c>
      <c r="R33" s="18">
        <f>iferror(if(P33="",G33,P33)*Q33,"")</f>
        <v>0</v>
      </c>
      <c r="S33" s="20" t="s">
        <v>284</v>
      </c>
      <c r="T33" s="17">
        <v>1186</v>
      </c>
      <c r="V33" s="18">
        <f>iferror(USD_GBP*lookup(if(U33="",G33,U33),{0,1,5,10,100,150,500},{0.0,0.235,0.235,0.225,0.114,0.114,0.0662}),"")</f>
        <v>0</v>
      </c>
      <c r="W33" s="18">
        <f>iferror(if(U33="",G33,U33)*V33,"")</f>
        <v>0</v>
      </c>
      <c r="X33" s="20" t="s">
        <v>344</v>
      </c>
      <c r="Y33" s="17">
        <v>9780</v>
      </c>
      <c r="AA33" s="18">
        <f>iferror(lookup(if(Z33="",G33,Z33),{0,1,20,200,600,2000,10000,20000},{0.0,0.12848,0.12848,0.09848,0.09297,0.08746,0.08501,0.0838}),"")</f>
        <v>0</v>
      </c>
      <c r="AB33" s="18">
        <f>iferror(if(Z33="",G33,Z33)*AA33,"")</f>
        <v>0</v>
      </c>
      <c r="AC33" s="20" t="s">
        <v>381</v>
      </c>
      <c r="AD33" s="17">
        <v>2969</v>
      </c>
      <c r="AF33" s="18">
        <f>iferror(lookup(if(AE33="",G33,AE33),{0,1,10,50,100,1000,10000},{0.0,0.2,0.192,0.192,0.104,0.044,0.029}),"")</f>
        <v>0</v>
      </c>
      <c r="AG33" s="18">
        <f>iferror(if(AE33="",G33,AE33)*AF33,"")</f>
        <v>0</v>
      </c>
      <c r="AH33" s="20" t="s">
        <v>403</v>
      </c>
      <c r="AI33" s="17">
        <v>3125</v>
      </c>
      <c r="AK33" s="18">
        <f>iferror(lookup(if(AJ33="",G33,AJ33),{0,1,10,25,50,100,250,500,1000,3000,6000,12000,18000,30000},{0.0,0.014,0.01,0.01,0.01,0.01,0.01,0.01,0.01,0.014,0.013,0.013,0.012,0.012}),"")</f>
        <v>0</v>
      </c>
      <c r="AL33" s="18">
        <f>iferror(if(AJ33="",G33,AJ33)*AK33,"")</f>
        <v>0</v>
      </c>
      <c r="AM33" s="20" t="s">
        <v>461</v>
      </c>
      <c r="AN33" s="17">
        <v>19900</v>
      </c>
      <c r="AP33" s="18">
        <f>iferror(USD_GBP*lookup(if(AO33="",G33,AO33),{0,1,100,500,1000,2000,4000},{0.0,0.084,0.084,0.079,0.063,0.06,0.042}),"")</f>
        <v>0</v>
      </c>
      <c r="AQ33" s="18">
        <f>iferror(if(AO33="",G33,AO33)*AP33,"")</f>
        <v>0</v>
      </c>
      <c r="AR33" s="20" t="s">
        <v>502</v>
      </c>
      <c r="AS33" s="17">
        <v>650</v>
      </c>
      <c r="AU33" s="18">
        <f>iferror(USD_GBP*lookup(if(AT33="",G33,AT33),{0,1,20,100,500,3000,12000},{0.0,0.0315,0.0315,0.0149,0.01318,0.01136,0.01018}),"")</f>
        <v>0</v>
      </c>
      <c r="AV33" s="18">
        <f>iferror(if(AT33="",G33,AT33)*AU33,"")</f>
        <v>0</v>
      </c>
      <c r="AW33" s="20" t="s">
        <v>525</v>
      </c>
    </row>
    <row r="34" spans="1:49">
      <c r="A34" s="17" t="s">
        <v>99</v>
      </c>
      <c r="B34" s="17" t="s">
        <v>100</v>
      </c>
      <c r="D34" s="17" t="s">
        <v>101</v>
      </c>
      <c r="F34" s="17" t="s">
        <v>102</v>
      </c>
      <c r="G34" s="17">
        <f>BoardQty*8</f>
        <v>0</v>
      </c>
      <c r="H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4" s="18">
        <f>iferror(G34*H34,"")</f>
        <v>0</v>
      </c>
      <c r="O34" s="17">
        <v>697</v>
      </c>
      <c r="Q34" s="18">
        <f>iferror(lookup(if(P34="",G34,P34),{0,1,10,25,50,100,250,500,1000,5000,10000,25000,50000},{0.0,0.1,0.018,0.0128,0.0098,0.0073,0.00552,0.00442,0.00326,0.00234,0.00203,0.00178,0.00167}),"")</f>
        <v>0</v>
      </c>
      <c r="R34" s="18">
        <f>iferror(if(P34="",G34,P34)*Q34,"")</f>
        <v>0</v>
      </c>
      <c r="S34" s="20" t="s">
        <v>285</v>
      </c>
      <c r="T34" s="17">
        <v>601</v>
      </c>
      <c r="V34" s="18">
        <f>iferror(USD_GBP*lookup(if(U34="",G34,U34),{0,1,10,100,150,500,1000,2500,5000,25000},{0.0,0.0094,0.0094,0.0077,0.0077,0.0064,0.0054,0.0047,0.0034,0.0027}),"")</f>
        <v>0</v>
      </c>
      <c r="W34" s="18">
        <f>iferror(if(U34="",G34,U34)*V34,"")</f>
        <v>0</v>
      </c>
      <c r="X34" s="20" t="s">
        <v>345</v>
      </c>
      <c r="AD34" s="17">
        <v>368762</v>
      </c>
      <c r="AF34" s="18">
        <f>iferror(lookup(if(AE34="",G34,AE34),{0,1,10,50,100,1000,10000},{0.0,0.1,0.01,0.01,0.004,0.003,0.002}),"")</f>
        <v>0</v>
      </c>
      <c r="AG34" s="18">
        <f>iferror(if(AE34="",G34,AE34)*AF34,"")</f>
        <v>0</v>
      </c>
      <c r="AH34" s="20" t="s">
        <v>404</v>
      </c>
      <c r="AI34" s="17">
        <v>2865</v>
      </c>
      <c r="AK34" s="18">
        <f>iferror(lookup(if(AJ34="",G34,AJ34),{0,1,10,25,50,100,5000,10000},{0.0,0.003,0.012,0.01,0.007,0.005,0.005,0.004}),"")</f>
        <v>0</v>
      </c>
      <c r="AL34" s="18">
        <f>iferror(if(AJ34="",G34,AJ34)*AK34,"")</f>
        <v>0</v>
      </c>
      <c r="AM34" s="20" t="s">
        <v>462</v>
      </c>
      <c r="AS34" s="19" t="s">
        <v>263</v>
      </c>
      <c r="AU34" s="18">
        <f>iferror(USD_GBP*lookup(if(AT34="",G34,AT34),{0,1,100,1000,5000,15000},{0.0,0.01563,0.01563,0.00278,0.00121,0.0011}),"")</f>
        <v>0</v>
      </c>
      <c r="AV34" s="18">
        <f>iferror(if(AT34="",G34,AT34)*AU34,"")</f>
        <v>0</v>
      </c>
      <c r="AW34" s="20" t="s">
        <v>526</v>
      </c>
    </row>
    <row r="35" spans="1:49">
      <c r="A35" s="17" t="s">
        <v>103</v>
      </c>
      <c r="B35" s="17" t="s">
        <v>104</v>
      </c>
      <c r="D35" s="17" t="s">
        <v>101</v>
      </c>
      <c r="F35" s="17" t="s">
        <v>105</v>
      </c>
      <c r="G35" s="17">
        <f>BoardQty*1</f>
        <v>0</v>
      </c>
      <c r="H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5" s="18">
        <f>iferror(G35*H35,"")</f>
        <v>0</v>
      </c>
      <c r="O35" s="17">
        <v>54</v>
      </c>
      <c r="Q35" s="18">
        <f>iferror(lookup(if(P35="",G35,P35),{0,1,10,100,1000,2500,5000},{0.0,0.1,0.024,0.0097,0.00436,0.00378,0.00312}),"")</f>
        <v>0</v>
      </c>
      <c r="R35" s="18">
        <f>iferror(if(P35="",G35,P35)*Q35,"")</f>
        <v>0</v>
      </c>
      <c r="S35" s="20" t="s">
        <v>286</v>
      </c>
      <c r="AD35" s="19" t="s">
        <v>263</v>
      </c>
      <c r="AF35" s="18">
        <f>iferror(lookup(if(AE35="",G35,AE35),{0,1,10,50,100,1000,10000},{0.0,0.1,0.024,0.024,0.01,0.004,0.003}),"")</f>
        <v>0</v>
      </c>
      <c r="AG35" s="18">
        <f>iferror(if(AE35="",G35,AE35)*AF35,"")</f>
        <v>0</v>
      </c>
      <c r="AH35" s="20" t="s">
        <v>405</v>
      </c>
    </row>
    <row r="36" spans="1:49">
      <c r="A36" s="17" t="s">
        <v>106</v>
      </c>
      <c r="B36" s="17" t="s">
        <v>107</v>
      </c>
      <c r="D36" s="17" t="s">
        <v>101</v>
      </c>
      <c r="F36" s="17" t="s">
        <v>108</v>
      </c>
      <c r="G36" s="17">
        <f>BoardQty*5</f>
        <v>0</v>
      </c>
      <c r="H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6" s="18">
        <f>iferror(G36*H36,"")</f>
        <v>0</v>
      </c>
      <c r="O36" s="17">
        <v>2873</v>
      </c>
      <c r="Q36" s="18">
        <f>iferror(lookup(if(P36="",G36,P36),{0,1,10,100,1000,2500,5000},{0.0,0.1,0.024,0.0097,0.00436,0.00378,0.00312}),"")</f>
        <v>0</v>
      </c>
      <c r="R36" s="18">
        <f>iferror(if(P36="",G36,P36)*Q36,"")</f>
        <v>0</v>
      </c>
      <c r="S36" s="20" t="s">
        <v>287</v>
      </c>
      <c r="T36" s="17">
        <v>26498</v>
      </c>
      <c r="V36" s="18">
        <f>iferror(USD_GBP*lookup(if(U36="",G36,U36),{0,1,10,100,150,500,1000,2500,5000,25000},{0.0,0.0251,0.0251,0.009,0.009,0.0075,0.006,0.0053,0.0035,0.0035}),"")</f>
        <v>0</v>
      </c>
      <c r="W36" s="18">
        <f>iferror(if(U36="",G36,U36)*V36,"")</f>
        <v>0</v>
      </c>
      <c r="X36" s="20" t="s">
        <v>346</v>
      </c>
      <c r="AD36" s="17">
        <v>566859</v>
      </c>
      <c r="AF36" s="18">
        <f>iferror(lookup(if(AE36="",G36,AE36),{0,1,10,50,100,1000,10000},{0.0,0.1,0.024,0.024,0.01,0.005,0.003}),"")</f>
        <v>0</v>
      </c>
      <c r="AG36" s="18">
        <f>iferror(if(AE36="",G36,AE36)*AF36,"")</f>
        <v>0</v>
      </c>
      <c r="AH36" s="20" t="s">
        <v>406</v>
      </c>
      <c r="AI36" s="17">
        <v>26488</v>
      </c>
      <c r="AK36" s="18">
        <f>iferror(lookup(if(AJ36="",G36,AJ36),{0,1,10,25,50,100,5000},{0.0,0.004,0.022,0.017,0.012,0.007,0.004}),"")</f>
        <v>0</v>
      </c>
      <c r="AL36" s="18">
        <f>iferror(if(AJ36="",G36,AJ36)*AK36,"")</f>
        <v>0</v>
      </c>
      <c r="AM36" s="20" t="s">
        <v>463</v>
      </c>
      <c r="AN36" s="17">
        <v>100</v>
      </c>
      <c r="AP36" s="18">
        <f>iferror(USD_GBP*lookup(if(AO36="",G36,AO36),{0,1,100,500,1000,2000},{0.0,0.005,0.005,0.005,0.004,0.004}),"")</f>
        <v>0</v>
      </c>
      <c r="AQ36" s="18">
        <f>iferror(if(AO36="",G36,AO36)*AP36,"")</f>
        <v>0</v>
      </c>
      <c r="AR36" s="20" t="s">
        <v>503</v>
      </c>
      <c r="AS36" s="19" t="s">
        <v>263</v>
      </c>
      <c r="AU36" s="18">
        <f>iferror(USD_GBP*lookup(if(AT36="",G36,AT36),{0,1,100,1000,5000,15000},{0.0,0.02667,0.02667,0.00961,0.00389,0.00328}),"")</f>
        <v>0</v>
      </c>
      <c r="AV36" s="18">
        <f>iferror(if(AT36="",G36,AT36)*AU36,"")</f>
        <v>0</v>
      </c>
      <c r="AW36" s="20" t="s">
        <v>527</v>
      </c>
    </row>
    <row r="37" spans="1:49">
      <c r="A37" s="17" t="s">
        <v>109</v>
      </c>
      <c r="B37" s="17" t="s">
        <v>110</v>
      </c>
      <c r="D37" s="17" t="s">
        <v>101</v>
      </c>
      <c r="F37" s="17" t="s">
        <v>111</v>
      </c>
      <c r="G37" s="17">
        <f>BoardQty*3</f>
        <v>0</v>
      </c>
      <c r="H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7" s="18">
        <f>iferror(G37*H37,"")</f>
        <v>0</v>
      </c>
      <c r="O37" s="19" t="s">
        <v>263</v>
      </c>
      <c r="Q37" s="18">
        <f>iferror(lookup(if(P37="",G37,P37),{0,1,10,100,1000,2500,5000},{0.0,0.1,0.024,0.0097,0.00436,0.00378,0.00312}),"")</f>
        <v>0</v>
      </c>
      <c r="R37" s="18">
        <f>iferror(if(P37="",G37,P37)*Q37,"")</f>
        <v>0</v>
      </c>
      <c r="S37" s="20" t="s">
        <v>288</v>
      </c>
      <c r="T37" s="17">
        <v>189580</v>
      </c>
      <c r="V37" s="18">
        <f>iferror(USD_GBP*lookup(if(U37="",G37,U37),{0,1,10,100,150,500,1000,2500,5000,25000},{0.0,0.0056,0.0218,0.0078,0.0078,0.0065,0.0052,0.0046,0.0041,0.0029}),"")</f>
        <v>0</v>
      </c>
      <c r="W37" s="18">
        <f>iferror(if(U37="",G37,U37)*V37,"")</f>
        <v>0</v>
      </c>
      <c r="X37" s="20" t="s">
        <v>347</v>
      </c>
      <c r="AD37" s="17">
        <v>2369</v>
      </c>
      <c r="AF37" s="18">
        <f>iferror(lookup(if(AE37="",G37,AE37),{0,1,10,50,100,1000,10000},{0.0,0.1,0.024,0.024,0.01,0.004,0.002}),"")</f>
        <v>0</v>
      </c>
      <c r="AG37" s="18">
        <f>iferror(if(AE37="",G37,AE37)*AF37,"")</f>
        <v>0</v>
      </c>
      <c r="AH37" s="20" t="s">
        <v>407</v>
      </c>
      <c r="AI37" s="19" t="s">
        <v>263</v>
      </c>
      <c r="AK37" s="18">
        <f>iferror(lookup(if(AJ37="",G37,AJ37),{0,1,10,250,500,1000,5000},{0.0,0.002,0.007,0.006,0.005,0.005,0.002}),"")</f>
        <v>0</v>
      </c>
      <c r="AL37" s="18">
        <f>iferror(if(AJ37="",G37,AJ37)*AK37,"")</f>
        <v>0</v>
      </c>
      <c r="AM37" s="20" t="s">
        <v>464</v>
      </c>
      <c r="AN37" s="17">
        <v>1800</v>
      </c>
      <c r="AP37" s="18">
        <f>iferror(USD_GBP*lookup(if(AO37="",G37,AO37),{0,1,5000},{0.0,0.003,0.003}),"")</f>
        <v>0</v>
      </c>
      <c r="AQ37" s="18">
        <f>iferror(if(AO37="",G37,AO37)*AP37,"")</f>
        <v>0</v>
      </c>
      <c r="AR37" s="20" t="s">
        <v>504</v>
      </c>
      <c r="AS37" s="17">
        <v>8500</v>
      </c>
      <c r="AU37" s="18">
        <f>iferror(USD_GBP*lookup(if(AT37="",G37,AT37),{0,1,100,1000,5000,15000,50000},{0.0,0.0278,0.0278,0.00985,0.00391,0.00321,0.00273}),"")</f>
        <v>0</v>
      </c>
      <c r="AV37" s="18">
        <f>iferror(if(AT37="",G37,AT37)*AU37,"")</f>
        <v>0</v>
      </c>
      <c r="AW37" s="20" t="s">
        <v>528</v>
      </c>
    </row>
    <row r="38" spans="1:49">
      <c r="A38" s="17" t="s">
        <v>112</v>
      </c>
      <c r="B38" s="17" t="s">
        <v>113</v>
      </c>
      <c r="D38" s="17" t="s">
        <v>101</v>
      </c>
      <c r="F38" s="17" t="s">
        <v>114</v>
      </c>
      <c r="G38" s="17">
        <f>BoardQty*13</f>
        <v>0</v>
      </c>
      <c r="H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8" s="18">
        <f>iferror(G38*H38,"")</f>
        <v>0</v>
      </c>
      <c r="O38" s="17">
        <v>26097673</v>
      </c>
      <c r="Q38" s="18">
        <f>iferror(lookup(if(P38="",G38,P38),{0,1,10,100,1000,2500,5000},{0.0,0.1,0.024,0.0097,0.00436,0.00378,0.00312}),"")</f>
        <v>0</v>
      </c>
      <c r="R38" s="18">
        <f>iferror(if(P38="",G38,P38)*Q38,"")</f>
        <v>0</v>
      </c>
      <c r="S38" s="20" t="s">
        <v>289</v>
      </c>
      <c r="T38" s="17">
        <v>29759995</v>
      </c>
      <c r="V38" s="18">
        <f>iferror(USD_GBP*lookup(if(U38="",G38,U38),{0,1,10,100,150,500,1000,2500,5000,25000},{0.0,0.021,0.021,0.0075,0.0075,0.0063,0.0051,0.0045,0.0073,0.0031}),"")</f>
        <v>0</v>
      </c>
      <c r="W38" s="18">
        <f>iferror(if(U38="",G38,U38)*V38,"")</f>
        <v>0</v>
      </c>
      <c r="X38" s="20" t="s">
        <v>348</v>
      </c>
      <c r="AD38" s="19" t="s">
        <v>263</v>
      </c>
      <c r="AF38" s="18">
        <f>iferror(lookup(if(AE38="",G38,AE38),{0,1,10,50,100,1000,10000},{0.0,0.1,0.024,0.024,0.01,0.004,0.002}),"")</f>
        <v>0</v>
      </c>
      <c r="AG38" s="18">
        <f>iferror(if(AE38="",G38,AE38)*AF38,"")</f>
        <v>0</v>
      </c>
      <c r="AH38" s="20" t="s">
        <v>408</v>
      </c>
      <c r="AI38" s="17">
        <v>50000</v>
      </c>
      <c r="AK38" s="18">
        <f>iferror(lookup(if(AJ38="",G38,AJ38),{0,1,25,50,100,5000},{0.0,0.002,0.018,0.013,0.007,0.002}),"")</f>
        <v>0</v>
      </c>
      <c r="AL38" s="18">
        <f>iferror(if(AJ38="",G38,AJ38)*AK38,"")</f>
        <v>0</v>
      </c>
      <c r="AM38" s="20" t="s">
        <v>465</v>
      </c>
      <c r="AN38" s="17">
        <v>87000</v>
      </c>
      <c r="AP38" s="18">
        <f>iferror(USD_GBP*lookup(if(AO38="",G38,AO38),{0,1,100,1000,2500,5000,10000},{0.0,0.007,0.007,0.007,0.006,0.003,0.005}),"")</f>
        <v>0</v>
      </c>
      <c r="AQ38" s="18">
        <f>iferror(if(AO38="",G38,AO38)*AP38,"")</f>
        <v>0</v>
      </c>
      <c r="AR38" s="20" t="s">
        <v>505</v>
      </c>
      <c r="AS38" s="19" t="s">
        <v>263</v>
      </c>
      <c r="AU38" s="18">
        <f>iferror(USD_GBP*lookup(if(AT38="",G38,AT38),{0,1,100,1000,5000,15000,50000},{0.0,0.00964,0.00964,0.00213,0.00095,0.00089,0.00086}),"")</f>
        <v>0</v>
      </c>
      <c r="AV38" s="18">
        <f>iferror(if(AT38="",G38,AT38)*AU38,"")</f>
        <v>0</v>
      </c>
      <c r="AW38" s="20" t="s">
        <v>529</v>
      </c>
    </row>
    <row r="39" spans="1:49">
      <c r="A39" s="17" t="s">
        <v>115</v>
      </c>
      <c r="B39" s="17" t="s">
        <v>116</v>
      </c>
      <c r="D39" s="17" t="s">
        <v>101</v>
      </c>
      <c r="F39" s="17" t="s">
        <v>117</v>
      </c>
      <c r="G39" s="17">
        <f>BoardQty*1</f>
        <v>0</v>
      </c>
      <c r="H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9" s="18">
        <f>iferror(G39*H39,"")</f>
        <v>0</v>
      </c>
      <c r="O39" s="17">
        <v>3716</v>
      </c>
      <c r="Q39" s="18">
        <f>iferror(lookup(if(P39="",G39,P39),{0,1,10,100,1000,2500,5000},{0.0,0.1,0.024,0.0097,0.00436,0.00378,0.00312}),"")</f>
        <v>0</v>
      </c>
      <c r="R39" s="18">
        <f>iferror(if(P39="",G39,P39)*Q39,"")</f>
        <v>0</v>
      </c>
      <c r="S39" s="20" t="s">
        <v>290</v>
      </c>
      <c r="AD39" s="19" t="s">
        <v>263</v>
      </c>
      <c r="AF39" s="18">
        <f>iferror(lookup(if(AE39="",G39,AE39),{0,1,10,50,100,1000,10000},{0.0,0.1,0.012,0.012,0.004,0.003,0.002}),"")</f>
        <v>0</v>
      </c>
      <c r="AG39" s="18">
        <f>iferror(if(AE39="",G39,AE39)*AF39,"")</f>
        <v>0</v>
      </c>
      <c r="AH39" s="20" t="s">
        <v>409</v>
      </c>
    </row>
    <row r="40" spans="1:49">
      <c r="A40" s="17" t="s">
        <v>118</v>
      </c>
      <c r="B40" s="17" t="s">
        <v>119</v>
      </c>
      <c r="D40" s="17" t="s">
        <v>120</v>
      </c>
      <c r="F40" s="17" t="s">
        <v>121</v>
      </c>
      <c r="G40" s="17">
        <f>BoardQty*4</f>
        <v>0</v>
      </c>
      <c r="H4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0" s="18">
        <f>iferror(G40*H40,"")</f>
        <v>0</v>
      </c>
      <c r="O40" s="19" t="s">
        <v>263</v>
      </c>
      <c r="Q40" s="18">
        <f>iferror(lookup(if(P40="",G40,P40),{0,1,10,100,1000,2000},{0.0,0.66,0.489,0.2846,0.15962,0.1564}),"")</f>
        <v>0</v>
      </c>
      <c r="R40" s="18">
        <f>iferror(if(P40="",G40,P40)*Q40,"")</f>
        <v>0</v>
      </c>
      <c r="S40" s="20" t="s">
        <v>291</v>
      </c>
      <c r="AD40" s="19" t="s">
        <v>263</v>
      </c>
      <c r="AF40" s="18">
        <f>iferror(lookup(if(AE40="",G40,AE40),{0,1,10,50,100,1000,10000},{0.0,0.57,0.42,0.415,0.328,0.167,0.15}),"")</f>
        <v>0</v>
      </c>
      <c r="AG40" s="18">
        <f>iferror(if(AE40="",G40,AE40)*AF40,"")</f>
        <v>0</v>
      </c>
      <c r="AH40" s="20" t="s">
        <v>410</v>
      </c>
    </row>
    <row r="41" spans="1:49">
      <c r="A41" s="17" t="s">
        <v>122</v>
      </c>
      <c r="B41" s="17" t="s">
        <v>11</v>
      </c>
      <c r="D41" s="17" t="s">
        <v>101</v>
      </c>
      <c r="F41" s="17" t="s">
        <v>117</v>
      </c>
      <c r="G41" s="17">
        <f>BoardQty*7</f>
        <v>0</v>
      </c>
      <c r="H4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1" s="18">
        <f>iferror(G41*H41,"")</f>
        <v>0</v>
      </c>
      <c r="O41" s="17">
        <v>3716</v>
      </c>
      <c r="Q41" s="18">
        <f>iferror(lookup(if(P41="",G41,P41),{0,1,10,100,1000,2500,5000},{0.0,0.1,0.024,0.0097,0.00436,0.00378,0.00312}),"")</f>
        <v>0</v>
      </c>
      <c r="R41" s="18">
        <f>iferror(if(P41="",G41,P41)*Q41,"")</f>
        <v>0</v>
      </c>
      <c r="S41" s="20" t="s">
        <v>290</v>
      </c>
      <c r="AD41" s="19" t="s">
        <v>263</v>
      </c>
      <c r="AF41" s="18">
        <f>iferror(lookup(if(AE41="",G41,AE41),{0,1,10,50,100,1000,10000},{0.0,0.1,0.012,0.012,0.004,0.003,0.002}),"")</f>
        <v>0</v>
      </c>
      <c r="AG41" s="18">
        <f>iferror(if(AE41="",G41,AE41)*AF41,"")</f>
        <v>0</v>
      </c>
      <c r="AH41" s="20" t="s">
        <v>409</v>
      </c>
    </row>
    <row r="42" spans="1:49">
      <c r="A42" s="17" t="s">
        <v>123</v>
      </c>
      <c r="B42" s="17" t="s">
        <v>124</v>
      </c>
      <c r="D42" s="17" t="s">
        <v>101</v>
      </c>
      <c r="F42" s="17" t="s">
        <v>125</v>
      </c>
      <c r="G42" s="17">
        <f>BoardQty*2</f>
        <v>0</v>
      </c>
      <c r="H4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2" s="18">
        <f>iferror(G42*H42,"")</f>
        <v>0</v>
      </c>
      <c r="O42" s="17">
        <v>561155</v>
      </c>
      <c r="Q42" s="18">
        <f>iferror(lookup(if(P42="",G42,P42),{0,1,10,100,1000,2500,5000},{0.0,0.1,0.024,0.0097,0.00436,0.00378,0.00312}),"")</f>
        <v>0</v>
      </c>
      <c r="R42" s="18">
        <f>iferror(if(P42="",G42,P42)*Q42,"")</f>
        <v>0</v>
      </c>
      <c r="S42" s="20" t="s">
        <v>292</v>
      </c>
      <c r="T42" s="17">
        <v>105710</v>
      </c>
      <c r="V42" s="18">
        <f>iferror(USD_GBP*lookup(if(U42="",G42,U42),{0,1,10,100,150,500,1000,2500,5000,25000},{0.0,0.0151,0.0151,0.014,0.014,0.0109,0.0088,0.0072,0.0061,0.0041}),"")</f>
        <v>0</v>
      </c>
      <c r="W42" s="18">
        <f>iferror(if(U42="",G42,U42)*V42,"")</f>
        <v>0</v>
      </c>
      <c r="X42" s="20" t="s">
        <v>349</v>
      </c>
      <c r="AD42" s="19" t="s">
        <v>263</v>
      </c>
      <c r="AF42" s="18">
        <f>iferror(lookup(if(AE42="",G42,AE42),{0,1,10,50,100,1000,10000},{0.0,0.1,0.024,0.024,0.01,0.004,0.002}),"")</f>
        <v>0</v>
      </c>
      <c r="AG42" s="18">
        <f>iferror(if(AE42="",G42,AE42)*AF42,"")</f>
        <v>0</v>
      </c>
      <c r="AH42" s="20" t="s">
        <v>411</v>
      </c>
      <c r="AI42" s="17">
        <v>19300</v>
      </c>
      <c r="AK42" s="18">
        <f>iferror(lookup(if(AJ42="",G42,AJ42),{0,1,10,25,50,100},{0.0,0.023,0.023,0.019,0.014,0.01}),"")</f>
        <v>0</v>
      </c>
      <c r="AL42" s="18">
        <f>iferror(if(AJ42="",G42,AJ42)*AK42,"")</f>
        <v>0</v>
      </c>
      <c r="AM42" s="20" t="s">
        <v>466</v>
      </c>
      <c r="AN42" s="17">
        <v>3100</v>
      </c>
      <c r="AP42" s="18">
        <f>iferror(USD_GBP*lookup(if(AO42="",G42,AO42),{0,1,5000},{0.0,0.003,0.003}),"")</f>
        <v>0</v>
      </c>
      <c r="AQ42" s="18">
        <f>iferror(if(AO42="",G42,AO42)*AP42,"")</f>
        <v>0</v>
      </c>
      <c r="AR42" s="20" t="s">
        <v>506</v>
      </c>
      <c r="AS42" s="19" t="s">
        <v>263</v>
      </c>
      <c r="AU42" s="18">
        <f>iferror(USD_GBP*lookup(if(AT42="",G42,AT42),{0,1,100,1000,5000,15000},{0.0,0.02667,0.02667,0.00961,0.00389,0.00328}),"")</f>
        <v>0</v>
      </c>
      <c r="AV42" s="18">
        <f>iferror(if(AT42="",G42,AT42)*AU42,"")</f>
        <v>0</v>
      </c>
      <c r="AW42" s="20" t="s">
        <v>530</v>
      </c>
    </row>
    <row r="43" spans="1:49">
      <c r="A43" s="17" t="s">
        <v>126</v>
      </c>
      <c r="B43" s="17" t="s">
        <v>127</v>
      </c>
      <c r="D43" s="17" t="s">
        <v>101</v>
      </c>
      <c r="F43" s="17" t="s">
        <v>128</v>
      </c>
      <c r="G43" s="17">
        <f>BoardQty*1</f>
        <v>0</v>
      </c>
      <c r="H4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3" s="18">
        <f>iferror(G43*H43,"")</f>
        <v>0</v>
      </c>
      <c r="O43" s="17">
        <v>1139702</v>
      </c>
      <c r="Q43" s="18">
        <f>iferror(lookup(if(P43="",G43,P43),{0,1,10,100,1000,2500,5000},{0.0,0.1,0.024,0.0097,0.00436,0.00378,0.00312}),"")</f>
        <v>0</v>
      </c>
      <c r="R43" s="18">
        <f>iferror(if(P43="",G43,P43)*Q43,"")</f>
        <v>0</v>
      </c>
      <c r="S43" s="20" t="s">
        <v>293</v>
      </c>
      <c r="T43" s="17">
        <v>116151</v>
      </c>
      <c r="V43" s="18">
        <f>iferror(USD_GBP*lookup(if(U43="",G43,U43),{0,1,10,100,150,500,1000,2500,5000,25000},{0.0,0.0218,0.0218,0.0078,0.0078,0.0065,0.0052,0.0046,0.0041,0.0029}),"")</f>
        <v>0</v>
      </c>
      <c r="W43" s="18">
        <f>iferror(if(U43="",G43,U43)*V43,"")</f>
        <v>0</v>
      </c>
      <c r="X43" s="20" t="s">
        <v>350</v>
      </c>
      <c r="AD43" s="19" t="s">
        <v>263</v>
      </c>
      <c r="AF43" s="18">
        <f>iferror(lookup(if(AE43="",G43,AE43),{0,1,10,50,100,1000,10000},{0.0,0.1,0.018,0.018,0.007,0.004,0.002}),"")</f>
        <v>0</v>
      </c>
      <c r="AG43" s="18">
        <f>iferror(if(AE43="",G43,AE43)*AF43,"")</f>
        <v>0</v>
      </c>
      <c r="AH43" s="20" t="s">
        <v>412</v>
      </c>
      <c r="AI43" s="17">
        <v>4880</v>
      </c>
      <c r="AK43" s="18">
        <f>iferror(lookup(if(AJ43="",G43,AJ43),{0,1,10,250,500,1000,5000},{0.0,0.007,0.007,0.006,0.005,0.005,0.005}),"")</f>
        <v>0</v>
      </c>
      <c r="AL43" s="18">
        <f>iferror(if(AJ43="",G43,AJ43)*AK43,"")</f>
        <v>0</v>
      </c>
      <c r="AM43" s="20" t="s">
        <v>467</v>
      </c>
      <c r="AS43" s="19" t="s">
        <v>263</v>
      </c>
      <c r="AU43" s="18">
        <f>iferror(USD_GBP*lookup(if(AT43="",G43,AT43),{0,1,100,1000,5000,15000},{0.0,0.02667,0.02667,0.00961,0.00389,0.00328}),"")</f>
        <v>0</v>
      </c>
      <c r="AV43" s="18">
        <f>iferror(if(AT43="",G43,AT43)*AU43,"")</f>
        <v>0</v>
      </c>
      <c r="AW43" s="20" t="s">
        <v>531</v>
      </c>
    </row>
    <row r="44" spans="1:49">
      <c r="A44" s="17" t="s">
        <v>129</v>
      </c>
      <c r="B44" s="17" t="s">
        <v>130</v>
      </c>
      <c r="D44" s="17" t="s">
        <v>101</v>
      </c>
      <c r="F44" s="17" t="s">
        <v>131</v>
      </c>
      <c r="G44" s="17">
        <f>BoardQty*1</f>
        <v>0</v>
      </c>
      <c r="H4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4" s="18">
        <f>iferror(G44*H44,"")</f>
        <v>0</v>
      </c>
      <c r="O44" s="17">
        <v>412189</v>
      </c>
      <c r="Q44" s="18">
        <f>iferror(lookup(if(P44="",G44,P44),{0,1,10,100,1000,2500,5000},{0.0,0.1,0.024,0.0097,0.00436,0.00378,0.00312}),"")</f>
        <v>0</v>
      </c>
      <c r="R44" s="18">
        <f>iferror(if(P44="",G44,P44)*Q44,"")</f>
        <v>0</v>
      </c>
      <c r="S44" s="20" t="s">
        <v>294</v>
      </c>
      <c r="T44" s="17">
        <v>115760</v>
      </c>
      <c r="V44" s="18">
        <f>iferror(USD_GBP*lookup(if(U44="",G44,U44),{0,1,10,100,150,500,1000,2500,5000,25000},{0.0,0.0234,0.0234,0.0078,0.0078,0.0065,0.0052,0.0046,0.0041,0.0029}),"")</f>
        <v>0</v>
      </c>
      <c r="W44" s="18">
        <f>iferror(if(U44="",G44,U44)*V44,"")</f>
        <v>0</v>
      </c>
      <c r="X44" s="20" t="s">
        <v>351</v>
      </c>
      <c r="AD44" s="19" t="s">
        <v>263</v>
      </c>
      <c r="AF44" s="18">
        <f>iferror(lookup(if(AE44="",G44,AE44),{0,1,10,50,100,1000,10000},{0.0,0.1,0.024,0.024,0.01,0.004,0.002}),"")</f>
        <v>0</v>
      </c>
      <c r="AG44" s="18">
        <f>iferror(if(AE44="",G44,AE44)*AF44,"")</f>
        <v>0</v>
      </c>
      <c r="AH44" s="20" t="s">
        <v>413</v>
      </c>
      <c r="AI44" s="17">
        <v>19830</v>
      </c>
      <c r="AK44" s="18">
        <f>iferror(lookup(if(AJ44="",G44,AJ44),{0,1,10,25,50,100},{0.0,0.101,0.019,0.015,0.011,0.007}),"")</f>
        <v>0</v>
      </c>
      <c r="AL44" s="18">
        <f>iferror(if(AJ44="",G44,AJ44)*AK44,"")</f>
        <v>0</v>
      </c>
      <c r="AM44" s="20" t="s">
        <v>468</v>
      </c>
      <c r="AS44" s="19" t="s">
        <v>263</v>
      </c>
      <c r="AU44" s="18">
        <f>iferror(USD_GBP*lookup(if(AT44="",G44,AT44),{0,1,100,1000,5000,15000},{0.0,0.02667,0.02667,0.00961,0.00389,0.00328}),"")</f>
        <v>0</v>
      </c>
      <c r="AV44" s="18">
        <f>iferror(if(AT44="",G44,AT44)*AU44,"")</f>
        <v>0</v>
      </c>
      <c r="AW44" s="20" t="s">
        <v>532</v>
      </c>
    </row>
    <row r="45" spans="1:49">
      <c r="A45" s="17" t="s">
        <v>132</v>
      </c>
      <c r="B45" s="17" t="s">
        <v>133</v>
      </c>
      <c r="D45" s="17" t="s">
        <v>101</v>
      </c>
      <c r="F45" s="17" t="s">
        <v>134</v>
      </c>
      <c r="G45" s="17">
        <f>BoardQty*1</f>
        <v>0</v>
      </c>
      <c r="H4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5" s="18">
        <f>iferror(G45*H45,"")</f>
        <v>0</v>
      </c>
      <c r="O45" s="17">
        <v>372244</v>
      </c>
      <c r="Q45" s="18">
        <f>iferror(lookup(if(P45="",G45,P45),{0,1,10,100,1000,2500,5000},{0.0,0.1,0.024,0.0097,0.00436,0.00378,0.00312}),"")</f>
        <v>0</v>
      </c>
      <c r="R45" s="18">
        <f>iferror(if(P45="",G45,P45)*Q45,"")</f>
        <v>0</v>
      </c>
      <c r="S45" s="20" t="s">
        <v>295</v>
      </c>
      <c r="T45" s="17">
        <v>47600</v>
      </c>
      <c r="V45" s="18">
        <f>iferror(USD_GBP*lookup(if(U45="",G45,U45),{0,1,10,100,150,500,1000,2500,5000,25000},{0.0,0.0218,0.0218,0.0078,0.0078,0.0069,0.006,0.0052,0.0043,0.004}),"")</f>
        <v>0</v>
      </c>
      <c r="W45" s="18">
        <f>iferror(if(U45="",G45,U45)*V45,"")</f>
        <v>0</v>
      </c>
      <c r="X45" s="20" t="s">
        <v>352</v>
      </c>
      <c r="AD45" s="17">
        <v>86059</v>
      </c>
      <c r="AF45" s="18">
        <f>iferror(lookup(if(AE45="",G45,AE45),{0,1,10,50,100,1000,10000},{0.0,0.1,0.024,0.024,0.01,0.006,0.003}),"")</f>
        <v>0</v>
      </c>
      <c r="AG45" s="18">
        <f>iferror(if(AE45="",G45,AE45)*AF45,"")</f>
        <v>0</v>
      </c>
      <c r="AH45" s="20" t="s">
        <v>414</v>
      </c>
      <c r="AI45" s="17">
        <v>21430</v>
      </c>
      <c r="AK45" s="18">
        <f>iferror(lookup(if(AJ45="",G45,AJ45),{0,1,10,25,50,100},{0.0,0.101,0.019,0.015,0.011,0.007}),"")</f>
        <v>0</v>
      </c>
      <c r="AL45" s="18">
        <f>iferror(if(AJ45="",G45,AJ45)*AK45,"")</f>
        <v>0</v>
      </c>
      <c r="AM45" s="20" t="s">
        <v>469</v>
      </c>
    </row>
    <row r="46" spans="1:49">
      <c r="A46" s="17" t="s">
        <v>135</v>
      </c>
      <c r="B46" s="17" t="s">
        <v>136</v>
      </c>
      <c r="D46" s="17" t="s">
        <v>101</v>
      </c>
      <c r="F46" s="17" t="s">
        <v>137</v>
      </c>
      <c r="G46" s="17">
        <f>BoardQty*1</f>
        <v>0</v>
      </c>
      <c r="H4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6" s="18">
        <f>iferror(G46*H46,"")</f>
        <v>0</v>
      </c>
      <c r="O46" s="19" t="s">
        <v>263</v>
      </c>
      <c r="Q46" s="18">
        <f>iferror(lookup(if(P46="",G46,P46),{0,1,10,100,1000,2500,5000},{0.0,0.1,0.024,0.0097,0.00436,0.00378,0.00312}),"")</f>
        <v>0</v>
      </c>
      <c r="R46" s="18">
        <f>iferror(if(P46="",G46,P46)*Q46,"")</f>
        <v>0</v>
      </c>
      <c r="S46" s="20" t="s">
        <v>296</v>
      </c>
      <c r="T46" s="17">
        <v>242560</v>
      </c>
      <c r="V46" s="18">
        <f>iferror(USD_GBP*lookup(if(U46="",G46,U46),{0,1,10,100,150,500,1000,2500,5000,25000},{0.0,0.0268,0.0268,0.0078,0.0078,0.0065,0.0052,0.0046,0.0041,0.0029}),"")</f>
        <v>0</v>
      </c>
      <c r="W46" s="18">
        <f>iferror(if(U46="",G46,U46)*V46,"")</f>
        <v>0</v>
      </c>
      <c r="X46" s="20" t="s">
        <v>353</v>
      </c>
      <c r="AD46" s="19" t="s">
        <v>263</v>
      </c>
      <c r="AF46" s="18">
        <f>iferror(lookup(if(AE46="",G46,AE46),{0,1,10,50,100,1000,10000},{0.0,0.1,0.026,0.026,0.011,0.005,0.002}),"")</f>
        <v>0</v>
      </c>
      <c r="AG46" s="18">
        <f>iferror(if(AE46="",G46,AE46)*AF46,"")</f>
        <v>0</v>
      </c>
      <c r="AH46" s="20" t="s">
        <v>415</v>
      </c>
      <c r="AI46" s="17">
        <v>13670</v>
      </c>
      <c r="AK46" s="18">
        <f>iferror(lookup(if(AJ46="",G46,AJ46),{0,1,10,250,500,1000,5000},{0.0,0.007,0.007,0.006,0.005,0.005,0.004}),"")</f>
        <v>0</v>
      </c>
      <c r="AL46" s="18">
        <f>iferror(if(AJ46="",G46,AJ46)*AK46,"")</f>
        <v>0</v>
      </c>
      <c r="AM46" s="20" t="s">
        <v>470</v>
      </c>
      <c r="AN46" s="17">
        <v>5200</v>
      </c>
      <c r="AP46" s="18">
        <f>iferror(USD_GBP*lookup(if(AO46="",G46,AO46),{0,1,5000,10000,15000,20000},{0.0,0.003,0.003,0.003,0.003,0.002}),"")</f>
        <v>0</v>
      </c>
      <c r="AQ46" s="18">
        <f>iferror(if(AO46="",G46,AO46)*AP46,"")</f>
        <v>0</v>
      </c>
      <c r="AR46" s="20" t="s">
        <v>507</v>
      </c>
      <c r="AS46" s="19" t="s">
        <v>263</v>
      </c>
      <c r="AU46" s="18">
        <f>iferror(USD_GBP*lookup(if(AT46="",G46,AT46),{0,1,100,1000,5000,15000},{0.0,0.02667,0.02667,0.00961,0.00389,0.00328}),"")</f>
        <v>0</v>
      </c>
      <c r="AV46" s="18">
        <f>iferror(if(AT46="",G46,AT46)*AU46,"")</f>
        <v>0</v>
      </c>
      <c r="AW46" s="20" t="s">
        <v>533</v>
      </c>
    </row>
    <row r="47" spans="1:49">
      <c r="A47" s="17" t="s">
        <v>138</v>
      </c>
      <c r="B47" s="17" t="s">
        <v>139</v>
      </c>
      <c r="D47" s="17" t="s">
        <v>101</v>
      </c>
      <c r="F47" s="17" t="s">
        <v>140</v>
      </c>
      <c r="G47" s="17">
        <f>BoardQty*1</f>
        <v>0</v>
      </c>
      <c r="H4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7" s="18">
        <f>iferror(G47*H47,"")</f>
        <v>0</v>
      </c>
      <c r="O47" s="19" t="s">
        <v>263</v>
      </c>
      <c r="Q47" s="18">
        <f>iferror(lookup(if(P47="",G47,P47),{0,1,10,100,1000,2500,5000},{0.0,0.1,0.024,0.0097,0.00436,0.00378,0.00312}),"")</f>
        <v>0</v>
      </c>
      <c r="R47" s="18">
        <f>iferror(if(P47="",G47,P47)*Q47,"")</f>
        <v>0</v>
      </c>
      <c r="S47" s="20" t="s">
        <v>297</v>
      </c>
      <c r="T47" s="17">
        <v>68080</v>
      </c>
      <c r="V47" s="18">
        <f>iferror(USD_GBP*lookup(if(U47="",G47,U47),{0,1,10,100,150,500,1000,2500,5000,25000},{0.0,0.0218,0.0218,0.0078,0.0078,0.0065,0.0052,0.0046,0.005,0.0031}),"")</f>
        <v>0</v>
      </c>
      <c r="W47" s="18">
        <f>iferror(if(U47="",G47,U47)*V47,"")</f>
        <v>0</v>
      </c>
      <c r="X47" s="20" t="s">
        <v>354</v>
      </c>
      <c r="AD47" s="17">
        <v>441</v>
      </c>
      <c r="AF47" s="18">
        <f>iferror(lookup(if(AE47="",G47,AE47),{0,1,10,50,100,1000,10000},{0.0,0.1,0.024,0.024,0.01,0.004,0.003}),"")</f>
        <v>0</v>
      </c>
      <c r="AG47" s="18">
        <f>iferror(if(AE47="",G47,AE47)*AF47,"")</f>
        <v>0</v>
      </c>
      <c r="AH47" s="20" t="s">
        <v>416</v>
      </c>
      <c r="AI47" s="17">
        <v>3990</v>
      </c>
      <c r="AK47" s="18">
        <f>iferror(lookup(if(AJ47="",G47,AJ47),{0,1,10,250,500,1000,5000},{0.0,0.007,0.007,0.006,0.005,0.005,0.003}),"")</f>
        <v>0</v>
      </c>
      <c r="AL47" s="18">
        <f>iferror(if(AJ47="",G47,AJ47)*AK47,"")</f>
        <v>0</v>
      </c>
      <c r="AM47" s="20" t="s">
        <v>471</v>
      </c>
      <c r="AS47" s="17">
        <v>9400</v>
      </c>
      <c r="AU47" s="18">
        <f>iferror(USD_GBP*lookup(if(AT47="",G47,AT47),{0,1,100,1000,5000,15000},{0.0,0.0278,0.0278,0.00985,0.00391,0.00321}),"")</f>
        <v>0</v>
      </c>
      <c r="AV47" s="18">
        <f>iferror(if(AT47="",G47,AT47)*AU47,"")</f>
        <v>0</v>
      </c>
      <c r="AW47" s="20" t="s">
        <v>534</v>
      </c>
    </row>
    <row r="48" spans="1:49">
      <c r="A48" s="17" t="s">
        <v>141</v>
      </c>
      <c r="B48" s="17" t="s">
        <v>142</v>
      </c>
      <c r="D48" s="17" t="s">
        <v>101</v>
      </c>
      <c r="F48" s="17" t="s">
        <v>143</v>
      </c>
      <c r="G48" s="17">
        <f>BoardQty*1</f>
        <v>0</v>
      </c>
      <c r="H4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8" s="18">
        <f>iferror(G48*H48,"")</f>
        <v>0</v>
      </c>
      <c r="O48" s="19" t="s">
        <v>263</v>
      </c>
      <c r="Q48" s="18">
        <f>iferror(lookup(if(P48="",G48,P48),{0,1,10,100,1000,2500,5000},{0.0,0.1,0.024,0.0097,0.00436,0.00378,0.00312}),"")</f>
        <v>0</v>
      </c>
      <c r="R48" s="18">
        <f>iferror(if(P48="",G48,P48)*Q48,"")</f>
        <v>0</v>
      </c>
      <c r="S48" s="20" t="s">
        <v>298</v>
      </c>
      <c r="T48" s="17">
        <v>233666</v>
      </c>
      <c r="V48" s="18">
        <f>iferror(USD_GBP*lookup(if(U48="",G48,U48),{0,1,10,100,150,500,1000,2500,5000,25000},{0.0,0.025,0.025,0.0108,0.0108,0.008,0.0052,0.0046,0.0066,0.0029}),"")</f>
        <v>0</v>
      </c>
      <c r="W48" s="18">
        <f>iferror(if(U48="",G48,U48)*V48,"")</f>
        <v>0</v>
      </c>
      <c r="X48" s="20" t="s">
        <v>355</v>
      </c>
      <c r="AD48" s="19" t="s">
        <v>263</v>
      </c>
      <c r="AF48" s="18">
        <f>iferror(lookup(if(AE48="",G48,AE48),{0,1,10,50,100,1000,10000},{0.0,0.1,0.024,0.024,0.01,0.004,0.002}),"")</f>
        <v>0</v>
      </c>
      <c r="AG48" s="18">
        <f>iferror(if(AE48="",G48,AE48)*AF48,"")</f>
        <v>0</v>
      </c>
      <c r="AH48" s="20" t="s">
        <v>417</v>
      </c>
      <c r="AI48" s="17">
        <v>17146</v>
      </c>
      <c r="AK48" s="18">
        <f>iferror(lookup(if(AJ48="",G48,AJ48),{0,1,10,250,500,1000,5000},{0.0,0.007,0.007,0.006,0.005,0.005,0.005}),"")</f>
        <v>0</v>
      </c>
      <c r="AL48" s="18">
        <f>iferror(if(AJ48="",G48,AJ48)*AK48,"")</f>
        <v>0</v>
      </c>
      <c r="AM48" s="20" t="s">
        <v>472</v>
      </c>
      <c r="AS48" s="17">
        <v>2600</v>
      </c>
      <c r="AU48" s="18">
        <f>iferror(USD_GBP*lookup(if(AT48="",G48,AT48),{0,1,100,1000,5000,15000},{0.0,0.0278,0.0278,0.00985,0.00391,0.00321}),"")</f>
        <v>0</v>
      </c>
      <c r="AV48" s="18">
        <f>iferror(if(AT48="",G48,AT48)*AU48,"")</f>
        <v>0</v>
      </c>
      <c r="AW48" s="20" t="s">
        <v>535</v>
      </c>
    </row>
    <row r="49" spans="1:49">
      <c r="A49" s="17" t="s">
        <v>144</v>
      </c>
      <c r="B49" s="17" t="s">
        <v>145</v>
      </c>
      <c r="D49" s="17" t="s">
        <v>101</v>
      </c>
      <c r="F49" s="17" t="s">
        <v>146</v>
      </c>
      <c r="G49" s="17">
        <f>BoardQty*2</f>
        <v>0</v>
      </c>
      <c r="H4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49" s="18">
        <f>iferror(G49*H49,"")</f>
        <v>0</v>
      </c>
      <c r="O49" s="19" t="s">
        <v>263</v>
      </c>
      <c r="Q49" s="18">
        <f>iferror(lookup(if(P49="",G49,P49),{0,1,10,100,1000,2500,5000},{0.0,0.1,0.024,0.0097,0.00436,0.00378,0.00312}),"")</f>
        <v>0</v>
      </c>
      <c r="R49" s="18">
        <f>iferror(if(P49="",G49,P49)*Q49,"")</f>
        <v>0</v>
      </c>
      <c r="S49" s="20" t="s">
        <v>299</v>
      </c>
      <c r="T49" s="17">
        <v>120605</v>
      </c>
      <c r="V49" s="18">
        <f>iferror(USD_GBP*lookup(if(U49="",G49,U49),{0,1,10,100,150,500,1000,2500,5000,25000},{0.0,0.0251,0.0251,0.009,0.009,0.0075,0.006,0.0053,0.0052,0.0036}),"")</f>
        <v>0</v>
      </c>
      <c r="W49" s="18">
        <f>iferror(if(U49="",G49,U49)*V49,"")</f>
        <v>0</v>
      </c>
      <c r="X49" s="20" t="s">
        <v>356</v>
      </c>
      <c r="AD49" s="19" t="s">
        <v>263</v>
      </c>
      <c r="AF49" s="18">
        <f>iferror(lookup(if(AE49="",G49,AE49),{0,1,10,50,100,1000,10000},{0.0,0.1,0.024,0.024,0.01,0.004,0.003}),"")</f>
        <v>0</v>
      </c>
      <c r="AG49" s="18">
        <f>iferror(if(AE49="",G49,AE49)*AF49,"")</f>
        <v>0</v>
      </c>
      <c r="AH49" s="20" t="s">
        <v>418</v>
      </c>
      <c r="AI49" s="17">
        <v>109605</v>
      </c>
      <c r="AK49" s="18">
        <f>iferror(lookup(if(AJ49="",G49,AJ49),{0,1,10,25,50,100,5000},{0.0,0.12,0.12,0.022,0.014,0.007,0.004}),"")</f>
        <v>0</v>
      </c>
      <c r="AL49" s="18">
        <f>iferror(if(AJ49="",G49,AJ49)*AK49,"")</f>
        <v>0</v>
      </c>
      <c r="AM49" s="20" t="s">
        <v>473</v>
      </c>
      <c r="AN49" s="17">
        <v>4700</v>
      </c>
      <c r="AP49" s="18">
        <f>iferror(USD_GBP*lookup(if(AO49="",G49,AO49),{0,1,5000},{0.0,0.003,0.003}),"")</f>
        <v>0</v>
      </c>
      <c r="AQ49" s="18">
        <f>iferror(if(AO49="",G49,AO49)*AP49,"")</f>
        <v>0</v>
      </c>
      <c r="AR49" s="20" t="s">
        <v>508</v>
      </c>
      <c r="AS49" s="17">
        <v>52600</v>
      </c>
      <c r="AU49" s="18">
        <f>iferror(USD_GBP*lookup(if(AT49="",G49,AT49),{0,1,100,1000,5000,15000,50000},{0.0,0.0201,0.0201,0.00486,0.00208,0.00193,0.00184}),"")</f>
        <v>0</v>
      </c>
      <c r="AV49" s="18">
        <f>iferror(if(AT49="",G49,AT49)*AU49,"")</f>
        <v>0</v>
      </c>
      <c r="AW49" s="20" t="s">
        <v>536</v>
      </c>
    </row>
    <row r="50" spans="1:49">
      <c r="A50" s="17" t="s">
        <v>147</v>
      </c>
      <c r="B50" s="17" t="s">
        <v>148</v>
      </c>
      <c r="D50" s="17" t="s">
        <v>101</v>
      </c>
      <c r="F50" s="17" t="s">
        <v>149</v>
      </c>
      <c r="G50" s="17">
        <f>BoardQty*1</f>
        <v>0</v>
      </c>
      <c r="H5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0" s="18">
        <f>iferror(G50*H50,"")</f>
        <v>0</v>
      </c>
      <c r="O50" s="17">
        <v>14613829</v>
      </c>
      <c r="Q50" s="18">
        <f>iferror(lookup(if(P50="",G50,P50),{0,1,10,100,1000,2500,5000},{0.0,0.1,0.024,0.0097,0.00436,0.00378,0.00312}),"")</f>
        <v>0</v>
      </c>
      <c r="R50" s="18">
        <f>iferror(if(P50="",G50,P50)*Q50,"")</f>
        <v>0</v>
      </c>
      <c r="S50" s="20" t="s">
        <v>300</v>
      </c>
      <c r="T50" s="17">
        <v>1412500</v>
      </c>
      <c r="V50" s="18">
        <f>iferror(USD_GBP*lookup(if(U50="",G50,U50),{0,1,10,100,150,500,1000,2500,5000,10000,25000},{0.0,0.0321,0.0321,0.0123,0.0123,0.0089,0.0054,0.0045,0.0035,0.003,0.0031}),"")</f>
        <v>0</v>
      </c>
      <c r="W50" s="18">
        <f>iferror(if(U50="",G50,U50)*V50,"")</f>
        <v>0</v>
      </c>
      <c r="X50" s="20" t="s">
        <v>357</v>
      </c>
      <c r="AD50" s="17">
        <v>4144193</v>
      </c>
      <c r="AF50" s="18">
        <f>iferror(lookup(if(AE50="",G50,AE50),{0,1,10,50,100,1000,10000},{0.0,0.1,0.024,0.024,0.01,0.004,0.003}),"")</f>
        <v>0</v>
      </c>
      <c r="AG50" s="18">
        <f>iferror(if(AE50="",G50,AE50)*AF50,"")</f>
        <v>0</v>
      </c>
      <c r="AH50" s="20" t="s">
        <v>419</v>
      </c>
      <c r="AI50" s="17">
        <v>1405000</v>
      </c>
      <c r="AK50" s="18">
        <f>iferror(lookup(if(AJ50="",G50,AJ50),{0,1,10,25,50,100,5000,10000},{0.0,0.12,0.023,0.028,0.019,0.011,0.004,0.003}),"")</f>
        <v>0</v>
      </c>
      <c r="AL50" s="18">
        <f>iferror(if(AJ50="",G50,AJ50)*AK50,"")</f>
        <v>0</v>
      </c>
      <c r="AM50" s="20" t="s">
        <v>474</v>
      </c>
      <c r="AN50" s="17">
        <v>164000</v>
      </c>
      <c r="AP50" s="18">
        <f>iferror(USD_GBP*lookup(if(AO50="",G50,AO50),{0,1,5000},{0.0,0.003,0.003}),"")</f>
        <v>0</v>
      </c>
      <c r="AQ50" s="18">
        <f>iferror(if(AO50="",G50,AO50)*AP50,"")</f>
        <v>0</v>
      </c>
      <c r="AR50" s="20" t="s">
        <v>509</v>
      </c>
      <c r="AS50" s="17">
        <v>222600</v>
      </c>
      <c r="AU50" s="18">
        <f>iferror(USD_GBP*lookup(if(AT50="",G50,AT50),{0,1,100,1000,5000,15000,50000},{0.0,0.0217,0.0217,0.0049,0.00182,0.00168,0.00162}),"")</f>
        <v>0</v>
      </c>
      <c r="AV50" s="18">
        <f>iferror(if(AT50="",G50,AT50)*AU50,"")</f>
        <v>0</v>
      </c>
      <c r="AW50" s="20" t="s">
        <v>537</v>
      </c>
    </row>
    <row r="51" spans="1:49">
      <c r="A51" s="17" t="s">
        <v>150</v>
      </c>
      <c r="B51" s="17" t="s">
        <v>151</v>
      </c>
      <c r="D51" s="17" t="s">
        <v>101</v>
      </c>
      <c r="F51" s="17" t="s">
        <v>152</v>
      </c>
      <c r="G51" s="17">
        <f>BoardQty*2</f>
        <v>0</v>
      </c>
      <c r="H5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1" s="18">
        <f>iferror(G51*H51,"")</f>
        <v>0</v>
      </c>
      <c r="O51" s="17">
        <v>181805</v>
      </c>
      <c r="Q51" s="18">
        <f>iferror(lookup(if(P51="",G51,P51),{0,1,10,100,1000,2500,5000},{0.0,0.1,0.024,0.0097,0.00436,0.00378,0.00312}),"")</f>
        <v>0</v>
      </c>
      <c r="R51" s="18">
        <f>iferror(if(P51="",G51,P51)*Q51,"")</f>
        <v>0</v>
      </c>
      <c r="S51" s="20" t="s">
        <v>301</v>
      </c>
      <c r="T51" s="17">
        <v>158805</v>
      </c>
      <c r="V51" s="18">
        <f>iferror(USD_GBP*lookup(if(U51="",G51,U51),{0,1,10,100,150,500,1000,2500,5000,25000},{0.0,0.0151,0.0151,0.014,0.014,0.0109,0.0088,0.0072,0.0061,0.0041}),"")</f>
        <v>0</v>
      </c>
      <c r="W51" s="18">
        <f>iferror(if(U51="",G51,U51)*V51,"")</f>
        <v>0</v>
      </c>
      <c r="X51" s="20" t="s">
        <v>358</v>
      </c>
      <c r="AD51" s="19" t="s">
        <v>263</v>
      </c>
      <c r="AF51" s="18">
        <f>iferror(lookup(if(AE51="",G51,AE51),{0,1,10,50,100,1000,10000},{0.0,0.1,0.024,0.024,0.01,0.004,0.002}),"")</f>
        <v>0</v>
      </c>
      <c r="AG51" s="18">
        <f>iferror(if(AE51="",G51,AE51)*AF51,"")</f>
        <v>0</v>
      </c>
      <c r="AH51" s="20" t="s">
        <v>420</v>
      </c>
      <c r="AI51" s="19" t="s">
        <v>263</v>
      </c>
      <c r="AK51" s="18">
        <f>iferror(lookup(if(AJ51="",G51,AJ51),{0,1,10,25,50,100},{0.0,0.101,0.019,0.015,0.011,0.007}),"")</f>
        <v>0</v>
      </c>
      <c r="AL51" s="18">
        <f>iferror(if(AJ51="",G51,AJ51)*AK51,"")</f>
        <v>0</v>
      </c>
      <c r="AM51" s="20" t="s">
        <v>475</v>
      </c>
      <c r="AN51" s="17">
        <v>3500</v>
      </c>
      <c r="AP51" s="18">
        <f>iferror(USD_GBP*lookup(if(AO51="",G51,AO51),{0,1,5000},{0.0,0.003,0.003}),"")</f>
        <v>0</v>
      </c>
      <c r="AQ51" s="18">
        <f>iferror(if(AO51="",G51,AO51)*AP51,"")</f>
        <v>0</v>
      </c>
      <c r="AR51" s="20" t="s">
        <v>510</v>
      </c>
      <c r="AS51" s="19" t="s">
        <v>263</v>
      </c>
      <c r="AU51" s="18">
        <f>iferror(USD_GBP*lookup(if(AT51="",G51,AT51),{0,1,100,1000,5000,15000},{0.0,0.02667,0.02667,0.00961,0.00389,0.00328}),"")</f>
        <v>0</v>
      </c>
      <c r="AV51" s="18">
        <f>iferror(if(AT51="",G51,AT51)*AU51,"")</f>
        <v>0</v>
      </c>
      <c r="AW51" s="20" t="s">
        <v>538</v>
      </c>
    </row>
    <row r="52" spans="1:49">
      <c r="A52" s="17" t="s">
        <v>153</v>
      </c>
      <c r="B52" s="17" t="s">
        <v>154</v>
      </c>
      <c r="D52" s="17" t="s">
        <v>101</v>
      </c>
      <c r="F52" s="17" t="s">
        <v>155</v>
      </c>
      <c r="G52" s="17">
        <f>BoardQty*2</f>
        <v>0</v>
      </c>
      <c r="H5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2" s="18">
        <f>iferror(G52*H52,"")</f>
        <v>0</v>
      </c>
      <c r="O52" s="17">
        <v>891526</v>
      </c>
      <c r="Q52" s="18">
        <f>iferror(lookup(if(P52="",G52,P52),{0,1,10,100,1000,2500,5000},{0.0,0.1,0.024,0.0097,0.00436,0.00378,0.00312}),"")</f>
        <v>0</v>
      </c>
      <c r="R52" s="18">
        <f>iferror(if(P52="",G52,P52)*Q52,"")</f>
        <v>0</v>
      </c>
      <c r="S52" s="20" t="s">
        <v>302</v>
      </c>
      <c r="T52" s="17">
        <v>88560</v>
      </c>
      <c r="V52" s="18">
        <f>iferror(USD_GBP*lookup(if(U52="",G52,U52),{0,1,10,100,150,500,1000,2500,5000,25000},{0.0,0.0149,0.0149,0.0138,0.0138,0.0107,0.0086,0.0071,0.006,0.0041}),"")</f>
        <v>0</v>
      </c>
      <c r="W52" s="18">
        <f>iferror(if(U52="",G52,U52)*V52,"")</f>
        <v>0</v>
      </c>
      <c r="X52" s="20" t="s">
        <v>359</v>
      </c>
      <c r="AD52" s="17">
        <v>10</v>
      </c>
      <c r="AF52" s="18">
        <f>iferror(lookup(if(AE52="",G52,AE52),{0,1,10,50,100,1000,10000},{0.0,0.1,0.021,0.021,0.007,0.004,0.002}),"")</f>
        <v>0</v>
      </c>
      <c r="AG52" s="18">
        <f>iferror(if(AE52="",G52,AE52)*AF52,"")</f>
        <v>0</v>
      </c>
      <c r="AH52" s="20" t="s">
        <v>421</v>
      </c>
      <c r="AI52" s="17">
        <v>8510</v>
      </c>
      <c r="AK52" s="18">
        <f>iferror(lookup(if(AJ52="",G52,AJ52),{0,1,10,25,50,100},{0.0,0.101,0.019,0.015,0.011,0.007}),"")</f>
        <v>0</v>
      </c>
      <c r="AL52" s="18">
        <f>iferror(if(AJ52="",G52,AJ52)*AK52,"")</f>
        <v>0</v>
      </c>
      <c r="AM52" s="20" t="s">
        <v>476</v>
      </c>
      <c r="AN52" s="17">
        <v>4500</v>
      </c>
      <c r="AP52" s="18">
        <f>iferror(USD_GBP*lookup(if(AO52="",G52,AO52),{0,1,5000,10000,15000,20000},{0.0,0.003,0.003,0.003,0.003,0.002}),"")</f>
        <v>0</v>
      </c>
      <c r="AQ52" s="18">
        <f>iferror(if(AO52="",G52,AO52)*AP52,"")</f>
        <v>0</v>
      </c>
      <c r="AR52" s="20" t="s">
        <v>511</v>
      </c>
      <c r="AS52" s="19" t="s">
        <v>263</v>
      </c>
      <c r="AU52" s="18">
        <f>iferror(USD_GBP*lookup(if(AT52="",G52,AT52),{0,1,100,1000,5000,15000},{0.0,0.02667,0.02667,0.00961,0.00389,0.00328}),"")</f>
        <v>0</v>
      </c>
      <c r="AV52" s="18">
        <f>iferror(if(AT52="",G52,AT52)*AU52,"")</f>
        <v>0</v>
      </c>
      <c r="AW52" s="20" t="s">
        <v>539</v>
      </c>
    </row>
    <row r="53" spans="1:49">
      <c r="A53" s="17" t="s">
        <v>156</v>
      </c>
      <c r="B53" s="17" t="s">
        <v>157</v>
      </c>
      <c r="D53" s="17" t="s">
        <v>101</v>
      </c>
      <c r="F53" s="17" t="s">
        <v>158</v>
      </c>
      <c r="G53" s="17">
        <f>BoardQty*1</f>
        <v>0</v>
      </c>
      <c r="H5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3" s="18">
        <f>iferror(G53*H53,"")</f>
        <v>0</v>
      </c>
      <c r="O53" s="17">
        <v>126354</v>
      </c>
      <c r="Q53" s="18">
        <f>iferror(lookup(if(P53="",G53,P53),{0,1,10,100,1000,2500,5000},{0.0,0.1,0.024,0.0097,0.00436,0.00378,0.00312}),"")</f>
        <v>0</v>
      </c>
      <c r="R53" s="18">
        <f>iferror(if(P53="",G53,P53)*Q53,"")</f>
        <v>0</v>
      </c>
      <c r="S53" s="20" t="s">
        <v>303</v>
      </c>
      <c r="T53" s="17">
        <v>61570</v>
      </c>
      <c r="V53" s="18">
        <f>iferror(USD_GBP*lookup(if(U53="",G53,U53),{0,1,10,100,150,500,1000,2500,5000,25000},{0.0,0.0218,0.0218,0.0078,0.0078,0.0069,0.006,0.0051,0.0041,0.004}),"")</f>
        <v>0</v>
      </c>
      <c r="W53" s="18">
        <f>iferror(if(U53="",G53,U53)*V53,"")</f>
        <v>0</v>
      </c>
      <c r="X53" s="20" t="s">
        <v>360</v>
      </c>
      <c r="AD53" s="17">
        <v>14664</v>
      </c>
      <c r="AF53" s="18">
        <f>iferror(lookup(if(AE53="",G53,AE53),{0,1,10,50,100,1000,10000},{0.0,0.1,0.024,0.024,0.01,0.004,0.003}),"")</f>
        <v>0</v>
      </c>
      <c r="AG53" s="18">
        <f>iferror(if(AE53="",G53,AE53)*AF53,"")</f>
        <v>0</v>
      </c>
      <c r="AH53" s="20" t="s">
        <v>422</v>
      </c>
      <c r="AI53" s="19" t="s">
        <v>263</v>
      </c>
      <c r="AK53" s="18">
        <f>iferror(lookup(if(AJ53="",G53,AJ53),{0,1,10,25,50,100},{0.0,0.101,0.019,0.015,0.011,0.007}),"")</f>
        <v>0</v>
      </c>
      <c r="AL53" s="18">
        <f>iferror(if(AJ53="",G53,AJ53)*AK53,"")</f>
        <v>0</v>
      </c>
      <c r="AM53" s="20" t="s">
        <v>477</v>
      </c>
      <c r="AS53" s="19" t="s">
        <v>263</v>
      </c>
      <c r="AU53" s="18">
        <f>iferror(USD_GBP*lookup(if(AT53="",G53,AT53),{0,1,100,1000,5000,15000},{0.0,0.02667,0.02667,0.00961,0.00389,0.00328}),"")</f>
        <v>0</v>
      </c>
      <c r="AV53" s="18">
        <f>iferror(if(AT53="",G53,AT53)*AU53,"")</f>
        <v>0</v>
      </c>
      <c r="AW53" s="20" t="s">
        <v>540</v>
      </c>
    </row>
    <row r="54" spans="1:49">
      <c r="A54" s="17" t="s">
        <v>159</v>
      </c>
      <c r="B54" s="17" t="s">
        <v>160</v>
      </c>
      <c r="D54" s="17" t="s">
        <v>101</v>
      </c>
      <c r="F54" s="17" t="s">
        <v>161</v>
      </c>
      <c r="G54" s="17">
        <f>BoardQty*1</f>
        <v>0</v>
      </c>
      <c r="H5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4" s="18">
        <f>iferror(G54*H54,"")</f>
        <v>0</v>
      </c>
      <c r="O54" s="17">
        <v>128392</v>
      </c>
      <c r="Q54" s="18">
        <f>iferror(lookup(if(P54="",G54,P54),{0,1,10,100,1000,2500,5000},{0.0,0.1,0.024,0.0097,0.00436,0.00378,0.00312}),"")</f>
        <v>0</v>
      </c>
      <c r="R54" s="18">
        <f>iferror(if(P54="",G54,P54)*Q54,"")</f>
        <v>0</v>
      </c>
      <c r="S54" s="20" t="s">
        <v>304</v>
      </c>
      <c r="T54" s="17">
        <v>46740</v>
      </c>
      <c r="V54" s="18">
        <f>iferror(USD_GBP*lookup(if(U54="",G54,U54),{0,1,10,100,150,500,1000,2500,5000,25000},{0.0,0.0218,0.0218,0.0078,0.0078,0.0065,0.0052,0.0046,0.0041,0.0029}),"")</f>
        <v>0</v>
      </c>
      <c r="W54" s="18">
        <f>iferror(if(U54="",G54,U54)*V54,"")</f>
        <v>0</v>
      </c>
      <c r="X54" s="20" t="s">
        <v>361</v>
      </c>
      <c r="AD54" s="19" t="s">
        <v>263</v>
      </c>
      <c r="AF54" s="18">
        <f>iferror(lookup(if(AE54="",G54,AE54),{0,1,10,50,100,1000,10000},{0.0,0.1,0.024,0.024,0.01,0.004,0.002}),"")</f>
        <v>0</v>
      </c>
      <c r="AG54" s="18">
        <f>iferror(if(AE54="",G54,AE54)*AF54,"")</f>
        <v>0</v>
      </c>
      <c r="AH54" s="20" t="s">
        <v>423</v>
      </c>
      <c r="AI54" s="17">
        <v>20000</v>
      </c>
      <c r="AK54" s="18">
        <f>iferror(lookup(if(AJ54="",G54,AJ54),{0,1,10,25,50,100},{0.0,0.101,0.019,0.015,0.011,0.007}),"")</f>
        <v>0</v>
      </c>
      <c r="AL54" s="18">
        <f>iferror(if(AJ54="",G54,AJ54)*AK54,"")</f>
        <v>0</v>
      </c>
      <c r="AM54" s="20" t="s">
        <v>478</v>
      </c>
    </row>
    <row r="55" spans="1:49">
      <c r="A55" s="17" t="s">
        <v>162</v>
      </c>
      <c r="B55" s="17" t="s">
        <v>163</v>
      </c>
      <c r="D55" s="17" t="s">
        <v>101</v>
      </c>
      <c r="F55" s="17" t="s">
        <v>164</v>
      </c>
      <c r="G55" s="17">
        <f>BoardQty*1</f>
        <v>0</v>
      </c>
      <c r="H5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5" s="18">
        <f>iferror(G55*H55,"")</f>
        <v>0</v>
      </c>
      <c r="O55" s="17">
        <v>321300</v>
      </c>
      <c r="Q55" s="18">
        <f>iferror(lookup(if(P55="",G55,P55),{0,1,10,100,1000,2500,5000},{0.0,0.1,0.024,0.0097,0.00436,0.00378,0.00312}),"")</f>
        <v>0</v>
      </c>
      <c r="R55" s="18">
        <f>iferror(if(P55="",G55,P55)*Q55,"")</f>
        <v>0</v>
      </c>
      <c r="S55" s="20" t="s">
        <v>305</v>
      </c>
      <c r="T55" s="17">
        <v>1700000</v>
      </c>
      <c r="V55" s="18">
        <f>iferror(USD_GBP*lookup(if(U55="",G55,U55),{0,1,10,100,150,500,1000,2500,5000,25000},{0.0,0.0218,0.0218,0.0078,0.0078,0.0064,0.005,0.0044,0.005,0.0031}),"")</f>
        <v>0</v>
      </c>
      <c r="W55" s="18">
        <f>iferror(if(U55="",G55,U55)*V55,"")</f>
        <v>0</v>
      </c>
      <c r="X55" s="20" t="s">
        <v>362</v>
      </c>
      <c r="AD55" s="17">
        <v>24452</v>
      </c>
      <c r="AF55" s="18">
        <f>iferror(lookup(if(AE55="",G55,AE55),{0,1,10,50,100,1000,10000},{0.0,0.1,0.024,0.024,0.01,0.004,0.003}),"")</f>
        <v>0</v>
      </c>
      <c r="AG55" s="18">
        <f>iferror(if(AE55="",G55,AE55)*AF55,"")</f>
        <v>0</v>
      </c>
      <c r="AH55" s="20" t="s">
        <v>424</v>
      </c>
      <c r="AI55" s="17">
        <v>1700000</v>
      </c>
      <c r="AK55" s="18">
        <f>iferror(lookup(if(AJ55="",G55,AJ55),{0,1,10,25,50,100,250,500,1000,2500,5000},{0.0,0.005,0.022,0.04,0.026,0.018,0.014,0.011,0.008,0.006,0.005}),"")</f>
        <v>0</v>
      </c>
      <c r="AL55" s="18">
        <f>iferror(if(AJ55="",G55,AJ55)*AK55,"")</f>
        <v>0</v>
      </c>
      <c r="AM55" s="20" t="s">
        <v>479</v>
      </c>
      <c r="AS55" s="19" t="s">
        <v>263</v>
      </c>
      <c r="AU55" s="18">
        <f>iferror(USD_GBP*lookup(if(AT55="",G55,AT55),{0,1,100,1000,5000,15000},{0.0,0.02667,0.02667,0.00961,0.00389,0.00328}),"")</f>
        <v>0</v>
      </c>
      <c r="AV55" s="18">
        <f>iferror(if(AT55="",G55,AT55)*AU55,"")</f>
        <v>0</v>
      </c>
      <c r="AW55" s="20" t="s">
        <v>541</v>
      </c>
    </row>
    <row r="56" spans="1:49">
      <c r="A56" s="17" t="s">
        <v>165</v>
      </c>
      <c r="B56" s="17" t="s">
        <v>166</v>
      </c>
      <c r="D56" s="17" t="s">
        <v>101</v>
      </c>
      <c r="F56" s="17" t="s">
        <v>167</v>
      </c>
      <c r="G56" s="17">
        <f>BoardQty*1</f>
        <v>0</v>
      </c>
      <c r="H5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6" s="18">
        <f>iferror(G56*H56,"")</f>
        <v>0</v>
      </c>
      <c r="O56" s="17">
        <v>1850546</v>
      </c>
      <c r="Q56" s="18">
        <f>iferror(lookup(if(P56="",G56,P56),{0,1,10,100,1000,2500,5000},{0.0,0.1,0.024,0.0097,0.00436,0.00378,0.00312}),"")</f>
        <v>0</v>
      </c>
      <c r="R56" s="18">
        <f>iferror(if(P56="",G56,P56)*Q56,"")</f>
        <v>0</v>
      </c>
      <c r="S56" s="20" t="s">
        <v>306</v>
      </c>
      <c r="T56" s="17">
        <v>6540000</v>
      </c>
      <c r="V56" s="18">
        <f>iferror(USD_GBP*lookup(if(U56="",G56,U56),{0,1,10,100,150,500,1000,2500,5000,25000},{0.0,0.0216,0.0216,0.0077,0.0077,0.0065,0.0051,0.0045,0.0044,0.0031}),"")</f>
        <v>0</v>
      </c>
      <c r="W56" s="18">
        <f>iferror(if(U56="",G56,U56)*V56,"")</f>
        <v>0</v>
      </c>
      <c r="X56" s="20" t="s">
        <v>363</v>
      </c>
      <c r="AD56" s="17">
        <v>434021</v>
      </c>
      <c r="AF56" s="18">
        <f>iferror(lookup(if(AE56="",G56,AE56),{0,1,10,50,100,1000,10000},{0.0,0.1,0.018,0.018,0.007,0.004,0.002}),"")</f>
        <v>0</v>
      </c>
      <c r="AG56" s="18">
        <f>iferror(if(AE56="",G56,AE56)*AF56,"")</f>
        <v>0</v>
      </c>
      <c r="AH56" s="20" t="s">
        <v>425</v>
      </c>
      <c r="AI56" s="17">
        <v>90000</v>
      </c>
      <c r="AK56" s="18">
        <f>iferror(lookup(if(AJ56="",G56,AJ56),{0,1,10,25,50,100,250,500,1000,2500,5000},{0.0,0.003,0.018,0.014,0.011,0.007,0.014,0.011,0.008,0.006,0.003}),"")</f>
        <v>0</v>
      </c>
      <c r="AL56" s="18">
        <f>iferror(if(AJ56="",G56,AJ56)*AK56,"")</f>
        <v>0</v>
      </c>
      <c r="AM56" s="20" t="s">
        <v>480</v>
      </c>
      <c r="AN56" s="17">
        <v>33500</v>
      </c>
      <c r="AP56" s="18">
        <f>iferror(USD_GBP*lookup(if(AO56="",G56,AO56),{0,1,100,1000,2500,5000,10000,15000,20000},{0.0,0.006,0.006,0.005,0.005,0.005,0.004,0.003,0.002}),"")</f>
        <v>0</v>
      </c>
      <c r="AQ56" s="18">
        <f>iferror(if(AO56="",G56,AO56)*AP56,"")</f>
        <v>0</v>
      </c>
      <c r="AR56" s="20" t="s">
        <v>512</v>
      </c>
      <c r="AS56" s="17">
        <v>26300</v>
      </c>
      <c r="AU56" s="18">
        <f>iferror(USD_GBP*lookup(if(AT56="",G56,AT56),{0,1,100,1000,5000,15000,50000},{0.0,0.028,0.028,0.00992,0.00394,0.00323,0.00275}),"")</f>
        <v>0</v>
      </c>
      <c r="AV56" s="18">
        <f>iferror(if(AT56="",G56,AT56)*AU56,"")</f>
        <v>0</v>
      </c>
      <c r="AW56" s="20" t="s">
        <v>542</v>
      </c>
    </row>
    <row r="57" spans="1:49">
      <c r="A57" s="17" t="s">
        <v>168</v>
      </c>
      <c r="B57" s="17" t="s">
        <v>169</v>
      </c>
      <c r="D57" s="17" t="s">
        <v>101</v>
      </c>
      <c r="F57" s="17" t="s">
        <v>170</v>
      </c>
      <c r="G57" s="17">
        <f>BoardQty*1</f>
        <v>0</v>
      </c>
      <c r="H5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7" s="18">
        <f>iferror(G57*H57,"")</f>
        <v>0</v>
      </c>
      <c r="O57" s="17">
        <v>874457</v>
      </c>
      <c r="Q57" s="18">
        <f>iferror(lookup(if(P57="",G57,P57),{0,1,10,100,1000,2500,5000},{0.0,0.1,0.024,0.0097,0.00436,0.00378,0.00312}),"")</f>
        <v>0</v>
      </c>
      <c r="R57" s="18">
        <f>iferror(if(P57="",G57,P57)*Q57,"")</f>
        <v>0</v>
      </c>
      <c r="S57" s="20" t="s">
        <v>307</v>
      </c>
      <c r="T57" s="17">
        <v>2485000</v>
      </c>
      <c r="V57" s="18">
        <f>iferror(USD_GBP*lookup(if(U57="",G57,U57),{0,1,10,100,150,500,1000,2500,5000,25000},{0.0,0.0218,0.0218,0.0091,0.0091,0.0078,0.0064,0.0056,0.005,0.0036}),"")</f>
        <v>0</v>
      </c>
      <c r="W57" s="18">
        <f>iferror(if(U57="",G57,U57)*V57,"")</f>
        <v>0</v>
      </c>
      <c r="X57" s="20" t="s">
        <v>364</v>
      </c>
      <c r="AD57" s="17">
        <v>48558</v>
      </c>
      <c r="AF57" s="18">
        <f>iferror(lookup(if(AE57="",G57,AE57),{0,1,10,50,100,1000,10000},{0.0,0.1,0.018,0.018,0.007,0.004,0.002}),"")</f>
        <v>0</v>
      </c>
      <c r="AG57" s="18">
        <f>iferror(if(AE57="",G57,AE57)*AF57,"")</f>
        <v>0</v>
      </c>
      <c r="AH57" s="20" t="s">
        <v>426</v>
      </c>
      <c r="AI57" s="17">
        <v>2479970</v>
      </c>
      <c r="AK57" s="18">
        <f>iferror(lookup(if(AJ57="",G57,AJ57),{0,1,10,25,50,100,250,500,1000,2500,5000},{0.0,0.12,0.022,0.017,0.013,0.008,0.014,0.011,0.008,0.006,0.002}),"")</f>
        <v>0</v>
      </c>
      <c r="AL57" s="18">
        <f>iferror(if(AJ57="",G57,AJ57)*AK57,"")</f>
        <v>0</v>
      </c>
      <c r="AM57" s="20" t="s">
        <v>481</v>
      </c>
      <c r="AN57" s="17">
        <v>2300</v>
      </c>
      <c r="AP57" s="18">
        <f>iferror(USD_GBP*lookup(if(AO57="",G57,AO57),{0,1,5000,10000,15000,20000},{0.0,0.003,0.003,0.003,0.003,0.002}),"")</f>
        <v>0</v>
      </c>
      <c r="AQ57" s="18">
        <f>iferror(if(AO57="",G57,AO57)*AP57,"")</f>
        <v>0</v>
      </c>
      <c r="AR57" s="20" t="s">
        <v>513</v>
      </c>
      <c r="AS57" s="19" t="s">
        <v>263</v>
      </c>
      <c r="AU57" s="18">
        <f>iferror(USD_GBP*lookup(if(AT57="",G57,AT57),{0,1,100,1000,5000,15000},{0.0,0.02667,0.02667,0.00961,0.00389,0.00328}),"")</f>
        <v>0</v>
      </c>
      <c r="AV57" s="18">
        <f>iferror(if(AT57="",G57,AT57)*AU57,"")</f>
        <v>0</v>
      </c>
      <c r="AW57" s="20" t="s">
        <v>543</v>
      </c>
    </row>
    <row r="58" spans="1:49">
      <c r="A58" s="17" t="s">
        <v>171</v>
      </c>
      <c r="B58" s="17" t="s">
        <v>172</v>
      </c>
      <c r="D58" s="17" t="s">
        <v>101</v>
      </c>
      <c r="F58" s="17" t="s">
        <v>173</v>
      </c>
      <c r="G58" s="17">
        <f>BoardQty*1</f>
        <v>0</v>
      </c>
      <c r="H5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8" s="18">
        <f>iferror(G58*H58,"")</f>
        <v>0</v>
      </c>
      <c r="O58" s="17">
        <v>121036</v>
      </c>
      <c r="Q58" s="18">
        <f>iferror(lookup(if(P58="",G58,P58),{0,1,10,100,1000,2500,5000},{0.0,0.1,0.024,0.0097,0.00436,0.00378,0.00312}),"")</f>
        <v>0</v>
      </c>
      <c r="R58" s="18">
        <f>iferror(if(P58="",G58,P58)*Q58,"")</f>
        <v>0</v>
      </c>
      <c r="S58" s="20" t="s">
        <v>308</v>
      </c>
      <c r="T58" s="17">
        <v>55600</v>
      </c>
      <c r="V58" s="18">
        <f>iferror(USD_GBP*lookup(if(U58="",G58,U58),{0,1,10,100,150,500,1000,2500,5000,25000},{0.0,0.0218,0.0218,0.0078,0.0078,0.0065,0.0052,0.0046,0.0041,0.0031}),"")</f>
        <v>0</v>
      </c>
      <c r="W58" s="18">
        <f>iferror(if(U58="",G58,U58)*V58,"")</f>
        <v>0</v>
      </c>
      <c r="X58" s="20" t="s">
        <v>365</v>
      </c>
      <c r="AD58" s="17">
        <v>164164</v>
      </c>
      <c r="AF58" s="18">
        <f>iferror(lookup(if(AE58="",G58,AE58),{0,1,10,50,100,1000,10000},{0.0,0.1,0.024,0.024,0.01,0.004,0.003}),"")</f>
        <v>0</v>
      </c>
      <c r="AG58" s="18">
        <f>iferror(if(AE58="",G58,AE58)*AF58,"")</f>
        <v>0</v>
      </c>
      <c r="AH58" s="20" t="s">
        <v>427</v>
      </c>
      <c r="AI58" s="17">
        <v>16220</v>
      </c>
      <c r="AK58" s="18">
        <f>iferror(lookup(if(AJ58="",G58,AJ58),{0,1,10,250,500,1000,5000},{0.0,0.003,0.007,0.006,0.005,0.005,0.003}),"")</f>
        <v>0</v>
      </c>
      <c r="AL58" s="18">
        <f>iferror(if(AJ58="",G58,AJ58)*AK58,"")</f>
        <v>0</v>
      </c>
      <c r="AM58" s="20" t="s">
        <v>482</v>
      </c>
      <c r="AN58" s="17">
        <v>1100</v>
      </c>
      <c r="AP58" s="18">
        <f>iferror(USD_GBP*lookup(if(AO58="",G58,AO58),{0,1,5000},{0.0,0.004,0.004}),"")</f>
        <v>0</v>
      </c>
      <c r="AQ58" s="18">
        <f>iferror(if(AO58="",G58,AO58)*AP58,"")</f>
        <v>0</v>
      </c>
      <c r="AR58" s="20" t="s">
        <v>514</v>
      </c>
      <c r="AS58" s="19" t="s">
        <v>263</v>
      </c>
      <c r="AU58" s="18">
        <f>iferror(USD_GBP*lookup(if(AT58="",G58,AT58),{0,1,100,1000,5000,15000},{0.0,0.02667,0.02667,0.00961,0.00389,0.00328}),"")</f>
        <v>0</v>
      </c>
      <c r="AV58" s="18">
        <f>iferror(if(AT58="",G58,AT58)*AU58,"")</f>
        <v>0</v>
      </c>
      <c r="AW58" s="20" t="s">
        <v>544</v>
      </c>
    </row>
    <row r="59" spans="1:49">
      <c r="A59" s="17" t="s">
        <v>174</v>
      </c>
      <c r="B59" s="17" t="s">
        <v>175</v>
      </c>
      <c r="D59" s="17" t="s">
        <v>101</v>
      </c>
      <c r="F59" s="17" t="s">
        <v>176</v>
      </c>
      <c r="G59" s="17">
        <f>BoardQty*1</f>
        <v>0</v>
      </c>
      <c r="H5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59" s="18">
        <f>iferror(G59*H59,"")</f>
        <v>0</v>
      </c>
      <c r="O59" s="17">
        <v>596290</v>
      </c>
      <c r="Q59" s="18">
        <f>iferror(lookup(if(P59="",G59,P59),{0,1,10,100,1000,2500,5000},{0.0,0.1,0.024,0.0097,0.00436,0.00378,0.00312}),"")</f>
        <v>0</v>
      </c>
      <c r="R59" s="18">
        <f>iferror(if(P59="",G59,P59)*Q59,"")</f>
        <v>0</v>
      </c>
      <c r="S59" s="20" t="s">
        <v>309</v>
      </c>
      <c r="T59" s="17">
        <v>291990</v>
      </c>
      <c r="V59" s="18">
        <f>iferror(USD_GBP*lookup(if(U59="",G59,U59),{0,1,10,100,150,500,1000,2500,5000,25000},{0.0,0.0218,0.0218,0.0078,0.0078,0.0065,0.0052,0.0046,0.0041,0.0029}),"")</f>
        <v>0</v>
      </c>
      <c r="W59" s="18">
        <f>iferror(if(U59="",G59,U59)*V59,"")</f>
        <v>0</v>
      </c>
      <c r="X59" s="20" t="s">
        <v>366</v>
      </c>
      <c r="AD59" s="17">
        <v>18611</v>
      </c>
      <c r="AF59" s="18">
        <f>iferror(lookup(if(AE59="",G59,AE59),{0,1,10,50,100,1000,10000},{0.0,0.1,0.024,0.024,0.01,0.004,0.003}),"")</f>
        <v>0</v>
      </c>
      <c r="AG59" s="18">
        <f>iferror(if(AE59="",G59,AE59)*AF59,"")</f>
        <v>0</v>
      </c>
      <c r="AH59" s="20" t="s">
        <v>428</v>
      </c>
      <c r="AI59" s="17">
        <v>5000</v>
      </c>
      <c r="AK59" s="18">
        <f>iferror(lookup(if(AJ59="",G59,AJ59),{0,1,25,50,100,250,500,1000,2500,5000},{0.0,0.004,0.04,0.026,0.018,0.014,0.011,0.008,0.006,0.004}),"")</f>
        <v>0</v>
      </c>
      <c r="AL59" s="18">
        <f>iferror(if(AJ59="",G59,AJ59)*AK59,"")</f>
        <v>0</v>
      </c>
      <c r="AM59" s="20" t="s">
        <v>483</v>
      </c>
      <c r="AN59" s="17">
        <v>3200</v>
      </c>
      <c r="AP59" s="18">
        <f>iferror(USD_GBP*lookup(if(AO59="",G59,AO59),{0,1,5000,10000,15000,20000},{0.0,0.003,0.003,0.003,0.003,0.002}),"")</f>
        <v>0</v>
      </c>
      <c r="AQ59" s="18">
        <f>iferror(if(AO59="",G59,AO59)*AP59,"")</f>
        <v>0</v>
      </c>
      <c r="AR59" s="20" t="s">
        <v>515</v>
      </c>
      <c r="AS59" s="17">
        <v>20000</v>
      </c>
      <c r="AU59" s="18">
        <f>iferror(USD_GBP*lookup(if(AT59="",G59,AT59),{0,1,100,1000,5000,15000,50000},{0.0,0.0278,0.0278,0.00985,0.00391,0.00321,0.00273}),"")</f>
        <v>0</v>
      </c>
      <c r="AV59" s="18">
        <f>iferror(if(AT59="",G59,AT59)*AU59,"")</f>
        <v>0</v>
      </c>
      <c r="AW59" s="20" t="s">
        <v>545</v>
      </c>
    </row>
    <row r="60" spans="1:49">
      <c r="A60" s="17" t="s">
        <v>177</v>
      </c>
      <c r="B60" s="17" t="s">
        <v>178</v>
      </c>
      <c r="D60" s="17" t="s">
        <v>101</v>
      </c>
      <c r="F60" s="17" t="s">
        <v>179</v>
      </c>
      <c r="G60" s="17">
        <f>BoardQty*1</f>
        <v>0</v>
      </c>
      <c r="H6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0" s="18">
        <f>iferror(G60*H60,"")</f>
        <v>0</v>
      </c>
      <c r="O60" s="17">
        <v>1503</v>
      </c>
      <c r="Q60" s="18">
        <f>iferror(lookup(if(P60="",G60,P60),{0,1,10,100,1000,2500,5000},{0.0,0.1,0.024,0.0097,0.00436,0.00378,0.00312}),"")</f>
        <v>0</v>
      </c>
      <c r="R60" s="18">
        <f>iferror(if(P60="",G60,P60)*Q60,"")</f>
        <v>0</v>
      </c>
      <c r="S60" s="20" t="s">
        <v>310</v>
      </c>
      <c r="AD60" s="17">
        <v>13568</v>
      </c>
      <c r="AF60" s="18">
        <f>iferror(lookup(if(AE60="",G60,AE60),{0,1,10,50,100,1000,10000},{0.0,0.1,0.018,0.018,0.006,0.005,0.003}),"")</f>
        <v>0</v>
      </c>
      <c r="AG60" s="18">
        <f>iferror(if(AE60="",G60,AE60)*AF60,"")</f>
        <v>0</v>
      </c>
      <c r="AH60" s="20" t="s">
        <v>429</v>
      </c>
    </row>
    <row r="61" spans="1:49">
      <c r="A61" s="17" t="s">
        <v>180</v>
      </c>
      <c r="B61" s="17" t="s">
        <v>181</v>
      </c>
      <c r="D61" s="17" t="s">
        <v>101</v>
      </c>
      <c r="F61" s="17" t="s">
        <v>182</v>
      </c>
      <c r="G61" s="17">
        <f>BoardQty*1</f>
        <v>0</v>
      </c>
      <c r="H6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1" s="18">
        <f>iferror(G61*H61,"")</f>
        <v>0</v>
      </c>
      <c r="O61" s="19" t="s">
        <v>263</v>
      </c>
      <c r="Q61" s="18">
        <f>iferror(lookup(if(P61="",G61,P61),{0,1,10,100,1000,2500,5000},{0.0,0.1,0.024,0.0097,0.00436,0.00378,0.00312}),"")</f>
        <v>0</v>
      </c>
      <c r="R61" s="18">
        <f>iferror(if(P61="",G61,P61)*Q61,"")</f>
        <v>0</v>
      </c>
      <c r="S61" s="20" t="s">
        <v>311</v>
      </c>
      <c r="T61" s="17">
        <v>950000</v>
      </c>
      <c r="V61" s="18">
        <f>iferror(USD_GBP*lookup(if(U61="",G61,U61),{0,1,10,100,150,500,1000,2500,5000,25000},{0.0,0.0251,0.0251,0.009,0.009,0.0075,0.006,0.0053,0.0052,0.0036}),"")</f>
        <v>0</v>
      </c>
      <c r="W61" s="18">
        <f>iferror(if(U61="",G61,U61)*V61,"")</f>
        <v>0</v>
      </c>
      <c r="X61" s="20" t="s">
        <v>367</v>
      </c>
      <c r="AD61" s="19" t="s">
        <v>263</v>
      </c>
      <c r="AF61" s="18">
        <f>iferror(lookup(if(AE61="",G61,AE61),{0,1,10,50,100,1000,10000},{0.0,0.1,0.024,0.024,0.01,0.004,0.002}),"")</f>
        <v>0</v>
      </c>
      <c r="AG61" s="18">
        <f>iferror(if(AE61="",G61,AE61)*AF61,"")</f>
        <v>0</v>
      </c>
      <c r="AH61" s="20" t="s">
        <v>430</v>
      </c>
      <c r="AI61" s="17">
        <v>20000</v>
      </c>
      <c r="AK61" s="18">
        <f>iferror(lookup(if(AJ61="",G61,AJ61),{0,1,10,25,50,100,5000},{0.0,0.002,0.022,0.017,0.013,0.008,0.002}),"")</f>
        <v>0</v>
      </c>
      <c r="AL61" s="18">
        <f>iferror(if(AJ61="",G61,AJ61)*AK61,"")</f>
        <v>0</v>
      </c>
      <c r="AM61" s="20" t="s">
        <v>484</v>
      </c>
      <c r="AN61" s="17">
        <v>160000</v>
      </c>
      <c r="AP61" s="18">
        <f>iferror(USD_GBP*lookup(if(AO61="",G61,AO61),{0,1,5000,10000},{0.0,0.003,0.003,0.003}),"")</f>
        <v>0</v>
      </c>
      <c r="AQ61" s="18">
        <f>iferror(if(AO61="",G61,AO61)*AP61,"")</f>
        <v>0</v>
      </c>
      <c r="AR61" s="20" t="s">
        <v>516</v>
      </c>
      <c r="AS61" s="17">
        <v>40000</v>
      </c>
      <c r="AU61" s="18">
        <f>iferror(USD_GBP*lookup(if(AT61="",G61,AT61),{0,1,100,1000,5000,15000},{0.0,0.0144,0.0144,0.00309,0.00132,0.00117}),"")</f>
        <v>0</v>
      </c>
      <c r="AV61" s="18">
        <f>iferror(if(AT61="",G61,AT61)*AU61,"")</f>
        <v>0</v>
      </c>
      <c r="AW61" s="20" t="s">
        <v>546</v>
      </c>
    </row>
    <row r="62" spans="1:49">
      <c r="A62" s="17" t="s">
        <v>183</v>
      </c>
      <c r="B62" s="17" t="s">
        <v>184</v>
      </c>
      <c r="D62" s="17" t="s">
        <v>101</v>
      </c>
      <c r="F62" s="17" t="s">
        <v>185</v>
      </c>
      <c r="G62" s="17">
        <f>BoardQty*3</f>
        <v>0</v>
      </c>
      <c r="H6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2" s="18">
        <f>iferror(G62*H62,"")</f>
        <v>0</v>
      </c>
      <c r="O62" s="17">
        <v>734410</v>
      </c>
      <c r="Q62" s="18">
        <f>iferror(lookup(if(P62="",G62,P62),{0,1,10,100,1000,2500,5000},{0.0,0.1,0.024,0.0097,0.00436,0.00378,0.00312}),"")</f>
        <v>0</v>
      </c>
      <c r="R62" s="18">
        <f>iferror(if(P62="",G62,P62)*Q62,"")</f>
        <v>0</v>
      </c>
      <c r="S62" s="20" t="s">
        <v>312</v>
      </c>
      <c r="T62" s="17">
        <v>9390</v>
      </c>
      <c r="V62" s="18">
        <f>iferror(USD_GBP*lookup(if(U62="",G62,U62),{0,1,10,100,150,500,1000,2500,5000,25000},{0.0,0.0218,0.0218,0.0078,0.0078,0.0069,0.006,0.0051,0.0041,0.004}),"")</f>
        <v>0</v>
      </c>
      <c r="W62" s="18">
        <f>iferror(if(U62="",G62,U62)*V62,"")</f>
        <v>0</v>
      </c>
      <c r="X62" s="20" t="s">
        <v>368</v>
      </c>
      <c r="AD62" s="17">
        <v>52750</v>
      </c>
      <c r="AF62" s="18">
        <f>iferror(lookup(if(AE62="",G62,AE62),{0,1,10,50,100,1000,10000},{0.0,0.1,0.024,0.024,0.01,0.004,0.003}),"")</f>
        <v>0</v>
      </c>
      <c r="AG62" s="18">
        <f>iferror(if(AE62="",G62,AE62)*AF62,"")</f>
        <v>0</v>
      </c>
      <c r="AH62" s="20" t="s">
        <v>431</v>
      </c>
      <c r="AI62" s="19" t="s">
        <v>263</v>
      </c>
      <c r="AK62" s="18">
        <f>iferror(lookup(if(AJ62="",G62,AJ62),{0,1,10,25,50,100},{0.0,0.101,0.019,0.015,0.011,0.007}),"")</f>
        <v>0</v>
      </c>
      <c r="AL62" s="18">
        <f>iferror(if(AJ62="",G62,AJ62)*AK62,"")</f>
        <v>0</v>
      </c>
      <c r="AM62" s="20" t="s">
        <v>485</v>
      </c>
      <c r="AS62" s="19" t="s">
        <v>263</v>
      </c>
      <c r="AU62" s="18">
        <f>iferror(USD_GBP*lookup(if(AT62="",G62,AT62),{0,1,100,1000,5000,15000},{0.0,0.02667,0.02667,0.00961,0.00389,0.00328}),"")</f>
        <v>0</v>
      </c>
      <c r="AV62" s="18">
        <f>iferror(if(AT62="",G62,AT62)*AU62,"")</f>
        <v>0</v>
      </c>
      <c r="AW62" s="20" t="s">
        <v>547</v>
      </c>
    </row>
    <row r="63" spans="1:49">
      <c r="A63" s="17" t="s">
        <v>186</v>
      </c>
      <c r="B63" s="17" t="s">
        <v>187</v>
      </c>
      <c r="C63" s="17" t="s">
        <v>188</v>
      </c>
      <c r="D63" s="17" t="s">
        <v>189</v>
      </c>
      <c r="E63" s="17" t="s">
        <v>190</v>
      </c>
      <c r="F63" s="17" t="s">
        <v>187</v>
      </c>
      <c r="G63" s="17">
        <f>BoardQty*8</f>
        <v>0</v>
      </c>
      <c r="H6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3" s="18">
        <f>iferror(G63*H63,"")</f>
        <v>0</v>
      </c>
    </row>
    <row r="64" spans="1:49">
      <c r="A64" s="17" t="s">
        <v>191</v>
      </c>
      <c r="B64" s="17" t="s">
        <v>192</v>
      </c>
      <c r="D64" s="17" t="s">
        <v>193</v>
      </c>
      <c r="F64" s="17" t="s">
        <v>194</v>
      </c>
      <c r="G64" s="17">
        <f>BoardQty*2</f>
        <v>0</v>
      </c>
      <c r="H6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4" s="18">
        <f>iferror(G64*H64,"")</f>
        <v>0</v>
      </c>
      <c r="O64" s="17">
        <v>2763</v>
      </c>
      <c r="Q64" s="18">
        <f>iferror(lookup(if(P64="",G64,P64),{0,1,10,25,100,250,500},{0.0,8.39,7.58,7.2272,6.2755,5.99344,5.8205}),"")</f>
        <v>0</v>
      </c>
      <c r="R64" s="18">
        <f>iferror(if(P64="",G64,P64)*Q64,"")</f>
        <v>0</v>
      </c>
      <c r="S64" s="20" t="s">
        <v>313</v>
      </c>
      <c r="AD64" s="17">
        <v>1589</v>
      </c>
      <c r="AF64" s="18">
        <f>iferror(lookup(if(AE64="",G64,AE64),{0,1,10,50,100,1000,10000},{0.0,8.39,7.58,7.23,6.27,5.11,5.11}),"")</f>
        <v>0</v>
      </c>
      <c r="AG64" s="18">
        <f>iferror(if(AE64="",G64,AE64)*AF64,"")</f>
        <v>0</v>
      </c>
      <c r="AH64" s="20" t="s">
        <v>432</v>
      </c>
    </row>
    <row r="65" spans="1:49">
      <c r="A65" s="17" t="s">
        <v>195</v>
      </c>
      <c r="B65" s="17" t="s">
        <v>196</v>
      </c>
      <c r="D65" s="17" t="s">
        <v>193</v>
      </c>
      <c r="F65" s="17" t="s">
        <v>197</v>
      </c>
      <c r="G65" s="17">
        <f>BoardQty*1</f>
        <v>0</v>
      </c>
      <c r="H6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5" s="18">
        <f>iferror(G65*H65,"")</f>
        <v>0</v>
      </c>
      <c r="O65" s="17">
        <v>229</v>
      </c>
      <c r="Q65" s="18">
        <f>iferror(lookup(if(P65="",G65,P65),{0,1,10,25,100,250,500,1000,2500},{0.0,0.67,0.576,0.5376,0.4301,0.39936,0.3379,0.26111,0.25358}),"")</f>
        <v>0</v>
      </c>
      <c r="R65" s="18">
        <f>iferror(if(P65="",G65,P65)*Q65,"")</f>
        <v>0</v>
      </c>
      <c r="S65" s="20" t="s">
        <v>314</v>
      </c>
      <c r="T65" s="17">
        <v>9552</v>
      </c>
      <c r="V65" s="18">
        <f>iferror(USD_GBP*lookup(if(U65="",G65,U65),{0,1,5,10,100,150,500},{0.0,0.625,0.625,0.514,0.313,0.313,0.235}),"")</f>
        <v>0</v>
      </c>
      <c r="W65" s="18">
        <f>iferror(if(U65="",G65,U65)*V65,"")</f>
        <v>0</v>
      </c>
      <c r="X65" s="20" t="s">
        <v>369</v>
      </c>
      <c r="AD65" s="17">
        <v>33</v>
      </c>
      <c r="AF65" s="18">
        <f>iferror(lookup(if(AE65="",G65,AE65),{0,1,10,50,100,1000,10000},{0.0,0.68,0.577,0.577,0.4,0.262,0.238}),"")</f>
        <v>0</v>
      </c>
      <c r="AG65" s="18">
        <f>iferror(if(AE65="",G65,AE65)*AF65,"")</f>
        <v>0</v>
      </c>
      <c r="AH65" s="20" t="s">
        <v>433</v>
      </c>
      <c r="AI65" s="17">
        <v>9052</v>
      </c>
      <c r="AK65" s="18">
        <f>iferror(lookup(if(AJ65="",G65,AJ65),{0,1,5,10,100,2500,7500,20000,37500},{0.0,0.729,0.729,0.616,0.42,0.272,0.202,0.195,0.189}),"")</f>
        <v>0</v>
      </c>
      <c r="AL65" s="18">
        <f>iferror(if(AJ65="",G65,AJ65)*AK65,"")</f>
        <v>0</v>
      </c>
      <c r="AM65" s="20" t="s">
        <v>486</v>
      </c>
      <c r="AN65" s="17">
        <v>44</v>
      </c>
      <c r="AP65" s="18">
        <f>iferror(USD_GBP*lookup(if(AO65="",G65,AO65),{0,1,2,10,100,1000,2500},{0.0,0.435,0.435,0.35,0.21,0.15,0.145}),"")</f>
        <v>0</v>
      </c>
      <c r="AQ65" s="18">
        <f>iferror(if(AO65="",G65,AO65)*AP65,"")</f>
        <v>0</v>
      </c>
      <c r="AR65" s="20" t="s">
        <v>517</v>
      </c>
    </row>
    <row r="66" spans="1:49">
      <c r="A66" s="17" t="s">
        <v>198</v>
      </c>
      <c r="B66" s="17" t="s">
        <v>199</v>
      </c>
      <c r="D66" s="17" t="s">
        <v>200</v>
      </c>
      <c r="F66" s="17" t="s">
        <v>201</v>
      </c>
      <c r="G66" s="17">
        <f>BoardQty*1</f>
        <v>0</v>
      </c>
      <c r="H6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6" s="18">
        <f>iferror(G66*H66,"")</f>
        <v>0</v>
      </c>
      <c r="O66" s="17">
        <v>1060</v>
      </c>
      <c r="Q66" s="18">
        <f>iferror(lookup(if(P66="",G66,P66),{0,1,10,25,100,250,500,1000,3000},{0.0,1.55,1.385,1.3148,1.08,1.0096,0.8922,0.77525,0.77525}),"")</f>
        <v>0</v>
      </c>
      <c r="R66" s="18">
        <f>iferror(if(P66="",G66,P66)*Q66,"")</f>
        <v>0</v>
      </c>
      <c r="S66" s="20" t="s">
        <v>315</v>
      </c>
      <c r="AD66" s="17">
        <v>2082</v>
      </c>
      <c r="AF66" s="18">
        <f>iferror(lookup(if(AE66="",G66,AE66),{0,1,10,50,100,1000,10000},{0.0,1.54,1.39,1.32,1.08,0.705,0.681}),"")</f>
        <v>0</v>
      </c>
      <c r="AG66" s="18">
        <f>iferror(if(AE66="",G66,AE66)*AF66,"")</f>
        <v>0</v>
      </c>
      <c r="AH66" s="20" t="s">
        <v>434</v>
      </c>
    </row>
    <row r="67" spans="1:49">
      <c r="A67" s="17" t="s">
        <v>202</v>
      </c>
      <c r="B67" s="17" t="s">
        <v>203</v>
      </c>
      <c r="D67" s="17" t="s">
        <v>204</v>
      </c>
      <c r="F67" s="17" t="s">
        <v>203</v>
      </c>
      <c r="G67" s="17">
        <f>BoardQty*2</f>
        <v>0</v>
      </c>
      <c r="H6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7" s="18">
        <f>iferror(G67*H67,"")</f>
        <v>0</v>
      </c>
      <c r="O67" s="19" t="s">
        <v>263</v>
      </c>
      <c r="Q67" s="18">
        <f>iferror(lookup(if(P67="",G67,P67),{0,1,10,25,100,250,500,1000,2000},{0.0,1.87,1.677,1.582,1.3479,1.26564,1.10744,1.04475,1.04475}),"")</f>
        <v>0</v>
      </c>
      <c r="R67" s="18">
        <f>iferror(if(P67="",G67,P67)*Q67,"")</f>
        <v>0</v>
      </c>
      <c r="S67" s="20" t="s">
        <v>316</v>
      </c>
      <c r="T67" s="19" t="s">
        <v>263</v>
      </c>
      <c r="V67" s="18">
        <f>iferror(USD_GBP*lookup(if(U67="",G67,U67),{0,1,10,50,100,250},{0.0,1.76,1.32,1.22,1.12,1.06}),"")</f>
        <v>0</v>
      </c>
      <c r="W67" s="18">
        <f>iferror(if(U67="",G67,U67)*V67,"")</f>
        <v>0</v>
      </c>
      <c r="X67" s="20" t="s">
        <v>370</v>
      </c>
      <c r="AD67" s="19" t="s">
        <v>263</v>
      </c>
      <c r="AF67" s="18">
        <f>iferror(lookup(if(AE67="",G67,AE67),{0,1,10,50,100,1000,10000},{0.0,1.86,1.68,1.59,1.35,0.919,0.918}),"")</f>
        <v>0</v>
      </c>
      <c r="AG67" s="18">
        <f>iferror(if(AE67="",G67,AE67)*AF67,"")</f>
        <v>0</v>
      </c>
      <c r="AH67" s="20" t="s">
        <v>435</v>
      </c>
      <c r="AI67" s="19" t="s">
        <v>263</v>
      </c>
      <c r="AK67" s="18">
        <f>iferror(lookup(if(AJ67="",G67,AJ67),{0,1,10,25,50,100,250},{0.0,3.04,2.83,2.67,2.5,2.33,2.15}),"")</f>
        <v>0</v>
      </c>
      <c r="AL67" s="18">
        <f>iferror(if(AJ67="",G67,AJ67)*AK67,"")</f>
        <v>0</v>
      </c>
      <c r="AM67" s="20" t="s">
        <v>487</v>
      </c>
    </row>
    <row r="68" spans="1:49">
      <c r="A68" s="17" t="s">
        <v>205</v>
      </c>
      <c r="B68" s="17" t="s">
        <v>206</v>
      </c>
      <c r="D68" s="17" t="s">
        <v>207</v>
      </c>
      <c r="F68" s="17" t="s">
        <v>208</v>
      </c>
      <c r="G68" s="17">
        <f>BoardQty*2</f>
        <v>0</v>
      </c>
      <c r="H6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8" s="18">
        <f>iferror(G68*H68,"")</f>
        <v>0</v>
      </c>
      <c r="O68" s="17">
        <v>312</v>
      </c>
      <c r="Q68" s="18">
        <f>iferror(lookup(if(P68="",G68,P68),{0,1,10,25,100},{0.0,4.3,3.865,3.654,3.36}),"")</f>
        <v>0</v>
      </c>
      <c r="R68" s="18">
        <f>iferror(if(P68="",G68,P68)*Q68,"")</f>
        <v>0</v>
      </c>
      <c r="S68" s="20" t="s">
        <v>317</v>
      </c>
      <c r="T68" s="17">
        <v>71</v>
      </c>
      <c r="V68" s="18">
        <f>iferror(USD_GBP*lookup(if(U68="",G68,U68),{0,1,10,25,50,100,250,500},{0.0,2.44,2.8,2.23,2.52,2.05,1.9,2.36}),"")</f>
        <v>0</v>
      </c>
      <c r="W68" s="18">
        <f>iferror(if(U68="",G68,U68)*V68,"")</f>
        <v>0</v>
      </c>
      <c r="X68" s="20" t="s">
        <v>371</v>
      </c>
      <c r="AD68" s="17">
        <v>376</v>
      </c>
      <c r="AF68" s="18">
        <f>iferror(lookup(if(AE68="",G68,AE68),{0,1,10,50,100,1000,10000},{0.0,6.69,6.01,5.68,4.91,3.56,3.56}),"")</f>
        <v>0</v>
      </c>
      <c r="AG68" s="18">
        <f>iferror(if(AE68="",G68,AE68)*AF68,"")</f>
        <v>0</v>
      </c>
      <c r="AH68" s="20" t="s">
        <v>436</v>
      </c>
      <c r="AI68" s="17">
        <v>71</v>
      </c>
      <c r="AK68" s="18">
        <f>iferror(lookup(if(AJ68="",G68,AJ68),{0,1,10,25,50,100},{0.0,4.3,3.87,3.65,3.51,3.36}),"")</f>
        <v>0</v>
      </c>
      <c r="AL68" s="18">
        <f>iferror(if(AJ68="",G68,AJ68)*AK68,"")</f>
        <v>0</v>
      </c>
      <c r="AM68" s="20" t="s">
        <v>488</v>
      </c>
    </row>
    <row r="69" spans="1:49">
      <c r="A69" s="17" t="s">
        <v>209</v>
      </c>
      <c r="B69" s="17" t="s">
        <v>210</v>
      </c>
      <c r="D69" s="17" t="s">
        <v>207</v>
      </c>
      <c r="F69" s="17" t="s">
        <v>210</v>
      </c>
      <c r="G69" s="17">
        <f>BoardQty*3</f>
        <v>0</v>
      </c>
      <c r="H6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69" s="18">
        <f>iferror(G69*H69,"")</f>
        <v>0</v>
      </c>
      <c r="O69" s="17">
        <v>1529</v>
      </c>
      <c r="Q69" s="18">
        <f>iferror(lookup(if(P69="",G69,P69),{0,1,10,25,100,250,500,2000},{0.0,3.69,3.312,3.1316,2.4913,2.36604,2.29776,2.29775}),"")</f>
        <v>0</v>
      </c>
      <c r="R69" s="18">
        <f>iferror(if(P69="",G69,P69)*Q69,"")</f>
        <v>0</v>
      </c>
      <c r="S69" s="20" t="s">
        <v>318</v>
      </c>
      <c r="AD69" s="17">
        <v>693</v>
      </c>
      <c r="AF69" s="18">
        <f>iferror(lookup(if(AE69="",G69,AE69),{0,1,10,50,100,1000,10000},{0.0,3.69,3.32,3.14,2.72,2.02,2.02}),"")</f>
        <v>0</v>
      </c>
      <c r="AG69" s="18">
        <f>iferror(if(AE69="",G69,AE69)*AF69,"")</f>
        <v>0</v>
      </c>
      <c r="AH69" s="20" t="s">
        <v>437</v>
      </c>
    </row>
    <row r="70" spans="1:49">
      <c r="A70" s="17" t="s">
        <v>211</v>
      </c>
      <c r="B70" s="17" t="s">
        <v>212</v>
      </c>
      <c r="D70" s="17" t="s">
        <v>213</v>
      </c>
      <c r="F70" s="17" t="s">
        <v>214</v>
      </c>
      <c r="G70" s="17">
        <f>BoardQty*1</f>
        <v>0</v>
      </c>
      <c r="H7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0" s="18">
        <f>iferror(G70*H70,"")</f>
        <v>0</v>
      </c>
      <c r="O70" s="19" t="s">
        <v>263</v>
      </c>
      <c r="Q70" s="18">
        <f>iferror(lookup(if(P70="",G70,P70),{0,1,10,25,100,250,500,1000},{0.0,6.85,6.156,5.8192,5.0435,4.78484,4.29342,4.026}),"")</f>
        <v>0</v>
      </c>
      <c r="R70" s="18">
        <f>iferror(if(P70="",G70,P70)*Q70,"")</f>
        <v>0</v>
      </c>
      <c r="S70" s="20" t="s">
        <v>319</v>
      </c>
      <c r="T70" s="17">
        <v>18</v>
      </c>
      <c r="V70" s="18">
        <f>iferror(USD_GBP*lookup(if(U70="",G70,U70),{0,1,10,25,50,100,250,500},{0.0,4.93,4.19,4.13,4.06,3.44,3.08,2.97}),"")</f>
        <v>0</v>
      </c>
      <c r="W70" s="18">
        <f>iferror(if(U70="",G70,U70)*V70,"")</f>
        <v>0</v>
      </c>
      <c r="X70" s="20" t="s">
        <v>372</v>
      </c>
      <c r="AD70" s="19" t="s">
        <v>263</v>
      </c>
      <c r="AF70" s="18">
        <f>iferror(lookup(if(AE70="",G70,AE70),{0,1,10,50,100,1000,10000},{0.0,6.85,5.82,5.81,5.04,4.78,4.78}),"")</f>
        <v>0</v>
      </c>
      <c r="AG70" s="18">
        <f>iferror(if(AE70="",G70,AE70)*AF70,"")</f>
        <v>0</v>
      </c>
      <c r="AH70" s="20" t="s">
        <v>438</v>
      </c>
      <c r="AN70" s="17">
        <v>62</v>
      </c>
      <c r="AP70" s="18">
        <f>iferror(USD_GBP*lookup(if(AO70="",G70,AO70),{0,1,10,50,100,250},{0.0,4.19,4.19,4.06,3.44,3.08}),"")</f>
        <v>0</v>
      </c>
      <c r="AQ70" s="18">
        <f>iferror(if(AO70="",G70,AO70)*AP70,"")</f>
        <v>0</v>
      </c>
      <c r="AR70" s="20" t="s">
        <v>518</v>
      </c>
      <c r="AS70" s="19" t="s">
        <v>263</v>
      </c>
      <c r="AW70" s="20" t="s">
        <v>214</v>
      </c>
    </row>
    <row r="71" spans="1:49">
      <c r="A71" s="17" t="s">
        <v>215</v>
      </c>
      <c r="B71" s="17" t="s">
        <v>216</v>
      </c>
      <c r="D71" s="17" t="s">
        <v>207</v>
      </c>
      <c r="F71" s="17" t="s">
        <v>216</v>
      </c>
      <c r="G71" s="17">
        <f>BoardQty*2</f>
        <v>0</v>
      </c>
      <c r="H7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1" s="18">
        <f>iferror(G71*H71,"")</f>
        <v>0</v>
      </c>
      <c r="O71" s="17">
        <v>2088</v>
      </c>
      <c r="Q71" s="18">
        <f>iferror(lookup(if(P71="",G71,P71),{0,1,10,25,100,250,500,1000,2000},{0.0,3.69,3.312,3.1316,2.714,2.5748,2.31036,2.29775,2.29775}),"")</f>
        <v>0</v>
      </c>
      <c r="R71" s="18">
        <f>iferror(if(P71="",G71,P71)*Q71,"")</f>
        <v>0</v>
      </c>
      <c r="S71" s="20" t="s">
        <v>320</v>
      </c>
      <c r="AD71" s="17">
        <v>1043</v>
      </c>
      <c r="AF71" s="18">
        <f>iferror(lookup(if(AE71="",G71,AE71),{0,1,10,50,100,1000,10000},{0.0,3.69,3.32,3.14,2.72,2.02,2.02}),"")</f>
        <v>0</v>
      </c>
      <c r="AG71" s="18">
        <f>iferror(if(AE71="",G71,AE71)*AF71,"")</f>
        <v>0</v>
      </c>
      <c r="AH71" s="20" t="s">
        <v>439</v>
      </c>
    </row>
    <row r="72" spans="1:49">
      <c r="A72" s="17" t="s">
        <v>217</v>
      </c>
      <c r="B72" s="17" t="s">
        <v>218</v>
      </c>
      <c r="D72" s="17" t="s">
        <v>207</v>
      </c>
      <c r="F72" s="17" t="s">
        <v>219</v>
      </c>
      <c r="G72" s="17">
        <f>BoardQty*1</f>
        <v>0</v>
      </c>
      <c r="H7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2" s="18">
        <f>iferror(G72*H72,"")</f>
        <v>0</v>
      </c>
      <c r="O72" s="19" t="s">
        <v>263</v>
      </c>
      <c r="Q72" s="18">
        <f>iferror(lookup(if(P72="",G72,P72),{0,1,10,25,100,250,500,1500},{0.0,6.96,6.29,5.9976,5.2076,4.97352,4.554,4.554}),"")</f>
        <v>0</v>
      </c>
      <c r="R72" s="18">
        <f>iferror(if(P72="",G72,P72)*Q72,"")</f>
        <v>0</v>
      </c>
      <c r="S72" s="20" t="s">
        <v>321</v>
      </c>
      <c r="T72" s="19" t="s">
        <v>263</v>
      </c>
      <c r="V72" s="18">
        <f>iferror(USD_GBP*lookup(if(U72="",G72,U72),{0,1,10,25,50,100,250,500},{0.0,5.15,4.19,3.95,3.71,3.52,3.31,2.96}),"")</f>
        <v>0</v>
      </c>
      <c r="W72" s="18">
        <f>iferror(if(U72="",G72,U72)*V72,"")</f>
        <v>0</v>
      </c>
      <c r="X72" s="20" t="s">
        <v>373</v>
      </c>
      <c r="AD72" s="19" t="s">
        <v>263</v>
      </c>
      <c r="AF72" s="18">
        <f>iferror(lookup(if(AE72="",G72,AE72),{0,1,10,50,100,1000,10000},{0.0,6.87,6.21,5.91,5.09,4.4,4.26}),"")</f>
        <v>0</v>
      </c>
      <c r="AG72" s="18">
        <f>iferror(if(AE72="",G72,AE72)*AF72,"")</f>
        <v>0</v>
      </c>
      <c r="AH72" s="20" t="s">
        <v>440</v>
      </c>
    </row>
    <row r="73" spans="1:49">
      <c r="A73" s="17" t="s">
        <v>220</v>
      </c>
      <c r="B73" s="17" t="s">
        <v>221</v>
      </c>
      <c r="D73" s="17" t="s">
        <v>222</v>
      </c>
      <c r="F73" s="17" t="s">
        <v>223</v>
      </c>
      <c r="G73" s="17">
        <f>BoardQty*1</f>
        <v>0</v>
      </c>
      <c r="H7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3" s="18">
        <f>iferror(G73*H73,"")</f>
        <v>0</v>
      </c>
      <c r="O73" s="17">
        <v>6989</v>
      </c>
      <c r="Q73" s="18">
        <f>iferror(lookup(if(P73="",G73,P73),{0,1,10,25,100,250,500,1000,3000},{0.0,2.79,2.503,2.3612,2.0117,1.88892,1.6528,1.55925,1.55925}),"")</f>
        <v>0</v>
      </c>
      <c r="R73" s="18">
        <f>iferror(if(P73="",G73,P73)*Q73,"")</f>
        <v>0</v>
      </c>
      <c r="S73" s="20" t="s">
        <v>322</v>
      </c>
      <c r="AD73" s="17">
        <v>1970</v>
      </c>
      <c r="AF73" s="18">
        <f>iferror(lookup(if(AE73="",G73,AE73),{0,1,10,50,100,1000,10000},{0.0,2.78,2.51,2.37,2.02,1.38,1.37}),"")</f>
        <v>0</v>
      </c>
      <c r="AG73" s="18">
        <f>iferror(if(AE73="",G73,AE73)*AF73,"")</f>
        <v>0</v>
      </c>
      <c r="AH73" s="20" t="s">
        <v>441</v>
      </c>
      <c r="AS73" s="19" t="s">
        <v>263</v>
      </c>
      <c r="AU73" s="18">
        <f>iferror(USD_GBP*lookup(if(AT73="",G73,AT73),{0,1,5,25,100,500},{0.0,2.54,2.234,1.9392,1.6962,1.5775}),"")</f>
        <v>0</v>
      </c>
      <c r="AV73" s="18">
        <f>iferror(if(AT73="",G73,AT73)*AU73,"")</f>
        <v>0</v>
      </c>
      <c r="AW73" s="20" t="s">
        <v>223</v>
      </c>
    </row>
    <row r="74" spans="1:49">
      <c r="A74" s="17" t="s">
        <v>224</v>
      </c>
      <c r="B74" s="17" t="s">
        <v>225</v>
      </c>
      <c r="D74" s="17" t="s">
        <v>193</v>
      </c>
      <c r="F74" s="17" t="s">
        <v>226</v>
      </c>
      <c r="G74" s="17">
        <f>BoardQty*1</f>
        <v>0</v>
      </c>
      <c r="H7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4" s="18">
        <f>iferror(G74*H74,"")</f>
        <v>0</v>
      </c>
      <c r="O74" s="17">
        <v>601</v>
      </c>
      <c r="Q74" s="18">
        <f>iferror(lookup(if(P74="",G74,P74),{0,1,10,25,100,250,500},{0.0,7.51,6.785,6.4692,5.617,5.36456,5.20976}),"")</f>
        <v>0</v>
      </c>
      <c r="R74" s="18">
        <f>iferror(if(P74="",G74,P74)*Q74,"")</f>
        <v>0</v>
      </c>
      <c r="S74" s="20" t="s">
        <v>323</v>
      </c>
      <c r="T74" s="17">
        <v>57</v>
      </c>
      <c r="V74" s="18">
        <f>iferror(USD_GBP*lookup(if(U74="",G74,U74),{0,1,10,25,50,100},{0.0,6.58,5.4,5.15,4.94,4.73}),"")</f>
        <v>0</v>
      </c>
      <c r="W74" s="18">
        <f>iferror(if(U74="",G74,U74)*V74,"")</f>
        <v>0</v>
      </c>
      <c r="X74" s="20" t="s">
        <v>374</v>
      </c>
      <c r="AD74" s="17">
        <v>314</v>
      </c>
      <c r="AF74" s="18">
        <f>iferror(lookup(if(AE74="",G74,AE74),{0,1,10,50,100,1000,10000},{0.0,7.51,6.79,6.47,5.61,4.58,4.58}),"")</f>
        <v>0</v>
      </c>
      <c r="AG74" s="18">
        <f>iferror(if(AE74="",G74,AE74)*AF74,"")</f>
        <v>0</v>
      </c>
      <c r="AH74" s="20" t="s">
        <v>442</v>
      </c>
      <c r="AI74" s="17">
        <v>57</v>
      </c>
      <c r="AK74" s="18">
        <f>iferror(lookup(if(AJ74="",G74,AJ74),{0,1,10,25,50,100,250},{0.0,8.65,8.26,8.0,7.59,7.31,7.01}),"")</f>
        <v>0</v>
      </c>
      <c r="AL74" s="18">
        <f>iferror(if(AJ74="",G74,AJ74)*AK74,"")</f>
        <v>0</v>
      </c>
      <c r="AM74" s="20" t="s">
        <v>489</v>
      </c>
    </row>
    <row r="75" spans="1:49">
      <c r="A75" s="17" t="s">
        <v>227</v>
      </c>
      <c r="B75" s="17" t="s">
        <v>228</v>
      </c>
      <c r="D75" s="17" t="s">
        <v>193</v>
      </c>
      <c r="F75" s="17" t="s">
        <v>229</v>
      </c>
      <c r="G75" s="17">
        <f>BoardQty*1</f>
        <v>0</v>
      </c>
      <c r="H7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5" s="18">
        <f>iferror(G75*H75,"")</f>
        <v>0</v>
      </c>
      <c r="O75" s="19" t="s">
        <v>263</v>
      </c>
      <c r="Q75" s="18">
        <f>iferror(lookup(if(P75="",G75,P75),{0,1,3300},{0.0,0.28,0.285}),"")</f>
        <v>0</v>
      </c>
      <c r="R75" s="18">
        <f>iferror(if(P75="",G75,P75)*Q75,"")</f>
        <v>0</v>
      </c>
      <c r="S75" s="20" t="s">
        <v>324</v>
      </c>
      <c r="T75" s="19" t="s">
        <v>263</v>
      </c>
      <c r="V75" s="18">
        <f>iferror(USD_GBP*lookup(if(U75="",G75,U75),{0,1,3300},{0.0,0.222,0.222}),"")</f>
        <v>0</v>
      </c>
      <c r="W75" s="18">
        <f>iferror(if(U75="",G75,U75)*V75,"")</f>
        <v>0</v>
      </c>
      <c r="X75" s="20" t="s">
        <v>375</v>
      </c>
      <c r="AD75" s="19" t="s">
        <v>263</v>
      </c>
      <c r="AF75" s="18">
        <f>iferror(lookup(if(AE75="",G75,AE75),{0,1,10,50,100,1000,10000},{0.0,0.28,0.28,0.28,0.28,0.28,0.28}),"")</f>
        <v>0</v>
      </c>
      <c r="AG75" s="18">
        <f>iferror(if(AE75="",G75,AE75)*AF75,"")</f>
        <v>0</v>
      </c>
      <c r="AH75" s="20" t="s">
        <v>443</v>
      </c>
      <c r="AI75" s="19" t="s">
        <v>263</v>
      </c>
      <c r="AK75" s="18">
        <f>iferror(lookup(if(AJ75="",G75,AJ75),{0,1,3300},{0.0,0.275,0.275}),"")</f>
        <v>0</v>
      </c>
      <c r="AL75" s="18">
        <f>iferror(if(AJ75="",G75,AJ75)*AK75,"")</f>
        <v>0</v>
      </c>
      <c r="AM75" s="20" t="s">
        <v>490</v>
      </c>
    </row>
    <row r="76" spans="1:49">
      <c r="A76" s="17" t="s">
        <v>230</v>
      </c>
      <c r="B76" s="17" t="s">
        <v>231</v>
      </c>
      <c r="D76" s="17" t="s">
        <v>193</v>
      </c>
      <c r="F76" s="17" t="s">
        <v>232</v>
      </c>
      <c r="G76" s="17">
        <f>BoardQty*1</f>
        <v>0</v>
      </c>
      <c r="H7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6" s="18">
        <f>iferror(G76*H76,"")</f>
        <v>0</v>
      </c>
      <c r="O76" s="19" t="s">
        <v>263</v>
      </c>
      <c r="Q76" s="18">
        <f>iferror(lookup(if(P76="",G76,P76),{0,1,10,25,100,250,500,1000},{0.0,1.06,0.947,0.8992,0.7387,0.69052,0.61024,0.53025}),"")</f>
        <v>0</v>
      </c>
      <c r="R76" s="18">
        <f>iferror(if(P76="",G76,P76)*Q76,"")</f>
        <v>0</v>
      </c>
      <c r="S76" s="20" t="s">
        <v>325</v>
      </c>
      <c r="T76" s="19" t="s">
        <v>263</v>
      </c>
      <c r="V76" s="18">
        <f>iferror(USD_GBP*lookup(if(U76="",G76,U76),{0,1,10,50,100,250,500,1000,2500,5000},{0.0,0.961,0.746,0.657,0.568,0.527,0.303,0.28,0.269,0.257}),"")</f>
        <v>0</v>
      </c>
      <c r="W76" s="18">
        <f>iferror(if(U76="",G76,U76)*V76,"")</f>
        <v>0</v>
      </c>
      <c r="X76" s="20" t="s">
        <v>376</v>
      </c>
      <c r="AD76" s="19" t="s">
        <v>263</v>
      </c>
      <c r="AF76" s="18">
        <f>iferror(lookup(if(AE76="",G76,AE76),{0,1,10,50,100,1000,10000},{0.0,1.05,0.948,0.9,0.738,0.481,0.466}),"")</f>
        <v>0</v>
      </c>
      <c r="AG76" s="18">
        <f>iferror(if(AE76="",G76,AE76)*AF76,"")</f>
        <v>0</v>
      </c>
      <c r="AH76" s="20" t="s">
        <v>444</v>
      </c>
      <c r="AI76" s="19" t="s">
        <v>263</v>
      </c>
      <c r="AK76" s="18">
        <f>iferror(lookup(if(AJ76="",G76,AJ76),{0,1,10,100},{0.0,1.34,1.24,1.13}),"")</f>
        <v>0</v>
      </c>
      <c r="AL76" s="18">
        <f>iferror(if(AJ76="",G76,AJ76)*AK76,"")</f>
        <v>0</v>
      </c>
      <c r="AM76" s="20" t="s">
        <v>491</v>
      </c>
      <c r="AN76" s="17">
        <v>58</v>
      </c>
      <c r="AP76" s="18">
        <f>iferror(USD_GBP*lookup(if(AO76="",G76,AO76),{0,1,20,48},{0.0,0.82,0.47,0.46}),"")</f>
        <v>0</v>
      </c>
      <c r="AQ76" s="18">
        <f>iferror(if(AO76="",G76,AO76)*AP76,"")</f>
        <v>0</v>
      </c>
      <c r="AR76" s="20" t="s">
        <v>519</v>
      </c>
      <c r="AS76" s="19" t="s">
        <v>263</v>
      </c>
      <c r="AU76" s="18">
        <f>iferror(USD_GBP*lookup(if(AT76="",G76,AT76),{0,1,5,25,95,450},{0.0,0.63,0.574,0.522,0.4289,0.351}),"")</f>
        <v>0</v>
      </c>
      <c r="AV76" s="18">
        <f>iferror(if(AT76="",G76,AT76)*AU76,"")</f>
        <v>0</v>
      </c>
      <c r="AW76" s="20" t="s">
        <v>232</v>
      </c>
    </row>
    <row r="77" spans="1:49">
      <c r="A77" s="17" t="s">
        <v>233</v>
      </c>
      <c r="B77" s="17" t="s">
        <v>234</v>
      </c>
      <c r="D77" s="17" t="s">
        <v>193</v>
      </c>
      <c r="F77" s="17" t="s">
        <v>235</v>
      </c>
      <c r="G77" s="17">
        <f>BoardQty*2</f>
        <v>0</v>
      </c>
      <c r="H7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7" s="18">
        <f>iferror(G77*H77,"")</f>
        <v>0</v>
      </c>
      <c r="O77" s="17">
        <v>8804</v>
      </c>
      <c r="Q77" s="18">
        <f>iferror(lookup(if(P77="",G77,P77),{0,1,10,25,100,250,500,1000,2500},{0.0,3.24,2.914,2.7548,2.3874,2.26496,2.03234,2.02125,2.02125}),"")</f>
        <v>0</v>
      </c>
      <c r="R77" s="18">
        <f>iferror(if(P77="",G77,P77)*Q77,"")</f>
        <v>0</v>
      </c>
      <c r="S77" s="20" t="s">
        <v>326</v>
      </c>
      <c r="AD77" s="19" t="s">
        <v>263</v>
      </c>
      <c r="AF77" s="18">
        <f>iferror(lookup(if(AE77="",G77,AE77),{0,1,10,50,100,1000,10000},{0.0,3.25,2.92,2.76,2.39,1.78,1.77}),"")</f>
        <v>0</v>
      </c>
      <c r="AG77" s="18">
        <f>iferror(if(AE77="",G77,AE77)*AF77,"")</f>
        <v>0</v>
      </c>
      <c r="AH77" s="20" t="s">
        <v>445</v>
      </c>
    </row>
    <row r="78" spans="1:49">
      <c r="A78" s="17" t="s">
        <v>236</v>
      </c>
      <c r="B78" s="17" t="s">
        <v>237</v>
      </c>
      <c r="D78" s="17" t="s">
        <v>238</v>
      </c>
      <c r="F78" s="17" t="s">
        <v>239</v>
      </c>
      <c r="G78" s="17">
        <f>BoardQty*1</f>
        <v>0</v>
      </c>
      <c r="H7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8" s="18">
        <f>iferror(G78*H78,"")</f>
        <v>0</v>
      </c>
      <c r="O78" s="19" t="s">
        <v>263</v>
      </c>
      <c r="Q78" s="18">
        <f>iferror(lookup(if(P78="",G78,P78),{0,1,25,100,3000},{0.0,0.7,0.59,0.57,0.5724}),"")</f>
        <v>0</v>
      </c>
      <c r="R78" s="18">
        <f>iferror(if(P78="",G78,P78)*Q78,"")</f>
        <v>0</v>
      </c>
      <c r="S78" s="20" t="s">
        <v>327</v>
      </c>
      <c r="T78" s="19" t="s">
        <v>263</v>
      </c>
      <c r="V78" s="18">
        <f>iferror(USD_GBP*lookup(if(U78="",G78,U78),{0,1,25,100,150},{0.0,0.855,0.654,0.575,0.575}),"")</f>
        <v>0</v>
      </c>
      <c r="W78" s="18">
        <f>iferror(if(U78="",G78,U78)*V78,"")</f>
        <v>0</v>
      </c>
      <c r="X78" s="20" t="s">
        <v>377</v>
      </c>
      <c r="AD78" s="19" t="s">
        <v>263</v>
      </c>
      <c r="AF78" s="18">
        <f>iferror(lookup(if(AE78="",G78,AE78),{0,1,10,50,100,1000,10000},{0.0,0.7,0.7,0.59,0.551,0.551,0.551}),"")</f>
        <v>0</v>
      </c>
      <c r="AG78" s="18">
        <f>iferror(if(AE78="",G78,AE78)*AF78,"")</f>
        <v>0</v>
      </c>
      <c r="AH78" s="20" t="s">
        <v>446</v>
      </c>
      <c r="AI78" s="19" t="s">
        <v>263</v>
      </c>
      <c r="AK78" s="18">
        <f>iferror(lookup(if(AJ78="",G78,AJ78),{0,1,3000},{0.0,0.594,0.594}),"")</f>
        <v>0</v>
      </c>
      <c r="AL78" s="18">
        <f>iferror(if(AJ78="",G78,AJ78)*AK78,"")</f>
        <v>0</v>
      </c>
      <c r="AM78" s="20" t="s">
        <v>492</v>
      </c>
      <c r="AN78" s="17">
        <v>404</v>
      </c>
      <c r="AP78" s="18">
        <f>iferror(USD_GBP*lookup(if(AO78="",G78,AO78),{0,1,25,100},{0.0,0.54,0.52,0.5}),"")</f>
        <v>0</v>
      </c>
      <c r="AQ78" s="18">
        <f>iferror(if(AO78="",G78,AO78)*AP78,"")</f>
        <v>0</v>
      </c>
      <c r="AR78" s="20" t="s">
        <v>520</v>
      </c>
      <c r="AS78" s="19" t="s">
        <v>263</v>
      </c>
      <c r="AU78" s="18">
        <f>iferror(USD_GBP*lookup(if(AT78="",G78,AT78),{0,1,3,10,25,100},{0.0,0.56,0.56,0.52,0.43,0.4}),"")</f>
        <v>0</v>
      </c>
      <c r="AV78" s="18">
        <f>iferror(if(AT78="",G78,AT78)*AU78,"")</f>
        <v>0</v>
      </c>
      <c r="AW78" s="20" t="s">
        <v>548</v>
      </c>
    </row>
    <row r="79" spans="1:49">
      <c r="A79" s="17" t="s">
        <v>240</v>
      </c>
      <c r="B79" s="17" t="s">
        <v>241</v>
      </c>
      <c r="D79" s="17" t="s">
        <v>241</v>
      </c>
      <c r="F79" s="17" t="s">
        <v>241</v>
      </c>
      <c r="G79" s="17">
        <f>BoardQty*3</f>
        <v>0</v>
      </c>
      <c r="H7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9" s="18">
        <f>iferror(G79*H79,"")</f>
        <v>0</v>
      </c>
      <c r="O79" s="19" t="s">
        <v>263</v>
      </c>
      <c r="Q79" s="18">
        <f>iferror(lookup(if(P79="",G79,P79),{0,1,10,25,50,100,250,1000},{0.0,3.08,2.89,2.5688,2.4406,2.3121,2.24788,2.24788}),"")</f>
        <v>0</v>
      </c>
      <c r="R79" s="18">
        <f>iferror(if(P79="",G79,P79)*Q79,"")</f>
        <v>0</v>
      </c>
      <c r="S79" s="20" t="s">
        <v>328</v>
      </c>
      <c r="AD79" s="19" t="s">
        <v>263</v>
      </c>
      <c r="AF79" s="18">
        <f>iferror(lookup(if(AE79="",G79,AE79),{0,1,10,50,100,1000,10000},{0.0,3.08,2.45,2.45,2.2,2.06,1.99}),"")</f>
        <v>0</v>
      </c>
      <c r="AG79" s="18">
        <f>iferror(if(AE79="",G79,AE79)*AF79,"")</f>
        <v>0</v>
      </c>
      <c r="AH79" s="20" t="s">
        <v>447</v>
      </c>
      <c r="AI79" s="19" t="s">
        <v>263</v>
      </c>
      <c r="AK79" s="18">
        <f>iferror(lookup(if(AJ79="",G79,AJ79),{0,1,5,10,25,50},{0.0,2241.46,2164.39,2125.86,2087.32,2023.1}),"")</f>
        <v>0</v>
      </c>
      <c r="AL79" s="18">
        <f>iferror(if(AJ79="",G79,AJ79)*AK79,"")</f>
        <v>0</v>
      </c>
      <c r="AM79" s="20" t="s">
        <v>493</v>
      </c>
    </row>
    <row r="81" spans="1:48">
      <c r="B81" s="21" t="s">
        <v>244</v>
      </c>
      <c r="H81" s="1" t="s">
        <v>242</v>
      </c>
      <c r="I81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81" s="6">
        <f>IFERROR(IF(OR(K7:K79),COUNTIFS(K7:K79,"&gt;0",M7:M79,"&lt;&gt;")&amp;" of "&amp;(ROWS(M7:M79)-COUNTBLANK(M7:M79))&amp;" parts purchased",""),"")</f>
        <v>0</v>
      </c>
      <c r="M81" s="5">
        <f>SUMIF(K7:K79,"&gt;0",M7:M79)</f>
        <v>0</v>
      </c>
      <c r="P81" s="6">
        <f>IFERROR(IF(OR(P7:P79),COUNTIFS(P7:P79,"&gt;0",R7:R79,"&lt;&gt;")&amp;" of "&amp;(ROWS(R7:R79)-COUNTBLANK(R7:R79))&amp;" parts purchased",""),"")</f>
        <v>0</v>
      </c>
      <c r="R81" s="5">
        <f>SUMIF(P7:P79,"&gt;0",R7:R79)</f>
        <v>0</v>
      </c>
      <c r="U81" s="6">
        <f>IFERROR(IF(OR(U7:U79),COUNTIFS(U7:U79,"&gt;0",W7:W79,"&lt;&gt;")&amp;" of "&amp;(ROWS(W7:W79)-COUNTBLANK(W7:W79))&amp;" parts purchased",""),"")</f>
        <v>0</v>
      </c>
      <c r="W81" s="5">
        <f>SUMIF(U7:U79,"&gt;0",W7:W79)</f>
        <v>0</v>
      </c>
      <c r="Z81" s="6">
        <f>IFERROR(IF(OR(Z7:Z79),COUNTIFS(Z7:Z79,"&gt;0",AB7:AB79,"&lt;&gt;")&amp;" of "&amp;(ROWS(AB7:AB79)-COUNTBLANK(AB7:AB79))&amp;" parts purchased",""),"")</f>
        <v>0</v>
      </c>
      <c r="AB81" s="5">
        <f>SUMIF(Z7:Z79,"&gt;0",AB7:AB79)</f>
        <v>0</v>
      </c>
      <c r="AE81" s="6">
        <f>IFERROR(IF(OR(AE7:AE79),COUNTIFS(AE7:AE79,"&gt;0",AG7:AG79,"&lt;&gt;")&amp;" of "&amp;(ROWS(AG7:AG79)-COUNTBLANK(AG7:AG79))&amp;" parts purchased",""),"")</f>
        <v>0</v>
      </c>
      <c r="AG81" s="5">
        <f>SUMIF(AE7:AE79,"&gt;0",AG7:AG79)</f>
        <v>0</v>
      </c>
      <c r="AJ81" s="6">
        <f>IFERROR(IF(OR(AJ7:AJ79),COUNTIFS(AJ7:AJ79,"&gt;0",AL7:AL79,"&lt;&gt;")&amp;" of "&amp;(ROWS(AL7:AL79)-COUNTBLANK(AL7:AL79))&amp;" parts purchased",""),"")</f>
        <v>0</v>
      </c>
      <c r="AL81" s="5">
        <f>SUMIF(AJ7:AJ79,"&gt;0",AL7:AL79)</f>
        <v>0</v>
      </c>
      <c r="AO81" s="6">
        <f>IFERROR(IF(OR(AO7:AO79),COUNTIFS(AO7:AO79,"&gt;0",AQ7:AQ79,"&lt;&gt;")&amp;" of "&amp;(ROWS(AQ7:AQ79)-COUNTBLANK(AQ7:AQ79))&amp;" parts purchased",""),"")</f>
        <v>0</v>
      </c>
      <c r="AQ81" s="5">
        <f>SUMIF(AO7:AO79,"&gt;0",AQ7:AQ79)</f>
        <v>0</v>
      </c>
      <c r="AT81" s="6">
        <f>IFERROR(IF(OR(AT7:AT79),COUNTIFS(AT7:AT79,"&gt;0",AV7:AV79,"&lt;&gt;")&amp;" of "&amp;(ROWS(AV7:AV79)-COUNTBLANK(AV7:AV79))&amp;" parts purchased",""),"")</f>
        <v>0</v>
      </c>
      <c r="AV81" s="5">
        <f>SUMIF(AT7:AT79,"&gt;0",AV7:AV79)</f>
        <v>0</v>
      </c>
    </row>
    <row r="82" spans="1:48">
      <c r="B82" s="21" t="s">
        <v>245</v>
      </c>
      <c r="C82">
        <v>1.387799869317651</v>
      </c>
      <c r="H82" s="21" t="s">
        <v>243</v>
      </c>
      <c r="K82">
        <f t="array" ref="K82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82">
        <f t="array" ref="P82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82">
        <f t="array" ref="U82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82" s="6">
        <f>IFERROR(IF(COUNTIFS(Z7:Z79,"&gt;0",AB7:AB79,"&lt;&gt;")&gt;0,"Quantity,Comment,Designator,Footprint,LCSC Part #(optional)",""),"")</f>
        <v>0</v>
      </c>
      <c r="AE82">
        <f t="array" ref="AE82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82">
        <f t="array" ref="AJ82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82">
        <f t="array" ref="AO82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82">
        <f t="array" ref="AT82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83" spans="1:48">
      <c r="K83">
        <f t="array" ref="K83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83">
        <f t="array" ref="P83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83">
        <f t="array" ref="U83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83">
        <f t="array" ref="Z83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83">
        <f t="array" ref="AE83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83">
        <f t="array" ref="AJ83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83">
        <f t="array" ref="AO83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83">
        <f t="array" ref="AT83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84" spans="1:48">
      <c r="A84" s="2" t="s">
        <v>549</v>
      </c>
      <c r="K84">
        <f t="array" ref="K84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84">
        <f t="array" ref="P84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84">
        <f t="array" ref="U84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84">
        <f t="array" ref="Z84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84">
        <f t="array" ref="AE84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84">
        <f t="array" ref="AJ84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84">
        <f t="array" ref="AO84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84">
        <f t="array" ref="AT84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85" spans="1:48">
      <c r="K85">
        <f t="array" ref="K85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85">
        <f t="array" ref="P85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85">
        <f t="array" ref="U85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85">
        <f t="array" ref="Z85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85">
        <f t="array" ref="AE85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85">
        <f t="array" ref="AJ85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85">
        <f t="array" ref="AO85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85">
        <f t="array" ref="AT85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86" spans="1:48">
      <c r="K86">
        <f t="array" ref="K86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86">
        <f t="array" ref="P86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86">
        <f t="array" ref="U86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86">
        <f t="array" ref="Z86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86">
        <f t="array" ref="AE86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86">
        <f t="array" ref="AJ86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86">
        <f t="array" ref="AO86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86">
        <f t="array" ref="AT86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87" spans="1:48">
      <c r="K87">
        <f t="array" ref="K87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87">
        <f t="array" ref="P87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87">
        <f t="array" ref="U87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87">
        <f t="array" ref="Z87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87">
        <f t="array" ref="AE87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87">
        <f t="array" ref="AJ87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87">
        <f t="array" ref="AO87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87">
        <f t="array" ref="AT87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88" spans="1:48">
      <c r="K88">
        <f t="array" ref="K88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88">
        <f t="array" ref="P88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88">
        <f t="array" ref="U88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88">
        <f t="array" ref="Z88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88">
        <f t="array" ref="AE88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88">
        <f t="array" ref="AJ88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88">
        <f t="array" ref="AO88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88">
        <f t="array" ref="AT88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89" spans="1:48">
      <c r="K89">
        <f t="array" ref="K89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89">
        <f t="array" ref="P89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89">
        <f t="array" ref="U89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89">
        <f t="array" ref="Z89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89">
        <f t="array" ref="AE89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89">
        <f t="array" ref="AJ89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89">
        <f t="array" ref="AO89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89">
        <f t="array" ref="AT89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0" spans="1:48">
      <c r="K90">
        <f t="array" ref="K90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0">
        <f t="array" ref="P90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0">
        <f t="array" ref="U90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0">
        <f t="array" ref="Z90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0">
        <f t="array" ref="AE90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0">
        <f t="array" ref="AJ90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0">
        <f t="array" ref="AO90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0">
        <f t="array" ref="AT90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1" spans="1:48">
      <c r="K91">
        <f t="array" ref="K91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1">
        <f t="array" ref="P91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1">
        <f t="array" ref="U91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1">
        <f t="array" ref="Z91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1">
        <f t="array" ref="AE91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1">
        <f t="array" ref="AJ91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1">
        <f t="array" ref="AO91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1">
        <f t="array" ref="AT91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2" spans="1:48">
      <c r="K92">
        <f t="array" ref="K92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2">
        <f t="array" ref="P92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2">
        <f t="array" ref="U92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2">
        <f t="array" ref="Z92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2">
        <f t="array" ref="AE92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2">
        <f t="array" ref="AJ92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2">
        <f t="array" ref="AO92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2">
        <f t="array" ref="AT92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3" spans="1:48">
      <c r="K93">
        <f t="array" ref="K93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3">
        <f t="array" ref="P93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3">
        <f t="array" ref="U93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3">
        <f t="array" ref="Z93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3">
        <f t="array" ref="AE93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3">
        <f t="array" ref="AJ93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3">
        <f t="array" ref="AO93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3">
        <f t="array" ref="AT93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4" spans="1:48">
      <c r="K94">
        <f t="array" ref="K94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4">
        <f t="array" ref="P94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4">
        <f t="array" ref="U94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4">
        <f t="array" ref="Z94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4">
        <f t="array" ref="AE94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4">
        <f t="array" ref="AJ94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4">
        <f t="array" ref="AO94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4">
        <f t="array" ref="AT94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5" spans="1:48">
      <c r="K95">
        <f t="array" ref="K95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5">
        <f t="array" ref="P95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5">
        <f t="array" ref="U95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5">
        <f t="array" ref="Z95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5">
        <f t="array" ref="AE95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5">
        <f t="array" ref="AJ95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5">
        <f t="array" ref="AO95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5">
        <f t="array" ref="AT95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6" spans="1:48">
      <c r="K96">
        <f t="array" ref="K96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6">
        <f t="array" ref="P96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6">
        <f t="array" ref="U96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6">
        <f t="array" ref="Z96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6">
        <f t="array" ref="AE96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6">
        <f t="array" ref="AJ96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6">
        <f t="array" ref="AO96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6">
        <f t="array" ref="AT96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7" spans="11:46">
      <c r="K97">
        <f t="array" ref="K97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7">
        <f t="array" ref="P97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7">
        <f t="array" ref="U97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7">
        <f t="array" ref="Z97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7">
        <f t="array" ref="AE97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7">
        <f t="array" ref="AJ97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7">
        <f t="array" ref="AO97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7">
        <f t="array" ref="AT97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8" spans="11:46">
      <c r="K98">
        <f t="array" ref="K98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8">
        <f t="array" ref="P98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8">
        <f t="array" ref="U98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8">
        <f t="array" ref="Z98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8">
        <f t="array" ref="AE98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8">
        <f t="array" ref="AJ98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8">
        <f t="array" ref="AO98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8">
        <f t="array" ref="AT98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99" spans="11:46">
      <c r="K99">
        <f t="array" ref="K99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99">
        <f t="array" ref="P99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99">
        <f t="array" ref="U99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99">
        <f t="array" ref="Z99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99">
        <f t="array" ref="AE99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99">
        <f t="array" ref="AJ99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99">
        <f t="array" ref="AO99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99">
        <f t="array" ref="AT99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0" spans="11:46">
      <c r="K100">
        <f t="array" ref="K100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0">
        <f t="array" ref="P100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0">
        <f t="array" ref="U100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0">
        <f t="array" ref="Z100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0">
        <f t="array" ref="AE100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0">
        <f t="array" ref="AJ100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0">
        <f t="array" ref="AO100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0">
        <f t="array" ref="AT100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1" spans="11:46">
      <c r="K101">
        <f t="array" ref="K101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1">
        <f t="array" ref="P101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1">
        <f t="array" ref="U101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1">
        <f t="array" ref="Z101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1">
        <f t="array" ref="AE101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1">
        <f t="array" ref="AJ101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1">
        <f t="array" ref="AO101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1">
        <f t="array" ref="AT101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2" spans="11:46">
      <c r="K102">
        <f t="array" ref="K102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2">
        <f t="array" ref="P102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2">
        <f t="array" ref="U102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2">
        <f t="array" ref="Z102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2">
        <f t="array" ref="AE102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2">
        <f t="array" ref="AJ102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2">
        <f t="array" ref="AO102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2">
        <f t="array" ref="AT102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3" spans="11:46">
      <c r="K103">
        <f t="array" ref="K103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3">
        <f t="array" ref="P103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3">
        <f t="array" ref="U103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3">
        <f t="array" ref="Z103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3">
        <f t="array" ref="AE103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3">
        <f t="array" ref="AJ103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3">
        <f t="array" ref="AO103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3">
        <f t="array" ref="AT103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4" spans="11:46">
      <c r="K104">
        <f t="array" ref="K104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4">
        <f t="array" ref="P104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4">
        <f t="array" ref="U104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4">
        <f t="array" ref="Z104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4">
        <f t="array" ref="AE104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4">
        <f t="array" ref="AJ104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4">
        <f t="array" ref="AO104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4">
        <f t="array" ref="AT104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5" spans="11:46">
      <c r="K105">
        <f t="array" ref="K105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5">
        <f t="array" ref="P105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5">
        <f t="array" ref="U105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5">
        <f t="array" ref="Z105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5">
        <f t="array" ref="AE105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5">
        <f t="array" ref="AJ105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5">
        <f t="array" ref="AO105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5">
        <f t="array" ref="AT105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6" spans="11:46">
      <c r="K106">
        <f t="array" ref="K106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6">
        <f t="array" ref="P106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6">
        <f t="array" ref="U106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6">
        <f t="array" ref="Z106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6">
        <f t="array" ref="AE106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6">
        <f t="array" ref="AJ106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6">
        <f t="array" ref="AO106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6">
        <f t="array" ref="AT106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7" spans="11:46">
      <c r="K107">
        <f t="array" ref="K107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7">
        <f t="array" ref="P107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7">
        <f t="array" ref="U107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7">
        <f t="array" ref="Z107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7">
        <f t="array" ref="AE107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7">
        <f t="array" ref="AJ107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7">
        <f t="array" ref="AO107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7">
        <f t="array" ref="AT107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8" spans="11:46">
      <c r="K108">
        <f t="array" ref="K108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8">
        <f t="array" ref="P108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8">
        <f t="array" ref="U108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8">
        <f t="array" ref="Z108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8">
        <f t="array" ref="AE108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8">
        <f t="array" ref="AJ108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8">
        <f t="array" ref="AO108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8">
        <f t="array" ref="AT108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09" spans="11:46">
      <c r="K109">
        <f t="array" ref="K109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09">
        <f t="array" ref="P109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09">
        <f t="array" ref="U109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09">
        <f t="array" ref="Z109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09">
        <f t="array" ref="AE109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09">
        <f t="array" ref="AJ109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09">
        <f t="array" ref="AO109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09">
        <f t="array" ref="AT109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0" spans="11:46">
      <c r="K110">
        <f t="array" ref="K110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0">
        <f t="array" ref="P110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0">
        <f t="array" ref="U110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0">
        <f t="array" ref="Z110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0">
        <f t="array" ref="AE110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0">
        <f t="array" ref="AJ110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0">
        <f t="array" ref="AO110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0">
        <f t="array" ref="AT110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1" spans="11:46">
      <c r="K111">
        <f t="array" ref="K111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1">
        <f t="array" ref="P111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1">
        <f t="array" ref="U111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1">
        <f t="array" ref="Z111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1">
        <f t="array" ref="AE111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1">
        <f t="array" ref="AJ111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1">
        <f t="array" ref="AO111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1">
        <f t="array" ref="AT111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2" spans="11:46">
      <c r="K112">
        <f t="array" ref="K112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2">
        <f t="array" ref="P112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2">
        <f t="array" ref="U112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2">
        <f t="array" ref="Z112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2">
        <f t="array" ref="AE112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2">
        <f t="array" ref="AJ112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2">
        <f t="array" ref="AO112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2">
        <f t="array" ref="AT112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3" spans="11:46">
      <c r="K113">
        <f t="array" ref="K113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3">
        <f t="array" ref="P113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3">
        <f t="array" ref="U113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3">
        <f t="array" ref="Z113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3">
        <f t="array" ref="AE113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3">
        <f t="array" ref="AJ113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3">
        <f t="array" ref="AO113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3">
        <f t="array" ref="AT113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4" spans="11:46">
      <c r="K114">
        <f t="array" ref="K114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4">
        <f t="array" ref="P114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4">
        <f t="array" ref="U114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4">
        <f t="array" ref="Z114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4">
        <f t="array" ref="AE114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4">
        <f t="array" ref="AJ114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4">
        <f t="array" ref="AO114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4">
        <f t="array" ref="AT114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5" spans="11:46">
      <c r="K115">
        <f t="array" ref="K115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5">
        <f t="array" ref="P115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5">
        <f t="array" ref="U115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5">
        <f t="array" ref="Z115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5">
        <f t="array" ref="AE115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5">
        <f t="array" ref="AJ115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5">
        <f t="array" ref="AO115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5">
        <f t="array" ref="AT115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6" spans="11:46">
      <c r="K116">
        <f t="array" ref="K116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6">
        <f t="array" ref="P116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6">
        <f t="array" ref="U116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6">
        <f t="array" ref="Z116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6">
        <f t="array" ref="AE116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6">
        <f t="array" ref="AJ116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6">
        <f t="array" ref="AO116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6">
        <f t="array" ref="AT116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7" spans="11:46">
      <c r="K117">
        <f t="array" ref="K117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7">
        <f t="array" ref="P117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7">
        <f t="array" ref="U117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7">
        <f t="array" ref="Z117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7">
        <f t="array" ref="AE117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7">
        <f t="array" ref="AJ117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7">
        <f t="array" ref="AO117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7">
        <f t="array" ref="AT117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8" spans="11:46">
      <c r="K118">
        <f t="array" ref="K118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8">
        <f t="array" ref="P118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8">
        <f t="array" ref="U118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8">
        <f t="array" ref="Z118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8">
        <f t="array" ref="AE118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8">
        <f t="array" ref="AJ118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8">
        <f t="array" ref="AO118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8">
        <f t="array" ref="AT118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19" spans="11:46">
      <c r="K119">
        <f t="array" ref="K119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19">
        <f t="array" ref="P119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19">
        <f t="array" ref="U119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19">
        <f t="array" ref="Z119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19">
        <f t="array" ref="AE119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19">
        <f t="array" ref="AJ119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19">
        <f t="array" ref="AO119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19">
        <f t="array" ref="AT119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0" spans="11:46">
      <c r="K120">
        <f t="array" ref="K120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0">
        <f t="array" ref="P120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0">
        <f t="array" ref="U120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0">
        <f t="array" ref="Z120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0">
        <f t="array" ref="AE120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0">
        <f t="array" ref="AJ120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0">
        <f t="array" ref="AO120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0">
        <f t="array" ref="AT120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1" spans="11:46">
      <c r="K121">
        <f t="array" ref="K121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1">
        <f t="array" ref="P121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1">
        <f t="array" ref="U121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1">
        <f t="array" ref="Z121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1">
        <f t="array" ref="AE121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1">
        <f t="array" ref="AJ121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1">
        <f t="array" ref="AO121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1">
        <f t="array" ref="AT121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2" spans="11:46">
      <c r="K122">
        <f t="array" ref="K122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2">
        <f t="array" ref="P122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2">
        <f t="array" ref="U122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2">
        <f t="array" ref="Z122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2">
        <f t="array" ref="AE122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2">
        <f t="array" ref="AJ122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2">
        <f t="array" ref="AO122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2">
        <f t="array" ref="AT122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3" spans="11:46">
      <c r="K123">
        <f t="array" ref="K123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3">
        <f t="array" ref="P123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3">
        <f t="array" ref="U123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3">
        <f t="array" ref="Z123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3">
        <f t="array" ref="AE123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3">
        <f t="array" ref="AJ123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3">
        <f t="array" ref="AO123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3">
        <f t="array" ref="AT123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4" spans="11:46">
      <c r="K124">
        <f t="array" ref="K124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4">
        <f t="array" ref="P124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4">
        <f t="array" ref="U124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4">
        <f t="array" ref="Z124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4">
        <f t="array" ref="AE124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4">
        <f t="array" ref="AJ124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4">
        <f t="array" ref="AO124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4">
        <f t="array" ref="AT124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5" spans="11:46">
      <c r="K125">
        <f t="array" ref="K125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5">
        <f t="array" ref="P125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5">
        <f t="array" ref="U125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5">
        <f t="array" ref="Z125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5">
        <f t="array" ref="AE125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5">
        <f t="array" ref="AJ125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5">
        <f t="array" ref="AO125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5">
        <f t="array" ref="AT125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6" spans="11:46">
      <c r="K126">
        <f t="array" ref="K126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6">
        <f t="array" ref="P126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6">
        <f t="array" ref="U126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6">
        <f t="array" ref="Z126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6">
        <f t="array" ref="AE126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6">
        <f t="array" ref="AJ126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6">
        <f t="array" ref="AO126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6">
        <f t="array" ref="AT126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7" spans="11:46">
      <c r="K127">
        <f t="array" ref="K127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7">
        <f t="array" ref="P127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7">
        <f t="array" ref="U127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7">
        <f t="array" ref="Z127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7">
        <f t="array" ref="AE127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7">
        <f t="array" ref="AJ127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7">
        <f t="array" ref="AO127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7">
        <f t="array" ref="AT127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8" spans="11:46">
      <c r="K128">
        <f t="array" ref="K128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8">
        <f t="array" ref="P128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8">
        <f t="array" ref="U128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8">
        <f t="array" ref="Z128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8">
        <f t="array" ref="AE128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8">
        <f t="array" ref="AJ128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8">
        <f t="array" ref="AO128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8">
        <f t="array" ref="AT128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29" spans="11:46">
      <c r="K129">
        <f t="array" ref="K129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29">
        <f t="array" ref="P129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29">
        <f t="array" ref="U129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29">
        <f t="array" ref="Z129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29">
        <f t="array" ref="AE129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29">
        <f t="array" ref="AJ129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29">
        <f t="array" ref="AO129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29">
        <f t="array" ref="AT129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0" spans="11:46">
      <c r="K130">
        <f t="array" ref="K130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0">
        <f t="array" ref="P130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0">
        <f t="array" ref="U130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0">
        <f t="array" ref="Z130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0">
        <f t="array" ref="AE130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0">
        <f t="array" ref="AJ130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0">
        <f t="array" ref="AO130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0">
        <f t="array" ref="AT130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1" spans="11:46">
      <c r="K131">
        <f t="array" ref="K131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1">
        <f t="array" ref="P131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1">
        <f t="array" ref="U131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1">
        <f t="array" ref="Z131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1">
        <f t="array" ref="AE131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1">
        <f t="array" ref="AJ131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1">
        <f t="array" ref="AO131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1">
        <f t="array" ref="AT131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2" spans="11:46">
      <c r="K132">
        <f t="array" ref="K132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2">
        <f t="array" ref="P132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2">
        <f t="array" ref="U132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2">
        <f t="array" ref="Z132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2">
        <f t="array" ref="AE132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2">
        <f t="array" ref="AJ132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2">
        <f t="array" ref="AO132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2">
        <f t="array" ref="AT132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3" spans="11:46">
      <c r="K133">
        <f t="array" ref="K133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3">
        <f t="array" ref="P133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3">
        <f t="array" ref="U133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3">
        <f t="array" ref="Z133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3">
        <f t="array" ref="AE133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3">
        <f t="array" ref="AJ133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3">
        <f t="array" ref="AO133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3">
        <f t="array" ref="AT133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4" spans="11:46">
      <c r="K134">
        <f t="array" ref="K134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4">
        <f t="array" ref="P134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4">
        <f t="array" ref="U134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4">
        <f t="array" ref="Z134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4">
        <f t="array" ref="AE134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4">
        <f t="array" ref="AJ134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4">
        <f t="array" ref="AO134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4">
        <f t="array" ref="AT134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5" spans="11:46">
      <c r="K135">
        <f t="array" ref="K135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5">
        <f t="array" ref="P135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5">
        <f t="array" ref="U135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5">
        <f t="array" ref="Z135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5">
        <f t="array" ref="AE135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5">
        <f t="array" ref="AJ135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5">
        <f t="array" ref="AO135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5">
        <f t="array" ref="AT135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6" spans="11:46">
      <c r="K136">
        <f t="array" ref="K136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6">
        <f t="array" ref="P136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6">
        <f t="array" ref="U136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6">
        <f t="array" ref="Z136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6">
        <f t="array" ref="AE136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6">
        <f t="array" ref="AJ136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6">
        <f t="array" ref="AO136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6">
        <f t="array" ref="AT136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7" spans="11:46">
      <c r="K137">
        <f t="array" ref="K137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7">
        <f t="array" ref="P137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7">
        <f t="array" ref="U137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7">
        <f t="array" ref="Z137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7">
        <f t="array" ref="AE137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7">
        <f t="array" ref="AJ137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7">
        <f t="array" ref="AO137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7">
        <f t="array" ref="AT137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8" spans="11:46">
      <c r="K138">
        <f t="array" ref="K138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8">
        <f t="array" ref="P138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8">
        <f t="array" ref="U138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8">
        <f t="array" ref="Z138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8">
        <f t="array" ref="AE138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8">
        <f t="array" ref="AJ138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8">
        <f t="array" ref="AO138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8">
        <f t="array" ref="AT138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39" spans="11:46">
      <c r="K139">
        <f t="array" ref="K139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39">
        <f t="array" ref="P139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39">
        <f t="array" ref="U139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39">
        <f t="array" ref="Z139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39">
        <f t="array" ref="AE139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39">
        <f t="array" ref="AJ139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39">
        <f t="array" ref="AO139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39">
        <f t="array" ref="AT139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0" spans="11:46">
      <c r="K140">
        <f t="array" ref="K140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0">
        <f t="array" ref="P140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0">
        <f t="array" ref="U140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0">
        <f t="array" ref="Z140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0">
        <f t="array" ref="AE140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0">
        <f t="array" ref="AJ140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0">
        <f t="array" ref="AO140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0">
        <f t="array" ref="AT140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1" spans="11:46">
      <c r="K141">
        <f t="array" ref="K141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1">
        <f t="array" ref="P141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1">
        <f t="array" ref="U141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1">
        <f t="array" ref="Z141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1">
        <f t="array" ref="AE141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1">
        <f t="array" ref="AJ141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1">
        <f t="array" ref="AO141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1">
        <f t="array" ref="AT141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2" spans="11:46">
      <c r="K142">
        <f t="array" ref="K142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2">
        <f t="array" ref="P142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2">
        <f t="array" ref="U142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2">
        <f t="array" ref="Z142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2">
        <f t="array" ref="AE142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2">
        <f t="array" ref="AJ142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2">
        <f t="array" ref="AO142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2">
        <f t="array" ref="AT142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3" spans="11:46">
      <c r="K143">
        <f t="array" ref="K143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3">
        <f t="array" ref="P143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3">
        <f t="array" ref="U143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3">
        <f t="array" ref="Z143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3">
        <f t="array" ref="AE143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3">
        <f t="array" ref="AJ143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3">
        <f t="array" ref="AO143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3">
        <f t="array" ref="AT143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4" spans="11:46">
      <c r="K144">
        <f t="array" ref="K144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4">
        <f t="array" ref="P144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4">
        <f t="array" ref="U144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4">
        <f t="array" ref="Z144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4">
        <f t="array" ref="AE144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4">
        <f t="array" ref="AJ144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4">
        <f t="array" ref="AO144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4">
        <f t="array" ref="AT144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5" spans="11:46">
      <c r="K145">
        <f t="array" ref="K145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5">
        <f t="array" ref="P145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5">
        <f t="array" ref="U145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5">
        <f t="array" ref="Z145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5">
        <f t="array" ref="AE145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5">
        <f t="array" ref="AJ145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5">
        <f t="array" ref="AO145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5">
        <f t="array" ref="AT145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6" spans="11:46">
      <c r="K146">
        <f t="array" ref="K146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6">
        <f t="array" ref="P146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6">
        <f t="array" ref="U146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6">
        <f t="array" ref="Z146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6">
        <f t="array" ref="AE146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6">
        <f t="array" ref="AJ146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6">
        <f t="array" ref="AO146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6">
        <f t="array" ref="AT146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7" spans="11:46">
      <c r="K147">
        <f t="array" ref="K147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7">
        <f t="array" ref="P147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7">
        <f t="array" ref="U147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7">
        <f t="array" ref="Z147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7">
        <f t="array" ref="AE147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7">
        <f t="array" ref="AJ147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7">
        <f t="array" ref="AO147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7">
        <f t="array" ref="AT147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8" spans="11:46">
      <c r="K148">
        <f t="array" ref="K148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8">
        <f t="array" ref="P148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8">
        <f t="array" ref="U148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8">
        <f t="array" ref="Z148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8">
        <f t="array" ref="AE148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8">
        <f t="array" ref="AJ148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8">
        <f t="array" ref="AO148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8">
        <f t="array" ref="AT148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49" spans="11:46">
      <c r="K149">
        <f t="array" ref="K149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49">
        <f t="array" ref="P149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49">
        <f t="array" ref="U149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49">
        <f t="array" ref="Z149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49">
        <f t="array" ref="AE149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49">
        <f t="array" ref="AJ149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49">
        <f t="array" ref="AO149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49">
        <f t="array" ref="AT149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50" spans="11:46">
      <c r="K150">
        <f t="array" ref="K150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50">
        <f t="array" ref="P150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50">
        <f t="array" ref="U150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50">
        <f t="array" ref="Z150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50">
        <f t="array" ref="AE150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50">
        <f t="array" ref="AJ150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50">
        <f t="array" ref="AO150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50">
        <f t="array" ref="AT150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51" spans="11:46">
      <c r="K151">
        <f t="array" ref="K151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51">
        <f t="array" ref="P151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51">
        <f t="array" ref="U151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51">
        <f t="array" ref="Z151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51">
        <f t="array" ref="AE151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51">
        <f t="array" ref="AJ151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51">
        <f t="array" ref="AO151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51">
        <f t="array" ref="AT151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52" spans="11:46">
      <c r="K152">
        <f t="array" ref="K152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52">
        <f t="array" ref="P152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52">
        <f t="array" ref="U152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52">
        <f t="array" ref="Z152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52">
        <f t="array" ref="AE152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52">
        <f t="array" ref="AJ152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52">
        <f t="array" ref="AO152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52">
        <f t="array" ref="AT152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53" spans="11:46">
      <c r="K153">
        <f t="array" ref="K153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53">
        <f t="array" ref="P153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53">
        <f t="array" ref="U153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53">
        <f t="array" ref="Z153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53">
        <f t="array" ref="AE153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53">
        <f t="array" ref="AJ153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53">
        <f t="array" ref="AO153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53">
        <f t="array" ref="AT153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54" spans="11:46">
      <c r="K154">
        <f t="array" ref="K154">IFERROR(CONCATENATE(INDEX(N7:N79,SMALL(IF(ISNUMBER(K7:K79),IF(K7:K79&gt;0,IF(N7:N79&lt;&gt;"",ROW(K7:K79)-MIN(ROW(K7:K79))+1))),ROW()-ROW(A$82)+1)),",",TEXT(INDEX(K7:K79,SMALL(IF(ISNUMBER(K7:K79),IF(K7:K79&gt;0,IF(N7:N79&lt;&gt;"",ROW(K7:K79)-MIN(ROW(K7:K79))+1))),ROW()-ROW(A$82)+1)),"##0"),",",SUBSTITUTE(INDEX(IF(PURCHASE_DESCRIPTION&lt;&gt;"",PURCHASE_DESCRIPTION&amp;":","")&amp;A7:A79,SMALL(IF(ISNUMBER(K7:K79),IF(K7:K79&gt;0,IF(N7:N79&lt;&gt;"",ROW(K7:K79)-MIN(ROW(K7:K79))+1))),ROW()-ROW(A$82)+1)),",",";")),"")</f>
        <v>0</v>
      </c>
      <c r="P154">
        <f t="array" ref="P154">IFERROR(CONCATENATE(TEXT(INDEX(P7:P79,SMALL(IF(ISNUMBER(P7:P79),IF(P7:P79&gt;0,IF(S7:S79&lt;&gt;"",ROW(P7:P79)-MIN(ROW(P7:P79))+1))),ROW()-ROW(A$82)+1)),"##0"),",",INDEX(S7:S79,SMALL(IF(ISNUMBER(P7:P79),IF(P7:P79&gt;0,IF(S7:S79&lt;&gt;"",ROW(P7:P79)-MIN(ROW(P7:P79))+1))),ROW()-ROW(A$82)+1)),",",SUBSTITUTE(INDEX(IF(PURCHASE_DESCRIPTION&lt;&gt;"",PURCHASE_DESCRIPTION&amp;":","")&amp;A7:A79,SMALL(IF(ISNUMBER(P7:P79),IF(P7:P79&gt;0,IF(S7:S79&lt;&gt;"",ROW(P7:P79)-MIN(ROW(P7:P79))+1))),ROW()-ROW(A$82)+1)),",",";")),"")</f>
        <v>0</v>
      </c>
      <c r="U154">
        <f t="array" ref="U154">IFERROR(CONCATENATE(INDEX(X7:X79,SMALL(IF(ISNUMBER(U7:U79),IF(U7:U79&gt;0,IF(X7:X79&lt;&gt;"",ROW(U7:U79)-MIN(ROW(U7:U79))+1))),ROW()-ROW(A$82)+1))," ",TEXT(INDEX(U7:U79,SMALL(IF(ISNUMBER(U7:U79),IF(U7:U79&gt;0,IF(X7:X79&lt;&gt;"",ROW(U7:U79)-MIN(ROW(U7:U79))+1))),ROW()-ROW(A$82)+1)),"##0")," ",SUBSTITUTE(INDEX(IF(PURCHASE_DESCRIPTION&lt;&gt;"",PURCHASE_DESCRIPTION&amp;":","")&amp;A7:A79,SMALL(IF(ISNUMBER(U7:U79),IF(U7:U79&gt;0,IF(X7:X79&lt;&gt;"",ROW(U7:U79)-MIN(ROW(U7:U79))+1))),ROW()-ROW(A$82)+1))," ",";")),"")</f>
        <v>0</v>
      </c>
      <c r="Z154">
        <f t="array" ref="Z154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  <c r="AE154">
        <f t="array" ref="AE154">IFERROR(CONCATENATE(INDEX(AH7:AH79,SMALL(IF(ISNUMBER(AE7:AE79),IF(AE7:AE79&gt;0,IF(AH7:AH79&lt;&gt;"",ROW(AE7:AE79)-MIN(ROW(AE7:AE79))+1))),ROW()-ROW(A$82)+1)),"|",TEXT(INDEX(AE7:AE79,SMALL(IF(ISNUMBER(AE7:AE79),IF(AE7:AE79&gt;0,IF(AH7:AH79&lt;&gt;"",ROW(AE7:AE79)-MIN(ROW(AE7:AE79))+1))),ROW()-ROW(A$82)+1)),"##0"),"|",SUBSTITUTE(SUBSTITUTE(INDEX(IF(PURCHASE_DESCRIPTION&lt;&gt;"",PURCHASE_DESCRIPTION&amp;":","")&amp;A7:A79,SMALL(IF(ISNUMBER(AE7:AE79),IF(AE7:AE79&gt;0,IF(AH7:AH79&lt;&gt;"",ROW(AE7:AE79)-MIN(ROW(AE7:AE79))+1))),ROW()-ROW(A$82)+1)),"|",";")," ","_")),"")</f>
        <v>0</v>
      </c>
      <c r="AJ154">
        <f t="array" ref="AJ154">IFERROR(CONCATENATE(INDEX(AM7:AM79,SMALL(IF(ISNUMBER(AJ7:AJ79),IF(AJ7:AJ79&gt;0,IF(AM7:AM79&lt;&gt;"",ROW(AJ7:AJ79)-MIN(ROW(AJ7:AJ79))+1))),ROW()-ROW(A$82)+1)),",",TEXT(INDEX(AJ7:AJ79,SMALL(IF(ISNUMBER(AJ7:AJ79),IF(AJ7:AJ79&gt;0,IF(AM7:AM79&lt;&gt;"",ROW(AJ7:AJ79)-MIN(ROW(AJ7:AJ79))+1))),ROW()-ROW(A$82)+1)),"##0"),",",SUBSTITUTE(INDEX(IF(PURCHASE_DESCRIPTION&lt;&gt;"",PURCHASE_DESCRIPTION&amp;":","")&amp;A7:A79,SMALL(IF(ISNUMBER(AJ7:AJ79),IF(AJ7:AJ79&gt;0,IF(AM7:AM79&lt;&gt;"",ROW(AJ7:AJ79)-MIN(ROW(AJ7:AJ79))+1))),ROW()-ROW(A$82)+1)),",",";")),"")</f>
        <v>0</v>
      </c>
      <c r="AO154">
        <f t="array" ref="AO154">IFERROR(CONCATENATE(INDEX(AR7:AR79,SMALL(IF(ISNUMBER(AO7:AO79),IF(AO7:AO79&gt;0,IF(AR7:AR79&lt;&gt;"",ROW(AO7:AO79)-MIN(ROW(AO7:AO79))+1))),ROW()-ROW(A$82)+1))," ",TEXT(INDEX(AO7:AO79,SMALL(IF(ISNUMBER(AO7:AO79),IF(AO7:AO79&gt;0,IF(AR7:AR79&lt;&gt;"",ROW(AO7:AO79)-MIN(ROW(AO7:AO79))+1))),ROW()-ROW(A$82)+1)),"##0")," ",SUBSTITUTE(INDEX(IF(PURCHASE_DESCRIPTION&lt;&gt;"",PURCHASE_DESCRIPTION&amp;":","")&amp;A7:A79,SMALL(IF(ISNUMBER(AO7:AO79),IF(AO7:AO79&gt;0,IF(AR7:AR79&lt;&gt;"",ROW(AO7:AO79)-MIN(ROW(AO7:AO79))+1))),ROW()-ROW(A$82)+1))," ",";")),"")</f>
        <v>0</v>
      </c>
      <c r="AT154">
        <f t="array" ref="AT154">IFERROR(CONCATENATE(INDEX(AW7:AW79,SMALL(IF(ISNUMBER(AT7:AT79),IF(AT7:AT79&gt;0,IF(AW7:AW79&lt;&gt;"",ROW(AT7:AT79)-MIN(ROW(AT7:AT79))+1))),ROW()-ROW(A$82)+1))," ",TEXT(INDEX(AT7:AT79,SMALL(IF(ISNUMBER(AT7:AT79),IF(AT7:AT79&gt;0,IF(AW7:AW79&lt;&gt;"",ROW(AT7:AT79)-MIN(ROW(AT7:AT79))+1))),ROW()-ROW(A$82)+1)),"##0")," ",SUBSTITUTE(INDEX(IF(PURCHASE_DESCRIPTION&lt;&gt;"",PURCHASE_DESCRIPTION&amp;":","")&amp;A7:A79,SMALL(IF(ISNUMBER(AT7:AT79),IF(AT7:AT79&gt;0,IF(AW7:AW79&lt;&gt;"",ROW(AT7:AT79)-MIN(ROW(AT7:AT79))+1))),ROW()-ROW(A$82)+1))," ",";")),"")</f>
        <v>0</v>
      </c>
    </row>
    <row r="155" spans="11:46">
      <c r="Z155">
        <f t="array" ref="Z155">IFERROR(CONCATENATE(TEXT(INDEX(Z7:Z79,SMALL(IF(ISNUMBER(Z7:Z79),IF(Z7:Z79&gt;0,IF(AC7:AC79&lt;&gt;"",ROW(Z7:Z79)-MIN(ROW(Z7:Z79))+1))),ROW()-ROW(A$83)+1)),"##0"),",",SUBSTITUTE(INDEX(IF(PURCHASE_DESCRIPTION&lt;&gt;"",PURCHASE_DESCRIPTION&amp;":","")&amp;A7:A79,SMALL(IF(ISNUMBER(Z7:Z79),IF(Z7:Z79&gt;0,IF(AC7:AC79&lt;&gt;"",ROW(Z7:Z79)-MIN(ROW(Z7:Z79))+1))),ROW()-ROW(A$83)+1)),",",";"),",",SUBSTITUTE(INDEX(IF(PURCHASE_DESCRIPTION&lt;&gt;"",PURCHASE_DESCRIPTION&amp;":","")&amp;D7:D79,SMALL(IF(ISNUMBER(Z7:Z79),IF(Z7:Z79&gt;0,IF(AC7:AC79&lt;&gt;"",ROW(Z7:Z79)-MIN(ROW(Z7:Z79))+1))),ROW()-ROW(A$83)+1)),",",";"),",",INDEX(AC7:AC79,SMALL(IF(ISNUMBER(Z7:Z79),IF(Z7:Z79&gt;0,IF(AC7:AC79&lt;&gt;"",ROW(Z7:Z79)-MIN(ROW(Z7:Z79))+1))),ROW()-ROW(A$83)+1))),"")</f>
        <v>0</v>
      </c>
    </row>
  </sheetData>
  <mergeCells count="9">
    <mergeCell ref="A5:I5"/>
    <mergeCell ref="J5:N5"/>
    <mergeCell ref="O5:S5"/>
    <mergeCell ref="T5:X5"/>
    <mergeCell ref="Y5:AC5"/>
    <mergeCell ref="AD5:AH5"/>
    <mergeCell ref="AI5:AM5"/>
    <mergeCell ref="AN5:AR5"/>
    <mergeCell ref="AS5:AW5"/>
  </mergeCells>
  <conditionalFormatting sqref="AA22">
    <cfRule type="cellIs" dxfId="4" priority="934" operator="lessThanOrEqual">
      <formula>H22</formula>
    </cfRule>
  </conditionalFormatting>
  <conditionalFormatting sqref="AA26">
    <cfRule type="cellIs" dxfId="4" priority="940" operator="lessThanOrEqual">
      <formula>H26</formula>
    </cfRule>
  </conditionalFormatting>
  <conditionalFormatting sqref="AA33">
    <cfRule type="cellIs" dxfId="4" priority="946" operator="lessThanOrEqual">
      <formula>H33</formula>
    </cfRule>
  </conditionalFormatting>
  <conditionalFormatting sqref="AB22">
    <cfRule type="cellIs" dxfId="4" priority="933" operator="lessThanOrEqual">
      <formula>I22</formula>
    </cfRule>
  </conditionalFormatting>
  <conditionalFormatting sqref="AB26">
    <cfRule type="cellIs" dxfId="4" priority="939" operator="lessThanOrEqual">
      <formula>I26</formula>
    </cfRule>
  </conditionalFormatting>
  <conditionalFormatting sqref="AB33">
    <cfRule type="cellIs" dxfId="4" priority="945" operator="lessThanOrEqual">
      <formula>I33</formula>
    </cfRule>
  </conditionalFormatting>
  <conditionalFormatting sqref="AD10">
    <cfRule type="cellIs" dxfId="1" priority="962" operator="equal">
      <formula>0</formula>
    </cfRule>
    <cfRule type="cellIs" dxfId="2" priority="963" operator="lessThan">
      <formula>G10</formula>
    </cfRule>
  </conditionalFormatting>
  <conditionalFormatting sqref="AD11">
    <cfRule type="cellIs" dxfId="1" priority="967" operator="equal">
      <formula>0</formula>
    </cfRule>
    <cfRule type="cellIs" dxfId="2" priority="968" operator="lessThan">
      <formula>G11</formula>
    </cfRule>
  </conditionalFormatting>
  <conditionalFormatting sqref="AD12">
    <cfRule type="cellIs" dxfId="1" priority="972" operator="equal">
      <formula>0</formula>
    </cfRule>
    <cfRule type="cellIs" dxfId="2" priority="973" operator="lessThan">
      <formula>G12</formula>
    </cfRule>
  </conditionalFormatting>
  <conditionalFormatting sqref="AD13">
    <cfRule type="cellIs" dxfId="1" priority="977" operator="equal">
      <formula>0</formula>
    </cfRule>
    <cfRule type="cellIs" dxfId="2" priority="978" operator="lessThan">
      <formula>G13</formula>
    </cfRule>
  </conditionalFormatting>
  <conditionalFormatting sqref="AD14">
    <cfRule type="cellIs" dxfId="1" priority="982" operator="equal">
      <formula>0</formula>
    </cfRule>
    <cfRule type="cellIs" dxfId="2" priority="983" operator="lessThan">
      <formula>G14</formula>
    </cfRule>
  </conditionalFormatting>
  <conditionalFormatting sqref="AD15">
    <cfRule type="cellIs" dxfId="1" priority="987" operator="equal">
      <formula>0</formula>
    </cfRule>
    <cfRule type="cellIs" dxfId="2" priority="988" operator="lessThan">
      <formula>G15</formula>
    </cfRule>
  </conditionalFormatting>
  <conditionalFormatting sqref="AD16">
    <cfRule type="cellIs" dxfId="1" priority="992" operator="equal">
      <formula>0</formula>
    </cfRule>
    <cfRule type="cellIs" dxfId="2" priority="993" operator="lessThan">
      <formula>G16</formula>
    </cfRule>
  </conditionalFormatting>
  <conditionalFormatting sqref="AD17">
    <cfRule type="cellIs" dxfId="1" priority="997" operator="equal">
      <formula>0</formula>
    </cfRule>
    <cfRule type="cellIs" dxfId="2" priority="998" operator="lessThan">
      <formula>G17</formula>
    </cfRule>
  </conditionalFormatting>
  <conditionalFormatting sqref="AD18">
    <cfRule type="cellIs" dxfId="1" priority="1002" operator="equal">
      <formula>0</formula>
    </cfRule>
    <cfRule type="cellIs" dxfId="2" priority="1003" operator="lessThan">
      <formula>G18</formula>
    </cfRule>
  </conditionalFormatting>
  <conditionalFormatting sqref="AD19">
    <cfRule type="cellIs" dxfId="1" priority="1007" operator="equal">
      <formula>0</formula>
    </cfRule>
    <cfRule type="cellIs" dxfId="2" priority="1008" operator="lessThan">
      <formula>G19</formula>
    </cfRule>
  </conditionalFormatting>
  <conditionalFormatting sqref="AD20">
    <cfRule type="cellIs" dxfId="1" priority="1012" operator="equal">
      <formula>0</formula>
    </cfRule>
    <cfRule type="cellIs" dxfId="2" priority="1013" operator="lessThan">
      <formula>G20</formula>
    </cfRule>
  </conditionalFormatting>
  <conditionalFormatting sqref="AD21">
    <cfRule type="cellIs" dxfId="1" priority="1017" operator="equal">
      <formula>0</formula>
    </cfRule>
    <cfRule type="cellIs" dxfId="2" priority="1018" operator="lessThan">
      <formula>G21</formula>
    </cfRule>
  </conditionalFormatting>
  <conditionalFormatting sqref="AD22">
    <cfRule type="cellIs" dxfId="1" priority="1022" operator="equal">
      <formula>0</formula>
    </cfRule>
    <cfRule type="cellIs" dxfId="2" priority="1023" operator="lessThan">
      <formula>G22</formula>
    </cfRule>
  </conditionalFormatting>
  <conditionalFormatting sqref="AD23">
    <cfRule type="cellIs" dxfId="1" priority="1027" operator="equal">
      <formula>0</formula>
    </cfRule>
    <cfRule type="cellIs" dxfId="2" priority="1028" operator="lessThan">
      <formula>G23</formula>
    </cfRule>
  </conditionalFormatting>
  <conditionalFormatting sqref="AD24">
    <cfRule type="cellIs" dxfId="1" priority="1032" operator="equal">
      <formula>0</formula>
    </cfRule>
    <cfRule type="cellIs" dxfId="2" priority="1033" operator="lessThan">
      <formula>G24</formula>
    </cfRule>
  </conditionalFormatting>
  <conditionalFormatting sqref="AD26">
    <cfRule type="cellIs" dxfId="1" priority="1037" operator="equal">
      <formula>0</formula>
    </cfRule>
    <cfRule type="cellIs" dxfId="2" priority="1038" operator="lessThan">
      <formula>G26</formula>
    </cfRule>
  </conditionalFormatting>
  <conditionalFormatting sqref="AD28">
    <cfRule type="cellIs" dxfId="1" priority="1042" operator="equal">
      <formula>0</formula>
    </cfRule>
    <cfRule type="cellIs" dxfId="2" priority="1043" operator="lessThan">
      <formula>G28</formula>
    </cfRule>
  </conditionalFormatting>
  <conditionalFormatting sqref="AD29">
    <cfRule type="cellIs" dxfId="1" priority="1047" operator="equal">
      <formula>0</formula>
    </cfRule>
    <cfRule type="cellIs" dxfId="2" priority="1048" operator="lessThan">
      <formula>G29</formula>
    </cfRule>
  </conditionalFormatting>
  <conditionalFormatting sqref="AD32">
    <cfRule type="cellIs" dxfId="1" priority="1052" operator="equal">
      <formula>0</formula>
    </cfRule>
    <cfRule type="cellIs" dxfId="2" priority="1053" operator="lessThan">
      <formula>G32</formula>
    </cfRule>
  </conditionalFormatting>
  <conditionalFormatting sqref="AD33">
    <cfRule type="cellIs" dxfId="1" priority="1057" operator="equal">
      <formula>0</formula>
    </cfRule>
    <cfRule type="cellIs" dxfId="2" priority="1058" operator="lessThan">
      <formula>G33</formula>
    </cfRule>
  </conditionalFormatting>
  <conditionalFormatting sqref="AD34">
    <cfRule type="cellIs" dxfId="1" priority="1062" operator="equal">
      <formula>0</formula>
    </cfRule>
    <cfRule type="cellIs" dxfId="2" priority="1063" operator="lessThan">
      <formula>G34</formula>
    </cfRule>
  </conditionalFormatting>
  <conditionalFormatting sqref="AD35">
    <cfRule type="cellIs" dxfId="1" priority="1067" operator="equal">
      <formula>0</formula>
    </cfRule>
    <cfRule type="cellIs" dxfId="2" priority="1068" operator="lessThan">
      <formula>G35</formula>
    </cfRule>
  </conditionalFormatting>
  <conditionalFormatting sqref="AD36">
    <cfRule type="cellIs" dxfId="1" priority="1072" operator="equal">
      <formula>0</formula>
    </cfRule>
    <cfRule type="cellIs" dxfId="2" priority="1073" operator="lessThan">
      <formula>G36</formula>
    </cfRule>
  </conditionalFormatting>
  <conditionalFormatting sqref="AD37">
    <cfRule type="cellIs" dxfId="1" priority="1077" operator="equal">
      <formula>0</formula>
    </cfRule>
    <cfRule type="cellIs" dxfId="2" priority="1078" operator="lessThan">
      <formula>G37</formula>
    </cfRule>
  </conditionalFormatting>
  <conditionalFormatting sqref="AD38">
    <cfRule type="cellIs" dxfId="1" priority="1082" operator="equal">
      <formula>0</formula>
    </cfRule>
    <cfRule type="cellIs" dxfId="2" priority="1083" operator="lessThan">
      <formula>G38</formula>
    </cfRule>
  </conditionalFormatting>
  <conditionalFormatting sqref="AD39">
    <cfRule type="cellIs" dxfId="1" priority="1087" operator="equal">
      <formula>0</formula>
    </cfRule>
    <cfRule type="cellIs" dxfId="2" priority="1088" operator="lessThan">
      <formula>G39</formula>
    </cfRule>
  </conditionalFormatting>
  <conditionalFormatting sqref="AD40">
    <cfRule type="cellIs" dxfId="1" priority="1092" operator="equal">
      <formula>0</formula>
    </cfRule>
    <cfRule type="cellIs" dxfId="2" priority="1093" operator="lessThan">
      <formula>G40</formula>
    </cfRule>
  </conditionalFormatting>
  <conditionalFormatting sqref="AD41">
    <cfRule type="cellIs" dxfId="1" priority="1097" operator="equal">
      <formula>0</formula>
    </cfRule>
    <cfRule type="cellIs" dxfId="2" priority="1098" operator="lessThan">
      <formula>G41</formula>
    </cfRule>
  </conditionalFormatting>
  <conditionalFormatting sqref="AD42">
    <cfRule type="cellIs" dxfId="1" priority="1102" operator="equal">
      <formula>0</formula>
    </cfRule>
    <cfRule type="cellIs" dxfId="2" priority="1103" operator="lessThan">
      <formula>G42</formula>
    </cfRule>
  </conditionalFormatting>
  <conditionalFormatting sqref="AD43">
    <cfRule type="cellIs" dxfId="1" priority="1107" operator="equal">
      <formula>0</formula>
    </cfRule>
    <cfRule type="cellIs" dxfId="2" priority="1108" operator="lessThan">
      <formula>G43</formula>
    </cfRule>
  </conditionalFormatting>
  <conditionalFormatting sqref="AD44">
    <cfRule type="cellIs" dxfId="1" priority="1112" operator="equal">
      <formula>0</formula>
    </cfRule>
    <cfRule type="cellIs" dxfId="2" priority="1113" operator="lessThan">
      <formula>G44</formula>
    </cfRule>
  </conditionalFormatting>
  <conditionalFormatting sqref="AD45">
    <cfRule type="cellIs" dxfId="1" priority="1117" operator="equal">
      <formula>0</formula>
    </cfRule>
    <cfRule type="cellIs" dxfId="2" priority="1118" operator="lessThan">
      <formula>G45</formula>
    </cfRule>
  </conditionalFormatting>
  <conditionalFormatting sqref="AD46">
    <cfRule type="cellIs" dxfId="1" priority="1122" operator="equal">
      <formula>0</formula>
    </cfRule>
    <cfRule type="cellIs" dxfId="2" priority="1123" operator="lessThan">
      <formula>G46</formula>
    </cfRule>
  </conditionalFormatting>
  <conditionalFormatting sqref="AD47">
    <cfRule type="cellIs" dxfId="1" priority="1127" operator="equal">
      <formula>0</formula>
    </cfRule>
    <cfRule type="cellIs" dxfId="2" priority="1128" operator="lessThan">
      <formula>G47</formula>
    </cfRule>
  </conditionalFormatting>
  <conditionalFormatting sqref="AD48">
    <cfRule type="cellIs" dxfId="1" priority="1132" operator="equal">
      <formula>0</formula>
    </cfRule>
    <cfRule type="cellIs" dxfId="2" priority="1133" operator="lessThan">
      <formula>G48</formula>
    </cfRule>
  </conditionalFormatting>
  <conditionalFormatting sqref="AD49">
    <cfRule type="cellIs" dxfId="1" priority="1137" operator="equal">
      <formula>0</formula>
    </cfRule>
    <cfRule type="cellIs" dxfId="2" priority="1138" operator="lessThan">
      <formula>G49</formula>
    </cfRule>
  </conditionalFormatting>
  <conditionalFormatting sqref="AD50">
    <cfRule type="cellIs" dxfId="1" priority="1142" operator="equal">
      <formula>0</formula>
    </cfRule>
    <cfRule type="cellIs" dxfId="2" priority="1143" operator="lessThan">
      <formula>G50</formula>
    </cfRule>
  </conditionalFormatting>
  <conditionalFormatting sqref="AD51">
    <cfRule type="cellIs" dxfId="1" priority="1147" operator="equal">
      <formula>0</formula>
    </cfRule>
    <cfRule type="cellIs" dxfId="2" priority="1148" operator="lessThan">
      <formula>G51</formula>
    </cfRule>
  </conditionalFormatting>
  <conditionalFormatting sqref="AD52">
    <cfRule type="cellIs" dxfId="1" priority="1152" operator="equal">
      <formula>0</formula>
    </cfRule>
    <cfRule type="cellIs" dxfId="2" priority="1153" operator="lessThan">
      <formula>G52</formula>
    </cfRule>
  </conditionalFormatting>
  <conditionalFormatting sqref="AD53">
    <cfRule type="cellIs" dxfId="1" priority="1157" operator="equal">
      <formula>0</formula>
    </cfRule>
    <cfRule type="cellIs" dxfId="2" priority="1158" operator="lessThan">
      <formula>G53</formula>
    </cfRule>
  </conditionalFormatting>
  <conditionalFormatting sqref="AD54">
    <cfRule type="cellIs" dxfId="1" priority="1162" operator="equal">
      <formula>0</formula>
    </cfRule>
    <cfRule type="cellIs" dxfId="2" priority="1163" operator="lessThan">
      <formula>G54</formula>
    </cfRule>
  </conditionalFormatting>
  <conditionalFormatting sqref="AD55">
    <cfRule type="cellIs" dxfId="1" priority="1167" operator="equal">
      <formula>0</formula>
    </cfRule>
    <cfRule type="cellIs" dxfId="2" priority="1168" operator="lessThan">
      <formula>G55</formula>
    </cfRule>
  </conditionalFormatting>
  <conditionalFormatting sqref="AD56">
    <cfRule type="cellIs" dxfId="1" priority="1172" operator="equal">
      <formula>0</formula>
    </cfRule>
    <cfRule type="cellIs" dxfId="2" priority="1173" operator="lessThan">
      <formula>G56</formula>
    </cfRule>
  </conditionalFormatting>
  <conditionalFormatting sqref="AD57">
    <cfRule type="cellIs" dxfId="1" priority="1177" operator="equal">
      <formula>0</formula>
    </cfRule>
    <cfRule type="cellIs" dxfId="2" priority="1178" operator="lessThan">
      <formula>G57</formula>
    </cfRule>
  </conditionalFormatting>
  <conditionalFormatting sqref="AD58">
    <cfRule type="cellIs" dxfId="1" priority="1182" operator="equal">
      <formula>0</formula>
    </cfRule>
    <cfRule type="cellIs" dxfId="2" priority="1183" operator="lessThan">
      <formula>G58</formula>
    </cfRule>
  </conditionalFormatting>
  <conditionalFormatting sqref="AD59">
    <cfRule type="cellIs" dxfId="1" priority="1187" operator="equal">
      <formula>0</formula>
    </cfRule>
    <cfRule type="cellIs" dxfId="2" priority="1188" operator="lessThan">
      <formula>G59</formula>
    </cfRule>
  </conditionalFormatting>
  <conditionalFormatting sqref="AD60">
    <cfRule type="cellIs" dxfId="1" priority="1192" operator="equal">
      <formula>0</formula>
    </cfRule>
    <cfRule type="cellIs" dxfId="2" priority="1193" operator="lessThan">
      <formula>G60</formula>
    </cfRule>
  </conditionalFormatting>
  <conditionalFormatting sqref="AD61">
    <cfRule type="cellIs" dxfId="1" priority="1197" operator="equal">
      <formula>0</formula>
    </cfRule>
    <cfRule type="cellIs" dxfId="2" priority="1198" operator="lessThan">
      <formula>G61</formula>
    </cfRule>
  </conditionalFormatting>
  <conditionalFormatting sqref="AD62">
    <cfRule type="cellIs" dxfId="1" priority="1202" operator="equal">
      <formula>0</formula>
    </cfRule>
    <cfRule type="cellIs" dxfId="2" priority="1203" operator="lessThan">
      <formula>G62</formula>
    </cfRule>
  </conditionalFormatting>
  <conditionalFormatting sqref="AD64">
    <cfRule type="cellIs" dxfId="1" priority="1207" operator="equal">
      <formula>0</formula>
    </cfRule>
    <cfRule type="cellIs" dxfId="2" priority="1208" operator="lessThan">
      <formula>G64</formula>
    </cfRule>
  </conditionalFormatting>
  <conditionalFormatting sqref="AD65">
    <cfRule type="cellIs" dxfId="1" priority="1212" operator="equal">
      <formula>0</formula>
    </cfRule>
    <cfRule type="cellIs" dxfId="2" priority="1213" operator="lessThan">
      <formula>G65</formula>
    </cfRule>
  </conditionalFormatting>
  <conditionalFormatting sqref="AD66">
    <cfRule type="cellIs" dxfId="1" priority="1217" operator="equal">
      <formula>0</formula>
    </cfRule>
    <cfRule type="cellIs" dxfId="2" priority="1218" operator="lessThan">
      <formula>G66</formula>
    </cfRule>
  </conditionalFormatting>
  <conditionalFormatting sqref="AD67">
    <cfRule type="cellIs" dxfId="1" priority="1222" operator="equal">
      <formula>0</formula>
    </cfRule>
    <cfRule type="cellIs" dxfId="2" priority="1223" operator="lessThan">
      <formula>G67</formula>
    </cfRule>
  </conditionalFormatting>
  <conditionalFormatting sqref="AD68">
    <cfRule type="cellIs" dxfId="1" priority="1227" operator="equal">
      <formula>0</formula>
    </cfRule>
    <cfRule type="cellIs" dxfId="2" priority="1228" operator="lessThan">
      <formula>G68</formula>
    </cfRule>
  </conditionalFormatting>
  <conditionalFormatting sqref="AD69">
    <cfRule type="cellIs" dxfId="1" priority="1232" operator="equal">
      <formula>0</formula>
    </cfRule>
    <cfRule type="cellIs" dxfId="2" priority="1233" operator="lessThan">
      <formula>G69</formula>
    </cfRule>
  </conditionalFormatting>
  <conditionalFormatting sqref="AD7">
    <cfRule type="cellIs" dxfId="1" priority="947" operator="equal">
      <formula>0</formula>
    </cfRule>
    <cfRule type="cellIs" dxfId="2" priority="948" operator="lessThan">
      <formula>G7</formula>
    </cfRule>
  </conditionalFormatting>
  <conditionalFormatting sqref="AD70">
    <cfRule type="cellIs" dxfId="1" priority="1237" operator="equal">
      <formula>0</formula>
    </cfRule>
    <cfRule type="cellIs" dxfId="2" priority="1238" operator="lessThan">
      <formula>G70</formula>
    </cfRule>
  </conditionalFormatting>
  <conditionalFormatting sqref="AD71">
    <cfRule type="cellIs" dxfId="1" priority="1242" operator="equal">
      <formula>0</formula>
    </cfRule>
    <cfRule type="cellIs" dxfId="2" priority="1243" operator="lessThan">
      <formula>G71</formula>
    </cfRule>
  </conditionalFormatting>
  <conditionalFormatting sqref="AD72">
    <cfRule type="cellIs" dxfId="1" priority="1247" operator="equal">
      <formula>0</formula>
    </cfRule>
    <cfRule type="cellIs" dxfId="2" priority="1248" operator="lessThan">
      <formula>G72</formula>
    </cfRule>
  </conditionalFormatting>
  <conditionalFormatting sqref="AD73">
    <cfRule type="cellIs" dxfId="1" priority="1252" operator="equal">
      <formula>0</formula>
    </cfRule>
    <cfRule type="cellIs" dxfId="2" priority="1253" operator="lessThan">
      <formula>G73</formula>
    </cfRule>
  </conditionalFormatting>
  <conditionalFormatting sqref="AD74">
    <cfRule type="cellIs" dxfId="1" priority="1257" operator="equal">
      <formula>0</formula>
    </cfRule>
    <cfRule type="cellIs" dxfId="2" priority="1258" operator="lessThan">
      <formula>G74</formula>
    </cfRule>
  </conditionalFormatting>
  <conditionalFormatting sqref="AD75">
    <cfRule type="cellIs" dxfId="1" priority="1262" operator="equal">
      <formula>0</formula>
    </cfRule>
    <cfRule type="cellIs" dxfId="2" priority="1263" operator="lessThan">
      <formula>G75</formula>
    </cfRule>
  </conditionalFormatting>
  <conditionalFormatting sqref="AD76">
    <cfRule type="cellIs" dxfId="1" priority="1267" operator="equal">
      <formula>0</formula>
    </cfRule>
    <cfRule type="cellIs" dxfId="2" priority="1268" operator="lessThan">
      <formula>G76</formula>
    </cfRule>
  </conditionalFormatting>
  <conditionalFormatting sqref="AD77">
    <cfRule type="cellIs" dxfId="1" priority="1272" operator="equal">
      <formula>0</formula>
    </cfRule>
    <cfRule type="cellIs" dxfId="2" priority="1273" operator="lessThan">
      <formula>G77</formula>
    </cfRule>
  </conditionalFormatting>
  <conditionalFormatting sqref="AD78">
    <cfRule type="cellIs" dxfId="1" priority="1277" operator="equal">
      <formula>0</formula>
    </cfRule>
    <cfRule type="cellIs" dxfId="2" priority="1278" operator="lessThan">
      <formula>G78</formula>
    </cfRule>
  </conditionalFormatting>
  <conditionalFormatting sqref="AD79">
    <cfRule type="cellIs" dxfId="1" priority="1282" operator="equal">
      <formula>0</formula>
    </cfRule>
    <cfRule type="cellIs" dxfId="2" priority="1283" operator="lessThan">
      <formula>G79</formula>
    </cfRule>
  </conditionalFormatting>
  <conditionalFormatting sqref="AD8">
    <cfRule type="cellIs" dxfId="1" priority="952" operator="equal">
      <formula>0</formula>
    </cfRule>
    <cfRule type="cellIs" dxfId="2" priority="953" operator="lessThan">
      <formula>G8</formula>
    </cfRule>
  </conditionalFormatting>
  <conditionalFormatting sqref="AD9">
    <cfRule type="cellIs" dxfId="1" priority="957" operator="equal">
      <formula>0</formula>
    </cfRule>
    <cfRule type="cellIs" dxfId="2" priority="958" operator="lessThan">
      <formula>G9</formula>
    </cfRule>
  </conditionalFormatting>
  <conditionalFormatting sqref="AE10">
    <cfRule type="cellIs" dxfId="1" priority="964" operator="greaterThan">
      <formula>AD10</formula>
    </cfRule>
  </conditionalFormatting>
  <conditionalFormatting sqref="AE11">
    <cfRule type="cellIs" dxfId="1" priority="969" operator="greaterThan">
      <formula>AD11</formula>
    </cfRule>
  </conditionalFormatting>
  <conditionalFormatting sqref="AE12">
    <cfRule type="cellIs" dxfId="1" priority="974" operator="greaterThan">
      <formula>AD12</formula>
    </cfRule>
  </conditionalFormatting>
  <conditionalFormatting sqref="AE13">
    <cfRule type="cellIs" dxfId="1" priority="979" operator="greaterThan">
      <formula>AD13</formula>
    </cfRule>
  </conditionalFormatting>
  <conditionalFormatting sqref="AE14">
    <cfRule type="cellIs" dxfId="1" priority="984" operator="greaterThan">
      <formula>AD14</formula>
    </cfRule>
  </conditionalFormatting>
  <conditionalFormatting sqref="AE15">
    <cfRule type="cellIs" dxfId="1" priority="989" operator="greaterThan">
      <formula>AD15</formula>
    </cfRule>
  </conditionalFormatting>
  <conditionalFormatting sqref="AE16">
    <cfRule type="cellIs" dxfId="1" priority="994" operator="greaterThan">
      <formula>AD16</formula>
    </cfRule>
  </conditionalFormatting>
  <conditionalFormatting sqref="AE17">
    <cfRule type="cellIs" dxfId="1" priority="999" operator="greaterThan">
      <formula>AD17</formula>
    </cfRule>
  </conditionalFormatting>
  <conditionalFormatting sqref="AE18">
    <cfRule type="cellIs" dxfId="1" priority="1004" operator="greaterThan">
      <formula>AD18</formula>
    </cfRule>
  </conditionalFormatting>
  <conditionalFormatting sqref="AE19">
    <cfRule type="cellIs" dxfId="1" priority="1009" operator="greaterThan">
      <formula>AD19</formula>
    </cfRule>
  </conditionalFormatting>
  <conditionalFormatting sqref="AE20">
    <cfRule type="cellIs" dxfId="1" priority="1014" operator="greaterThan">
      <formula>AD20</formula>
    </cfRule>
  </conditionalFormatting>
  <conditionalFormatting sqref="AE21">
    <cfRule type="cellIs" dxfId="1" priority="1019" operator="greaterThan">
      <formula>AD21</formula>
    </cfRule>
  </conditionalFormatting>
  <conditionalFormatting sqref="AE22">
    <cfRule type="cellIs" dxfId="1" priority="1024" operator="greaterThan">
      <formula>AD22</formula>
    </cfRule>
  </conditionalFormatting>
  <conditionalFormatting sqref="AE23">
    <cfRule type="cellIs" dxfId="1" priority="1029" operator="greaterThan">
      <formula>AD23</formula>
    </cfRule>
  </conditionalFormatting>
  <conditionalFormatting sqref="AE24">
    <cfRule type="cellIs" dxfId="1" priority="1034" operator="greaterThan">
      <formula>AD24</formula>
    </cfRule>
  </conditionalFormatting>
  <conditionalFormatting sqref="AE26">
    <cfRule type="cellIs" dxfId="1" priority="1039" operator="greaterThan">
      <formula>AD26</formula>
    </cfRule>
  </conditionalFormatting>
  <conditionalFormatting sqref="AE28">
    <cfRule type="cellIs" dxfId="1" priority="1044" operator="greaterThan">
      <formula>AD28</formula>
    </cfRule>
  </conditionalFormatting>
  <conditionalFormatting sqref="AE29">
    <cfRule type="cellIs" dxfId="1" priority="1049" operator="greaterThan">
      <formula>AD29</formula>
    </cfRule>
  </conditionalFormatting>
  <conditionalFormatting sqref="AE32">
    <cfRule type="cellIs" dxfId="1" priority="1054" operator="greaterThan">
      <formula>AD32</formula>
    </cfRule>
  </conditionalFormatting>
  <conditionalFormatting sqref="AE33">
    <cfRule type="cellIs" dxfId="1" priority="1059" operator="greaterThan">
      <formula>AD33</formula>
    </cfRule>
  </conditionalFormatting>
  <conditionalFormatting sqref="AE34">
    <cfRule type="cellIs" dxfId="1" priority="1064" operator="greaterThan">
      <formula>AD34</formula>
    </cfRule>
  </conditionalFormatting>
  <conditionalFormatting sqref="AE35">
    <cfRule type="cellIs" dxfId="1" priority="1069" operator="greaterThan">
      <formula>AD35</formula>
    </cfRule>
  </conditionalFormatting>
  <conditionalFormatting sqref="AE36">
    <cfRule type="cellIs" dxfId="1" priority="1074" operator="greaterThan">
      <formula>AD36</formula>
    </cfRule>
  </conditionalFormatting>
  <conditionalFormatting sqref="AE37">
    <cfRule type="cellIs" dxfId="1" priority="1079" operator="greaterThan">
      <formula>AD37</formula>
    </cfRule>
  </conditionalFormatting>
  <conditionalFormatting sqref="AE38">
    <cfRule type="cellIs" dxfId="1" priority="1084" operator="greaterThan">
      <formula>AD38</formula>
    </cfRule>
  </conditionalFormatting>
  <conditionalFormatting sqref="AE39">
    <cfRule type="cellIs" dxfId="1" priority="1089" operator="greaterThan">
      <formula>AD39</formula>
    </cfRule>
  </conditionalFormatting>
  <conditionalFormatting sqref="AE40">
    <cfRule type="cellIs" dxfId="1" priority="1094" operator="greaterThan">
      <formula>AD40</formula>
    </cfRule>
  </conditionalFormatting>
  <conditionalFormatting sqref="AE41">
    <cfRule type="cellIs" dxfId="1" priority="1099" operator="greaterThan">
      <formula>AD41</formula>
    </cfRule>
  </conditionalFormatting>
  <conditionalFormatting sqref="AE42">
    <cfRule type="cellIs" dxfId="1" priority="1104" operator="greaterThan">
      <formula>AD42</formula>
    </cfRule>
  </conditionalFormatting>
  <conditionalFormatting sqref="AE43">
    <cfRule type="cellIs" dxfId="1" priority="1109" operator="greaterThan">
      <formula>AD43</formula>
    </cfRule>
  </conditionalFormatting>
  <conditionalFormatting sqref="AE44">
    <cfRule type="cellIs" dxfId="1" priority="1114" operator="greaterThan">
      <formula>AD44</formula>
    </cfRule>
  </conditionalFormatting>
  <conditionalFormatting sqref="AE45">
    <cfRule type="cellIs" dxfId="1" priority="1119" operator="greaterThan">
      <formula>AD45</formula>
    </cfRule>
  </conditionalFormatting>
  <conditionalFormatting sqref="AE46">
    <cfRule type="cellIs" dxfId="1" priority="1124" operator="greaterThan">
      <formula>AD46</formula>
    </cfRule>
  </conditionalFormatting>
  <conditionalFormatting sqref="AE47">
    <cfRule type="cellIs" dxfId="1" priority="1129" operator="greaterThan">
      <formula>AD47</formula>
    </cfRule>
  </conditionalFormatting>
  <conditionalFormatting sqref="AE48">
    <cfRule type="cellIs" dxfId="1" priority="1134" operator="greaterThan">
      <formula>AD48</formula>
    </cfRule>
  </conditionalFormatting>
  <conditionalFormatting sqref="AE49">
    <cfRule type="cellIs" dxfId="1" priority="1139" operator="greaterThan">
      <formula>AD49</formula>
    </cfRule>
  </conditionalFormatting>
  <conditionalFormatting sqref="AE50">
    <cfRule type="cellIs" dxfId="1" priority="1144" operator="greaterThan">
      <formula>AD50</formula>
    </cfRule>
  </conditionalFormatting>
  <conditionalFormatting sqref="AE51">
    <cfRule type="cellIs" dxfId="1" priority="1149" operator="greaterThan">
      <formula>AD51</formula>
    </cfRule>
  </conditionalFormatting>
  <conditionalFormatting sqref="AE52">
    <cfRule type="cellIs" dxfId="1" priority="1154" operator="greaterThan">
      <formula>AD52</formula>
    </cfRule>
  </conditionalFormatting>
  <conditionalFormatting sqref="AE53">
    <cfRule type="cellIs" dxfId="1" priority="1159" operator="greaterThan">
      <formula>AD53</formula>
    </cfRule>
  </conditionalFormatting>
  <conditionalFormatting sqref="AE54">
    <cfRule type="cellIs" dxfId="1" priority="1164" operator="greaterThan">
      <formula>AD54</formula>
    </cfRule>
  </conditionalFormatting>
  <conditionalFormatting sqref="AE55">
    <cfRule type="cellIs" dxfId="1" priority="1169" operator="greaterThan">
      <formula>AD55</formula>
    </cfRule>
  </conditionalFormatting>
  <conditionalFormatting sqref="AE56">
    <cfRule type="cellIs" dxfId="1" priority="1174" operator="greaterThan">
      <formula>AD56</formula>
    </cfRule>
  </conditionalFormatting>
  <conditionalFormatting sqref="AE57">
    <cfRule type="cellIs" dxfId="1" priority="1179" operator="greaterThan">
      <formula>AD57</formula>
    </cfRule>
  </conditionalFormatting>
  <conditionalFormatting sqref="AE58">
    <cfRule type="cellIs" dxfId="1" priority="1184" operator="greaterThan">
      <formula>AD58</formula>
    </cfRule>
  </conditionalFormatting>
  <conditionalFormatting sqref="AE59">
    <cfRule type="cellIs" dxfId="1" priority="1189" operator="greaterThan">
      <formula>AD59</formula>
    </cfRule>
  </conditionalFormatting>
  <conditionalFormatting sqref="AE60">
    <cfRule type="cellIs" dxfId="1" priority="1194" operator="greaterThan">
      <formula>AD60</formula>
    </cfRule>
  </conditionalFormatting>
  <conditionalFormatting sqref="AE61">
    <cfRule type="cellIs" dxfId="1" priority="1199" operator="greaterThan">
      <formula>AD61</formula>
    </cfRule>
  </conditionalFormatting>
  <conditionalFormatting sqref="AE62">
    <cfRule type="cellIs" dxfId="1" priority="1204" operator="greaterThan">
      <formula>AD62</formula>
    </cfRule>
  </conditionalFormatting>
  <conditionalFormatting sqref="AE64">
    <cfRule type="cellIs" dxfId="1" priority="1209" operator="greaterThan">
      <formula>AD64</formula>
    </cfRule>
  </conditionalFormatting>
  <conditionalFormatting sqref="AE65">
    <cfRule type="cellIs" dxfId="1" priority="1214" operator="greaterThan">
      <formula>AD65</formula>
    </cfRule>
  </conditionalFormatting>
  <conditionalFormatting sqref="AE66">
    <cfRule type="cellIs" dxfId="1" priority="1219" operator="greaterThan">
      <formula>AD66</formula>
    </cfRule>
  </conditionalFormatting>
  <conditionalFormatting sqref="AE67">
    <cfRule type="cellIs" dxfId="1" priority="1224" operator="greaterThan">
      <formula>AD67</formula>
    </cfRule>
  </conditionalFormatting>
  <conditionalFormatting sqref="AE68">
    <cfRule type="cellIs" dxfId="1" priority="1229" operator="greaterThan">
      <formula>AD68</formula>
    </cfRule>
  </conditionalFormatting>
  <conditionalFormatting sqref="AE69">
    <cfRule type="cellIs" dxfId="1" priority="1234" operator="greaterThan">
      <formula>AD69</formula>
    </cfRule>
  </conditionalFormatting>
  <conditionalFormatting sqref="AE7">
    <cfRule type="cellIs" dxfId="1" priority="949" operator="greaterThan">
      <formula>AD7</formula>
    </cfRule>
  </conditionalFormatting>
  <conditionalFormatting sqref="AE70">
    <cfRule type="cellIs" dxfId="1" priority="1239" operator="greaterThan">
      <formula>AD70</formula>
    </cfRule>
  </conditionalFormatting>
  <conditionalFormatting sqref="AE71">
    <cfRule type="cellIs" dxfId="1" priority="1244" operator="greaterThan">
      <formula>AD71</formula>
    </cfRule>
  </conditionalFormatting>
  <conditionalFormatting sqref="AE72">
    <cfRule type="cellIs" dxfId="1" priority="1249" operator="greaterThan">
      <formula>AD72</formula>
    </cfRule>
  </conditionalFormatting>
  <conditionalFormatting sqref="AE73">
    <cfRule type="cellIs" dxfId="1" priority="1254" operator="greaterThan">
      <formula>AD73</formula>
    </cfRule>
  </conditionalFormatting>
  <conditionalFormatting sqref="AE74">
    <cfRule type="cellIs" dxfId="1" priority="1259" operator="greaterThan">
      <formula>AD74</formula>
    </cfRule>
  </conditionalFormatting>
  <conditionalFormatting sqref="AE75">
    <cfRule type="cellIs" dxfId="1" priority="1264" operator="greaterThan">
      <formula>AD75</formula>
    </cfRule>
  </conditionalFormatting>
  <conditionalFormatting sqref="AE76">
    <cfRule type="cellIs" dxfId="1" priority="1269" operator="greaterThan">
      <formula>AD76</formula>
    </cfRule>
  </conditionalFormatting>
  <conditionalFormatting sqref="AE77">
    <cfRule type="cellIs" dxfId="1" priority="1274" operator="greaterThan">
      <formula>AD77</formula>
    </cfRule>
  </conditionalFormatting>
  <conditionalFormatting sqref="AE78">
    <cfRule type="cellIs" dxfId="1" priority="1279" operator="greaterThan">
      <formula>AD78</formula>
    </cfRule>
  </conditionalFormatting>
  <conditionalFormatting sqref="AE79">
    <cfRule type="cellIs" dxfId="1" priority="1284" operator="greaterThan">
      <formula>AD79</formula>
    </cfRule>
  </conditionalFormatting>
  <conditionalFormatting sqref="AE8">
    <cfRule type="cellIs" dxfId="1" priority="954" operator="greaterThan">
      <formula>AD8</formula>
    </cfRule>
  </conditionalFormatting>
  <conditionalFormatting sqref="AE9">
    <cfRule type="cellIs" dxfId="1" priority="959" operator="greaterThan">
      <formula>AD9</formula>
    </cfRule>
  </conditionalFormatting>
  <conditionalFormatting sqref="AF10">
    <cfRule type="cellIs" dxfId="4" priority="966" operator="lessThanOrEqual">
      <formula>H10</formula>
    </cfRule>
  </conditionalFormatting>
  <conditionalFormatting sqref="AF11">
    <cfRule type="cellIs" dxfId="4" priority="971" operator="lessThanOrEqual">
      <formula>H11</formula>
    </cfRule>
  </conditionalFormatting>
  <conditionalFormatting sqref="AF12">
    <cfRule type="cellIs" dxfId="4" priority="976" operator="lessThanOrEqual">
      <formula>H12</formula>
    </cfRule>
  </conditionalFormatting>
  <conditionalFormatting sqref="AF13">
    <cfRule type="cellIs" dxfId="4" priority="981" operator="lessThanOrEqual">
      <formula>H13</formula>
    </cfRule>
  </conditionalFormatting>
  <conditionalFormatting sqref="AF14">
    <cfRule type="cellIs" dxfId="4" priority="986" operator="lessThanOrEqual">
      <formula>H14</formula>
    </cfRule>
  </conditionalFormatting>
  <conditionalFormatting sqref="AF15">
    <cfRule type="cellIs" dxfId="4" priority="991" operator="lessThanOrEqual">
      <formula>H15</formula>
    </cfRule>
  </conditionalFormatting>
  <conditionalFormatting sqref="AF16">
    <cfRule type="cellIs" dxfId="4" priority="996" operator="lessThanOrEqual">
      <formula>H16</formula>
    </cfRule>
  </conditionalFormatting>
  <conditionalFormatting sqref="AF17">
    <cfRule type="cellIs" dxfId="4" priority="1001" operator="lessThanOrEqual">
      <formula>H17</formula>
    </cfRule>
  </conditionalFormatting>
  <conditionalFormatting sqref="AF18">
    <cfRule type="cellIs" dxfId="4" priority="1006" operator="lessThanOrEqual">
      <formula>H18</formula>
    </cfRule>
  </conditionalFormatting>
  <conditionalFormatting sqref="AF19">
    <cfRule type="cellIs" dxfId="4" priority="1011" operator="lessThanOrEqual">
      <formula>H19</formula>
    </cfRule>
  </conditionalFormatting>
  <conditionalFormatting sqref="AF20">
    <cfRule type="cellIs" dxfId="4" priority="1016" operator="lessThanOrEqual">
      <formula>H20</formula>
    </cfRule>
  </conditionalFormatting>
  <conditionalFormatting sqref="AF21">
    <cfRule type="cellIs" dxfId="4" priority="1021" operator="lessThanOrEqual">
      <formula>H21</formula>
    </cfRule>
  </conditionalFormatting>
  <conditionalFormatting sqref="AF22">
    <cfRule type="cellIs" dxfId="4" priority="1026" operator="lessThanOrEqual">
      <formula>H22</formula>
    </cfRule>
  </conditionalFormatting>
  <conditionalFormatting sqref="AF23">
    <cfRule type="cellIs" dxfId="4" priority="1031" operator="lessThanOrEqual">
      <formula>H23</formula>
    </cfRule>
  </conditionalFormatting>
  <conditionalFormatting sqref="AF24">
    <cfRule type="cellIs" dxfId="4" priority="1036" operator="lessThanOrEqual">
      <formula>H24</formula>
    </cfRule>
  </conditionalFormatting>
  <conditionalFormatting sqref="AF26">
    <cfRule type="cellIs" dxfId="4" priority="1041" operator="lessThanOrEqual">
      <formula>H26</formula>
    </cfRule>
  </conditionalFormatting>
  <conditionalFormatting sqref="AF28">
    <cfRule type="cellIs" dxfId="4" priority="1046" operator="lessThanOrEqual">
      <formula>H28</formula>
    </cfRule>
  </conditionalFormatting>
  <conditionalFormatting sqref="AF29">
    <cfRule type="cellIs" dxfId="4" priority="1051" operator="lessThanOrEqual">
      <formula>H29</formula>
    </cfRule>
  </conditionalFormatting>
  <conditionalFormatting sqref="AF32">
    <cfRule type="cellIs" dxfId="4" priority="1056" operator="lessThanOrEqual">
      <formula>H32</formula>
    </cfRule>
  </conditionalFormatting>
  <conditionalFormatting sqref="AF33">
    <cfRule type="cellIs" dxfId="4" priority="1061" operator="lessThanOrEqual">
      <formula>H33</formula>
    </cfRule>
  </conditionalFormatting>
  <conditionalFormatting sqref="AF34">
    <cfRule type="cellIs" dxfId="4" priority="1066" operator="lessThanOrEqual">
      <formula>H34</formula>
    </cfRule>
  </conditionalFormatting>
  <conditionalFormatting sqref="AF35">
    <cfRule type="cellIs" dxfId="4" priority="1071" operator="lessThanOrEqual">
      <formula>H35</formula>
    </cfRule>
  </conditionalFormatting>
  <conditionalFormatting sqref="AF36">
    <cfRule type="cellIs" dxfId="4" priority="1076" operator="lessThanOrEqual">
      <formula>H36</formula>
    </cfRule>
  </conditionalFormatting>
  <conditionalFormatting sqref="AF37">
    <cfRule type="cellIs" dxfId="4" priority="1081" operator="lessThanOrEqual">
      <formula>H37</formula>
    </cfRule>
  </conditionalFormatting>
  <conditionalFormatting sqref="AF38">
    <cfRule type="cellIs" dxfId="4" priority="1086" operator="lessThanOrEqual">
      <formula>H38</formula>
    </cfRule>
  </conditionalFormatting>
  <conditionalFormatting sqref="AF39">
    <cfRule type="cellIs" dxfId="4" priority="1091" operator="lessThanOrEqual">
      <formula>H39</formula>
    </cfRule>
  </conditionalFormatting>
  <conditionalFormatting sqref="AF40">
    <cfRule type="cellIs" dxfId="4" priority="1096" operator="lessThanOrEqual">
      <formula>H40</formula>
    </cfRule>
  </conditionalFormatting>
  <conditionalFormatting sqref="AF41">
    <cfRule type="cellIs" dxfId="4" priority="1101" operator="lessThanOrEqual">
      <formula>H41</formula>
    </cfRule>
  </conditionalFormatting>
  <conditionalFormatting sqref="AF42">
    <cfRule type="cellIs" dxfId="4" priority="1106" operator="lessThanOrEqual">
      <formula>H42</formula>
    </cfRule>
  </conditionalFormatting>
  <conditionalFormatting sqref="AF43">
    <cfRule type="cellIs" dxfId="4" priority="1111" operator="lessThanOrEqual">
      <formula>H43</formula>
    </cfRule>
  </conditionalFormatting>
  <conditionalFormatting sqref="AF44">
    <cfRule type="cellIs" dxfId="4" priority="1116" operator="lessThanOrEqual">
      <formula>H44</formula>
    </cfRule>
  </conditionalFormatting>
  <conditionalFormatting sqref="AF45">
    <cfRule type="cellIs" dxfId="4" priority="1121" operator="lessThanOrEqual">
      <formula>H45</formula>
    </cfRule>
  </conditionalFormatting>
  <conditionalFormatting sqref="AF46">
    <cfRule type="cellIs" dxfId="4" priority="1126" operator="lessThanOrEqual">
      <formula>H46</formula>
    </cfRule>
  </conditionalFormatting>
  <conditionalFormatting sqref="AF47">
    <cfRule type="cellIs" dxfId="4" priority="1131" operator="lessThanOrEqual">
      <formula>H47</formula>
    </cfRule>
  </conditionalFormatting>
  <conditionalFormatting sqref="AF48">
    <cfRule type="cellIs" dxfId="4" priority="1136" operator="lessThanOrEqual">
      <formula>H48</formula>
    </cfRule>
  </conditionalFormatting>
  <conditionalFormatting sqref="AF49">
    <cfRule type="cellIs" dxfId="4" priority="1141" operator="lessThanOrEqual">
      <formula>H49</formula>
    </cfRule>
  </conditionalFormatting>
  <conditionalFormatting sqref="AF50">
    <cfRule type="cellIs" dxfId="4" priority="1146" operator="lessThanOrEqual">
      <formula>H50</formula>
    </cfRule>
  </conditionalFormatting>
  <conditionalFormatting sqref="AF51">
    <cfRule type="cellIs" dxfId="4" priority="1151" operator="lessThanOrEqual">
      <formula>H51</formula>
    </cfRule>
  </conditionalFormatting>
  <conditionalFormatting sqref="AF52">
    <cfRule type="cellIs" dxfId="4" priority="1156" operator="lessThanOrEqual">
      <formula>H52</formula>
    </cfRule>
  </conditionalFormatting>
  <conditionalFormatting sqref="AF53">
    <cfRule type="cellIs" dxfId="4" priority="1161" operator="lessThanOrEqual">
      <formula>H53</formula>
    </cfRule>
  </conditionalFormatting>
  <conditionalFormatting sqref="AF54">
    <cfRule type="cellIs" dxfId="4" priority="1166" operator="lessThanOrEqual">
      <formula>H54</formula>
    </cfRule>
  </conditionalFormatting>
  <conditionalFormatting sqref="AF55">
    <cfRule type="cellIs" dxfId="4" priority="1171" operator="lessThanOrEqual">
      <formula>H55</formula>
    </cfRule>
  </conditionalFormatting>
  <conditionalFormatting sqref="AF56">
    <cfRule type="cellIs" dxfId="4" priority="1176" operator="lessThanOrEqual">
      <formula>H56</formula>
    </cfRule>
  </conditionalFormatting>
  <conditionalFormatting sqref="AF57">
    <cfRule type="cellIs" dxfId="4" priority="1181" operator="lessThanOrEqual">
      <formula>H57</formula>
    </cfRule>
  </conditionalFormatting>
  <conditionalFormatting sqref="AF58">
    <cfRule type="cellIs" dxfId="4" priority="1186" operator="lessThanOrEqual">
      <formula>H58</formula>
    </cfRule>
  </conditionalFormatting>
  <conditionalFormatting sqref="AF59">
    <cfRule type="cellIs" dxfId="4" priority="1191" operator="lessThanOrEqual">
      <formula>H59</formula>
    </cfRule>
  </conditionalFormatting>
  <conditionalFormatting sqref="AF60">
    <cfRule type="cellIs" dxfId="4" priority="1196" operator="lessThanOrEqual">
      <formula>H60</formula>
    </cfRule>
  </conditionalFormatting>
  <conditionalFormatting sqref="AF61">
    <cfRule type="cellIs" dxfId="4" priority="1201" operator="lessThanOrEqual">
      <formula>H61</formula>
    </cfRule>
  </conditionalFormatting>
  <conditionalFormatting sqref="AF62">
    <cfRule type="cellIs" dxfId="4" priority="1206" operator="lessThanOrEqual">
      <formula>H62</formula>
    </cfRule>
  </conditionalFormatting>
  <conditionalFormatting sqref="AF64">
    <cfRule type="cellIs" dxfId="4" priority="1211" operator="lessThanOrEqual">
      <formula>H64</formula>
    </cfRule>
  </conditionalFormatting>
  <conditionalFormatting sqref="AF65">
    <cfRule type="cellIs" dxfId="4" priority="1216" operator="lessThanOrEqual">
      <formula>H65</formula>
    </cfRule>
  </conditionalFormatting>
  <conditionalFormatting sqref="AF66">
    <cfRule type="cellIs" dxfId="4" priority="1221" operator="lessThanOrEqual">
      <formula>H66</formula>
    </cfRule>
  </conditionalFormatting>
  <conditionalFormatting sqref="AF67">
    <cfRule type="cellIs" dxfId="4" priority="1226" operator="lessThanOrEqual">
      <formula>H67</formula>
    </cfRule>
  </conditionalFormatting>
  <conditionalFormatting sqref="AF68">
    <cfRule type="cellIs" dxfId="4" priority="1231" operator="lessThanOrEqual">
      <formula>H68</formula>
    </cfRule>
  </conditionalFormatting>
  <conditionalFormatting sqref="AF69">
    <cfRule type="cellIs" dxfId="4" priority="1236" operator="lessThanOrEqual">
      <formula>H69</formula>
    </cfRule>
  </conditionalFormatting>
  <conditionalFormatting sqref="AF7">
    <cfRule type="cellIs" dxfId="4" priority="951" operator="lessThanOrEqual">
      <formula>H7</formula>
    </cfRule>
  </conditionalFormatting>
  <conditionalFormatting sqref="AF70">
    <cfRule type="cellIs" dxfId="4" priority="1241" operator="lessThanOrEqual">
      <formula>H70</formula>
    </cfRule>
  </conditionalFormatting>
  <conditionalFormatting sqref="AF71">
    <cfRule type="cellIs" dxfId="4" priority="1246" operator="lessThanOrEqual">
      <formula>H71</formula>
    </cfRule>
  </conditionalFormatting>
  <conditionalFormatting sqref="AF72">
    <cfRule type="cellIs" dxfId="4" priority="1251" operator="lessThanOrEqual">
      <formula>H72</formula>
    </cfRule>
  </conditionalFormatting>
  <conditionalFormatting sqref="AF73">
    <cfRule type="cellIs" dxfId="4" priority="1256" operator="lessThanOrEqual">
      <formula>H73</formula>
    </cfRule>
  </conditionalFormatting>
  <conditionalFormatting sqref="AF74">
    <cfRule type="cellIs" dxfId="4" priority="1261" operator="lessThanOrEqual">
      <formula>H74</formula>
    </cfRule>
  </conditionalFormatting>
  <conditionalFormatting sqref="AF75">
    <cfRule type="cellIs" dxfId="4" priority="1266" operator="lessThanOrEqual">
      <formula>H75</formula>
    </cfRule>
  </conditionalFormatting>
  <conditionalFormatting sqref="AF76">
    <cfRule type="cellIs" dxfId="4" priority="1271" operator="lessThanOrEqual">
      <formula>H76</formula>
    </cfRule>
  </conditionalFormatting>
  <conditionalFormatting sqref="AF77">
    <cfRule type="cellIs" dxfId="4" priority="1276" operator="lessThanOrEqual">
      <formula>H77</formula>
    </cfRule>
  </conditionalFormatting>
  <conditionalFormatting sqref="AF78">
    <cfRule type="cellIs" dxfId="4" priority="1281" operator="lessThanOrEqual">
      <formula>H78</formula>
    </cfRule>
  </conditionalFormatting>
  <conditionalFormatting sqref="AF79">
    <cfRule type="cellIs" dxfId="4" priority="1286" operator="lessThanOrEqual">
      <formula>H79</formula>
    </cfRule>
  </conditionalFormatting>
  <conditionalFormatting sqref="AF8">
    <cfRule type="cellIs" dxfId="4" priority="956" operator="lessThanOrEqual">
      <formula>H8</formula>
    </cfRule>
  </conditionalFormatting>
  <conditionalFormatting sqref="AF9">
    <cfRule type="cellIs" dxfId="4" priority="961" operator="lessThanOrEqual">
      <formula>H9</formula>
    </cfRule>
  </conditionalFormatting>
  <conditionalFormatting sqref="AG10">
    <cfRule type="cellIs" dxfId="4" priority="965" operator="lessThanOrEqual">
      <formula>I10</formula>
    </cfRule>
  </conditionalFormatting>
  <conditionalFormatting sqref="AG11">
    <cfRule type="cellIs" dxfId="4" priority="970" operator="lessThanOrEqual">
      <formula>I11</formula>
    </cfRule>
  </conditionalFormatting>
  <conditionalFormatting sqref="AG12">
    <cfRule type="cellIs" dxfId="4" priority="975" operator="lessThanOrEqual">
      <formula>I12</formula>
    </cfRule>
  </conditionalFormatting>
  <conditionalFormatting sqref="AG13">
    <cfRule type="cellIs" dxfId="4" priority="980" operator="lessThanOrEqual">
      <formula>I13</formula>
    </cfRule>
  </conditionalFormatting>
  <conditionalFormatting sqref="AG14">
    <cfRule type="cellIs" dxfId="4" priority="985" operator="lessThanOrEqual">
      <formula>I14</formula>
    </cfRule>
  </conditionalFormatting>
  <conditionalFormatting sqref="AG15">
    <cfRule type="cellIs" dxfId="4" priority="990" operator="lessThanOrEqual">
      <formula>I15</formula>
    </cfRule>
  </conditionalFormatting>
  <conditionalFormatting sqref="AG16">
    <cfRule type="cellIs" dxfId="4" priority="995" operator="lessThanOrEqual">
      <formula>I16</formula>
    </cfRule>
  </conditionalFormatting>
  <conditionalFormatting sqref="AG17">
    <cfRule type="cellIs" dxfId="4" priority="1000" operator="lessThanOrEqual">
      <formula>I17</formula>
    </cfRule>
  </conditionalFormatting>
  <conditionalFormatting sqref="AG18">
    <cfRule type="cellIs" dxfId="4" priority="1005" operator="lessThanOrEqual">
      <formula>I18</formula>
    </cfRule>
  </conditionalFormatting>
  <conditionalFormatting sqref="AG19">
    <cfRule type="cellIs" dxfId="4" priority="1010" operator="lessThanOrEqual">
      <formula>I19</formula>
    </cfRule>
  </conditionalFormatting>
  <conditionalFormatting sqref="AG20">
    <cfRule type="cellIs" dxfId="4" priority="1015" operator="lessThanOrEqual">
      <formula>I20</formula>
    </cfRule>
  </conditionalFormatting>
  <conditionalFormatting sqref="AG21">
    <cfRule type="cellIs" dxfId="4" priority="1020" operator="lessThanOrEqual">
      <formula>I21</formula>
    </cfRule>
  </conditionalFormatting>
  <conditionalFormatting sqref="AG22">
    <cfRule type="cellIs" dxfId="4" priority="1025" operator="lessThanOrEqual">
      <formula>I22</formula>
    </cfRule>
  </conditionalFormatting>
  <conditionalFormatting sqref="AG23">
    <cfRule type="cellIs" dxfId="4" priority="1030" operator="lessThanOrEqual">
      <formula>I23</formula>
    </cfRule>
  </conditionalFormatting>
  <conditionalFormatting sqref="AG24">
    <cfRule type="cellIs" dxfId="4" priority="1035" operator="lessThanOrEqual">
      <formula>I24</formula>
    </cfRule>
  </conditionalFormatting>
  <conditionalFormatting sqref="AG26">
    <cfRule type="cellIs" dxfId="4" priority="1040" operator="lessThanOrEqual">
      <formula>I26</formula>
    </cfRule>
  </conditionalFormatting>
  <conditionalFormatting sqref="AG28">
    <cfRule type="cellIs" dxfId="4" priority="1045" operator="lessThanOrEqual">
      <formula>I28</formula>
    </cfRule>
  </conditionalFormatting>
  <conditionalFormatting sqref="AG29">
    <cfRule type="cellIs" dxfId="4" priority="1050" operator="lessThanOrEqual">
      <formula>I29</formula>
    </cfRule>
  </conditionalFormatting>
  <conditionalFormatting sqref="AG32">
    <cfRule type="cellIs" dxfId="4" priority="1055" operator="lessThanOrEqual">
      <formula>I32</formula>
    </cfRule>
  </conditionalFormatting>
  <conditionalFormatting sqref="AG33">
    <cfRule type="cellIs" dxfId="4" priority="1060" operator="lessThanOrEqual">
      <formula>I33</formula>
    </cfRule>
  </conditionalFormatting>
  <conditionalFormatting sqref="AG34">
    <cfRule type="cellIs" dxfId="4" priority="1065" operator="lessThanOrEqual">
      <formula>I34</formula>
    </cfRule>
  </conditionalFormatting>
  <conditionalFormatting sqref="AG35">
    <cfRule type="cellIs" dxfId="4" priority="1070" operator="lessThanOrEqual">
      <formula>I35</formula>
    </cfRule>
  </conditionalFormatting>
  <conditionalFormatting sqref="AG36">
    <cfRule type="cellIs" dxfId="4" priority="1075" operator="lessThanOrEqual">
      <formula>I36</formula>
    </cfRule>
  </conditionalFormatting>
  <conditionalFormatting sqref="AG37">
    <cfRule type="cellIs" dxfId="4" priority="1080" operator="lessThanOrEqual">
      <formula>I37</formula>
    </cfRule>
  </conditionalFormatting>
  <conditionalFormatting sqref="AG38">
    <cfRule type="cellIs" dxfId="4" priority="1085" operator="lessThanOrEqual">
      <formula>I38</formula>
    </cfRule>
  </conditionalFormatting>
  <conditionalFormatting sqref="AG39">
    <cfRule type="cellIs" dxfId="4" priority="1090" operator="lessThanOrEqual">
      <formula>I39</formula>
    </cfRule>
  </conditionalFormatting>
  <conditionalFormatting sqref="AG40">
    <cfRule type="cellIs" dxfId="4" priority="1095" operator="lessThanOrEqual">
      <formula>I40</formula>
    </cfRule>
  </conditionalFormatting>
  <conditionalFormatting sqref="AG41">
    <cfRule type="cellIs" dxfId="4" priority="1100" operator="lessThanOrEqual">
      <formula>I41</formula>
    </cfRule>
  </conditionalFormatting>
  <conditionalFormatting sqref="AG42">
    <cfRule type="cellIs" dxfId="4" priority="1105" operator="lessThanOrEqual">
      <formula>I42</formula>
    </cfRule>
  </conditionalFormatting>
  <conditionalFormatting sqref="AG43">
    <cfRule type="cellIs" dxfId="4" priority="1110" operator="lessThanOrEqual">
      <formula>I43</formula>
    </cfRule>
  </conditionalFormatting>
  <conditionalFormatting sqref="AG44">
    <cfRule type="cellIs" dxfId="4" priority="1115" operator="lessThanOrEqual">
      <formula>I44</formula>
    </cfRule>
  </conditionalFormatting>
  <conditionalFormatting sqref="AG45">
    <cfRule type="cellIs" dxfId="4" priority="1120" operator="lessThanOrEqual">
      <formula>I45</formula>
    </cfRule>
  </conditionalFormatting>
  <conditionalFormatting sqref="AG46">
    <cfRule type="cellIs" dxfId="4" priority="1125" operator="lessThanOrEqual">
      <formula>I46</formula>
    </cfRule>
  </conditionalFormatting>
  <conditionalFormatting sqref="AG47">
    <cfRule type="cellIs" dxfId="4" priority="1130" operator="lessThanOrEqual">
      <formula>I47</formula>
    </cfRule>
  </conditionalFormatting>
  <conditionalFormatting sqref="AG48">
    <cfRule type="cellIs" dxfId="4" priority="1135" operator="lessThanOrEqual">
      <formula>I48</formula>
    </cfRule>
  </conditionalFormatting>
  <conditionalFormatting sqref="AG49">
    <cfRule type="cellIs" dxfId="4" priority="1140" operator="lessThanOrEqual">
      <formula>I49</formula>
    </cfRule>
  </conditionalFormatting>
  <conditionalFormatting sqref="AG50">
    <cfRule type="cellIs" dxfId="4" priority="1145" operator="lessThanOrEqual">
      <formula>I50</formula>
    </cfRule>
  </conditionalFormatting>
  <conditionalFormatting sqref="AG51">
    <cfRule type="cellIs" dxfId="4" priority="1150" operator="lessThanOrEqual">
      <formula>I51</formula>
    </cfRule>
  </conditionalFormatting>
  <conditionalFormatting sqref="AG52">
    <cfRule type="cellIs" dxfId="4" priority="1155" operator="lessThanOrEqual">
      <formula>I52</formula>
    </cfRule>
  </conditionalFormatting>
  <conditionalFormatting sqref="AG53">
    <cfRule type="cellIs" dxfId="4" priority="1160" operator="lessThanOrEqual">
      <formula>I53</formula>
    </cfRule>
  </conditionalFormatting>
  <conditionalFormatting sqref="AG54">
    <cfRule type="cellIs" dxfId="4" priority="1165" operator="lessThanOrEqual">
      <formula>I54</formula>
    </cfRule>
  </conditionalFormatting>
  <conditionalFormatting sqref="AG55">
    <cfRule type="cellIs" dxfId="4" priority="1170" operator="lessThanOrEqual">
      <formula>I55</formula>
    </cfRule>
  </conditionalFormatting>
  <conditionalFormatting sqref="AG56">
    <cfRule type="cellIs" dxfId="4" priority="1175" operator="lessThanOrEqual">
      <formula>I56</formula>
    </cfRule>
  </conditionalFormatting>
  <conditionalFormatting sqref="AG57">
    <cfRule type="cellIs" dxfId="4" priority="1180" operator="lessThanOrEqual">
      <formula>I57</formula>
    </cfRule>
  </conditionalFormatting>
  <conditionalFormatting sqref="AG58">
    <cfRule type="cellIs" dxfId="4" priority="1185" operator="lessThanOrEqual">
      <formula>I58</formula>
    </cfRule>
  </conditionalFormatting>
  <conditionalFormatting sqref="AG59">
    <cfRule type="cellIs" dxfId="4" priority="1190" operator="lessThanOrEqual">
      <formula>I59</formula>
    </cfRule>
  </conditionalFormatting>
  <conditionalFormatting sqref="AG60">
    <cfRule type="cellIs" dxfId="4" priority="1195" operator="lessThanOrEqual">
      <formula>I60</formula>
    </cfRule>
  </conditionalFormatting>
  <conditionalFormatting sqref="AG61">
    <cfRule type="cellIs" dxfId="4" priority="1200" operator="lessThanOrEqual">
      <formula>I61</formula>
    </cfRule>
  </conditionalFormatting>
  <conditionalFormatting sqref="AG62">
    <cfRule type="cellIs" dxfId="4" priority="1205" operator="lessThanOrEqual">
      <formula>I62</formula>
    </cfRule>
  </conditionalFormatting>
  <conditionalFormatting sqref="AG64">
    <cfRule type="cellIs" dxfId="4" priority="1210" operator="lessThanOrEqual">
      <formula>I64</formula>
    </cfRule>
  </conditionalFormatting>
  <conditionalFormatting sqref="AG65">
    <cfRule type="cellIs" dxfId="4" priority="1215" operator="lessThanOrEqual">
      <formula>I65</formula>
    </cfRule>
  </conditionalFormatting>
  <conditionalFormatting sqref="AG66">
    <cfRule type="cellIs" dxfId="4" priority="1220" operator="lessThanOrEqual">
      <formula>I66</formula>
    </cfRule>
  </conditionalFormatting>
  <conditionalFormatting sqref="AG67">
    <cfRule type="cellIs" dxfId="4" priority="1225" operator="lessThanOrEqual">
      <formula>I67</formula>
    </cfRule>
  </conditionalFormatting>
  <conditionalFormatting sqref="AG68">
    <cfRule type="cellIs" dxfId="4" priority="1230" operator="lessThanOrEqual">
      <formula>I68</formula>
    </cfRule>
  </conditionalFormatting>
  <conditionalFormatting sqref="AG69">
    <cfRule type="cellIs" dxfId="4" priority="1235" operator="lessThanOrEqual">
      <formula>I69</formula>
    </cfRule>
  </conditionalFormatting>
  <conditionalFormatting sqref="AG7">
    <cfRule type="cellIs" dxfId="4" priority="950" operator="lessThanOrEqual">
      <formula>I7</formula>
    </cfRule>
  </conditionalFormatting>
  <conditionalFormatting sqref="AG70">
    <cfRule type="cellIs" dxfId="4" priority="1240" operator="lessThanOrEqual">
      <formula>I70</formula>
    </cfRule>
  </conditionalFormatting>
  <conditionalFormatting sqref="AG71">
    <cfRule type="cellIs" dxfId="4" priority="1245" operator="lessThanOrEqual">
      <formula>I71</formula>
    </cfRule>
  </conditionalFormatting>
  <conditionalFormatting sqref="AG72">
    <cfRule type="cellIs" dxfId="4" priority="1250" operator="lessThanOrEqual">
      <formula>I72</formula>
    </cfRule>
  </conditionalFormatting>
  <conditionalFormatting sqref="AG73">
    <cfRule type="cellIs" dxfId="4" priority="1255" operator="lessThanOrEqual">
      <formula>I73</formula>
    </cfRule>
  </conditionalFormatting>
  <conditionalFormatting sqref="AG74">
    <cfRule type="cellIs" dxfId="4" priority="1260" operator="lessThanOrEqual">
      <formula>I74</formula>
    </cfRule>
  </conditionalFormatting>
  <conditionalFormatting sqref="AG75">
    <cfRule type="cellIs" dxfId="4" priority="1265" operator="lessThanOrEqual">
      <formula>I75</formula>
    </cfRule>
  </conditionalFormatting>
  <conditionalFormatting sqref="AG76">
    <cfRule type="cellIs" dxfId="4" priority="1270" operator="lessThanOrEqual">
      <formula>I76</formula>
    </cfRule>
  </conditionalFormatting>
  <conditionalFormatting sqref="AG77">
    <cfRule type="cellIs" dxfId="4" priority="1275" operator="lessThanOrEqual">
      <formula>I77</formula>
    </cfRule>
  </conditionalFormatting>
  <conditionalFormatting sqref="AG78">
    <cfRule type="cellIs" dxfId="4" priority="1280" operator="lessThanOrEqual">
      <formula>I78</formula>
    </cfRule>
  </conditionalFormatting>
  <conditionalFormatting sqref="AG79">
    <cfRule type="cellIs" dxfId="4" priority="1285" operator="lessThanOrEqual">
      <formula>I79</formula>
    </cfRule>
  </conditionalFormatting>
  <conditionalFormatting sqref="AG8">
    <cfRule type="cellIs" dxfId="4" priority="955" operator="lessThanOrEqual">
      <formula>I8</formula>
    </cfRule>
  </conditionalFormatting>
  <conditionalFormatting sqref="AG9">
    <cfRule type="cellIs" dxfId="4" priority="960" operator="lessThanOrEqual">
      <formula>I9</formula>
    </cfRule>
  </conditionalFormatting>
  <conditionalFormatting sqref="AI10">
    <cfRule type="cellIs" dxfId="1" priority="1303" operator="equal">
      <formula>0</formula>
    </cfRule>
    <cfRule type="cellIs" dxfId="2" priority="1304" operator="lessThan">
      <formula>G10</formula>
    </cfRule>
  </conditionalFormatting>
  <conditionalFormatting sqref="AI14">
    <cfRule type="cellIs" dxfId="1" priority="1309" operator="equal">
      <formula>0</formula>
    </cfRule>
    <cfRule type="cellIs" dxfId="2" priority="1310" operator="lessThan">
      <formula>G14</formula>
    </cfRule>
  </conditionalFormatting>
  <conditionalFormatting sqref="AI16">
    <cfRule type="cellIs" dxfId="1" priority="1315" operator="equal">
      <formula>0</formula>
    </cfRule>
    <cfRule type="cellIs" dxfId="2" priority="1316" operator="lessThan">
      <formula>G16</formula>
    </cfRule>
  </conditionalFormatting>
  <conditionalFormatting sqref="AI17">
    <cfRule type="cellIs" dxfId="1" priority="1320" operator="equal">
      <formula>0</formula>
    </cfRule>
    <cfRule type="cellIs" dxfId="2" priority="1321" operator="lessThan">
      <formula>G17</formula>
    </cfRule>
  </conditionalFormatting>
  <conditionalFormatting sqref="AI19">
    <cfRule type="cellIs" dxfId="1" priority="1326" operator="equal">
      <formula>0</formula>
    </cfRule>
    <cfRule type="cellIs" dxfId="2" priority="1327" operator="lessThan">
      <formula>G19</formula>
    </cfRule>
  </conditionalFormatting>
  <conditionalFormatting sqref="AI20">
    <cfRule type="cellIs" dxfId="1" priority="1331" operator="equal">
      <formula>0</formula>
    </cfRule>
    <cfRule type="cellIs" dxfId="2" priority="1332" operator="lessThan">
      <formula>G20</formula>
    </cfRule>
  </conditionalFormatting>
  <conditionalFormatting sqref="AI22">
    <cfRule type="cellIs" dxfId="1" priority="1337" operator="equal">
      <formula>0</formula>
    </cfRule>
    <cfRule type="cellIs" dxfId="2" priority="1338" operator="lessThan">
      <formula>G22</formula>
    </cfRule>
  </conditionalFormatting>
  <conditionalFormatting sqref="AI23">
    <cfRule type="cellIs" dxfId="1" priority="1342" operator="equal">
      <formula>0</formula>
    </cfRule>
    <cfRule type="cellIs" dxfId="2" priority="1343" operator="lessThan">
      <formula>G23</formula>
    </cfRule>
  </conditionalFormatting>
  <conditionalFormatting sqref="AI24">
    <cfRule type="cellIs" dxfId="1" priority="1348" operator="equal">
      <formula>0</formula>
    </cfRule>
    <cfRule type="cellIs" dxfId="2" priority="1349" operator="lessThan">
      <formula>G24</formula>
    </cfRule>
  </conditionalFormatting>
  <conditionalFormatting sqref="AI29">
    <cfRule type="cellIs" dxfId="1" priority="1353" operator="equal">
      <formula>0</formula>
    </cfRule>
    <cfRule type="cellIs" dxfId="2" priority="1354" operator="lessThan">
      <formula>G29</formula>
    </cfRule>
  </conditionalFormatting>
  <conditionalFormatting sqref="AI32">
    <cfRule type="cellIs" dxfId="1" priority="1358" operator="equal">
      <formula>0</formula>
    </cfRule>
    <cfRule type="cellIs" dxfId="2" priority="1359" operator="lessThan">
      <formula>G32</formula>
    </cfRule>
  </conditionalFormatting>
  <conditionalFormatting sqref="AI33">
    <cfRule type="cellIs" dxfId="1" priority="1363" operator="equal">
      <formula>0</formula>
    </cfRule>
    <cfRule type="cellIs" dxfId="2" priority="1364" operator="lessThan">
      <formula>G33</formula>
    </cfRule>
  </conditionalFormatting>
  <conditionalFormatting sqref="AI34">
    <cfRule type="cellIs" dxfId="1" priority="1368" operator="equal">
      <formula>0</formula>
    </cfRule>
    <cfRule type="cellIs" dxfId="2" priority="1369" operator="lessThan">
      <formula>G34</formula>
    </cfRule>
  </conditionalFormatting>
  <conditionalFormatting sqref="AI36">
    <cfRule type="cellIs" dxfId="1" priority="1373" operator="equal">
      <formula>0</formula>
    </cfRule>
    <cfRule type="cellIs" dxfId="2" priority="1374" operator="lessThan">
      <formula>G36</formula>
    </cfRule>
  </conditionalFormatting>
  <conditionalFormatting sqref="AI37">
    <cfRule type="cellIs" dxfId="1" priority="1378" operator="equal">
      <formula>0</formula>
    </cfRule>
    <cfRule type="cellIs" dxfId="2" priority="1379" operator="lessThan">
      <formula>G37</formula>
    </cfRule>
  </conditionalFormatting>
  <conditionalFormatting sqref="AI38">
    <cfRule type="cellIs" dxfId="1" priority="1383" operator="equal">
      <formula>0</formula>
    </cfRule>
    <cfRule type="cellIs" dxfId="2" priority="1384" operator="lessThan">
      <formula>G38</formula>
    </cfRule>
  </conditionalFormatting>
  <conditionalFormatting sqref="AI42">
    <cfRule type="cellIs" dxfId="1" priority="1388" operator="equal">
      <formula>0</formula>
    </cfRule>
    <cfRule type="cellIs" dxfId="2" priority="1389" operator="lessThan">
      <formula>G42</formula>
    </cfRule>
  </conditionalFormatting>
  <conditionalFormatting sqref="AI43">
    <cfRule type="cellIs" dxfId="1" priority="1394" operator="equal">
      <formula>0</formula>
    </cfRule>
    <cfRule type="cellIs" dxfId="2" priority="1395" operator="lessThan">
      <formula>G43</formula>
    </cfRule>
  </conditionalFormatting>
  <conditionalFormatting sqref="AI44">
    <cfRule type="cellIs" dxfId="1" priority="1400" operator="equal">
      <formula>0</formula>
    </cfRule>
    <cfRule type="cellIs" dxfId="2" priority="1401" operator="lessThan">
      <formula>G44</formula>
    </cfRule>
  </conditionalFormatting>
  <conditionalFormatting sqref="AI45">
    <cfRule type="cellIs" dxfId="1" priority="1405" operator="equal">
      <formula>0</formula>
    </cfRule>
    <cfRule type="cellIs" dxfId="2" priority="1406" operator="lessThan">
      <formula>G45</formula>
    </cfRule>
  </conditionalFormatting>
  <conditionalFormatting sqref="AI46">
    <cfRule type="cellIs" dxfId="1" priority="1410" operator="equal">
      <formula>0</formula>
    </cfRule>
    <cfRule type="cellIs" dxfId="2" priority="1411" operator="lessThan">
      <formula>G46</formula>
    </cfRule>
  </conditionalFormatting>
  <conditionalFormatting sqref="AI47">
    <cfRule type="cellIs" dxfId="1" priority="1416" operator="equal">
      <formula>0</formula>
    </cfRule>
    <cfRule type="cellIs" dxfId="2" priority="1417" operator="lessThan">
      <formula>G47</formula>
    </cfRule>
  </conditionalFormatting>
  <conditionalFormatting sqref="AI48">
    <cfRule type="cellIs" dxfId="1" priority="1422" operator="equal">
      <formula>0</formula>
    </cfRule>
    <cfRule type="cellIs" dxfId="2" priority="1423" operator="lessThan">
      <formula>G48</formula>
    </cfRule>
  </conditionalFormatting>
  <conditionalFormatting sqref="AI49">
    <cfRule type="cellIs" dxfId="1" priority="1427" operator="equal">
      <formula>0</formula>
    </cfRule>
    <cfRule type="cellIs" dxfId="2" priority="1428" operator="lessThan">
      <formula>G49</formula>
    </cfRule>
  </conditionalFormatting>
  <conditionalFormatting sqref="AI50">
    <cfRule type="cellIs" dxfId="1" priority="1432" operator="equal">
      <formula>0</formula>
    </cfRule>
    <cfRule type="cellIs" dxfId="2" priority="1433" operator="lessThan">
      <formula>G50</formula>
    </cfRule>
  </conditionalFormatting>
  <conditionalFormatting sqref="AI51">
    <cfRule type="cellIs" dxfId="1" priority="1437" operator="equal">
      <formula>0</formula>
    </cfRule>
    <cfRule type="cellIs" dxfId="2" priority="1438" operator="lessThan">
      <formula>G51</formula>
    </cfRule>
  </conditionalFormatting>
  <conditionalFormatting sqref="AI52">
    <cfRule type="cellIs" dxfId="1" priority="1442" operator="equal">
      <formula>0</formula>
    </cfRule>
    <cfRule type="cellIs" dxfId="2" priority="1443" operator="lessThan">
      <formula>G52</formula>
    </cfRule>
  </conditionalFormatting>
  <conditionalFormatting sqref="AI53">
    <cfRule type="cellIs" dxfId="1" priority="1447" operator="equal">
      <formula>0</formula>
    </cfRule>
    <cfRule type="cellIs" dxfId="2" priority="1448" operator="lessThan">
      <formula>G53</formula>
    </cfRule>
  </conditionalFormatting>
  <conditionalFormatting sqref="AI54">
    <cfRule type="cellIs" dxfId="1" priority="1452" operator="equal">
      <formula>0</formula>
    </cfRule>
    <cfRule type="cellIs" dxfId="2" priority="1453" operator="lessThan">
      <formula>G54</formula>
    </cfRule>
  </conditionalFormatting>
  <conditionalFormatting sqref="AI55">
    <cfRule type="cellIs" dxfId="1" priority="1457" operator="equal">
      <formula>0</formula>
    </cfRule>
    <cfRule type="cellIs" dxfId="2" priority="1458" operator="lessThan">
      <formula>G55</formula>
    </cfRule>
  </conditionalFormatting>
  <conditionalFormatting sqref="AI56">
    <cfRule type="cellIs" dxfId="1" priority="1462" operator="equal">
      <formula>0</formula>
    </cfRule>
    <cfRule type="cellIs" dxfId="2" priority="1463" operator="lessThan">
      <formula>G56</formula>
    </cfRule>
  </conditionalFormatting>
  <conditionalFormatting sqref="AI57">
    <cfRule type="cellIs" dxfId="1" priority="1467" operator="equal">
      <formula>0</formula>
    </cfRule>
    <cfRule type="cellIs" dxfId="2" priority="1468" operator="lessThan">
      <formula>G57</formula>
    </cfRule>
  </conditionalFormatting>
  <conditionalFormatting sqref="AI58">
    <cfRule type="cellIs" dxfId="1" priority="1472" operator="equal">
      <formula>0</formula>
    </cfRule>
    <cfRule type="cellIs" dxfId="2" priority="1473" operator="lessThan">
      <formula>G58</formula>
    </cfRule>
  </conditionalFormatting>
  <conditionalFormatting sqref="AI59">
    <cfRule type="cellIs" dxfId="1" priority="1477" operator="equal">
      <formula>0</formula>
    </cfRule>
    <cfRule type="cellIs" dxfId="2" priority="1478" operator="lessThan">
      <formula>G59</formula>
    </cfRule>
  </conditionalFormatting>
  <conditionalFormatting sqref="AI61">
    <cfRule type="cellIs" dxfId="1" priority="1482" operator="equal">
      <formula>0</formula>
    </cfRule>
    <cfRule type="cellIs" dxfId="2" priority="1483" operator="lessThan">
      <formula>G61</formula>
    </cfRule>
  </conditionalFormatting>
  <conditionalFormatting sqref="AI62">
    <cfRule type="cellIs" dxfId="1" priority="1487" operator="equal">
      <formula>0</formula>
    </cfRule>
    <cfRule type="cellIs" dxfId="2" priority="1488" operator="lessThan">
      <formula>G62</formula>
    </cfRule>
  </conditionalFormatting>
  <conditionalFormatting sqref="AI65">
    <cfRule type="cellIs" dxfId="1" priority="1492" operator="equal">
      <formula>0</formula>
    </cfRule>
    <cfRule type="cellIs" dxfId="2" priority="1493" operator="lessThan">
      <formula>G65</formula>
    </cfRule>
  </conditionalFormatting>
  <conditionalFormatting sqref="AI67">
    <cfRule type="cellIs" dxfId="1" priority="1497" operator="equal">
      <formula>0</formula>
    </cfRule>
    <cfRule type="cellIs" dxfId="2" priority="1498" operator="lessThan">
      <formula>G67</formula>
    </cfRule>
  </conditionalFormatting>
  <conditionalFormatting sqref="AI68">
    <cfRule type="cellIs" dxfId="1" priority="1502" operator="equal">
      <formula>0</formula>
    </cfRule>
    <cfRule type="cellIs" dxfId="2" priority="1503" operator="lessThan">
      <formula>G68</formula>
    </cfRule>
  </conditionalFormatting>
  <conditionalFormatting sqref="AI7">
    <cfRule type="cellIs" dxfId="1" priority="1287" operator="equal">
      <formula>0</formula>
    </cfRule>
    <cfRule type="cellIs" dxfId="2" priority="1288" operator="lessThan">
      <formula>G7</formula>
    </cfRule>
  </conditionalFormatting>
  <conditionalFormatting sqref="AI74">
    <cfRule type="cellIs" dxfId="1" priority="1507" operator="equal">
      <formula>0</formula>
    </cfRule>
    <cfRule type="cellIs" dxfId="2" priority="1508" operator="lessThan">
      <formula>G74</formula>
    </cfRule>
  </conditionalFormatting>
  <conditionalFormatting sqref="AI75">
    <cfRule type="cellIs" dxfId="1" priority="1512" operator="equal">
      <formula>0</formula>
    </cfRule>
    <cfRule type="cellIs" dxfId="2" priority="1513" operator="lessThan">
      <formula>G75</formula>
    </cfRule>
  </conditionalFormatting>
  <conditionalFormatting sqref="AI76">
    <cfRule type="cellIs" dxfId="1" priority="1517" operator="equal">
      <formula>0</formula>
    </cfRule>
    <cfRule type="cellIs" dxfId="2" priority="1518" operator="lessThan">
      <formula>G76</formula>
    </cfRule>
  </conditionalFormatting>
  <conditionalFormatting sqref="AI78">
    <cfRule type="cellIs" dxfId="1" priority="1522" operator="equal">
      <formula>0</formula>
    </cfRule>
    <cfRule type="cellIs" dxfId="2" priority="1523" operator="lessThan">
      <formula>G78</formula>
    </cfRule>
  </conditionalFormatting>
  <conditionalFormatting sqref="AI79">
    <cfRule type="cellIs" dxfId="1" priority="1527" operator="equal">
      <formula>0</formula>
    </cfRule>
    <cfRule type="cellIs" dxfId="2" priority="1528" operator="lessThan">
      <formula>G79</formula>
    </cfRule>
  </conditionalFormatting>
  <conditionalFormatting sqref="AI8">
    <cfRule type="cellIs" dxfId="1" priority="1293" operator="equal">
      <formula>0</formula>
    </cfRule>
    <cfRule type="cellIs" dxfId="2" priority="1294" operator="lessThan">
      <formula>G8</formula>
    </cfRule>
  </conditionalFormatting>
  <conditionalFormatting sqref="AI9">
    <cfRule type="cellIs" dxfId="1" priority="1298" operator="equal">
      <formula>0</formula>
    </cfRule>
    <cfRule type="cellIs" dxfId="2" priority="1299" operator="lessThan">
      <formula>G9</formula>
    </cfRule>
  </conditionalFormatting>
  <conditionalFormatting sqref="AJ10">
    <cfRule type="expression" dxfId="3" priority="1305">
      <formula>AND(AJ10&gt;0,AJ10&lt;4000)</formula>
    </cfRule>
    <cfRule type="cellIs" dxfId="1" priority="1306" operator="greaterThan">
      <formula>AI10</formula>
    </cfRule>
  </conditionalFormatting>
  <conditionalFormatting sqref="AJ14">
    <cfRule type="expression" dxfId="3" priority="1311">
      <formula>AND(AJ14&gt;0,AJ14&lt;4000)</formula>
    </cfRule>
    <cfRule type="cellIs" dxfId="1" priority="1312" operator="greaterThan">
      <formula>AI14</formula>
    </cfRule>
  </conditionalFormatting>
  <conditionalFormatting sqref="AJ16">
    <cfRule type="cellIs" dxfId="1" priority="1317" operator="greaterThan">
      <formula>AI16</formula>
    </cfRule>
  </conditionalFormatting>
  <conditionalFormatting sqref="AJ17">
    <cfRule type="expression" dxfId="3" priority="1322">
      <formula>AND(AJ17&gt;0,AJ17&lt;4000)</formula>
    </cfRule>
    <cfRule type="cellIs" dxfId="1" priority="1323" operator="greaterThan">
      <formula>AI17</formula>
    </cfRule>
  </conditionalFormatting>
  <conditionalFormatting sqref="AJ19">
    <cfRule type="cellIs" dxfId="1" priority="1328" operator="greaterThan">
      <formula>AI19</formula>
    </cfRule>
  </conditionalFormatting>
  <conditionalFormatting sqref="AJ20">
    <cfRule type="expression" dxfId="3" priority="1333">
      <formula>AND(AJ20&gt;0,AJ20&lt;10)</formula>
    </cfRule>
    <cfRule type="cellIs" dxfId="1" priority="1334" operator="greaterThan">
      <formula>AI20</formula>
    </cfRule>
  </conditionalFormatting>
  <conditionalFormatting sqref="AJ22">
    <cfRule type="cellIs" dxfId="1" priority="1339" operator="greaterThan">
      <formula>AI22</formula>
    </cfRule>
  </conditionalFormatting>
  <conditionalFormatting sqref="AJ23">
    <cfRule type="expression" dxfId="3" priority="1344">
      <formula>AND(AJ23&gt;0,AJ23&lt;10)</formula>
    </cfRule>
    <cfRule type="cellIs" dxfId="1" priority="1345" operator="greaterThan">
      <formula>AI23</formula>
    </cfRule>
  </conditionalFormatting>
  <conditionalFormatting sqref="AJ24">
    <cfRule type="cellIs" dxfId="1" priority="1350" operator="greaterThan">
      <formula>AI24</formula>
    </cfRule>
  </conditionalFormatting>
  <conditionalFormatting sqref="AJ29">
    <cfRule type="cellIs" dxfId="1" priority="1355" operator="greaterThan">
      <formula>AI29</formula>
    </cfRule>
  </conditionalFormatting>
  <conditionalFormatting sqref="AJ32">
    <cfRule type="cellIs" dxfId="1" priority="1360" operator="greaterThan">
      <formula>AI32</formula>
    </cfRule>
  </conditionalFormatting>
  <conditionalFormatting sqref="AJ33">
    <cfRule type="cellIs" dxfId="1" priority="1365" operator="greaterThan">
      <formula>AI33</formula>
    </cfRule>
  </conditionalFormatting>
  <conditionalFormatting sqref="AJ34">
    <cfRule type="cellIs" dxfId="1" priority="1370" operator="greaterThan">
      <formula>AI34</formula>
    </cfRule>
  </conditionalFormatting>
  <conditionalFormatting sqref="AJ36">
    <cfRule type="cellIs" dxfId="1" priority="1375" operator="greaterThan">
      <formula>AI36</formula>
    </cfRule>
  </conditionalFormatting>
  <conditionalFormatting sqref="AJ37">
    <cfRule type="cellIs" dxfId="1" priority="1380" operator="greaterThan">
      <formula>AI37</formula>
    </cfRule>
  </conditionalFormatting>
  <conditionalFormatting sqref="AJ38">
    <cfRule type="cellIs" dxfId="1" priority="1385" operator="greaterThan">
      <formula>AI38</formula>
    </cfRule>
  </conditionalFormatting>
  <conditionalFormatting sqref="AJ42">
    <cfRule type="expression" dxfId="3" priority="1390">
      <formula>AND(AJ42&gt;0,AJ42&lt;10)</formula>
    </cfRule>
    <cfRule type="cellIs" dxfId="1" priority="1391" operator="greaterThan">
      <formula>AI42</formula>
    </cfRule>
  </conditionalFormatting>
  <conditionalFormatting sqref="AJ43">
    <cfRule type="expression" dxfId="3" priority="1396">
      <formula>AND(AJ43&gt;0,AJ43&lt;10)</formula>
    </cfRule>
    <cfRule type="cellIs" dxfId="1" priority="1397" operator="greaterThan">
      <formula>AI43</formula>
    </cfRule>
  </conditionalFormatting>
  <conditionalFormatting sqref="AJ44">
    <cfRule type="cellIs" dxfId="1" priority="1402" operator="greaterThan">
      <formula>AI44</formula>
    </cfRule>
  </conditionalFormatting>
  <conditionalFormatting sqref="AJ45">
    <cfRule type="cellIs" dxfId="1" priority="1407" operator="greaterThan">
      <formula>AI45</formula>
    </cfRule>
  </conditionalFormatting>
  <conditionalFormatting sqref="AJ46">
    <cfRule type="expression" dxfId="3" priority="1412">
      <formula>AND(AJ46&gt;0,AJ46&lt;10)</formula>
    </cfRule>
    <cfRule type="cellIs" dxfId="1" priority="1413" operator="greaterThan">
      <formula>AI46</formula>
    </cfRule>
  </conditionalFormatting>
  <conditionalFormatting sqref="AJ47">
    <cfRule type="expression" dxfId="3" priority="1418">
      <formula>AND(AJ47&gt;0,AJ47&lt;10)</formula>
    </cfRule>
    <cfRule type="cellIs" dxfId="1" priority="1419" operator="greaterThan">
      <formula>AI47</formula>
    </cfRule>
  </conditionalFormatting>
  <conditionalFormatting sqref="AJ48">
    <cfRule type="cellIs" dxfId="1" priority="1424" operator="greaterThan">
      <formula>AI48</formula>
    </cfRule>
  </conditionalFormatting>
  <conditionalFormatting sqref="AJ49">
    <cfRule type="cellIs" dxfId="1" priority="1429" operator="greaterThan">
      <formula>AI49</formula>
    </cfRule>
  </conditionalFormatting>
  <conditionalFormatting sqref="AJ50">
    <cfRule type="cellIs" dxfId="1" priority="1434" operator="greaterThan">
      <formula>AI50</formula>
    </cfRule>
  </conditionalFormatting>
  <conditionalFormatting sqref="AJ51">
    <cfRule type="cellIs" dxfId="1" priority="1439" operator="greaterThan">
      <formula>AI51</formula>
    </cfRule>
  </conditionalFormatting>
  <conditionalFormatting sqref="AJ52">
    <cfRule type="cellIs" dxfId="1" priority="1444" operator="greaterThan">
      <formula>AI52</formula>
    </cfRule>
  </conditionalFormatting>
  <conditionalFormatting sqref="AJ53">
    <cfRule type="cellIs" dxfId="1" priority="1449" operator="greaterThan">
      <formula>AI53</formula>
    </cfRule>
  </conditionalFormatting>
  <conditionalFormatting sqref="AJ54">
    <cfRule type="cellIs" dxfId="1" priority="1454" operator="greaterThan">
      <formula>AI54</formula>
    </cfRule>
  </conditionalFormatting>
  <conditionalFormatting sqref="AJ55">
    <cfRule type="cellIs" dxfId="1" priority="1459" operator="greaterThan">
      <formula>AI55</formula>
    </cfRule>
  </conditionalFormatting>
  <conditionalFormatting sqref="AJ56">
    <cfRule type="cellIs" dxfId="1" priority="1464" operator="greaterThan">
      <formula>AI56</formula>
    </cfRule>
  </conditionalFormatting>
  <conditionalFormatting sqref="AJ57">
    <cfRule type="cellIs" dxfId="1" priority="1469" operator="greaterThan">
      <formula>AI57</formula>
    </cfRule>
  </conditionalFormatting>
  <conditionalFormatting sqref="AJ58">
    <cfRule type="cellIs" dxfId="1" priority="1474" operator="greaterThan">
      <formula>AI58</formula>
    </cfRule>
  </conditionalFormatting>
  <conditionalFormatting sqref="AJ59">
    <cfRule type="cellIs" dxfId="1" priority="1479" operator="greaterThan">
      <formula>AI59</formula>
    </cfRule>
  </conditionalFormatting>
  <conditionalFormatting sqref="AJ61">
    <cfRule type="cellIs" dxfId="1" priority="1484" operator="greaterThan">
      <formula>AI61</formula>
    </cfRule>
  </conditionalFormatting>
  <conditionalFormatting sqref="AJ62">
    <cfRule type="cellIs" dxfId="1" priority="1489" operator="greaterThan">
      <formula>AI62</formula>
    </cfRule>
  </conditionalFormatting>
  <conditionalFormatting sqref="AJ65">
    <cfRule type="cellIs" dxfId="1" priority="1494" operator="greaterThan">
      <formula>AI65</formula>
    </cfRule>
  </conditionalFormatting>
  <conditionalFormatting sqref="AJ67">
    <cfRule type="cellIs" dxfId="1" priority="1499" operator="greaterThan">
      <formula>AI67</formula>
    </cfRule>
  </conditionalFormatting>
  <conditionalFormatting sqref="AJ68">
    <cfRule type="cellIs" dxfId="1" priority="1504" operator="greaterThan">
      <formula>AI68</formula>
    </cfRule>
  </conditionalFormatting>
  <conditionalFormatting sqref="AJ7">
    <cfRule type="expression" dxfId="3" priority="1289">
      <formula>AND(AJ7&gt;0,AJ7&lt;4000)</formula>
    </cfRule>
    <cfRule type="cellIs" dxfId="1" priority="1290" operator="greaterThan">
      <formula>AI7</formula>
    </cfRule>
  </conditionalFormatting>
  <conditionalFormatting sqref="AJ74">
    <cfRule type="cellIs" dxfId="1" priority="1509" operator="greaterThan">
      <formula>AI74</formula>
    </cfRule>
  </conditionalFormatting>
  <conditionalFormatting sqref="AJ75">
    <cfRule type="cellIs" dxfId="1" priority="1514" operator="greaterThan">
      <formula>AI75</formula>
    </cfRule>
  </conditionalFormatting>
  <conditionalFormatting sqref="AJ76">
    <cfRule type="cellIs" dxfId="1" priority="1519" operator="greaterThan">
      <formula>AI76</formula>
    </cfRule>
  </conditionalFormatting>
  <conditionalFormatting sqref="AJ78">
    <cfRule type="cellIs" dxfId="1" priority="1524" operator="greaterThan">
      <formula>AI78</formula>
    </cfRule>
  </conditionalFormatting>
  <conditionalFormatting sqref="AJ79">
    <cfRule type="cellIs" dxfId="1" priority="1529" operator="greaterThan">
      <formula>AI79</formula>
    </cfRule>
  </conditionalFormatting>
  <conditionalFormatting sqref="AJ8">
    <cfRule type="cellIs" dxfId="1" priority="1295" operator="greaterThan">
      <formula>AI8</formula>
    </cfRule>
  </conditionalFormatting>
  <conditionalFormatting sqref="AJ9">
    <cfRule type="cellIs" dxfId="1" priority="1300" operator="greaterThan">
      <formula>AI9</formula>
    </cfRule>
  </conditionalFormatting>
  <conditionalFormatting sqref="AK10">
    <cfRule type="cellIs" dxfId="4" priority="1308" operator="lessThanOrEqual">
      <formula>H10</formula>
    </cfRule>
  </conditionalFormatting>
  <conditionalFormatting sqref="AK14">
    <cfRule type="cellIs" dxfId="4" priority="1314" operator="lessThanOrEqual">
      <formula>H14</formula>
    </cfRule>
  </conditionalFormatting>
  <conditionalFormatting sqref="AK16">
    <cfRule type="cellIs" dxfId="4" priority="1319" operator="lessThanOrEqual">
      <formula>H16</formula>
    </cfRule>
  </conditionalFormatting>
  <conditionalFormatting sqref="AK17">
    <cfRule type="cellIs" dxfId="4" priority="1325" operator="lessThanOrEqual">
      <formula>H17</formula>
    </cfRule>
  </conditionalFormatting>
  <conditionalFormatting sqref="AK19">
    <cfRule type="cellIs" dxfId="4" priority="1330" operator="lessThanOrEqual">
      <formula>H19</formula>
    </cfRule>
  </conditionalFormatting>
  <conditionalFormatting sqref="AK20">
    <cfRule type="cellIs" dxfId="4" priority="1336" operator="lessThanOrEqual">
      <formula>H20</formula>
    </cfRule>
  </conditionalFormatting>
  <conditionalFormatting sqref="AK22">
    <cfRule type="cellIs" dxfId="4" priority="1341" operator="lessThanOrEqual">
      <formula>H22</formula>
    </cfRule>
  </conditionalFormatting>
  <conditionalFormatting sqref="AK23">
    <cfRule type="cellIs" dxfId="4" priority="1347" operator="lessThanOrEqual">
      <formula>H23</formula>
    </cfRule>
  </conditionalFormatting>
  <conditionalFormatting sqref="AK24">
    <cfRule type="cellIs" dxfId="4" priority="1352" operator="lessThanOrEqual">
      <formula>H24</formula>
    </cfRule>
  </conditionalFormatting>
  <conditionalFormatting sqref="AK29">
    <cfRule type="cellIs" dxfId="4" priority="1357" operator="lessThanOrEqual">
      <formula>H29</formula>
    </cfRule>
  </conditionalFormatting>
  <conditionalFormatting sqref="AK32">
    <cfRule type="cellIs" dxfId="4" priority="1362" operator="lessThanOrEqual">
      <formula>H32</formula>
    </cfRule>
  </conditionalFormatting>
  <conditionalFormatting sqref="AK33">
    <cfRule type="cellIs" dxfId="4" priority="1367" operator="lessThanOrEqual">
      <formula>H33</formula>
    </cfRule>
  </conditionalFormatting>
  <conditionalFormatting sqref="AK34">
    <cfRule type="cellIs" dxfId="4" priority="1372" operator="lessThanOrEqual">
      <formula>H34</formula>
    </cfRule>
  </conditionalFormatting>
  <conditionalFormatting sqref="AK36">
    <cfRule type="cellIs" dxfId="4" priority="1377" operator="lessThanOrEqual">
      <formula>H36</formula>
    </cfRule>
  </conditionalFormatting>
  <conditionalFormatting sqref="AK37">
    <cfRule type="cellIs" dxfId="4" priority="1382" operator="lessThanOrEqual">
      <formula>H37</formula>
    </cfRule>
  </conditionalFormatting>
  <conditionalFormatting sqref="AK38">
    <cfRule type="cellIs" dxfId="4" priority="1387" operator="lessThanOrEqual">
      <formula>H38</formula>
    </cfRule>
  </conditionalFormatting>
  <conditionalFormatting sqref="AK42">
    <cfRule type="cellIs" dxfId="4" priority="1393" operator="lessThanOrEqual">
      <formula>H42</formula>
    </cfRule>
  </conditionalFormatting>
  <conditionalFormatting sqref="AK43">
    <cfRule type="cellIs" dxfId="4" priority="1399" operator="lessThanOrEqual">
      <formula>H43</formula>
    </cfRule>
  </conditionalFormatting>
  <conditionalFormatting sqref="AK44">
    <cfRule type="cellIs" dxfId="4" priority="1404" operator="lessThanOrEqual">
      <formula>H44</formula>
    </cfRule>
  </conditionalFormatting>
  <conditionalFormatting sqref="AK45">
    <cfRule type="cellIs" dxfId="4" priority="1409" operator="lessThanOrEqual">
      <formula>H45</formula>
    </cfRule>
  </conditionalFormatting>
  <conditionalFormatting sqref="AK46">
    <cfRule type="cellIs" dxfId="4" priority="1415" operator="lessThanOrEqual">
      <formula>H46</formula>
    </cfRule>
  </conditionalFormatting>
  <conditionalFormatting sqref="AK47">
    <cfRule type="cellIs" dxfId="4" priority="1421" operator="lessThanOrEqual">
      <formula>H47</formula>
    </cfRule>
  </conditionalFormatting>
  <conditionalFormatting sqref="AK48">
    <cfRule type="cellIs" dxfId="4" priority="1426" operator="lessThanOrEqual">
      <formula>H48</formula>
    </cfRule>
  </conditionalFormatting>
  <conditionalFormatting sqref="AK49">
    <cfRule type="cellIs" dxfId="4" priority="1431" operator="lessThanOrEqual">
      <formula>H49</formula>
    </cfRule>
  </conditionalFormatting>
  <conditionalFormatting sqref="AK50">
    <cfRule type="cellIs" dxfId="4" priority="1436" operator="lessThanOrEqual">
      <formula>H50</formula>
    </cfRule>
  </conditionalFormatting>
  <conditionalFormatting sqref="AK51">
    <cfRule type="cellIs" dxfId="4" priority="1441" operator="lessThanOrEqual">
      <formula>H51</formula>
    </cfRule>
  </conditionalFormatting>
  <conditionalFormatting sqref="AK52">
    <cfRule type="cellIs" dxfId="4" priority="1446" operator="lessThanOrEqual">
      <formula>H52</formula>
    </cfRule>
  </conditionalFormatting>
  <conditionalFormatting sqref="AK53">
    <cfRule type="cellIs" dxfId="4" priority="1451" operator="lessThanOrEqual">
      <formula>H53</formula>
    </cfRule>
  </conditionalFormatting>
  <conditionalFormatting sqref="AK54">
    <cfRule type="cellIs" dxfId="4" priority="1456" operator="lessThanOrEqual">
      <formula>H54</formula>
    </cfRule>
  </conditionalFormatting>
  <conditionalFormatting sqref="AK55">
    <cfRule type="cellIs" dxfId="4" priority="1461" operator="lessThanOrEqual">
      <formula>H55</formula>
    </cfRule>
  </conditionalFormatting>
  <conditionalFormatting sqref="AK56">
    <cfRule type="cellIs" dxfId="4" priority="1466" operator="lessThanOrEqual">
      <formula>H56</formula>
    </cfRule>
  </conditionalFormatting>
  <conditionalFormatting sqref="AK57">
    <cfRule type="cellIs" dxfId="4" priority="1471" operator="lessThanOrEqual">
      <formula>H57</formula>
    </cfRule>
  </conditionalFormatting>
  <conditionalFormatting sqref="AK58">
    <cfRule type="cellIs" dxfId="4" priority="1476" operator="lessThanOrEqual">
      <formula>H58</formula>
    </cfRule>
  </conditionalFormatting>
  <conditionalFormatting sqref="AK59">
    <cfRule type="cellIs" dxfId="4" priority="1481" operator="lessThanOrEqual">
      <formula>H59</formula>
    </cfRule>
  </conditionalFormatting>
  <conditionalFormatting sqref="AK61">
    <cfRule type="cellIs" dxfId="4" priority="1486" operator="lessThanOrEqual">
      <formula>H61</formula>
    </cfRule>
  </conditionalFormatting>
  <conditionalFormatting sqref="AK62">
    <cfRule type="cellIs" dxfId="4" priority="1491" operator="lessThanOrEqual">
      <formula>H62</formula>
    </cfRule>
  </conditionalFormatting>
  <conditionalFormatting sqref="AK65">
    <cfRule type="cellIs" dxfId="4" priority="1496" operator="lessThanOrEqual">
      <formula>H65</formula>
    </cfRule>
  </conditionalFormatting>
  <conditionalFormatting sqref="AK67">
    <cfRule type="cellIs" dxfId="4" priority="1501" operator="lessThanOrEqual">
      <formula>H67</formula>
    </cfRule>
  </conditionalFormatting>
  <conditionalFormatting sqref="AK68">
    <cfRule type="cellIs" dxfId="4" priority="1506" operator="lessThanOrEqual">
      <formula>H68</formula>
    </cfRule>
  </conditionalFormatting>
  <conditionalFormatting sqref="AK7">
    <cfRule type="cellIs" dxfId="4" priority="1292" operator="lessThanOrEqual">
      <formula>H7</formula>
    </cfRule>
  </conditionalFormatting>
  <conditionalFormatting sqref="AK74">
    <cfRule type="cellIs" dxfId="4" priority="1511" operator="lessThanOrEqual">
      <formula>H74</formula>
    </cfRule>
  </conditionalFormatting>
  <conditionalFormatting sqref="AK75">
    <cfRule type="cellIs" dxfId="4" priority="1516" operator="lessThanOrEqual">
      <formula>H75</formula>
    </cfRule>
  </conditionalFormatting>
  <conditionalFormatting sqref="AK76">
    <cfRule type="cellIs" dxfId="4" priority="1521" operator="lessThanOrEqual">
      <formula>H76</formula>
    </cfRule>
  </conditionalFormatting>
  <conditionalFormatting sqref="AK78">
    <cfRule type="cellIs" dxfId="4" priority="1526" operator="lessThanOrEqual">
      <formula>H78</formula>
    </cfRule>
  </conditionalFormatting>
  <conditionalFormatting sqref="AK79">
    <cfRule type="cellIs" dxfId="4" priority="1531" operator="lessThanOrEqual">
      <formula>H79</formula>
    </cfRule>
  </conditionalFormatting>
  <conditionalFormatting sqref="AK8">
    <cfRule type="cellIs" dxfId="4" priority="1297" operator="lessThanOrEqual">
      <formula>H8</formula>
    </cfRule>
  </conditionalFormatting>
  <conditionalFormatting sqref="AK9">
    <cfRule type="cellIs" dxfId="4" priority="1302" operator="lessThanOrEqual">
      <formula>H9</formula>
    </cfRule>
  </conditionalFormatting>
  <conditionalFormatting sqref="AL10">
    <cfRule type="cellIs" dxfId="4" priority="1307" operator="lessThanOrEqual">
      <formula>I10</formula>
    </cfRule>
  </conditionalFormatting>
  <conditionalFormatting sqref="AL14">
    <cfRule type="cellIs" dxfId="4" priority="1313" operator="lessThanOrEqual">
      <formula>I14</formula>
    </cfRule>
  </conditionalFormatting>
  <conditionalFormatting sqref="AL16">
    <cfRule type="cellIs" dxfId="4" priority="1318" operator="lessThanOrEqual">
      <formula>I16</formula>
    </cfRule>
  </conditionalFormatting>
  <conditionalFormatting sqref="AL17">
    <cfRule type="cellIs" dxfId="4" priority="1324" operator="lessThanOrEqual">
      <formula>I17</formula>
    </cfRule>
  </conditionalFormatting>
  <conditionalFormatting sqref="AL19">
    <cfRule type="cellIs" dxfId="4" priority="1329" operator="lessThanOrEqual">
      <formula>I19</formula>
    </cfRule>
  </conditionalFormatting>
  <conditionalFormatting sqref="AL20">
    <cfRule type="cellIs" dxfId="4" priority="1335" operator="lessThanOrEqual">
      <formula>I20</formula>
    </cfRule>
  </conditionalFormatting>
  <conditionalFormatting sqref="AL22">
    <cfRule type="cellIs" dxfId="4" priority="1340" operator="lessThanOrEqual">
      <formula>I22</formula>
    </cfRule>
  </conditionalFormatting>
  <conditionalFormatting sqref="AL23">
    <cfRule type="cellIs" dxfId="4" priority="1346" operator="lessThanOrEqual">
      <formula>I23</formula>
    </cfRule>
  </conditionalFormatting>
  <conditionalFormatting sqref="AL24">
    <cfRule type="cellIs" dxfId="4" priority="1351" operator="lessThanOrEqual">
      <formula>I24</formula>
    </cfRule>
  </conditionalFormatting>
  <conditionalFormatting sqref="AL29">
    <cfRule type="cellIs" dxfId="4" priority="1356" operator="lessThanOrEqual">
      <formula>I29</formula>
    </cfRule>
  </conditionalFormatting>
  <conditionalFormatting sqref="AL32">
    <cfRule type="cellIs" dxfId="4" priority="1361" operator="lessThanOrEqual">
      <formula>I32</formula>
    </cfRule>
  </conditionalFormatting>
  <conditionalFormatting sqref="AL33">
    <cfRule type="cellIs" dxfId="4" priority="1366" operator="lessThanOrEqual">
      <formula>I33</formula>
    </cfRule>
  </conditionalFormatting>
  <conditionalFormatting sqref="AL34">
    <cfRule type="cellIs" dxfId="4" priority="1371" operator="lessThanOrEqual">
      <formula>I34</formula>
    </cfRule>
  </conditionalFormatting>
  <conditionalFormatting sqref="AL36">
    <cfRule type="cellIs" dxfId="4" priority="1376" operator="lessThanOrEqual">
      <formula>I36</formula>
    </cfRule>
  </conditionalFormatting>
  <conditionalFormatting sqref="AL37">
    <cfRule type="cellIs" dxfId="4" priority="1381" operator="lessThanOrEqual">
      <formula>I37</formula>
    </cfRule>
  </conditionalFormatting>
  <conditionalFormatting sqref="AL38">
    <cfRule type="cellIs" dxfId="4" priority="1386" operator="lessThanOrEqual">
      <formula>I38</formula>
    </cfRule>
  </conditionalFormatting>
  <conditionalFormatting sqref="AL42">
    <cfRule type="cellIs" dxfId="4" priority="1392" operator="lessThanOrEqual">
      <formula>I42</formula>
    </cfRule>
  </conditionalFormatting>
  <conditionalFormatting sqref="AL43">
    <cfRule type="cellIs" dxfId="4" priority="1398" operator="lessThanOrEqual">
      <formula>I43</formula>
    </cfRule>
  </conditionalFormatting>
  <conditionalFormatting sqref="AL44">
    <cfRule type="cellIs" dxfId="4" priority="1403" operator="lessThanOrEqual">
      <formula>I44</formula>
    </cfRule>
  </conditionalFormatting>
  <conditionalFormatting sqref="AL45">
    <cfRule type="cellIs" dxfId="4" priority="1408" operator="lessThanOrEqual">
      <formula>I45</formula>
    </cfRule>
  </conditionalFormatting>
  <conditionalFormatting sqref="AL46">
    <cfRule type="cellIs" dxfId="4" priority="1414" operator="lessThanOrEqual">
      <formula>I46</formula>
    </cfRule>
  </conditionalFormatting>
  <conditionalFormatting sqref="AL47">
    <cfRule type="cellIs" dxfId="4" priority="1420" operator="lessThanOrEqual">
      <formula>I47</formula>
    </cfRule>
  </conditionalFormatting>
  <conditionalFormatting sqref="AL48">
    <cfRule type="cellIs" dxfId="4" priority="1425" operator="lessThanOrEqual">
      <formula>I48</formula>
    </cfRule>
  </conditionalFormatting>
  <conditionalFormatting sqref="AL49">
    <cfRule type="cellIs" dxfId="4" priority="1430" operator="lessThanOrEqual">
      <formula>I49</formula>
    </cfRule>
  </conditionalFormatting>
  <conditionalFormatting sqref="AL50">
    <cfRule type="cellIs" dxfId="4" priority="1435" operator="lessThanOrEqual">
      <formula>I50</formula>
    </cfRule>
  </conditionalFormatting>
  <conditionalFormatting sqref="AL51">
    <cfRule type="cellIs" dxfId="4" priority="1440" operator="lessThanOrEqual">
      <formula>I51</formula>
    </cfRule>
  </conditionalFormatting>
  <conditionalFormatting sqref="AL52">
    <cfRule type="cellIs" dxfId="4" priority="1445" operator="lessThanOrEqual">
      <formula>I52</formula>
    </cfRule>
  </conditionalFormatting>
  <conditionalFormatting sqref="AL53">
    <cfRule type="cellIs" dxfId="4" priority="1450" operator="lessThanOrEqual">
      <formula>I53</formula>
    </cfRule>
  </conditionalFormatting>
  <conditionalFormatting sqref="AL54">
    <cfRule type="cellIs" dxfId="4" priority="1455" operator="lessThanOrEqual">
      <formula>I54</formula>
    </cfRule>
  </conditionalFormatting>
  <conditionalFormatting sqref="AL55">
    <cfRule type="cellIs" dxfId="4" priority="1460" operator="lessThanOrEqual">
      <formula>I55</formula>
    </cfRule>
  </conditionalFormatting>
  <conditionalFormatting sqref="AL56">
    <cfRule type="cellIs" dxfId="4" priority="1465" operator="lessThanOrEqual">
      <formula>I56</formula>
    </cfRule>
  </conditionalFormatting>
  <conditionalFormatting sqref="AL57">
    <cfRule type="cellIs" dxfId="4" priority="1470" operator="lessThanOrEqual">
      <formula>I57</formula>
    </cfRule>
  </conditionalFormatting>
  <conditionalFormatting sqref="AL58">
    <cfRule type="cellIs" dxfId="4" priority="1475" operator="lessThanOrEqual">
      <formula>I58</formula>
    </cfRule>
  </conditionalFormatting>
  <conditionalFormatting sqref="AL59">
    <cfRule type="cellIs" dxfId="4" priority="1480" operator="lessThanOrEqual">
      <formula>I59</formula>
    </cfRule>
  </conditionalFormatting>
  <conditionalFormatting sqref="AL61">
    <cfRule type="cellIs" dxfId="4" priority="1485" operator="lessThanOrEqual">
      <formula>I61</formula>
    </cfRule>
  </conditionalFormatting>
  <conditionalFormatting sqref="AL62">
    <cfRule type="cellIs" dxfId="4" priority="1490" operator="lessThanOrEqual">
      <formula>I62</formula>
    </cfRule>
  </conditionalFormatting>
  <conditionalFormatting sqref="AL65">
    <cfRule type="cellIs" dxfId="4" priority="1495" operator="lessThanOrEqual">
      <formula>I65</formula>
    </cfRule>
  </conditionalFormatting>
  <conditionalFormatting sqref="AL67">
    <cfRule type="cellIs" dxfId="4" priority="1500" operator="lessThanOrEqual">
      <formula>I67</formula>
    </cfRule>
  </conditionalFormatting>
  <conditionalFormatting sqref="AL68">
    <cfRule type="cellIs" dxfId="4" priority="1505" operator="lessThanOrEqual">
      <formula>I68</formula>
    </cfRule>
  </conditionalFormatting>
  <conditionalFormatting sqref="AL7">
    <cfRule type="cellIs" dxfId="4" priority="1291" operator="lessThanOrEqual">
      <formula>I7</formula>
    </cfRule>
  </conditionalFormatting>
  <conditionalFormatting sqref="AL74">
    <cfRule type="cellIs" dxfId="4" priority="1510" operator="lessThanOrEqual">
      <formula>I74</formula>
    </cfRule>
  </conditionalFormatting>
  <conditionalFormatting sqref="AL75">
    <cfRule type="cellIs" dxfId="4" priority="1515" operator="lessThanOrEqual">
      <formula>I75</formula>
    </cfRule>
  </conditionalFormatting>
  <conditionalFormatting sqref="AL76">
    <cfRule type="cellIs" dxfId="4" priority="1520" operator="lessThanOrEqual">
      <formula>I76</formula>
    </cfRule>
  </conditionalFormatting>
  <conditionalFormatting sqref="AL78">
    <cfRule type="cellIs" dxfId="4" priority="1525" operator="lessThanOrEqual">
      <formula>I78</formula>
    </cfRule>
  </conditionalFormatting>
  <conditionalFormatting sqref="AL79">
    <cfRule type="cellIs" dxfId="4" priority="1530" operator="lessThanOrEqual">
      <formula>I79</formula>
    </cfRule>
  </conditionalFormatting>
  <conditionalFormatting sqref="AL8">
    <cfRule type="cellIs" dxfId="4" priority="1296" operator="lessThanOrEqual">
      <formula>I8</formula>
    </cfRule>
  </conditionalFormatting>
  <conditionalFormatting sqref="AL9">
    <cfRule type="cellIs" dxfId="4" priority="1301" operator="lessThanOrEqual">
      <formula>I9</formula>
    </cfRule>
  </conditionalFormatting>
  <conditionalFormatting sqref="AN17">
    <cfRule type="cellIs" dxfId="1" priority="1544" operator="equal">
      <formula>0</formula>
    </cfRule>
    <cfRule type="cellIs" dxfId="2" priority="1545" operator="lessThan">
      <formula>G17</formula>
    </cfRule>
  </conditionalFormatting>
  <conditionalFormatting sqref="AN20">
    <cfRule type="cellIs" dxfId="1" priority="1550" operator="equal">
      <formula>0</formula>
    </cfRule>
    <cfRule type="cellIs" dxfId="2" priority="1551" operator="lessThan">
      <formula>G20</formula>
    </cfRule>
  </conditionalFormatting>
  <conditionalFormatting sqref="AN23">
    <cfRule type="cellIs" dxfId="1" priority="1556" operator="equal">
      <formula>0</formula>
    </cfRule>
    <cfRule type="cellIs" dxfId="2" priority="1557" operator="lessThan">
      <formula>G23</formula>
    </cfRule>
  </conditionalFormatting>
  <conditionalFormatting sqref="AN24">
    <cfRule type="cellIs" dxfId="1" priority="1562" operator="equal">
      <formula>0</formula>
    </cfRule>
    <cfRule type="cellIs" dxfId="2" priority="1563" operator="lessThan">
      <formula>G24</formula>
    </cfRule>
  </conditionalFormatting>
  <conditionalFormatting sqref="AN26">
    <cfRule type="cellIs" dxfId="1" priority="1568" operator="equal">
      <formula>0</formula>
    </cfRule>
    <cfRule type="cellIs" dxfId="2" priority="1569" operator="lessThan">
      <formula>G26</formula>
    </cfRule>
  </conditionalFormatting>
  <conditionalFormatting sqref="AN29">
    <cfRule type="cellIs" dxfId="1" priority="1574" operator="equal">
      <formula>0</formula>
    </cfRule>
    <cfRule type="cellIs" dxfId="2" priority="1575" operator="lessThan">
      <formula>G29</formula>
    </cfRule>
  </conditionalFormatting>
  <conditionalFormatting sqref="AN33">
    <cfRule type="cellIs" dxfId="1" priority="1579" operator="equal">
      <formula>0</formula>
    </cfRule>
    <cfRule type="cellIs" dxfId="2" priority="1580" operator="lessThan">
      <formula>G33</formula>
    </cfRule>
  </conditionalFormatting>
  <conditionalFormatting sqref="AN36">
    <cfRule type="cellIs" dxfId="1" priority="1585" operator="equal">
      <formula>0</formula>
    </cfRule>
    <cfRule type="cellIs" dxfId="2" priority="1586" operator="lessThan">
      <formula>G36</formula>
    </cfRule>
  </conditionalFormatting>
  <conditionalFormatting sqref="AN37">
    <cfRule type="cellIs" dxfId="1" priority="1591" operator="equal">
      <formula>0</formula>
    </cfRule>
    <cfRule type="cellIs" dxfId="2" priority="1592" operator="lessThan">
      <formula>G37</formula>
    </cfRule>
  </conditionalFormatting>
  <conditionalFormatting sqref="AN38">
    <cfRule type="cellIs" dxfId="1" priority="1597" operator="equal">
      <formula>0</formula>
    </cfRule>
    <cfRule type="cellIs" dxfId="2" priority="1598" operator="lessThan">
      <formula>G38</formula>
    </cfRule>
  </conditionalFormatting>
  <conditionalFormatting sqref="AN42">
    <cfRule type="cellIs" dxfId="1" priority="1603" operator="equal">
      <formula>0</formula>
    </cfRule>
    <cfRule type="cellIs" dxfId="2" priority="1604" operator="lessThan">
      <formula>G42</formula>
    </cfRule>
  </conditionalFormatting>
  <conditionalFormatting sqref="AN46">
    <cfRule type="cellIs" dxfId="1" priority="1609" operator="equal">
      <formula>0</formula>
    </cfRule>
    <cfRule type="cellIs" dxfId="2" priority="1610" operator="lessThan">
      <formula>G46</formula>
    </cfRule>
  </conditionalFormatting>
  <conditionalFormatting sqref="AN49">
    <cfRule type="cellIs" dxfId="1" priority="1615" operator="equal">
      <formula>0</formula>
    </cfRule>
    <cfRule type="cellIs" dxfId="2" priority="1616" operator="lessThan">
      <formula>G49</formula>
    </cfRule>
  </conditionalFormatting>
  <conditionalFormatting sqref="AN50">
    <cfRule type="cellIs" dxfId="1" priority="1621" operator="equal">
      <formula>0</formula>
    </cfRule>
    <cfRule type="cellIs" dxfId="2" priority="1622" operator="lessThan">
      <formula>G50</formula>
    </cfRule>
  </conditionalFormatting>
  <conditionalFormatting sqref="AN51">
    <cfRule type="cellIs" dxfId="1" priority="1627" operator="equal">
      <formula>0</formula>
    </cfRule>
    <cfRule type="cellIs" dxfId="2" priority="1628" operator="lessThan">
      <formula>G51</formula>
    </cfRule>
  </conditionalFormatting>
  <conditionalFormatting sqref="AN52">
    <cfRule type="cellIs" dxfId="1" priority="1633" operator="equal">
      <formula>0</formula>
    </cfRule>
    <cfRule type="cellIs" dxfId="2" priority="1634" operator="lessThan">
      <formula>G52</formula>
    </cfRule>
  </conditionalFormatting>
  <conditionalFormatting sqref="AN56">
    <cfRule type="cellIs" dxfId="1" priority="1639" operator="equal">
      <formula>0</formula>
    </cfRule>
    <cfRule type="cellIs" dxfId="2" priority="1640" operator="lessThan">
      <formula>G56</formula>
    </cfRule>
  </conditionalFormatting>
  <conditionalFormatting sqref="AN57">
    <cfRule type="cellIs" dxfId="1" priority="1645" operator="equal">
      <formula>0</formula>
    </cfRule>
    <cfRule type="cellIs" dxfId="2" priority="1646" operator="lessThan">
      <formula>G57</formula>
    </cfRule>
  </conditionalFormatting>
  <conditionalFormatting sqref="AN58">
    <cfRule type="cellIs" dxfId="1" priority="1651" operator="equal">
      <formula>0</formula>
    </cfRule>
    <cfRule type="cellIs" dxfId="2" priority="1652" operator="lessThan">
      <formula>G58</formula>
    </cfRule>
  </conditionalFormatting>
  <conditionalFormatting sqref="AN59">
    <cfRule type="cellIs" dxfId="1" priority="1657" operator="equal">
      <formula>0</formula>
    </cfRule>
    <cfRule type="cellIs" dxfId="2" priority="1658" operator="lessThan">
      <formula>G59</formula>
    </cfRule>
  </conditionalFormatting>
  <conditionalFormatting sqref="AN61">
    <cfRule type="cellIs" dxfId="1" priority="1663" operator="equal">
      <formula>0</formula>
    </cfRule>
    <cfRule type="cellIs" dxfId="2" priority="1664" operator="lessThan">
      <formula>G61</formula>
    </cfRule>
  </conditionalFormatting>
  <conditionalFormatting sqref="AN65">
    <cfRule type="cellIs" dxfId="1" priority="1669" operator="equal">
      <formula>0</formula>
    </cfRule>
    <cfRule type="cellIs" dxfId="2" priority="1670" operator="lessThan">
      <formula>G65</formula>
    </cfRule>
  </conditionalFormatting>
  <conditionalFormatting sqref="AN70">
    <cfRule type="cellIs" dxfId="1" priority="1675" operator="equal">
      <formula>0</formula>
    </cfRule>
    <cfRule type="cellIs" dxfId="2" priority="1676" operator="lessThan">
      <formula>G70</formula>
    </cfRule>
  </conditionalFormatting>
  <conditionalFormatting sqref="AN76">
    <cfRule type="cellIs" dxfId="1" priority="1681" operator="equal">
      <formula>0</formula>
    </cfRule>
    <cfRule type="cellIs" dxfId="2" priority="1682" operator="lessThan">
      <formula>G76</formula>
    </cfRule>
  </conditionalFormatting>
  <conditionalFormatting sqref="AN78">
    <cfRule type="cellIs" dxfId="1" priority="1686" operator="equal">
      <formula>0</formula>
    </cfRule>
    <cfRule type="cellIs" dxfId="2" priority="1687" operator="lessThan">
      <formula>G78</formula>
    </cfRule>
  </conditionalFormatting>
  <conditionalFormatting sqref="AN8">
    <cfRule type="cellIs" dxfId="1" priority="1532" operator="equal">
      <formula>0</formula>
    </cfRule>
    <cfRule type="cellIs" dxfId="2" priority="1533" operator="lessThan">
      <formula>G8</formula>
    </cfRule>
  </conditionalFormatting>
  <conditionalFormatting sqref="AN9">
    <cfRule type="cellIs" dxfId="1" priority="1538" operator="equal">
      <formula>0</formula>
    </cfRule>
    <cfRule type="cellIs" dxfId="2" priority="1539" operator="lessThan">
      <formula>G9</formula>
    </cfRule>
  </conditionalFormatting>
  <conditionalFormatting sqref="AO17">
    <cfRule type="expression" dxfId="3" priority="1546">
      <formula>AND(AO17&gt;0,AO17&lt;100)</formula>
    </cfRule>
    <cfRule type="cellIs" dxfId="1" priority="1547" operator="greaterThan">
      <formula>AN17</formula>
    </cfRule>
  </conditionalFormatting>
  <conditionalFormatting sqref="AO20">
    <cfRule type="expression" dxfId="3" priority="1552">
      <formula>AND(AO20&gt;0,AO20&lt;4000)</formula>
    </cfRule>
    <cfRule type="cellIs" dxfId="1" priority="1553" operator="greaterThan">
      <formula>AN20</formula>
    </cfRule>
  </conditionalFormatting>
  <conditionalFormatting sqref="AO23">
    <cfRule type="expression" dxfId="3" priority="1558">
      <formula>AND(AO23&gt;0,AO23&lt;4000)</formula>
    </cfRule>
    <cfRule type="cellIs" dxfId="1" priority="1559" operator="greaterThan">
      <formula>AN23</formula>
    </cfRule>
  </conditionalFormatting>
  <conditionalFormatting sqref="AO24">
    <cfRule type="expression" dxfId="3" priority="1564">
      <formula>AND(AO24&gt;0,AO24&lt;4000)</formula>
    </cfRule>
    <cfRule type="cellIs" dxfId="1" priority="1565" operator="greaterThan">
      <formula>AN24</formula>
    </cfRule>
  </conditionalFormatting>
  <conditionalFormatting sqref="AO26">
    <cfRule type="expression" dxfId="3" priority="1570">
      <formula>AND(AO26&gt;0,AO26&lt;25)</formula>
    </cfRule>
    <cfRule type="cellIs" dxfId="1" priority="1571" operator="greaterThan">
      <formula>AN26</formula>
    </cfRule>
  </conditionalFormatting>
  <conditionalFormatting sqref="AO29">
    <cfRule type="cellIs" dxfId="1" priority="1576" operator="greaterThan">
      <formula>AN29</formula>
    </cfRule>
  </conditionalFormatting>
  <conditionalFormatting sqref="AO33">
    <cfRule type="expression" dxfId="3" priority="1581">
      <formula>AND(AO33&gt;0,AO33&lt;100)</formula>
    </cfRule>
    <cfRule type="cellIs" dxfId="1" priority="1582" operator="greaterThan">
      <formula>AN33</formula>
    </cfRule>
  </conditionalFormatting>
  <conditionalFormatting sqref="AO36">
    <cfRule type="expression" dxfId="3" priority="1587">
      <formula>AND(AO36&gt;0,AO36&lt;100)</formula>
    </cfRule>
    <cfRule type="cellIs" dxfId="1" priority="1588" operator="greaterThan">
      <formula>AN36</formula>
    </cfRule>
  </conditionalFormatting>
  <conditionalFormatting sqref="AO37">
    <cfRule type="expression" dxfId="3" priority="1593">
      <formula>AND(AO37&gt;0,AO37&lt;5000)</formula>
    </cfRule>
    <cfRule type="cellIs" dxfId="1" priority="1594" operator="greaterThan">
      <formula>AN37</formula>
    </cfRule>
  </conditionalFormatting>
  <conditionalFormatting sqref="AO38">
    <cfRule type="expression" dxfId="3" priority="1599">
      <formula>AND(AO38&gt;0,AO38&lt;100)</formula>
    </cfRule>
    <cfRule type="cellIs" dxfId="1" priority="1600" operator="greaterThan">
      <formula>AN38</formula>
    </cfRule>
  </conditionalFormatting>
  <conditionalFormatting sqref="AO42">
    <cfRule type="expression" dxfId="3" priority="1605">
      <formula>AND(AO42&gt;0,AO42&lt;5000)</formula>
    </cfRule>
    <cfRule type="cellIs" dxfId="1" priority="1606" operator="greaterThan">
      <formula>AN42</formula>
    </cfRule>
  </conditionalFormatting>
  <conditionalFormatting sqref="AO46">
    <cfRule type="expression" dxfId="3" priority="1611">
      <formula>AND(AO46&gt;0,AO46&lt;5000)</formula>
    </cfRule>
    <cfRule type="cellIs" dxfId="1" priority="1612" operator="greaterThan">
      <formula>AN46</formula>
    </cfRule>
  </conditionalFormatting>
  <conditionalFormatting sqref="AO49">
    <cfRule type="expression" dxfId="3" priority="1617">
      <formula>AND(AO49&gt;0,AO49&lt;5000)</formula>
    </cfRule>
    <cfRule type="cellIs" dxfId="1" priority="1618" operator="greaterThan">
      <formula>AN49</formula>
    </cfRule>
  </conditionalFormatting>
  <conditionalFormatting sqref="AO50">
    <cfRule type="expression" dxfId="3" priority="1623">
      <formula>AND(AO50&gt;0,AO50&lt;5000)</formula>
    </cfRule>
    <cfRule type="cellIs" dxfId="1" priority="1624" operator="greaterThan">
      <formula>AN50</formula>
    </cfRule>
  </conditionalFormatting>
  <conditionalFormatting sqref="AO51">
    <cfRule type="expression" dxfId="3" priority="1629">
      <formula>AND(AO51&gt;0,AO51&lt;5000)</formula>
    </cfRule>
    <cfRule type="cellIs" dxfId="1" priority="1630" operator="greaterThan">
      <formula>AN51</formula>
    </cfRule>
  </conditionalFormatting>
  <conditionalFormatting sqref="AO52">
    <cfRule type="expression" dxfId="3" priority="1635">
      <formula>AND(AO52&gt;0,AO52&lt;5000)</formula>
    </cfRule>
    <cfRule type="cellIs" dxfId="1" priority="1636" operator="greaterThan">
      <formula>AN52</formula>
    </cfRule>
  </conditionalFormatting>
  <conditionalFormatting sqref="AO56">
    <cfRule type="expression" dxfId="3" priority="1641">
      <formula>AND(AO56&gt;0,AO56&lt;100)</formula>
    </cfRule>
    <cfRule type="cellIs" dxfId="1" priority="1642" operator="greaterThan">
      <formula>AN56</formula>
    </cfRule>
  </conditionalFormatting>
  <conditionalFormatting sqref="AO57">
    <cfRule type="expression" dxfId="3" priority="1647">
      <formula>AND(AO57&gt;0,AO57&lt;5000)</formula>
    </cfRule>
    <cfRule type="cellIs" dxfId="1" priority="1648" operator="greaterThan">
      <formula>AN57</formula>
    </cfRule>
  </conditionalFormatting>
  <conditionalFormatting sqref="AO58">
    <cfRule type="expression" dxfId="3" priority="1653">
      <formula>AND(AO58&gt;0,AO58&lt;5000)</formula>
    </cfRule>
    <cfRule type="cellIs" dxfId="1" priority="1654" operator="greaterThan">
      <formula>AN58</formula>
    </cfRule>
  </conditionalFormatting>
  <conditionalFormatting sqref="AO59">
    <cfRule type="expression" dxfId="3" priority="1659">
      <formula>AND(AO59&gt;0,AO59&lt;5000)</formula>
    </cfRule>
    <cfRule type="cellIs" dxfId="1" priority="1660" operator="greaterThan">
      <formula>AN59</formula>
    </cfRule>
  </conditionalFormatting>
  <conditionalFormatting sqref="AO61">
    <cfRule type="expression" dxfId="3" priority="1665">
      <formula>AND(AO61&gt;0,AO61&lt;5000)</formula>
    </cfRule>
    <cfRule type="cellIs" dxfId="1" priority="1666" operator="greaterThan">
      <formula>AN61</formula>
    </cfRule>
  </conditionalFormatting>
  <conditionalFormatting sqref="AO65">
    <cfRule type="expression" dxfId="3" priority="1671">
      <formula>AND(AO65&gt;0,AO65&lt;2)</formula>
    </cfRule>
    <cfRule type="cellIs" dxfId="1" priority="1672" operator="greaterThan">
      <formula>AN65</formula>
    </cfRule>
  </conditionalFormatting>
  <conditionalFormatting sqref="AO70">
    <cfRule type="expression" dxfId="3" priority="1677">
      <formula>AND(AO70&gt;0,AO70&lt;10)</formula>
    </cfRule>
    <cfRule type="cellIs" dxfId="1" priority="1678" operator="greaterThan">
      <formula>AN70</formula>
    </cfRule>
  </conditionalFormatting>
  <conditionalFormatting sqref="AO76">
    <cfRule type="cellIs" dxfId="1" priority="1683" operator="greaterThan">
      <formula>AN76</formula>
    </cfRule>
  </conditionalFormatting>
  <conditionalFormatting sqref="AO78">
    <cfRule type="cellIs" dxfId="1" priority="1688" operator="greaterThan">
      <formula>AN78</formula>
    </cfRule>
  </conditionalFormatting>
  <conditionalFormatting sqref="AO8">
    <cfRule type="expression" dxfId="3" priority="1534">
      <formula>AND(AO8&gt;0,AO8&lt;4000)</formula>
    </cfRule>
    <cfRule type="cellIs" dxfId="1" priority="1535" operator="greaterThan">
      <formula>AN8</formula>
    </cfRule>
  </conditionalFormatting>
  <conditionalFormatting sqref="AO9">
    <cfRule type="expression" dxfId="3" priority="1540">
      <formula>AND(AO9&gt;0,AO9&lt;4000)</formula>
    </cfRule>
    <cfRule type="cellIs" dxfId="1" priority="1541" operator="greaterThan">
      <formula>AN9</formula>
    </cfRule>
  </conditionalFormatting>
  <conditionalFormatting sqref="AP17">
    <cfRule type="cellIs" dxfId="4" priority="1549" operator="lessThanOrEqual">
      <formula>H17</formula>
    </cfRule>
  </conditionalFormatting>
  <conditionalFormatting sqref="AP20">
    <cfRule type="cellIs" dxfId="4" priority="1555" operator="lessThanOrEqual">
      <formula>H20</formula>
    </cfRule>
  </conditionalFormatting>
  <conditionalFormatting sqref="AP23">
    <cfRule type="cellIs" dxfId="4" priority="1561" operator="lessThanOrEqual">
      <formula>H23</formula>
    </cfRule>
  </conditionalFormatting>
  <conditionalFormatting sqref="AP24">
    <cfRule type="cellIs" dxfId="4" priority="1567" operator="lessThanOrEqual">
      <formula>H24</formula>
    </cfRule>
  </conditionalFormatting>
  <conditionalFormatting sqref="AP26">
    <cfRule type="cellIs" dxfId="4" priority="1573" operator="lessThanOrEqual">
      <formula>H26</formula>
    </cfRule>
  </conditionalFormatting>
  <conditionalFormatting sqref="AP29">
    <cfRule type="cellIs" dxfId="4" priority="1578" operator="lessThanOrEqual">
      <formula>H29</formula>
    </cfRule>
  </conditionalFormatting>
  <conditionalFormatting sqref="AP33">
    <cfRule type="cellIs" dxfId="4" priority="1584" operator="lessThanOrEqual">
      <formula>H33</formula>
    </cfRule>
  </conditionalFormatting>
  <conditionalFormatting sqref="AP36">
    <cfRule type="cellIs" dxfId="4" priority="1590" operator="lessThanOrEqual">
      <formula>H36</formula>
    </cfRule>
  </conditionalFormatting>
  <conditionalFormatting sqref="AP37">
    <cfRule type="cellIs" dxfId="4" priority="1596" operator="lessThanOrEqual">
      <formula>H37</formula>
    </cfRule>
  </conditionalFormatting>
  <conditionalFormatting sqref="AP38">
    <cfRule type="cellIs" dxfId="4" priority="1602" operator="lessThanOrEqual">
      <formula>H38</formula>
    </cfRule>
  </conditionalFormatting>
  <conditionalFormatting sqref="AP42">
    <cfRule type="cellIs" dxfId="4" priority="1608" operator="lessThanOrEqual">
      <formula>H42</formula>
    </cfRule>
  </conditionalFormatting>
  <conditionalFormatting sqref="AP46">
    <cfRule type="cellIs" dxfId="4" priority="1614" operator="lessThanOrEqual">
      <formula>H46</formula>
    </cfRule>
  </conditionalFormatting>
  <conditionalFormatting sqref="AP49">
    <cfRule type="cellIs" dxfId="4" priority="1620" operator="lessThanOrEqual">
      <formula>H49</formula>
    </cfRule>
  </conditionalFormatting>
  <conditionalFormatting sqref="AP50">
    <cfRule type="cellIs" dxfId="4" priority="1626" operator="lessThanOrEqual">
      <formula>H50</formula>
    </cfRule>
  </conditionalFormatting>
  <conditionalFormatting sqref="AP51">
    <cfRule type="cellIs" dxfId="4" priority="1632" operator="lessThanOrEqual">
      <formula>H51</formula>
    </cfRule>
  </conditionalFormatting>
  <conditionalFormatting sqref="AP52">
    <cfRule type="cellIs" dxfId="4" priority="1638" operator="lessThanOrEqual">
      <formula>H52</formula>
    </cfRule>
  </conditionalFormatting>
  <conditionalFormatting sqref="AP56">
    <cfRule type="cellIs" dxfId="4" priority="1644" operator="lessThanOrEqual">
      <formula>H56</formula>
    </cfRule>
  </conditionalFormatting>
  <conditionalFormatting sqref="AP57">
    <cfRule type="cellIs" dxfId="4" priority="1650" operator="lessThanOrEqual">
      <formula>H57</formula>
    </cfRule>
  </conditionalFormatting>
  <conditionalFormatting sqref="AP58">
    <cfRule type="cellIs" dxfId="4" priority="1656" operator="lessThanOrEqual">
      <formula>H58</formula>
    </cfRule>
  </conditionalFormatting>
  <conditionalFormatting sqref="AP59">
    <cfRule type="cellIs" dxfId="4" priority="1662" operator="lessThanOrEqual">
      <formula>H59</formula>
    </cfRule>
  </conditionalFormatting>
  <conditionalFormatting sqref="AP61">
    <cfRule type="cellIs" dxfId="4" priority="1668" operator="lessThanOrEqual">
      <formula>H61</formula>
    </cfRule>
  </conditionalFormatting>
  <conditionalFormatting sqref="AP65">
    <cfRule type="cellIs" dxfId="4" priority="1674" operator="lessThanOrEqual">
      <formula>H65</formula>
    </cfRule>
  </conditionalFormatting>
  <conditionalFormatting sqref="AP70">
    <cfRule type="cellIs" dxfId="4" priority="1680" operator="lessThanOrEqual">
      <formula>H70</formula>
    </cfRule>
  </conditionalFormatting>
  <conditionalFormatting sqref="AP76">
    <cfRule type="cellIs" dxfId="4" priority="1685" operator="lessThanOrEqual">
      <formula>H76</formula>
    </cfRule>
  </conditionalFormatting>
  <conditionalFormatting sqref="AP78">
    <cfRule type="cellIs" dxfId="4" priority="1690" operator="lessThanOrEqual">
      <formula>H78</formula>
    </cfRule>
  </conditionalFormatting>
  <conditionalFormatting sqref="AP8">
    <cfRule type="cellIs" dxfId="4" priority="1537" operator="lessThanOrEqual">
      <formula>H8</formula>
    </cfRule>
  </conditionalFormatting>
  <conditionalFormatting sqref="AP9">
    <cfRule type="cellIs" dxfId="4" priority="1543" operator="lessThanOrEqual">
      <formula>H9</formula>
    </cfRule>
  </conditionalFormatting>
  <conditionalFormatting sqref="AQ17">
    <cfRule type="cellIs" dxfId="4" priority="1548" operator="lessThanOrEqual">
      <formula>I17</formula>
    </cfRule>
  </conditionalFormatting>
  <conditionalFormatting sqref="AQ20">
    <cfRule type="cellIs" dxfId="4" priority="1554" operator="lessThanOrEqual">
      <formula>I20</formula>
    </cfRule>
  </conditionalFormatting>
  <conditionalFormatting sqref="AQ23">
    <cfRule type="cellIs" dxfId="4" priority="1560" operator="lessThanOrEqual">
      <formula>I23</formula>
    </cfRule>
  </conditionalFormatting>
  <conditionalFormatting sqref="AQ24">
    <cfRule type="cellIs" dxfId="4" priority="1566" operator="lessThanOrEqual">
      <formula>I24</formula>
    </cfRule>
  </conditionalFormatting>
  <conditionalFormatting sqref="AQ26">
    <cfRule type="cellIs" dxfId="4" priority="1572" operator="lessThanOrEqual">
      <formula>I26</formula>
    </cfRule>
  </conditionalFormatting>
  <conditionalFormatting sqref="AQ29">
    <cfRule type="cellIs" dxfId="4" priority="1577" operator="lessThanOrEqual">
      <formula>I29</formula>
    </cfRule>
  </conditionalFormatting>
  <conditionalFormatting sqref="AQ33">
    <cfRule type="cellIs" dxfId="4" priority="1583" operator="lessThanOrEqual">
      <formula>I33</formula>
    </cfRule>
  </conditionalFormatting>
  <conditionalFormatting sqref="AQ36">
    <cfRule type="cellIs" dxfId="4" priority="1589" operator="lessThanOrEqual">
      <formula>I36</formula>
    </cfRule>
  </conditionalFormatting>
  <conditionalFormatting sqref="AQ37">
    <cfRule type="cellIs" dxfId="4" priority="1595" operator="lessThanOrEqual">
      <formula>I37</formula>
    </cfRule>
  </conditionalFormatting>
  <conditionalFormatting sqref="AQ38">
    <cfRule type="cellIs" dxfId="4" priority="1601" operator="lessThanOrEqual">
      <formula>I38</formula>
    </cfRule>
  </conditionalFormatting>
  <conditionalFormatting sqref="AQ42">
    <cfRule type="cellIs" dxfId="4" priority="1607" operator="lessThanOrEqual">
      <formula>I42</formula>
    </cfRule>
  </conditionalFormatting>
  <conditionalFormatting sqref="AQ46">
    <cfRule type="cellIs" dxfId="4" priority="1613" operator="lessThanOrEqual">
      <formula>I46</formula>
    </cfRule>
  </conditionalFormatting>
  <conditionalFormatting sqref="AQ49">
    <cfRule type="cellIs" dxfId="4" priority="1619" operator="lessThanOrEqual">
      <formula>I49</formula>
    </cfRule>
  </conditionalFormatting>
  <conditionalFormatting sqref="AQ50">
    <cfRule type="cellIs" dxfId="4" priority="1625" operator="lessThanOrEqual">
      <formula>I50</formula>
    </cfRule>
  </conditionalFormatting>
  <conditionalFormatting sqref="AQ51">
    <cfRule type="cellIs" dxfId="4" priority="1631" operator="lessThanOrEqual">
      <formula>I51</formula>
    </cfRule>
  </conditionalFormatting>
  <conditionalFormatting sqref="AQ52">
    <cfRule type="cellIs" dxfId="4" priority="1637" operator="lessThanOrEqual">
      <formula>I52</formula>
    </cfRule>
  </conditionalFormatting>
  <conditionalFormatting sqref="AQ56">
    <cfRule type="cellIs" dxfId="4" priority="1643" operator="lessThanOrEqual">
      <formula>I56</formula>
    </cfRule>
  </conditionalFormatting>
  <conditionalFormatting sqref="AQ57">
    <cfRule type="cellIs" dxfId="4" priority="1649" operator="lessThanOrEqual">
      <formula>I57</formula>
    </cfRule>
  </conditionalFormatting>
  <conditionalFormatting sqref="AQ58">
    <cfRule type="cellIs" dxfId="4" priority="1655" operator="lessThanOrEqual">
      <formula>I58</formula>
    </cfRule>
  </conditionalFormatting>
  <conditionalFormatting sqref="AQ59">
    <cfRule type="cellIs" dxfId="4" priority="1661" operator="lessThanOrEqual">
      <formula>I59</formula>
    </cfRule>
  </conditionalFormatting>
  <conditionalFormatting sqref="AQ61">
    <cfRule type="cellIs" dxfId="4" priority="1667" operator="lessThanOrEqual">
      <formula>I61</formula>
    </cfRule>
  </conditionalFormatting>
  <conditionalFormatting sqref="AQ65">
    <cfRule type="cellIs" dxfId="4" priority="1673" operator="lessThanOrEqual">
      <formula>I65</formula>
    </cfRule>
  </conditionalFormatting>
  <conditionalFormatting sqref="AQ70">
    <cfRule type="cellIs" dxfId="4" priority="1679" operator="lessThanOrEqual">
      <formula>I70</formula>
    </cfRule>
  </conditionalFormatting>
  <conditionalFormatting sqref="AQ76">
    <cfRule type="cellIs" dxfId="4" priority="1684" operator="lessThanOrEqual">
      <formula>I76</formula>
    </cfRule>
  </conditionalFormatting>
  <conditionalFormatting sqref="AQ78">
    <cfRule type="cellIs" dxfId="4" priority="1689" operator="lessThanOrEqual">
      <formula>I78</formula>
    </cfRule>
  </conditionalFormatting>
  <conditionalFormatting sqref="AQ8">
    <cfRule type="cellIs" dxfId="4" priority="1536" operator="lessThanOrEqual">
      <formula>I8</formula>
    </cfRule>
  </conditionalFormatting>
  <conditionalFormatting sqref="AQ9">
    <cfRule type="cellIs" dxfId="4" priority="1542" operator="lessThanOrEqual">
      <formula>I9</formula>
    </cfRule>
  </conditionalFormatting>
  <conditionalFormatting sqref="AS16">
    <cfRule type="cellIs" dxfId="1" priority="1703" operator="equal">
      <formula>0</formula>
    </cfRule>
    <cfRule type="cellIs" dxfId="2" priority="1704" operator="lessThan">
      <formula>G16</formula>
    </cfRule>
  </conditionalFormatting>
  <conditionalFormatting sqref="AS24">
    <cfRule type="cellIs" dxfId="1" priority="1709" operator="equal">
      <formula>0</formula>
    </cfRule>
    <cfRule type="cellIs" dxfId="2" priority="1710" operator="lessThan">
      <formula>G24</formula>
    </cfRule>
  </conditionalFormatting>
  <conditionalFormatting sqref="AS26">
    <cfRule type="cellIs" dxfId="1" priority="1715" operator="equal">
      <formula>0</formula>
    </cfRule>
    <cfRule type="cellIs" dxfId="2" priority="1716" operator="lessThan">
      <formula>G26</formula>
    </cfRule>
  </conditionalFormatting>
  <conditionalFormatting sqref="AS32">
    <cfRule type="cellIs" dxfId="1" priority="1721" operator="equal">
      <formula>0</formula>
    </cfRule>
    <cfRule type="cellIs" dxfId="2" priority="1722" operator="lessThan">
      <formula>G32</formula>
    </cfRule>
  </conditionalFormatting>
  <conditionalFormatting sqref="AS33">
    <cfRule type="cellIs" dxfId="1" priority="1727" operator="equal">
      <formula>0</formula>
    </cfRule>
    <cfRule type="cellIs" dxfId="2" priority="1728" operator="lessThan">
      <formula>G33</formula>
    </cfRule>
  </conditionalFormatting>
  <conditionalFormatting sqref="AS34">
    <cfRule type="cellIs" dxfId="1" priority="1733" operator="equal">
      <formula>0</formula>
    </cfRule>
    <cfRule type="cellIs" dxfId="2" priority="1734" operator="lessThan">
      <formula>G34</formula>
    </cfRule>
  </conditionalFormatting>
  <conditionalFormatting sqref="AS36">
    <cfRule type="cellIs" dxfId="1" priority="1739" operator="equal">
      <formula>0</formula>
    </cfRule>
    <cfRule type="cellIs" dxfId="2" priority="1740" operator="lessThan">
      <formula>G36</formula>
    </cfRule>
  </conditionalFormatting>
  <conditionalFormatting sqref="AS37">
    <cfRule type="cellIs" dxfId="1" priority="1745" operator="equal">
      <formula>0</formula>
    </cfRule>
    <cfRule type="cellIs" dxfId="2" priority="1746" operator="lessThan">
      <formula>G37</formula>
    </cfRule>
  </conditionalFormatting>
  <conditionalFormatting sqref="AS38">
    <cfRule type="cellIs" dxfId="1" priority="1751" operator="equal">
      <formula>0</formula>
    </cfRule>
    <cfRule type="cellIs" dxfId="2" priority="1752" operator="lessThan">
      <formula>G38</formula>
    </cfRule>
  </conditionalFormatting>
  <conditionalFormatting sqref="AS42">
    <cfRule type="cellIs" dxfId="1" priority="1757" operator="equal">
      <formula>0</formula>
    </cfRule>
    <cfRule type="cellIs" dxfId="2" priority="1758" operator="lessThan">
      <formula>G42</formula>
    </cfRule>
  </conditionalFormatting>
  <conditionalFormatting sqref="AS43">
    <cfRule type="cellIs" dxfId="1" priority="1763" operator="equal">
      <formula>0</formula>
    </cfRule>
    <cfRule type="cellIs" dxfId="2" priority="1764" operator="lessThan">
      <formula>G43</formula>
    </cfRule>
  </conditionalFormatting>
  <conditionalFormatting sqref="AS44">
    <cfRule type="cellIs" dxfId="1" priority="1769" operator="equal">
      <formula>0</formula>
    </cfRule>
    <cfRule type="cellIs" dxfId="2" priority="1770" operator="lessThan">
      <formula>G44</formula>
    </cfRule>
  </conditionalFormatting>
  <conditionalFormatting sqref="AS46">
    <cfRule type="cellIs" dxfId="1" priority="1775" operator="equal">
      <formula>0</formula>
    </cfRule>
    <cfRule type="cellIs" dxfId="2" priority="1776" operator="lessThan">
      <formula>G46</formula>
    </cfRule>
  </conditionalFormatting>
  <conditionalFormatting sqref="AS47">
    <cfRule type="cellIs" dxfId="1" priority="1781" operator="equal">
      <formula>0</formula>
    </cfRule>
    <cfRule type="cellIs" dxfId="2" priority="1782" operator="lessThan">
      <formula>G47</formula>
    </cfRule>
  </conditionalFormatting>
  <conditionalFormatting sqref="AS48">
    <cfRule type="cellIs" dxfId="1" priority="1787" operator="equal">
      <formula>0</formula>
    </cfRule>
    <cfRule type="cellIs" dxfId="2" priority="1788" operator="lessThan">
      <formula>G48</formula>
    </cfRule>
  </conditionalFormatting>
  <conditionalFormatting sqref="AS49">
    <cfRule type="cellIs" dxfId="1" priority="1793" operator="equal">
      <formula>0</formula>
    </cfRule>
    <cfRule type="cellIs" dxfId="2" priority="1794" operator="lessThan">
      <formula>G49</formula>
    </cfRule>
  </conditionalFormatting>
  <conditionalFormatting sqref="AS50">
    <cfRule type="cellIs" dxfId="1" priority="1799" operator="equal">
      <formula>0</formula>
    </cfRule>
    <cfRule type="cellIs" dxfId="2" priority="1800" operator="lessThan">
      <formula>G50</formula>
    </cfRule>
  </conditionalFormatting>
  <conditionalFormatting sqref="AS51">
    <cfRule type="cellIs" dxfId="1" priority="1805" operator="equal">
      <formula>0</formula>
    </cfRule>
    <cfRule type="cellIs" dxfId="2" priority="1806" operator="lessThan">
      <formula>G51</formula>
    </cfRule>
  </conditionalFormatting>
  <conditionalFormatting sqref="AS52">
    <cfRule type="cellIs" dxfId="1" priority="1811" operator="equal">
      <formula>0</formula>
    </cfRule>
    <cfRule type="cellIs" dxfId="2" priority="1812" operator="lessThan">
      <formula>G52</formula>
    </cfRule>
  </conditionalFormatting>
  <conditionalFormatting sqref="AS53">
    <cfRule type="cellIs" dxfId="1" priority="1817" operator="equal">
      <formula>0</formula>
    </cfRule>
    <cfRule type="cellIs" dxfId="2" priority="1818" operator="lessThan">
      <formula>G53</formula>
    </cfRule>
  </conditionalFormatting>
  <conditionalFormatting sqref="AS55">
    <cfRule type="cellIs" dxfId="1" priority="1823" operator="equal">
      <formula>0</formula>
    </cfRule>
    <cfRule type="cellIs" dxfId="2" priority="1824" operator="lessThan">
      <formula>G55</formula>
    </cfRule>
  </conditionalFormatting>
  <conditionalFormatting sqref="AS56">
    <cfRule type="cellIs" dxfId="1" priority="1829" operator="equal">
      <formula>0</formula>
    </cfRule>
    <cfRule type="cellIs" dxfId="2" priority="1830" operator="lessThan">
      <formula>G56</formula>
    </cfRule>
  </conditionalFormatting>
  <conditionalFormatting sqref="AS57">
    <cfRule type="cellIs" dxfId="1" priority="1835" operator="equal">
      <formula>0</formula>
    </cfRule>
    <cfRule type="cellIs" dxfId="2" priority="1836" operator="lessThan">
      <formula>G57</formula>
    </cfRule>
  </conditionalFormatting>
  <conditionalFormatting sqref="AS58">
    <cfRule type="cellIs" dxfId="1" priority="1841" operator="equal">
      <formula>0</formula>
    </cfRule>
    <cfRule type="cellIs" dxfId="2" priority="1842" operator="lessThan">
      <formula>G58</formula>
    </cfRule>
  </conditionalFormatting>
  <conditionalFormatting sqref="AS59">
    <cfRule type="cellIs" dxfId="1" priority="1847" operator="equal">
      <formula>0</formula>
    </cfRule>
    <cfRule type="cellIs" dxfId="2" priority="1848" operator="lessThan">
      <formula>G59</formula>
    </cfRule>
  </conditionalFormatting>
  <conditionalFormatting sqref="AS61">
    <cfRule type="cellIs" dxfId="1" priority="1853" operator="equal">
      <formula>0</formula>
    </cfRule>
    <cfRule type="cellIs" dxfId="2" priority="1854" operator="lessThan">
      <formula>G61</formula>
    </cfRule>
  </conditionalFormatting>
  <conditionalFormatting sqref="AS62">
    <cfRule type="cellIs" dxfId="1" priority="1859" operator="equal">
      <formula>0</formula>
    </cfRule>
    <cfRule type="cellIs" dxfId="2" priority="1860" operator="lessThan">
      <formula>G62</formula>
    </cfRule>
  </conditionalFormatting>
  <conditionalFormatting sqref="AS73">
    <cfRule type="cellIs" dxfId="1" priority="1865" operator="equal">
      <formula>0</formula>
    </cfRule>
    <cfRule type="cellIs" dxfId="2" priority="1866" operator="lessThan">
      <formula>G73</formula>
    </cfRule>
  </conditionalFormatting>
  <conditionalFormatting sqref="AS76">
    <cfRule type="cellIs" dxfId="1" priority="1870" operator="equal">
      <formula>0</formula>
    </cfRule>
    <cfRule type="cellIs" dxfId="2" priority="1871" operator="lessThan">
      <formula>G76</formula>
    </cfRule>
  </conditionalFormatting>
  <conditionalFormatting sqref="AS78">
    <cfRule type="cellIs" dxfId="1" priority="1875" operator="equal">
      <formula>0</formula>
    </cfRule>
    <cfRule type="cellIs" dxfId="2" priority="1876" operator="lessThan">
      <formula>G78</formula>
    </cfRule>
  </conditionalFormatting>
  <conditionalFormatting sqref="AS8">
    <cfRule type="cellIs" dxfId="1" priority="1691" operator="equal">
      <formula>0</formula>
    </cfRule>
    <cfRule type="cellIs" dxfId="2" priority="1692" operator="lessThan">
      <formula>G8</formula>
    </cfRule>
  </conditionalFormatting>
  <conditionalFormatting sqref="AS9">
    <cfRule type="cellIs" dxfId="1" priority="1697" operator="equal">
      <formula>0</formula>
    </cfRule>
    <cfRule type="cellIs" dxfId="2" priority="1698" operator="lessThan">
      <formula>G9</formula>
    </cfRule>
  </conditionalFormatting>
  <conditionalFormatting sqref="AT16">
    <cfRule type="expression" dxfId="3" priority="1705">
      <formula>AND(AT16&gt;0,AT16&lt;100)</formula>
    </cfRule>
    <cfRule type="cellIs" dxfId="1" priority="1706" operator="greaterThan">
      <formula>AS16</formula>
    </cfRule>
  </conditionalFormatting>
  <conditionalFormatting sqref="AT24">
    <cfRule type="expression" dxfId="3" priority="1711">
      <formula>AND(AT24&gt;0,AT24&lt;100)</formula>
    </cfRule>
    <cfRule type="cellIs" dxfId="1" priority="1712" operator="greaterThan">
      <formula>AS24</formula>
    </cfRule>
  </conditionalFormatting>
  <conditionalFormatting sqref="AT26">
    <cfRule type="expression" dxfId="3" priority="1717">
      <formula>AND(AT26&gt;0,AT26&lt;10)</formula>
    </cfRule>
    <cfRule type="cellIs" dxfId="1" priority="1718" operator="greaterThan">
      <formula>AS26</formula>
    </cfRule>
  </conditionalFormatting>
  <conditionalFormatting sqref="AT32">
    <cfRule type="expression" dxfId="3" priority="1723">
      <formula>AND(AT32&gt;0,AT32&lt;20)</formula>
    </cfRule>
    <cfRule type="cellIs" dxfId="1" priority="1724" operator="greaterThan">
      <formula>AS32</formula>
    </cfRule>
  </conditionalFormatting>
  <conditionalFormatting sqref="AT33">
    <cfRule type="expression" dxfId="3" priority="1729">
      <formula>AND(AT33&gt;0,AT33&lt;20)</formula>
    </cfRule>
    <cfRule type="cellIs" dxfId="1" priority="1730" operator="greaterThan">
      <formula>AS33</formula>
    </cfRule>
  </conditionalFormatting>
  <conditionalFormatting sqref="AT34">
    <cfRule type="expression" dxfId="3" priority="1735">
      <formula>AND(AT34&gt;0,AT34&lt;100)</formula>
    </cfRule>
    <cfRule type="cellIs" dxfId="1" priority="1736" operator="greaterThan">
      <formula>AS34</formula>
    </cfRule>
  </conditionalFormatting>
  <conditionalFormatting sqref="AT36">
    <cfRule type="expression" dxfId="3" priority="1741">
      <formula>AND(AT36&gt;0,AT36&lt;100)</formula>
    </cfRule>
    <cfRule type="cellIs" dxfId="1" priority="1742" operator="greaterThan">
      <formula>AS36</formula>
    </cfRule>
  </conditionalFormatting>
  <conditionalFormatting sqref="AT37">
    <cfRule type="expression" dxfId="3" priority="1747">
      <formula>AND(AT37&gt;0,AT37&lt;100)</formula>
    </cfRule>
    <cfRule type="cellIs" dxfId="1" priority="1748" operator="greaterThan">
      <formula>AS37</formula>
    </cfRule>
  </conditionalFormatting>
  <conditionalFormatting sqref="AT38">
    <cfRule type="expression" dxfId="3" priority="1753">
      <formula>AND(AT38&gt;0,AT38&lt;100)</formula>
    </cfRule>
    <cfRule type="cellIs" dxfId="1" priority="1754" operator="greaterThan">
      <formula>AS38</formula>
    </cfRule>
  </conditionalFormatting>
  <conditionalFormatting sqref="AT42">
    <cfRule type="expression" dxfId="3" priority="1759">
      <formula>AND(AT42&gt;0,AT42&lt;100)</formula>
    </cfRule>
    <cfRule type="cellIs" dxfId="1" priority="1760" operator="greaterThan">
      <formula>AS42</formula>
    </cfRule>
  </conditionalFormatting>
  <conditionalFormatting sqref="AT43">
    <cfRule type="expression" dxfId="3" priority="1765">
      <formula>AND(AT43&gt;0,AT43&lt;100)</formula>
    </cfRule>
    <cfRule type="cellIs" dxfId="1" priority="1766" operator="greaterThan">
      <formula>AS43</formula>
    </cfRule>
  </conditionalFormatting>
  <conditionalFormatting sqref="AT44">
    <cfRule type="expression" dxfId="3" priority="1771">
      <formula>AND(AT44&gt;0,AT44&lt;100)</formula>
    </cfRule>
    <cfRule type="cellIs" dxfId="1" priority="1772" operator="greaterThan">
      <formula>AS44</formula>
    </cfRule>
  </conditionalFormatting>
  <conditionalFormatting sqref="AT46">
    <cfRule type="expression" dxfId="3" priority="1777">
      <formula>AND(AT46&gt;0,AT46&lt;100)</formula>
    </cfRule>
    <cfRule type="cellIs" dxfId="1" priority="1778" operator="greaterThan">
      <formula>AS46</formula>
    </cfRule>
  </conditionalFormatting>
  <conditionalFormatting sqref="AT47">
    <cfRule type="expression" dxfId="3" priority="1783">
      <formula>AND(AT47&gt;0,AT47&lt;100)</formula>
    </cfRule>
    <cfRule type="cellIs" dxfId="1" priority="1784" operator="greaterThan">
      <formula>AS47</formula>
    </cfRule>
  </conditionalFormatting>
  <conditionalFormatting sqref="AT48">
    <cfRule type="expression" dxfId="3" priority="1789">
      <formula>AND(AT48&gt;0,AT48&lt;100)</formula>
    </cfRule>
    <cfRule type="cellIs" dxfId="1" priority="1790" operator="greaterThan">
      <formula>AS48</formula>
    </cfRule>
  </conditionalFormatting>
  <conditionalFormatting sqref="AT49">
    <cfRule type="expression" dxfId="3" priority="1795">
      <formula>AND(AT49&gt;0,AT49&lt;100)</formula>
    </cfRule>
    <cfRule type="cellIs" dxfId="1" priority="1796" operator="greaterThan">
      <formula>AS49</formula>
    </cfRule>
  </conditionalFormatting>
  <conditionalFormatting sqref="AT50">
    <cfRule type="expression" dxfId="3" priority="1801">
      <formula>AND(AT50&gt;0,AT50&lt;100)</formula>
    </cfRule>
    <cfRule type="cellIs" dxfId="1" priority="1802" operator="greaterThan">
      <formula>AS50</formula>
    </cfRule>
  </conditionalFormatting>
  <conditionalFormatting sqref="AT51">
    <cfRule type="expression" dxfId="3" priority="1807">
      <formula>AND(AT51&gt;0,AT51&lt;100)</formula>
    </cfRule>
    <cfRule type="cellIs" dxfId="1" priority="1808" operator="greaterThan">
      <formula>AS51</formula>
    </cfRule>
  </conditionalFormatting>
  <conditionalFormatting sqref="AT52">
    <cfRule type="expression" dxfId="3" priority="1813">
      <formula>AND(AT52&gt;0,AT52&lt;100)</formula>
    </cfRule>
    <cfRule type="cellIs" dxfId="1" priority="1814" operator="greaterThan">
      <formula>AS52</formula>
    </cfRule>
  </conditionalFormatting>
  <conditionalFormatting sqref="AT53">
    <cfRule type="expression" dxfId="3" priority="1819">
      <formula>AND(AT53&gt;0,AT53&lt;100)</formula>
    </cfRule>
    <cfRule type="cellIs" dxfId="1" priority="1820" operator="greaterThan">
      <formula>AS53</formula>
    </cfRule>
  </conditionalFormatting>
  <conditionalFormatting sqref="AT55">
    <cfRule type="expression" dxfId="3" priority="1825">
      <formula>AND(AT55&gt;0,AT55&lt;100)</formula>
    </cfRule>
    <cfRule type="cellIs" dxfId="1" priority="1826" operator="greaterThan">
      <formula>AS55</formula>
    </cfRule>
  </conditionalFormatting>
  <conditionalFormatting sqref="AT56">
    <cfRule type="expression" dxfId="3" priority="1831">
      <formula>AND(AT56&gt;0,AT56&lt;100)</formula>
    </cfRule>
    <cfRule type="cellIs" dxfId="1" priority="1832" operator="greaterThan">
      <formula>AS56</formula>
    </cfRule>
  </conditionalFormatting>
  <conditionalFormatting sqref="AT57">
    <cfRule type="expression" dxfId="3" priority="1837">
      <formula>AND(AT57&gt;0,AT57&lt;100)</formula>
    </cfRule>
    <cfRule type="cellIs" dxfId="1" priority="1838" operator="greaterThan">
      <formula>AS57</formula>
    </cfRule>
  </conditionalFormatting>
  <conditionalFormatting sqref="AT58">
    <cfRule type="expression" dxfId="3" priority="1843">
      <formula>AND(AT58&gt;0,AT58&lt;100)</formula>
    </cfRule>
    <cfRule type="cellIs" dxfId="1" priority="1844" operator="greaterThan">
      <formula>AS58</formula>
    </cfRule>
  </conditionalFormatting>
  <conditionalFormatting sqref="AT59">
    <cfRule type="expression" dxfId="3" priority="1849">
      <formula>AND(AT59&gt;0,AT59&lt;100)</formula>
    </cfRule>
    <cfRule type="cellIs" dxfId="1" priority="1850" operator="greaterThan">
      <formula>AS59</formula>
    </cfRule>
  </conditionalFormatting>
  <conditionalFormatting sqref="AT61">
    <cfRule type="expression" dxfId="3" priority="1855">
      <formula>AND(AT61&gt;0,AT61&lt;100)</formula>
    </cfRule>
    <cfRule type="cellIs" dxfId="1" priority="1856" operator="greaterThan">
      <formula>AS61</formula>
    </cfRule>
  </conditionalFormatting>
  <conditionalFormatting sqref="AT62">
    <cfRule type="expression" dxfId="3" priority="1861">
      <formula>AND(AT62&gt;0,AT62&lt;100)</formula>
    </cfRule>
    <cfRule type="cellIs" dxfId="1" priority="1862" operator="greaterThan">
      <formula>AS62</formula>
    </cfRule>
  </conditionalFormatting>
  <conditionalFormatting sqref="AT73">
    <cfRule type="cellIs" dxfId="1" priority="1867" operator="greaterThan">
      <formula>AS73</formula>
    </cfRule>
  </conditionalFormatting>
  <conditionalFormatting sqref="AT76">
    <cfRule type="cellIs" dxfId="1" priority="1872" operator="greaterThan">
      <formula>AS76</formula>
    </cfRule>
  </conditionalFormatting>
  <conditionalFormatting sqref="AT78">
    <cfRule type="expression" dxfId="3" priority="1877">
      <formula>AND(AT78&gt;0,AT78&lt;3)</formula>
    </cfRule>
    <cfRule type="cellIs" dxfId="1" priority="1878" operator="greaterThan">
      <formula>AS78</formula>
    </cfRule>
  </conditionalFormatting>
  <conditionalFormatting sqref="AT8">
    <cfRule type="expression" dxfId="3" priority="1693">
      <formula>AND(AT8&gt;0,AT8&lt;100)</formula>
    </cfRule>
    <cfRule type="cellIs" dxfId="1" priority="1694" operator="greaterThan">
      <formula>AS8</formula>
    </cfRule>
  </conditionalFormatting>
  <conditionalFormatting sqref="AT9">
    <cfRule type="expression" dxfId="3" priority="1699">
      <formula>AND(AT9&gt;0,AT9&lt;100)</formula>
    </cfRule>
    <cfRule type="cellIs" dxfId="1" priority="1700" operator="greaterThan">
      <formula>AS9</formula>
    </cfRule>
  </conditionalFormatting>
  <conditionalFormatting sqref="AU16">
    <cfRule type="cellIs" dxfId="4" priority="1708" operator="lessThanOrEqual">
      <formula>H16</formula>
    </cfRule>
  </conditionalFormatting>
  <conditionalFormatting sqref="AU24">
    <cfRule type="cellIs" dxfId="4" priority="1714" operator="lessThanOrEqual">
      <formula>H24</formula>
    </cfRule>
  </conditionalFormatting>
  <conditionalFormatting sqref="AU26">
    <cfRule type="cellIs" dxfId="4" priority="1720" operator="lessThanOrEqual">
      <formula>H26</formula>
    </cfRule>
  </conditionalFormatting>
  <conditionalFormatting sqref="AU32">
    <cfRule type="cellIs" dxfId="4" priority="1726" operator="lessThanOrEqual">
      <formula>H32</formula>
    </cfRule>
  </conditionalFormatting>
  <conditionalFormatting sqref="AU33">
    <cfRule type="cellIs" dxfId="4" priority="1732" operator="lessThanOrEqual">
      <formula>H33</formula>
    </cfRule>
  </conditionalFormatting>
  <conditionalFormatting sqref="AU34">
    <cfRule type="cellIs" dxfId="4" priority="1738" operator="lessThanOrEqual">
      <formula>H34</formula>
    </cfRule>
  </conditionalFormatting>
  <conditionalFormatting sqref="AU36">
    <cfRule type="cellIs" dxfId="4" priority="1744" operator="lessThanOrEqual">
      <formula>H36</formula>
    </cfRule>
  </conditionalFormatting>
  <conditionalFormatting sqref="AU37">
    <cfRule type="cellIs" dxfId="4" priority="1750" operator="lessThanOrEqual">
      <formula>H37</formula>
    </cfRule>
  </conditionalFormatting>
  <conditionalFormatting sqref="AU38">
    <cfRule type="cellIs" dxfId="4" priority="1756" operator="lessThanOrEqual">
      <formula>H38</formula>
    </cfRule>
  </conditionalFormatting>
  <conditionalFormatting sqref="AU42">
    <cfRule type="cellIs" dxfId="4" priority="1762" operator="lessThanOrEqual">
      <formula>H42</formula>
    </cfRule>
  </conditionalFormatting>
  <conditionalFormatting sqref="AU43">
    <cfRule type="cellIs" dxfId="4" priority="1768" operator="lessThanOrEqual">
      <formula>H43</formula>
    </cfRule>
  </conditionalFormatting>
  <conditionalFormatting sqref="AU44">
    <cfRule type="cellIs" dxfId="4" priority="1774" operator="lessThanOrEqual">
      <formula>H44</formula>
    </cfRule>
  </conditionalFormatting>
  <conditionalFormatting sqref="AU46">
    <cfRule type="cellIs" dxfId="4" priority="1780" operator="lessThanOrEqual">
      <formula>H46</formula>
    </cfRule>
  </conditionalFormatting>
  <conditionalFormatting sqref="AU47">
    <cfRule type="cellIs" dxfId="4" priority="1786" operator="lessThanOrEqual">
      <formula>H47</formula>
    </cfRule>
  </conditionalFormatting>
  <conditionalFormatting sqref="AU48">
    <cfRule type="cellIs" dxfId="4" priority="1792" operator="lessThanOrEqual">
      <formula>H48</formula>
    </cfRule>
  </conditionalFormatting>
  <conditionalFormatting sqref="AU49">
    <cfRule type="cellIs" dxfId="4" priority="1798" operator="lessThanOrEqual">
      <formula>H49</formula>
    </cfRule>
  </conditionalFormatting>
  <conditionalFormatting sqref="AU50">
    <cfRule type="cellIs" dxfId="4" priority="1804" operator="lessThanOrEqual">
      <formula>H50</formula>
    </cfRule>
  </conditionalFormatting>
  <conditionalFormatting sqref="AU51">
    <cfRule type="cellIs" dxfId="4" priority="1810" operator="lessThanOrEqual">
      <formula>H51</formula>
    </cfRule>
  </conditionalFormatting>
  <conditionalFormatting sqref="AU52">
    <cfRule type="cellIs" dxfId="4" priority="1816" operator="lessThanOrEqual">
      <formula>H52</formula>
    </cfRule>
  </conditionalFormatting>
  <conditionalFormatting sqref="AU53">
    <cfRule type="cellIs" dxfId="4" priority="1822" operator="lessThanOrEqual">
      <formula>H53</formula>
    </cfRule>
  </conditionalFormatting>
  <conditionalFormatting sqref="AU55">
    <cfRule type="cellIs" dxfId="4" priority="1828" operator="lessThanOrEqual">
      <formula>H55</formula>
    </cfRule>
  </conditionalFormatting>
  <conditionalFormatting sqref="AU56">
    <cfRule type="cellIs" dxfId="4" priority="1834" operator="lessThanOrEqual">
      <formula>H56</formula>
    </cfRule>
  </conditionalFormatting>
  <conditionalFormatting sqref="AU57">
    <cfRule type="cellIs" dxfId="4" priority="1840" operator="lessThanOrEqual">
      <formula>H57</formula>
    </cfRule>
  </conditionalFormatting>
  <conditionalFormatting sqref="AU58">
    <cfRule type="cellIs" dxfId="4" priority="1846" operator="lessThanOrEqual">
      <formula>H58</formula>
    </cfRule>
  </conditionalFormatting>
  <conditionalFormatting sqref="AU59">
    <cfRule type="cellIs" dxfId="4" priority="1852" operator="lessThanOrEqual">
      <formula>H59</formula>
    </cfRule>
  </conditionalFormatting>
  <conditionalFormatting sqref="AU61">
    <cfRule type="cellIs" dxfId="4" priority="1858" operator="lessThanOrEqual">
      <formula>H61</formula>
    </cfRule>
  </conditionalFormatting>
  <conditionalFormatting sqref="AU62">
    <cfRule type="cellIs" dxfId="4" priority="1864" operator="lessThanOrEqual">
      <formula>H62</formula>
    </cfRule>
  </conditionalFormatting>
  <conditionalFormatting sqref="AU73">
    <cfRule type="cellIs" dxfId="4" priority="1869" operator="lessThanOrEqual">
      <formula>H73</formula>
    </cfRule>
  </conditionalFormatting>
  <conditionalFormatting sqref="AU76">
    <cfRule type="cellIs" dxfId="4" priority="1874" operator="lessThanOrEqual">
      <formula>H76</formula>
    </cfRule>
  </conditionalFormatting>
  <conditionalFormatting sqref="AU78">
    <cfRule type="cellIs" dxfId="4" priority="1880" operator="lessThanOrEqual">
      <formula>H78</formula>
    </cfRule>
  </conditionalFormatting>
  <conditionalFormatting sqref="AU8">
    <cfRule type="cellIs" dxfId="4" priority="1696" operator="lessThanOrEqual">
      <formula>H8</formula>
    </cfRule>
  </conditionalFormatting>
  <conditionalFormatting sqref="AU9">
    <cfRule type="cellIs" dxfId="4" priority="1702" operator="lessThanOrEqual">
      <formula>H9</formula>
    </cfRule>
  </conditionalFormatting>
  <conditionalFormatting sqref="AV16">
    <cfRule type="cellIs" dxfId="4" priority="1707" operator="lessThanOrEqual">
      <formula>I16</formula>
    </cfRule>
  </conditionalFormatting>
  <conditionalFormatting sqref="AV24">
    <cfRule type="cellIs" dxfId="4" priority="1713" operator="lessThanOrEqual">
      <formula>I24</formula>
    </cfRule>
  </conditionalFormatting>
  <conditionalFormatting sqref="AV26">
    <cfRule type="cellIs" dxfId="4" priority="1719" operator="lessThanOrEqual">
      <formula>I26</formula>
    </cfRule>
  </conditionalFormatting>
  <conditionalFormatting sqref="AV32">
    <cfRule type="cellIs" dxfId="4" priority="1725" operator="lessThanOrEqual">
      <formula>I32</formula>
    </cfRule>
  </conditionalFormatting>
  <conditionalFormatting sqref="AV33">
    <cfRule type="cellIs" dxfId="4" priority="1731" operator="lessThanOrEqual">
      <formula>I33</formula>
    </cfRule>
  </conditionalFormatting>
  <conditionalFormatting sqref="AV34">
    <cfRule type="cellIs" dxfId="4" priority="1737" operator="lessThanOrEqual">
      <formula>I34</formula>
    </cfRule>
  </conditionalFormatting>
  <conditionalFormatting sqref="AV36">
    <cfRule type="cellIs" dxfId="4" priority="1743" operator="lessThanOrEqual">
      <formula>I36</formula>
    </cfRule>
  </conditionalFormatting>
  <conditionalFormatting sqref="AV37">
    <cfRule type="cellIs" dxfId="4" priority="1749" operator="lessThanOrEqual">
      <formula>I37</formula>
    </cfRule>
  </conditionalFormatting>
  <conditionalFormatting sqref="AV38">
    <cfRule type="cellIs" dxfId="4" priority="1755" operator="lessThanOrEqual">
      <formula>I38</formula>
    </cfRule>
  </conditionalFormatting>
  <conditionalFormatting sqref="AV42">
    <cfRule type="cellIs" dxfId="4" priority="1761" operator="lessThanOrEqual">
      <formula>I42</formula>
    </cfRule>
  </conditionalFormatting>
  <conditionalFormatting sqref="AV43">
    <cfRule type="cellIs" dxfId="4" priority="1767" operator="lessThanOrEqual">
      <formula>I43</formula>
    </cfRule>
  </conditionalFormatting>
  <conditionalFormatting sqref="AV44">
    <cfRule type="cellIs" dxfId="4" priority="1773" operator="lessThanOrEqual">
      <formula>I44</formula>
    </cfRule>
  </conditionalFormatting>
  <conditionalFormatting sqref="AV46">
    <cfRule type="cellIs" dxfId="4" priority="1779" operator="lessThanOrEqual">
      <formula>I46</formula>
    </cfRule>
  </conditionalFormatting>
  <conditionalFormatting sqref="AV47">
    <cfRule type="cellIs" dxfId="4" priority="1785" operator="lessThanOrEqual">
      <formula>I47</formula>
    </cfRule>
  </conditionalFormatting>
  <conditionalFormatting sqref="AV48">
    <cfRule type="cellIs" dxfId="4" priority="1791" operator="lessThanOrEqual">
      <formula>I48</formula>
    </cfRule>
  </conditionalFormatting>
  <conditionalFormatting sqref="AV49">
    <cfRule type="cellIs" dxfId="4" priority="1797" operator="lessThanOrEqual">
      <formula>I49</formula>
    </cfRule>
  </conditionalFormatting>
  <conditionalFormatting sqref="AV50">
    <cfRule type="cellIs" dxfId="4" priority="1803" operator="lessThanOrEqual">
      <formula>I50</formula>
    </cfRule>
  </conditionalFormatting>
  <conditionalFormatting sqref="AV51">
    <cfRule type="cellIs" dxfId="4" priority="1809" operator="lessThanOrEqual">
      <formula>I51</formula>
    </cfRule>
  </conditionalFormatting>
  <conditionalFormatting sqref="AV52">
    <cfRule type="cellIs" dxfId="4" priority="1815" operator="lessThanOrEqual">
      <formula>I52</formula>
    </cfRule>
  </conditionalFormatting>
  <conditionalFormatting sqref="AV53">
    <cfRule type="cellIs" dxfId="4" priority="1821" operator="lessThanOrEqual">
      <formula>I53</formula>
    </cfRule>
  </conditionalFormatting>
  <conditionalFormatting sqref="AV55">
    <cfRule type="cellIs" dxfId="4" priority="1827" operator="lessThanOrEqual">
      <formula>I55</formula>
    </cfRule>
  </conditionalFormatting>
  <conditionalFormatting sqref="AV56">
    <cfRule type="cellIs" dxfId="4" priority="1833" operator="lessThanOrEqual">
      <formula>I56</formula>
    </cfRule>
  </conditionalFormatting>
  <conditionalFormatting sqref="AV57">
    <cfRule type="cellIs" dxfId="4" priority="1839" operator="lessThanOrEqual">
      <formula>I57</formula>
    </cfRule>
  </conditionalFormatting>
  <conditionalFormatting sqref="AV58">
    <cfRule type="cellIs" dxfId="4" priority="1845" operator="lessThanOrEqual">
      <formula>I58</formula>
    </cfRule>
  </conditionalFormatting>
  <conditionalFormatting sqref="AV59">
    <cfRule type="cellIs" dxfId="4" priority="1851" operator="lessThanOrEqual">
      <formula>I59</formula>
    </cfRule>
  </conditionalFormatting>
  <conditionalFormatting sqref="AV61">
    <cfRule type="cellIs" dxfId="4" priority="1857" operator="lessThanOrEqual">
      <formula>I61</formula>
    </cfRule>
  </conditionalFormatting>
  <conditionalFormatting sqref="AV62">
    <cfRule type="cellIs" dxfId="4" priority="1863" operator="lessThanOrEqual">
      <formula>I62</formula>
    </cfRule>
  </conditionalFormatting>
  <conditionalFormatting sqref="AV73">
    <cfRule type="cellIs" dxfId="4" priority="1868" operator="lessThanOrEqual">
      <formula>I73</formula>
    </cfRule>
  </conditionalFormatting>
  <conditionalFormatting sqref="AV76">
    <cfRule type="cellIs" dxfId="4" priority="1873" operator="lessThanOrEqual">
      <formula>I76</formula>
    </cfRule>
  </conditionalFormatting>
  <conditionalFormatting sqref="AV78">
    <cfRule type="cellIs" dxfId="4" priority="1879" operator="lessThanOrEqual">
      <formula>I78</formula>
    </cfRule>
  </conditionalFormatting>
  <conditionalFormatting sqref="AV8">
    <cfRule type="cellIs" dxfId="4" priority="1695" operator="lessThanOrEqual">
      <formula>I8</formula>
    </cfRule>
  </conditionalFormatting>
  <conditionalFormatting sqref="AV9">
    <cfRule type="cellIs" dxfId="4" priority="1701" operator="lessThanOrEqual">
      <formula>I9</formula>
    </cfRule>
  </conditionalFormatting>
  <conditionalFormatting sqref="G10">
    <cfRule type="expression" dxfId="0" priority="13">
      <formula>AND(ISBLANK(F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1">
    <cfRule type="expression" dxfId="0" priority="17">
      <formula>AND(ISBLANK(F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2">
    <cfRule type="expression" dxfId="0" priority="21">
      <formula>AND(ISBLANK(F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3">
    <cfRule type="expression" dxfId="0" priority="25">
      <formula>AND(ISBLANK(F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4">
    <cfRule type="expression" dxfId="0" priority="29">
      <formula>AND(ISBLANK(F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5">
    <cfRule type="expression" dxfId="0" priority="33">
      <formula>AND(ISBLANK(F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6">
    <cfRule type="expression" dxfId="0" priority="37">
      <formula>AND(ISBLANK(F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7">
    <cfRule type="expression" dxfId="0" priority="41">
      <formula>AND(ISBLANK(F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8">
    <cfRule type="expression" dxfId="0" priority="45">
      <formula>AND(ISBLANK(F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9">
    <cfRule type="expression" dxfId="0" priority="49">
      <formula>AND(ISBLANK(F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0">
    <cfRule type="expression" dxfId="0" priority="53">
      <formula>AND(ISBLANK(F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1">
    <cfRule type="expression" dxfId="0" priority="57">
      <formula>AND(ISBLANK(F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2">
    <cfRule type="expression" dxfId="0" priority="61">
      <formula>AND(ISBLANK(F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3">
    <cfRule type="expression" dxfId="0" priority="65">
      <formula>AND(ISBLANK(F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4">
    <cfRule type="expression" dxfId="0" priority="69">
      <formula>AND(ISBLANK(F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5">
    <cfRule type="expression" dxfId="0" priority="73">
      <formula>AND(ISBLANK(F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6">
    <cfRule type="expression" dxfId="0" priority="77">
      <formula>AND(ISBLANK(F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7">
    <cfRule type="expression" dxfId="0" priority="81">
      <formula>AND(ISBLANK(F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8">
    <cfRule type="expression" dxfId="0" priority="85">
      <formula>AND(ISBLANK(F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9">
    <cfRule type="expression" dxfId="0" priority="89">
      <formula>AND(ISBLANK(F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0">
    <cfRule type="expression" dxfId="0" priority="93">
      <formula>AND(ISBLANK(F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1">
    <cfRule type="expression" dxfId="0" priority="97">
      <formula>AND(ISBLANK(F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2">
    <cfRule type="expression" dxfId="0" priority="101">
      <formula>AND(ISBLANK(F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3">
    <cfRule type="expression" dxfId="0" priority="105">
      <formula>AND(ISBLANK(F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4">
    <cfRule type="expression" dxfId="0" priority="109">
      <formula>AND(ISBLANK(F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5">
    <cfRule type="expression" dxfId="0" priority="113">
      <formula>AND(ISBLANK(F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6">
    <cfRule type="expression" dxfId="0" priority="117">
      <formula>AND(ISBLANK(F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7">
    <cfRule type="expression" dxfId="0" priority="121">
      <formula>AND(ISBLANK(F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8">
    <cfRule type="expression" dxfId="0" priority="125">
      <formula>AND(ISBLANK(F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9">
    <cfRule type="expression" dxfId="0" priority="129">
      <formula>AND(ISBLANK(F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0">
    <cfRule type="expression" dxfId="0" priority="133">
      <formula>AND(ISBLANK(F40)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1">
    <cfRule type="expression" dxfId="0" priority="137">
      <formula>AND(ISBLANK(F41)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2">
    <cfRule type="expression" dxfId="0" priority="141">
      <formula>AND(ISBLANK(F42)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3">
    <cfRule type="expression" dxfId="0" priority="145">
      <formula>AND(ISBLANK(F43)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4">
    <cfRule type="expression" dxfId="0" priority="149">
      <formula>AND(ISBLANK(F44)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5">
    <cfRule type="expression" dxfId="0" priority="153">
      <formula>AND(ISBLANK(F45)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6">
    <cfRule type="expression" dxfId="0" priority="157">
      <formula>AND(ISBLANK(F46)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7">
    <cfRule type="expression" dxfId="0" priority="161">
      <formula>AND(ISBLANK(F47)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8">
    <cfRule type="expression" dxfId="0" priority="165">
      <formula>AND(ISBLANK(F48)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49">
    <cfRule type="expression" dxfId="0" priority="169">
      <formula>AND(ISBLANK(F49)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0">
    <cfRule type="expression" dxfId="0" priority="173">
      <formula>AND(ISBLANK(F50)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1">
    <cfRule type="expression" dxfId="0" priority="177">
      <formula>AND(ISBLANK(F51)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2">
    <cfRule type="expression" dxfId="0" priority="181">
      <formula>AND(ISBLANK(F52)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3">
    <cfRule type="expression" dxfId="0" priority="185">
      <formula>AND(ISBLANK(F53)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4">
    <cfRule type="expression" dxfId="0" priority="189">
      <formula>AND(ISBLANK(F54)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5">
    <cfRule type="expression" dxfId="0" priority="193">
      <formula>AND(ISBLANK(F55)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6">
    <cfRule type="expression" dxfId="0" priority="197">
      <formula>AND(ISBLANK(F56)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7">
    <cfRule type="expression" dxfId="0" priority="201">
      <formula>AND(ISBLANK(F57)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8">
    <cfRule type="expression" dxfId="0" priority="205">
      <formula>AND(ISBLANK(F58)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59">
    <cfRule type="expression" dxfId="0" priority="209">
      <formula>AND(ISBLANK(F59)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0">
    <cfRule type="expression" dxfId="0" priority="213">
      <formula>AND(ISBLANK(F60)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1">
    <cfRule type="expression" dxfId="0" priority="217">
      <formula>AND(ISBLANK(F61)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2">
    <cfRule type="expression" dxfId="0" priority="221">
      <formula>AND(ISBLANK(F62)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3">
    <cfRule type="expression" dxfId="0" priority="225">
      <formula>AND(ISBLANK(F63)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4">
    <cfRule type="expression" dxfId="0" priority="229">
      <formula>AND(ISBLANK(F64)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5">
    <cfRule type="expression" dxfId="0" priority="233">
      <formula>AND(ISBLANK(F65)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6">
    <cfRule type="expression" dxfId="0" priority="237">
      <formula>AND(ISBLANK(F66)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7">
    <cfRule type="expression" dxfId="0" priority="241">
      <formula>AND(ISBLANK(F67)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8">
    <cfRule type="expression" dxfId="0" priority="245">
      <formula>AND(ISBLANK(F68)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69">
    <cfRule type="expression" dxfId="0" priority="249">
      <formula>AND(ISBLANK(F69)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">
    <cfRule type="expression" dxfId="0" priority="1">
      <formula>AND(ISBLANK(F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0">
    <cfRule type="expression" dxfId="0" priority="253">
      <formula>AND(ISBLANK(F70)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1">
    <cfRule type="expression" dxfId="0" priority="257">
      <formula>AND(ISBLANK(F71)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2">
    <cfRule type="expression" dxfId="0" priority="261">
      <formula>AND(ISBLANK(F72)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3">
    <cfRule type="expression" dxfId="0" priority="265">
      <formula>AND(ISBLANK(F73)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4">
    <cfRule type="expression" dxfId="0" priority="269">
      <formula>AND(ISBLANK(F74)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5">
    <cfRule type="expression" dxfId="0" priority="273">
      <formula>AND(ISBLANK(F75)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6">
    <cfRule type="expression" dxfId="0" priority="277">
      <formula>AND(ISBLANK(F76)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7">
    <cfRule type="expression" dxfId="0" priority="281">
      <formula>AND(ISBLANK(F77)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8">
    <cfRule type="expression" dxfId="0" priority="285">
      <formula>AND(ISBLANK(F78)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9">
    <cfRule type="expression" dxfId="0" priority="289">
      <formula>AND(ISBLANK(F79)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8">
    <cfRule type="expression" dxfId="0" priority="5">
      <formula>AND(ISBLANK(F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9">
    <cfRule type="expression" dxfId="0" priority="9">
      <formula>AND(ISBLANK(F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O10">
    <cfRule type="cellIs" dxfId="1" priority="308" operator="equal">
      <formula>0</formula>
    </cfRule>
    <cfRule type="cellIs" dxfId="2" priority="309" operator="lessThan">
      <formula>G10</formula>
    </cfRule>
  </conditionalFormatting>
  <conditionalFormatting sqref="O11">
    <cfRule type="cellIs" dxfId="1" priority="313" operator="equal">
      <formula>0</formula>
    </cfRule>
    <cfRule type="cellIs" dxfId="2" priority="314" operator="lessThan">
      <formula>G11</formula>
    </cfRule>
  </conditionalFormatting>
  <conditionalFormatting sqref="O12">
    <cfRule type="cellIs" dxfId="1" priority="318" operator="equal">
      <formula>0</formula>
    </cfRule>
    <cfRule type="cellIs" dxfId="2" priority="319" operator="lessThan">
      <formula>G12</formula>
    </cfRule>
  </conditionalFormatting>
  <conditionalFormatting sqref="O13">
    <cfRule type="cellIs" dxfId="1" priority="323" operator="equal">
      <formula>0</formula>
    </cfRule>
    <cfRule type="cellIs" dxfId="2" priority="324" operator="lessThan">
      <formula>G13</formula>
    </cfRule>
  </conditionalFormatting>
  <conditionalFormatting sqref="O14">
    <cfRule type="cellIs" dxfId="1" priority="328" operator="equal">
      <formula>0</formula>
    </cfRule>
    <cfRule type="cellIs" dxfId="2" priority="329" operator="lessThan">
      <formula>G14</formula>
    </cfRule>
  </conditionalFormatting>
  <conditionalFormatting sqref="O15">
    <cfRule type="cellIs" dxfId="1" priority="333" operator="equal">
      <formula>0</formula>
    </cfRule>
    <cfRule type="cellIs" dxfId="2" priority="334" operator="lessThan">
      <formula>G15</formula>
    </cfRule>
  </conditionalFormatting>
  <conditionalFormatting sqref="O16">
    <cfRule type="cellIs" dxfId="1" priority="338" operator="equal">
      <formula>0</formula>
    </cfRule>
    <cfRule type="cellIs" dxfId="2" priority="339" operator="lessThan">
      <formula>G16</formula>
    </cfRule>
  </conditionalFormatting>
  <conditionalFormatting sqref="O17">
    <cfRule type="cellIs" dxfId="1" priority="343" operator="equal">
      <formula>0</formula>
    </cfRule>
    <cfRule type="cellIs" dxfId="2" priority="344" operator="lessThan">
      <formula>G17</formula>
    </cfRule>
  </conditionalFormatting>
  <conditionalFormatting sqref="O18">
    <cfRule type="cellIs" dxfId="1" priority="348" operator="equal">
      <formula>0</formula>
    </cfRule>
    <cfRule type="cellIs" dxfId="2" priority="349" operator="lessThan">
      <formula>G18</formula>
    </cfRule>
  </conditionalFormatting>
  <conditionalFormatting sqref="O19">
    <cfRule type="cellIs" dxfId="1" priority="353" operator="equal">
      <formula>0</formula>
    </cfRule>
    <cfRule type="cellIs" dxfId="2" priority="354" operator="lessThan">
      <formula>G19</formula>
    </cfRule>
  </conditionalFormatting>
  <conditionalFormatting sqref="O20">
    <cfRule type="cellIs" dxfId="1" priority="358" operator="equal">
      <formula>0</formula>
    </cfRule>
    <cfRule type="cellIs" dxfId="2" priority="359" operator="lessThan">
      <formula>G20</formula>
    </cfRule>
  </conditionalFormatting>
  <conditionalFormatting sqref="O21">
    <cfRule type="cellIs" dxfId="1" priority="363" operator="equal">
      <formula>0</formula>
    </cfRule>
    <cfRule type="cellIs" dxfId="2" priority="364" operator="lessThan">
      <formula>G21</formula>
    </cfRule>
  </conditionalFormatting>
  <conditionalFormatting sqref="O22">
    <cfRule type="cellIs" dxfId="1" priority="368" operator="equal">
      <formula>0</formula>
    </cfRule>
    <cfRule type="cellIs" dxfId="2" priority="369" operator="lessThan">
      <formula>G22</formula>
    </cfRule>
  </conditionalFormatting>
  <conditionalFormatting sqref="O23">
    <cfRule type="cellIs" dxfId="1" priority="373" operator="equal">
      <formula>0</formula>
    </cfRule>
    <cfRule type="cellIs" dxfId="2" priority="374" operator="lessThan">
      <formula>G23</formula>
    </cfRule>
  </conditionalFormatting>
  <conditionalFormatting sqref="O24">
    <cfRule type="cellIs" dxfId="1" priority="378" operator="equal">
      <formula>0</formula>
    </cfRule>
    <cfRule type="cellIs" dxfId="2" priority="379" operator="lessThan">
      <formula>G24</formula>
    </cfRule>
  </conditionalFormatting>
  <conditionalFormatting sqref="O25">
    <cfRule type="cellIs" dxfId="1" priority="383" operator="equal">
      <formula>0</formula>
    </cfRule>
    <cfRule type="cellIs" dxfId="2" priority="384" operator="lessThan">
      <formula>G25</formula>
    </cfRule>
  </conditionalFormatting>
  <conditionalFormatting sqref="O26">
    <cfRule type="cellIs" dxfId="1" priority="388" operator="equal">
      <formula>0</formula>
    </cfRule>
    <cfRule type="cellIs" dxfId="2" priority="389" operator="lessThan">
      <formula>G26</formula>
    </cfRule>
  </conditionalFormatting>
  <conditionalFormatting sqref="O28">
    <cfRule type="cellIs" dxfId="1" priority="393" operator="equal">
      <formula>0</formula>
    </cfRule>
    <cfRule type="cellIs" dxfId="2" priority="394" operator="lessThan">
      <formula>G28</formula>
    </cfRule>
  </conditionalFormatting>
  <conditionalFormatting sqref="O29">
    <cfRule type="cellIs" dxfId="1" priority="398" operator="equal">
      <formula>0</formula>
    </cfRule>
    <cfRule type="cellIs" dxfId="2" priority="399" operator="lessThan">
      <formula>G29</formula>
    </cfRule>
  </conditionalFormatting>
  <conditionalFormatting sqref="O32">
    <cfRule type="cellIs" dxfId="1" priority="403" operator="equal">
      <formula>0</formula>
    </cfRule>
    <cfRule type="cellIs" dxfId="2" priority="404" operator="lessThan">
      <formula>G32</formula>
    </cfRule>
  </conditionalFormatting>
  <conditionalFormatting sqref="O33">
    <cfRule type="cellIs" dxfId="1" priority="408" operator="equal">
      <formula>0</formula>
    </cfRule>
    <cfRule type="cellIs" dxfId="2" priority="409" operator="lessThan">
      <formula>G33</formula>
    </cfRule>
  </conditionalFormatting>
  <conditionalFormatting sqref="O34">
    <cfRule type="cellIs" dxfId="1" priority="413" operator="equal">
      <formula>0</formula>
    </cfRule>
    <cfRule type="cellIs" dxfId="2" priority="414" operator="lessThan">
      <formula>G34</formula>
    </cfRule>
  </conditionalFormatting>
  <conditionalFormatting sqref="O35">
    <cfRule type="cellIs" dxfId="1" priority="418" operator="equal">
      <formula>0</formula>
    </cfRule>
    <cfRule type="cellIs" dxfId="2" priority="419" operator="lessThan">
      <formula>G35</formula>
    </cfRule>
  </conditionalFormatting>
  <conditionalFormatting sqref="O36">
    <cfRule type="cellIs" dxfId="1" priority="423" operator="equal">
      <formula>0</formula>
    </cfRule>
    <cfRule type="cellIs" dxfId="2" priority="424" operator="lessThan">
      <formula>G36</formula>
    </cfRule>
  </conditionalFormatting>
  <conditionalFormatting sqref="O37">
    <cfRule type="cellIs" dxfId="1" priority="428" operator="equal">
      <formula>0</formula>
    </cfRule>
    <cfRule type="cellIs" dxfId="2" priority="429" operator="lessThan">
      <formula>G37</formula>
    </cfRule>
  </conditionalFormatting>
  <conditionalFormatting sqref="O38">
    <cfRule type="cellIs" dxfId="1" priority="433" operator="equal">
      <formula>0</formula>
    </cfRule>
    <cfRule type="cellIs" dxfId="2" priority="434" operator="lessThan">
      <formula>G38</formula>
    </cfRule>
  </conditionalFormatting>
  <conditionalFormatting sqref="O39">
    <cfRule type="cellIs" dxfId="1" priority="438" operator="equal">
      <formula>0</formula>
    </cfRule>
    <cfRule type="cellIs" dxfId="2" priority="439" operator="lessThan">
      <formula>G39</formula>
    </cfRule>
  </conditionalFormatting>
  <conditionalFormatting sqref="O40">
    <cfRule type="cellIs" dxfId="1" priority="443" operator="equal">
      <formula>0</formula>
    </cfRule>
    <cfRule type="cellIs" dxfId="2" priority="444" operator="lessThan">
      <formula>G40</formula>
    </cfRule>
  </conditionalFormatting>
  <conditionalFormatting sqref="O41">
    <cfRule type="cellIs" dxfId="1" priority="448" operator="equal">
      <formula>0</formula>
    </cfRule>
    <cfRule type="cellIs" dxfId="2" priority="449" operator="lessThan">
      <formula>G41</formula>
    </cfRule>
  </conditionalFormatting>
  <conditionalFormatting sqref="O42">
    <cfRule type="cellIs" dxfId="1" priority="453" operator="equal">
      <formula>0</formula>
    </cfRule>
    <cfRule type="cellIs" dxfId="2" priority="454" operator="lessThan">
      <formula>G42</formula>
    </cfRule>
  </conditionalFormatting>
  <conditionalFormatting sqref="O43">
    <cfRule type="cellIs" dxfId="1" priority="458" operator="equal">
      <formula>0</formula>
    </cfRule>
    <cfRule type="cellIs" dxfId="2" priority="459" operator="lessThan">
      <formula>G43</formula>
    </cfRule>
  </conditionalFormatting>
  <conditionalFormatting sqref="O44">
    <cfRule type="cellIs" dxfId="1" priority="463" operator="equal">
      <formula>0</formula>
    </cfRule>
    <cfRule type="cellIs" dxfId="2" priority="464" operator="lessThan">
      <formula>G44</formula>
    </cfRule>
  </conditionalFormatting>
  <conditionalFormatting sqref="O45">
    <cfRule type="cellIs" dxfId="1" priority="468" operator="equal">
      <formula>0</formula>
    </cfRule>
    <cfRule type="cellIs" dxfId="2" priority="469" operator="lessThan">
      <formula>G45</formula>
    </cfRule>
  </conditionalFormatting>
  <conditionalFormatting sqref="O46">
    <cfRule type="cellIs" dxfId="1" priority="473" operator="equal">
      <formula>0</formula>
    </cfRule>
    <cfRule type="cellIs" dxfId="2" priority="474" operator="lessThan">
      <formula>G46</formula>
    </cfRule>
  </conditionalFormatting>
  <conditionalFormatting sqref="O47">
    <cfRule type="cellIs" dxfId="1" priority="478" operator="equal">
      <formula>0</formula>
    </cfRule>
    <cfRule type="cellIs" dxfId="2" priority="479" operator="lessThan">
      <formula>G47</formula>
    </cfRule>
  </conditionalFormatting>
  <conditionalFormatting sqref="O48">
    <cfRule type="cellIs" dxfId="1" priority="483" operator="equal">
      <formula>0</formula>
    </cfRule>
    <cfRule type="cellIs" dxfId="2" priority="484" operator="lessThan">
      <formula>G48</formula>
    </cfRule>
  </conditionalFormatting>
  <conditionalFormatting sqref="O49">
    <cfRule type="cellIs" dxfId="1" priority="488" operator="equal">
      <formula>0</formula>
    </cfRule>
    <cfRule type="cellIs" dxfId="2" priority="489" operator="lessThan">
      <formula>G49</formula>
    </cfRule>
  </conditionalFormatting>
  <conditionalFormatting sqref="O50">
    <cfRule type="cellIs" dxfId="1" priority="493" operator="equal">
      <formula>0</formula>
    </cfRule>
    <cfRule type="cellIs" dxfId="2" priority="494" operator="lessThan">
      <formula>G50</formula>
    </cfRule>
  </conditionalFormatting>
  <conditionalFormatting sqref="O51">
    <cfRule type="cellIs" dxfId="1" priority="498" operator="equal">
      <formula>0</formula>
    </cfRule>
    <cfRule type="cellIs" dxfId="2" priority="499" operator="lessThan">
      <formula>G51</formula>
    </cfRule>
  </conditionalFormatting>
  <conditionalFormatting sqref="O52">
    <cfRule type="cellIs" dxfId="1" priority="503" operator="equal">
      <formula>0</formula>
    </cfRule>
    <cfRule type="cellIs" dxfId="2" priority="504" operator="lessThan">
      <formula>G52</formula>
    </cfRule>
  </conditionalFormatting>
  <conditionalFormatting sqref="O53">
    <cfRule type="cellIs" dxfId="1" priority="508" operator="equal">
      <formula>0</formula>
    </cfRule>
    <cfRule type="cellIs" dxfId="2" priority="509" operator="lessThan">
      <formula>G53</formula>
    </cfRule>
  </conditionalFormatting>
  <conditionalFormatting sqref="O54">
    <cfRule type="cellIs" dxfId="1" priority="513" operator="equal">
      <formula>0</formula>
    </cfRule>
    <cfRule type="cellIs" dxfId="2" priority="514" operator="lessThan">
      <formula>G54</formula>
    </cfRule>
  </conditionalFormatting>
  <conditionalFormatting sqref="O55">
    <cfRule type="cellIs" dxfId="1" priority="518" operator="equal">
      <formula>0</formula>
    </cfRule>
    <cfRule type="cellIs" dxfId="2" priority="519" operator="lessThan">
      <formula>G55</formula>
    </cfRule>
  </conditionalFormatting>
  <conditionalFormatting sqref="O56">
    <cfRule type="cellIs" dxfId="1" priority="523" operator="equal">
      <formula>0</formula>
    </cfRule>
    <cfRule type="cellIs" dxfId="2" priority="524" operator="lessThan">
      <formula>G56</formula>
    </cfRule>
  </conditionalFormatting>
  <conditionalFormatting sqref="O57">
    <cfRule type="cellIs" dxfId="1" priority="528" operator="equal">
      <formula>0</formula>
    </cfRule>
    <cfRule type="cellIs" dxfId="2" priority="529" operator="lessThan">
      <formula>G57</formula>
    </cfRule>
  </conditionalFormatting>
  <conditionalFormatting sqref="O58">
    <cfRule type="cellIs" dxfId="1" priority="533" operator="equal">
      <formula>0</formula>
    </cfRule>
    <cfRule type="cellIs" dxfId="2" priority="534" operator="lessThan">
      <formula>G58</formula>
    </cfRule>
  </conditionalFormatting>
  <conditionalFormatting sqref="O59">
    <cfRule type="cellIs" dxfId="1" priority="538" operator="equal">
      <formula>0</formula>
    </cfRule>
    <cfRule type="cellIs" dxfId="2" priority="539" operator="lessThan">
      <formula>G59</formula>
    </cfRule>
  </conditionalFormatting>
  <conditionalFormatting sqref="O60">
    <cfRule type="cellIs" dxfId="1" priority="543" operator="equal">
      <formula>0</formula>
    </cfRule>
    <cfRule type="cellIs" dxfId="2" priority="544" operator="lessThan">
      <formula>G60</formula>
    </cfRule>
  </conditionalFormatting>
  <conditionalFormatting sqref="O61">
    <cfRule type="cellIs" dxfId="1" priority="548" operator="equal">
      <formula>0</formula>
    </cfRule>
    <cfRule type="cellIs" dxfId="2" priority="549" operator="lessThan">
      <formula>G61</formula>
    </cfRule>
  </conditionalFormatting>
  <conditionalFormatting sqref="O62">
    <cfRule type="cellIs" dxfId="1" priority="553" operator="equal">
      <formula>0</formula>
    </cfRule>
    <cfRule type="cellIs" dxfId="2" priority="554" operator="lessThan">
      <formula>G62</formula>
    </cfRule>
  </conditionalFormatting>
  <conditionalFormatting sqref="O64">
    <cfRule type="cellIs" dxfId="1" priority="558" operator="equal">
      <formula>0</formula>
    </cfRule>
    <cfRule type="cellIs" dxfId="2" priority="559" operator="lessThan">
      <formula>G64</formula>
    </cfRule>
  </conditionalFormatting>
  <conditionalFormatting sqref="O65">
    <cfRule type="cellIs" dxfId="1" priority="563" operator="equal">
      <formula>0</formula>
    </cfRule>
    <cfRule type="cellIs" dxfId="2" priority="564" operator="lessThan">
      <formula>G65</formula>
    </cfRule>
  </conditionalFormatting>
  <conditionalFormatting sqref="O66">
    <cfRule type="cellIs" dxfId="1" priority="568" operator="equal">
      <formula>0</formula>
    </cfRule>
    <cfRule type="cellIs" dxfId="2" priority="569" operator="lessThan">
      <formula>G66</formula>
    </cfRule>
  </conditionalFormatting>
  <conditionalFormatting sqref="O67">
    <cfRule type="cellIs" dxfId="1" priority="573" operator="equal">
      <formula>0</formula>
    </cfRule>
    <cfRule type="cellIs" dxfId="2" priority="574" operator="lessThan">
      <formula>G67</formula>
    </cfRule>
  </conditionalFormatting>
  <conditionalFormatting sqref="O68">
    <cfRule type="cellIs" dxfId="1" priority="578" operator="equal">
      <formula>0</formula>
    </cfRule>
    <cfRule type="cellIs" dxfId="2" priority="579" operator="lessThan">
      <formula>G68</formula>
    </cfRule>
  </conditionalFormatting>
  <conditionalFormatting sqref="O69">
    <cfRule type="cellIs" dxfId="1" priority="583" operator="equal">
      <formula>0</formula>
    </cfRule>
    <cfRule type="cellIs" dxfId="2" priority="584" operator="lessThan">
      <formula>G69</formula>
    </cfRule>
  </conditionalFormatting>
  <conditionalFormatting sqref="O7">
    <cfRule type="cellIs" dxfId="1" priority="293" operator="equal">
      <formula>0</formula>
    </cfRule>
    <cfRule type="cellIs" dxfId="2" priority="294" operator="lessThan">
      <formula>G7</formula>
    </cfRule>
  </conditionalFormatting>
  <conditionalFormatting sqref="O70">
    <cfRule type="cellIs" dxfId="1" priority="588" operator="equal">
      <formula>0</formula>
    </cfRule>
    <cfRule type="cellIs" dxfId="2" priority="589" operator="lessThan">
      <formula>G70</formula>
    </cfRule>
  </conditionalFormatting>
  <conditionalFormatting sqref="O71">
    <cfRule type="cellIs" dxfId="1" priority="593" operator="equal">
      <formula>0</formula>
    </cfRule>
    <cfRule type="cellIs" dxfId="2" priority="594" operator="lessThan">
      <formula>G71</formula>
    </cfRule>
  </conditionalFormatting>
  <conditionalFormatting sqref="O72">
    <cfRule type="cellIs" dxfId="1" priority="598" operator="equal">
      <formula>0</formula>
    </cfRule>
    <cfRule type="cellIs" dxfId="2" priority="599" operator="lessThan">
      <formula>G72</formula>
    </cfRule>
  </conditionalFormatting>
  <conditionalFormatting sqref="O73">
    <cfRule type="cellIs" dxfId="1" priority="603" operator="equal">
      <formula>0</formula>
    </cfRule>
    <cfRule type="cellIs" dxfId="2" priority="604" operator="lessThan">
      <formula>G73</formula>
    </cfRule>
  </conditionalFormatting>
  <conditionalFormatting sqref="O74">
    <cfRule type="cellIs" dxfId="1" priority="608" operator="equal">
      <formula>0</formula>
    </cfRule>
    <cfRule type="cellIs" dxfId="2" priority="609" operator="lessThan">
      <formula>G74</formula>
    </cfRule>
  </conditionalFormatting>
  <conditionalFormatting sqref="O75">
    <cfRule type="cellIs" dxfId="1" priority="613" operator="equal">
      <formula>0</formula>
    </cfRule>
    <cfRule type="cellIs" dxfId="2" priority="614" operator="lessThan">
      <formula>G75</formula>
    </cfRule>
  </conditionalFormatting>
  <conditionalFormatting sqref="O76">
    <cfRule type="cellIs" dxfId="1" priority="618" operator="equal">
      <formula>0</formula>
    </cfRule>
    <cfRule type="cellIs" dxfId="2" priority="619" operator="lessThan">
      <formula>G76</formula>
    </cfRule>
  </conditionalFormatting>
  <conditionalFormatting sqref="O77">
    <cfRule type="cellIs" dxfId="1" priority="623" operator="equal">
      <formula>0</formula>
    </cfRule>
    <cfRule type="cellIs" dxfId="2" priority="624" operator="lessThan">
      <formula>G77</formula>
    </cfRule>
  </conditionalFormatting>
  <conditionalFormatting sqref="O78">
    <cfRule type="cellIs" dxfId="1" priority="628" operator="equal">
      <formula>0</formula>
    </cfRule>
    <cfRule type="cellIs" dxfId="2" priority="629" operator="lessThan">
      <formula>G78</formula>
    </cfRule>
  </conditionalFormatting>
  <conditionalFormatting sqref="O79">
    <cfRule type="cellIs" dxfId="1" priority="633" operator="equal">
      <formula>0</formula>
    </cfRule>
    <cfRule type="cellIs" dxfId="2" priority="634" operator="lessThan">
      <formula>G79</formula>
    </cfRule>
  </conditionalFormatting>
  <conditionalFormatting sqref="O8">
    <cfRule type="cellIs" dxfId="1" priority="298" operator="equal">
      <formula>0</formula>
    </cfRule>
    <cfRule type="cellIs" dxfId="2" priority="299" operator="lessThan">
      <formula>G8</formula>
    </cfRule>
  </conditionalFormatting>
  <conditionalFormatting sqref="O9">
    <cfRule type="cellIs" dxfId="1" priority="303" operator="equal">
      <formula>0</formula>
    </cfRule>
    <cfRule type="cellIs" dxfId="2" priority="304" operator="lessThan">
      <formula>G9</formula>
    </cfRule>
  </conditionalFormatting>
  <conditionalFormatting sqref="P10">
    <cfRule type="cellIs" dxfId="1" priority="310" operator="greaterThan">
      <formula>O10</formula>
    </cfRule>
  </conditionalFormatting>
  <conditionalFormatting sqref="P11">
    <cfRule type="cellIs" dxfId="1" priority="315" operator="greaterThan">
      <formula>O11</formula>
    </cfRule>
  </conditionalFormatting>
  <conditionalFormatting sqref="P12">
    <cfRule type="cellIs" dxfId="1" priority="320" operator="greaterThan">
      <formula>O12</formula>
    </cfRule>
  </conditionalFormatting>
  <conditionalFormatting sqref="P13">
    <cfRule type="cellIs" dxfId="1" priority="325" operator="greaterThan">
      <formula>O13</formula>
    </cfRule>
  </conditionalFormatting>
  <conditionalFormatting sqref="P14">
    <cfRule type="cellIs" dxfId="1" priority="330" operator="greaterThan">
      <formula>O14</formula>
    </cfRule>
  </conditionalFormatting>
  <conditionalFormatting sqref="P15">
    <cfRule type="cellIs" dxfId="1" priority="335" operator="greaterThan">
      <formula>O15</formula>
    </cfRule>
  </conditionalFormatting>
  <conditionalFormatting sqref="P16">
    <cfRule type="cellIs" dxfId="1" priority="340" operator="greaterThan">
      <formula>O16</formula>
    </cfRule>
  </conditionalFormatting>
  <conditionalFormatting sqref="P17">
    <cfRule type="cellIs" dxfId="1" priority="345" operator="greaterThan">
      <formula>O17</formula>
    </cfRule>
  </conditionalFormatting>
  <conditionalFormatting sqref="P18">
    <cfRule type="cellIs" dxfId="1" priority="350" operator="greaterThan">
      <formula>O18</formula>
    </cfRule>
  </conditionalFormatting>
  <conditionalFormatting sqref="P19">
    <cfRule type="cellIs" dxfId="1" priority="355" operator="greaterThan">
      <formula>O19</formula>
    </cfRule>
  </conditionalFormatting>
  <conditionalFormatting sqref="P20">
    <cfRule type="cellIs" dxfId="1" priority="360" operator="greaterThan">
      <formula>O20</formula>
    </cfRule>
  </conditionalFormatting>
  <conditionalFormatting sqref="P21">
    <cfRule type="cellIs" dxfId="1" priority="365" operator="greaterThan">
      <formula>O21</formula>
    </cfRule>
  </conditionalFormatting>
  <conditionalFormatting sqref="P22">
    <cfRule type="cellIs" dxfId="1" priority="370" operator="greaterThan">
      <formula>O22</formula>
    </cfRule>
  </conditionalFormatting>
  <conditionalFormatting sqref="P23">
    <cfRule type="cellIs" dxfId="1" priority="375" operator="greaterThan">
      <formula>O23</formula>
    </cfRule>
  </conditionalFormatting>
  <conditionalFormatting sqref="P24">
    <cfRule type="cellIs" dxfId="1" priority="380" operator="greaterThan">
      <formula>O24</formula>
    </cfRule>
  </conditionalFormatting>
  <conditionalFormatting sqref="P25">
    <cfRule type="cellIs" dxfId="1" priority="385" operator="greaterThan">
      <formula>O25</formula>
    </cfRule>
  </conditionalFormatting>
  <conditionalFormatting sqref="P26">
    <cfRule type="cellIs" dxfId="1" priority="390" operator="greaterThan">
      <formula>O26</formula>
    </cfRule>
  </conditionalFormatting>
  <conditionalFormatting sqref="P28">
    <cfRule type="cellIs" dxfId="1" priority="395" operator="greaterThan">
      <formula>O28</formula>
    </cfRule>
  </conditionalFormatting>
  <conditionalFormatting sqref="P29">
    <cfRule type="cellIs" dxfId="1" priority="400" operator="greaterThan">
      <formula>O29</formula>
    </cfRule>
  </conditionalFormatting>
  <conditionalFormatting sqref="P32">
    <cfRule type="cellIs" dxfId="1" priority="405" operator="greaterThan">
      <formula>O32</formula>
    </cfRule>
  </conditionalFormatting>
  <conditionalFormatting sqref="P33">
    <cfRule type="cellIs" dxfId="1" priority="410" operator="greaterThan">
      <formula>O33</formula>
    </cfRule>
  </conditionalFormatting>
  <conditionalFormatting sqref="P34">
    <cfRule type="cellIs" dxfId="1" priority="415" operator="greaterThan">
      <formula>O34</formula>
    </cfRule>
  </conditionalFormatting>
  <conditionalFormatting sqref="P35">
    <cfRule type="cellIs" dxfId="1" priority="420" operator="greaterThan">
      <formula>O35</formula>
    </cfRule>
  </conditionalFormatting>
  <conditionalFormatting sqref="P36">
    <cfRule type="cellIs" dxfId="1" priority="425" operator="greaterThan">
      <formula>O36</formula>
    </cfRule>
  </conditionalFormatting>
  <conditionalFormatting sqref="P37">
    <cfRule type="cellIs" dxfId="1" priority="430" operator="greaterThan">
      <formula>O37</formula>
    </cfRule>
  </conditionalFormatting>
  <conditionalFormatting sqref="P38">
    <cfRule type="cellIs" dxfId="1" priority="435" operator="greaterThan">
      <formula>O38</formula>
    </cfRule>
  </conditionalFormatting>
  <conditionalFormatting sqref="P39">
    <cfRule type="cellIs" dxfId="1" priority="440" operator="greaterThan">
      <formula>O39</formula>
    </cfRule>
  </conditionalFormatting>
  <conditionalFormatting sqref="P40">
    <cfRule type="cellIs" dxfId="1" priority="445" operator="greaterThan">
      <formula>O40</formula>
    </cfRule>
  </conditionalFormatting>
  <conditionalFormatting sqref="P41">
    <cfRule type="cellIs" dxfId="1" priority="450" operator="greaterThan">
      <formula>O41</formula>
    </cfRule>
  </conditionalFormatting>
  <conditionalFormatting sqref="P42">
    <cfRule type="cellIs" dxfId="1" priority="455" operator="greaterThan">
      <formula>O42</formula>
    </cfRule>
  </conditionalFormatting>
  <conditionalFormatting sqref="P43">
    <cfRule type="cellIs" dxfId="1" priority="460" operator="greaterThan">
      <formula>O43</formula>
    </cfRule>
  </conditionalFormatting>
  <conditionalFormatting sqref="P44">
    <cfRule type="cellIs" dxfId="1" priority="465" operator="greaterThan">
      <formula>O44</formula>
    </cfRule>
  </conditionalFormatting>
  <conditionalFormatting sqref="P45">
    <cfRule type="cellIs" dxfId="1" priority="470" operator="greaterThan">
      <formula>O45</formula>
    </cfRule>
  </conditionalFormatting>
  <conditionalFormatting sqref="P46">
    <cfRule type="cellIs" dxfId="1" priority="475" operator="greaterThan">
      <formula>O46</formula>
    </cfRule>
  </conditionalFormatting>
  <conditionalFormatting sqref="P47">
    <cfRule type="cellIs" dxfId="1" priority="480" operator="greaterThan">
      <formula>O47</formula>
    </cfRule>
  </conditionalFormatting>
  <conditionalFormatting sqref="P48">
    <cfRule type="cellIs" dxfId="1" priority="485" operator="greaterThan">
      <formula>O48</formula>
    </cfRule>
  </conditionalFormatting>
  <conditionalFormatting sqref="P49">
    <cfRule type="cellIs" dxfId="1" priority="490" operator="greaterThan">
      <formula>O49</formula>
    </cfRule>
  </conditionalFormatting>
  <conditionalFormatting sqref="P50">
    <cfRule type="cellIs" dxfId="1" priority="495" operator="greaterThan">
      <formula>O50</formula>
    </cfRule>
  </conditionalFormatting>
  <conditionalFormatting sqref="P51">
    <cfRule type="cellIs" dxfId="1" priority="500" operator="greaterThan">
      <formula>O51</formula>
    </cfRule>
  </conditionalFormatting>
  <conditionalFormatting sqref="P52">
    <cfRule type="cellIs" dxfId="1" priority="505" operator="greaterThan">
      <formula>O52</formula>
    </cfRule>
  </conditionalFormatting>
  <conditionalFormatting sqref="P53">
    <cfRule type="cellIs" dxfId="1" priority="510" operator="greaterThan">
      <formula>O53</formula>
    </cfRule>
  </conditionalFormatting>
  <conditionalFormatting sqref="P54">
    <cfRule type="cellIs" dxfId="1" priority="515" operator="greaterThan">
      <formula>O54</formula>
    </cfRule>
  </conditionalFormatting>
  <conditionalFormatting sqref="P55">
    <cfRule type="cellIs" dxfId="1" priority="520" operator="greaterThan">
      <formula>O55</formula>
    </cfRule>
  </conditionalFormatting>
  <conditionalFormatting sqref="P56">
    <cfRule type="cellIs" dxfId="1" priority="525" operator="greaterThan">
      <formula>O56</formula>
    </cfRule>
  </conditionalFormatting>
  <conditionalFormatting sqref="P57">
    <cfRule type="cellIs" dxfId="1" priority="530" operator="greaterThan">
      <formula>O57</formula>
    </cfRule>
  </conditionalFormatting>
  <conditionalFormatting sqref="P58">
    <cfRule type="cellIs" dxfId="1" priority="535" operator="greaterThan">
      <formula>O58</formula>
    </cfRule>
  </conditionalFormatting>
  <conditionalFormatting sqref="P59">
    <cfRule type="cellIs" dxfId="1" priority="540" operator="greaterThan">
      <formula>O59</formula>
    </cfRule>
  </conditionalFormatting>
  <conditionalFormatting sqref="P60">
    <cfRule type="cellIs" dxfId="1" priority="545" operator="greaterThan">
      <formula>O60</formula>
    </cfRule>
  </conditionalFormatting>
  <conditionalFormatting sqref="P61">
    <cfRule type="cellIs" dxfId="1" priority="550" operator="greaterThan">
      <formula>O61</formula>
    </cfRule>
  </conditionalFormatting>
  <conditionalFormatting sqref="P62">
    <cfRule type="cellIs" dxfId="1" priority="555" operator="greaterThan">
      <formula>O62</formula>
    </cfRule>
  </conditionalFormatting>
  <conditionalFormatting sqref="P64">
    <cfRule type="cellIs" dxfId="1" priority="560" operator="greaterThan">
      <formula>O64</formula>
    </cfRule>
  </conditionalFormatting>
  <conditionalFormatting sqref="P65">
    <cfRule type="cellIs" dxfId="1" priority="565" operator="greaterThan">
      <formula>O65</formula>
    </cfRule>
  </conditionalFormatting>
  <conditionalFormatting sqref="P66">
    <cfRule type="cellIs" dxfId="1" priority="570" operator="greaterThan">
      <formula>O66</formula>
    </cfRule>
  </conditionalFormatting>
  <conditionalFormatting sqref="P67">
    <cfRule type="cellIs" dxfId="1" priority="575" operator="greaterThan">
      <formula>O67</formula>
    </cfRule>
  </conditionalFormatting>
  <conditionalFormatting sqref="P68">
    <cfRule type="cellIs" dxfId="1" priority="580" operator="greaterThan">
      <formula>O68</formula>
    </cfRule>
  </conditionalFormatting>
  <conditionalFormatting sqref="P69">
    <cfRule type="cellIs" dxfId="1" priority="585" operator="greaterThan">
      <formula>O69</formula>
    </cfRule>
  </conditionalFormatting>
  <conditionalFormatting sqref="P7">
    <cfRule type="cellIs" dxfId="1" priority="295" operator="greaterThan">
      <formula>O7</formula>
    </cfRule>
  </conditionalFormatting>
  <conditionalFormatting sqref="P70">
    <cfRule type="cellIs" dxfId="1" priority="590" operator="greaterThan">
      <formula>O70</formula>
    </cfRule>
  </conditionalFormatting>
  <conditionalFormatting sqref="P71">
    <cfRule type="cellIs" dxfId="1" priority="595" operator="greaterThan">
      <formula>O71</formula>
    </cfRule>
  </conditionalFormatting>
  <conditionalFormatting sqref="P72">
    <cfRule type="cellIs" dxfId="1" priority="600" operator="greaterThan">
      <formula>O72</formula>
    </cfRule>
  </conditionalFormatting>
  <conditionalFormatting sqref="P73">
    <cfRule type="cellIs" dxfId="1" priority="605" operator="greaterThan">
      <formula>O73</formula>
    </cfRule>
  </conditionalFormatting>
  <conditionalFormatting sqref="P74">
    <cfRule type="cellIs" dxfId="1" priority="610" operator="greaterThan">
      <formula>O74</formula>
    </cfRule>
  </conditionalFormatting>
  <conditionalFormatting sqref="P75">
    <cfRule type="cellIs" dxfId="1" priority="615" operator="greaterThan">
      <formula>O75</formula>
    </cfRule>
  </conditionalFormatting>
  <conditionalFormatting sqref="P76">
    <cfRule type="cellIs" dxfId="1" priority="620" operator="greaterThan">
      <formula>O76</formula>
    </cfRule>
  </conditionalFormatting>
  <conditionalFormatting sqref="P77">
    <cfRule type="cellIs" dxfId="1" priority="625" operator="greaterThan">
      <formula>O77</formula>
    </cfRule>
  </conditionalFormatting>
  <conditionalFormatting sqref="P78">
    <cfRule type="cellIs" dxfId="1" priority="630" operator="greaterThan">
      <formula>O78</formula>
    </cfRule>
  </conditionalFormatting>
  <conditionalFormatting sqref="P79">
    <cfRule type="cellIs" dxfId="1" priority="635" operator="greaterThan">
      <formula>O79</formula>
    </cfRule>
  </conditionalFormatting>
  <conditionalFormatting sqref="P8">
    <cfRule type="cellIs" dxfId="1" priority="300" operator="greaterThan">
      <formula>O8</formula>
    </cfRule>
  </conditionalFormatting>
  <conditionalFormatting sqref="P9">
    <cfRule type="cellIs" dxfId="1" priority="305" operator="greaterThan">
      <formula>O9</formula>
    </cfRule>
  </conditionalFormatting>
  <conditionalFormatting sqref="Q10">
    <cfRule type="cellIs" dxfId="4" priority="312" operator="lessThanOrEqual">
      <formula>H10</formula>
    </cfRule>
  </conditionalFormatting>
  <conditionalFormatting sqref="Q11">
    <cfRule type="cellIs" dxfId="4" priority="317" operator="lessThanOrEqual">
      <formula>H11</formula>
    </cfRule>
  </conditionalFormatting>
  <conditionalFormatting sqref="Q12">
    <cfRule type="cellIs" dxfId="4" priority="322" operator="lessThanOrEqual">
      <formula>H12</formula>
    </cfRule>
  </conditionalFormatting>
  <conditionalFormatting sqref="Q13">
    <cfRule type="cellIs" dxfId="4" priority="327" operator="lessThanOrEqual">
      <formula>H13</formula>
    </cfRule>
  </conditionalFormatting>
  <conditionalFormatting sqref="Q14">
    <cfRule type="cellIs" dxfId="4" priority="332" operator="lessThanOrEqual">
      <formula>H14</formula>
    </cfRule>
  </conditionalFormatting>
  <conditionalFormatting sqref="Q15">
    <cfRule type="cellIs" dxfId="4" priority="337" operator="lessThanOrEqual">
      <formula>H15</formula>
    </cfRule>
  </conditionalFormatting>
  <conditionalFormatting sqref="Q16">
    <cfRule type="cellIs" dxfId="4" priority="342" operator="lessThanOrEqual">
      <formula>H16</formula>
    </cfRule>
  </conditionalFormatting>
  <conditionalFormatting sqref="Q17">
    <cfRule type="cellIs" dxfId="4" priority="347" operator="lessThanOrEqual">
      <formula>H17</formula>
    </cfRule>
  </conditionalFormatting>
  <conditionalFormatting sqref="Q18">
    <cfRule type="cellIs" dxfId="4" priority="352" operator="lessThanOrEqual">
      <formula>H18</formula>
    </cfRule>
  </conditionalFormatting>
  <conditionalFormatting sqref="Q19">
    <cfRule type="cellIs" dxfId="4" priority="357" operator="lessThanOrEqual">
      <formula>H19</formula>
    </cfRule>
  </conditionalFormatting>
  <conditionalFormatting sqref="Q20">
    <cfRule type="cellIs" dxfId="4" priority="362" operator="lessThanOrEqual">
      <formula>H20</formula>
    </cfRule>
  </conditionalFormatting>
  <conditionalFormatting sqref="Q21">
    <cfRule type="cellIs" dxfId="4" priority="367" operator="lessThanOrEqual">
      <formula>H21</formula>
    </cfRule>
  </conditionalFormatting>
  <conditionalFormatting sqref="Q22">
    <cfRule type="cellIs" dxfId="4" priority="372" operator="lessThanOrEqual">
      <formula>H22</formula>
    </cfRule>
  </conditionalFormatting>
  <conditionalFormatting sqref="Q23">
    <cfRule type="cellIs" dxfId="4" priority="377" operator="lessThanOrEqual">
      <formula>H23</formula>
    </cfRule>
  </conditionalFormatting>
  <conditionalFormatting sqref="Q24">
    <cfRule type="cellIs" dxfId="4" priority="382" operator="lessThanOrEqual">
      <formula>H24</formula>
    </cfRule>
  </conditionalFormatting>
  <conditionalFormatting sqref="Q25">
    <cfRule type="cellIs" dxfId="4" priority="387" operator="lessThanOrEqual">
      <formula>H25</formula>
    </cfRule>
  </conditionalFormatting>
  <conditionalFormatting sqref="Q26">
    <cfRule type="cellIs" dxfId="4" priority="392" operator="lessThanOrEqual">
      <formula>H26</formula>
    </cfRule>
  </conditionalFormatting>
  <conditionalFormatting sqref="Q28">
    <cfRule type="cellIs" dxfId="4" priority="397" operator="lessThanOrEqual">
      <formula>H28</formula>
    </cfRule>
  </conditionalFormatting>
  <conditionalFormatting sqref="Q29">
    <cfRule type="cellIs" dxfId="4" priority="402" operator="lessThanOrEqual">
      <formula>H29</formula>
    </cfRule>
  </conditionalFormatting>
  <conditionalFormatting sqref="Q32">
    <cfRule type="cellIs" dxfId="4" priority="407" operator="lessThanOrEqual">
      <formula>H32</formula>
    </cfRule>
  </conditionalFormatting>
  <conditionalFormatting sqref="Q33">
    <cfRule type="cellIs" dxfId="4" priority="412" operator="lessThanOrEqual">
      <formula>H33</formula>
    </cfRule>
  </conditionalFormatting>
  <conditionalFormatting sqref="Q34">
    <cfRule type="cellIs" dxfId="4" priority="417" operator="lessThanOrEqual">
      <formula>H34</formula>
    </cfRule>
  </conditionalFormatting>
  <conditionalFormatting sqref="Q35">
    <cfRule type="cellIs" dxfId="4" priority="422" operator="lessThanOrEqual">
      <formula>H35</formula>
    </cfRule>
  </conditionalFormatting>
  <conditionalFormatting sqref="Q36">
    <cfRule type="cellIs" dxfId="4" priority="427" operator="lessThanOrEqual">
      <formula>H36</formula>
    </cfRule>
  </conditionalFormatting>
  <conditionalFormatting sqref="Q37">
    <cfRule type="cellIs" dxfId="4" priority="432" operator="lessThanOrEqual">
      <formula>H37</formula>
    </cfRule>
  </conditionalFormatting>
  <conditionalFormatting sqref="Q38">
    <cfRule type="cellIs" dxfId="4" priority="437" operator="lessThanOrEqual">
      <formula>H38</formula>
    </cfRule>
  </conditionalFormatting>
  <conditionalFormatting sqref="Q39">
    <cfRule type="cellIs" dxfId="4" priority="442" operator="lessThanOrEqual">
      <formula>H39</formula>
    </cfRule>
  </conditionalFormatting>
  <conditionalFormatting sqref="Q40">
    <cfRule type="cellIs" dxfId="4" priority="447" operator="lessThanOrEqual">
      <formula>H40</formula>
    </cfRule>
  </conditionalFormatting>
  <conditionalFormatting sqref="Q41">
    <cfRule type="cellIs" dxfId="4" priority="452" operator="lessThanOrEqual">
      <formula>H41</formula>
    </cfRule>
  </conditionalFormatting>
  <conditionalFormatting sqref="Q42">
    <cfRule type="cellIs" dxfId="4" priority="457" operator="lessThanOrEqual">
      <formula>H42</formula>
    </cfRule>
  </conditionalFormatting>
  <conditionalFormatting sqref="Q43">
    <cfRule type="cellIs" dxfId="4" priority="462" operator="lessThanOrEqual">
      <formula>H43</formula>
    </cfRule>
  </conditionalFormatting>
  <conditionalFormatting sqref="Q44">
    <cfRule type="cellIs" dxfId="4" priority="467" operator="lessThanOrEqual">
      <formula>H44</formula>
    </cfRule>
  </conditionalFormatting>
  <conditionalFormatting sqref="Q45">
    <cfRule type="cellIs" dxfId="4" priority="472" operator="lessThanOrEqual">
      <formula>H45</formula>
    </cfRule>
  </conditionalFormatting>
  <conditionalFormatting sqref="Q46">
    <cfRule type="cellIs" dxfId="4" priority="477" operator="lessThanOrEqual">
      <formula>H46</formula>
    </cfRule>
  </conditionalFormatting>
  <conditionalFormatting sqref="Q47">
    <cfRule type="cellIs" dxfId="4" priority="482" operator="lessThanOrEqual">
      <formula>H47</formula>
    </cfRule>
  </conditionalFormatting>
  <conditionalFormatting sqref="Q48">
    <cfRule type="cellIs" dxfId="4" priority="487" operator="lessThanOrEqual">
      <formula>H48</formula>
    </cfRule>
  </conditionalFormatting>
  <conditionalFormatting sqref="Q49">
    <cfRule type="cellIs" dxfId="4" priority="492" operator="lessThanOrEqual">
      <formula>H49</formula>
    </cfRule>
  </conditionalFormatting>
  <conditionalFormatting sqref="Q50">
    <cfRule type="cellIs" dxfId="4" priority="497" operator="lessThanOrEqual">
      <formula>H50</formula>
    </cfRule>
  </conditionalFormatting>
  <conditionalFormatting sqref="Q51">
    <cfRule type="cellIs" dxfId="4" priority="502" operator="lessThanOrEqual">
      <formula>H51</formula>
    </cfRule>
  </conditionalFormatting>
  <conditionalFormatting sqref="Q52">
    <cfRule type="cellIs" dxfId="4" priority="507" operator="lessThanOrEqual">
      <formula>H52</formula>
    </cfRule>
  </conditionalFormatting>
  <conditionalFormatting sqref="Q53">
    <cfRule type="cellIs" dxfId="4" priority="512" operator="lessThanOrEqual">
      <formula>H53</formula>
    </cfRule>
  </conditionalFormatting>
  <conditionalFormatting sqref="Q54">
    <cfRule type="cellIs" dxfId="4" priority="517" operator="lessThanOrEqual">
      <formula>H54</formula>
    </cfRule>
  </conditionalFormatting>
  <conditionalFormatting sqref="Q55">
    <cfRule type="cellIs" dxfId="4" priority="522" operator="lessThanOrEqual">
      <formula>H55</formula>
    </cfRule>
  </conditionalFormatting>
  <conditionalFormatting sqref="Q56">
    <cfRule type="cellIs" dxfId="4" priority="527" operator="lessThanOrEqual">
      <formula>H56</formula>
    </cfRule>
  </conditionalFormatting>
  <conditionalFormatting sqref="Q57">
    <cfRule type="cellIs" dxfId="4" priority="532" operator="lessThanOrEqual">
      <formula>H57</formula>
    </cfRule>
  </conditionalFormatting>
  <conditionalFormatting sqref="Q58">
    <cfRule type="cellIs" dxfId="4" priority="537" operator="lessThanOrEqual">
      <formula>H58</formula>
    </cfRule>
  </conditionalFormatting>
  <conditionalFormatting sqref="Q59">
    <cfRule type="cellIs" dxfId="4" priority="542" operator="lessThanOrEqual">
      <formula>H59</formula>
    </cfRule>
  </conditionalFormatting>
  <conditionalFormatting sqref="Q60">
    <cfRule type="cellIs" dxfId="4" priority="547" operator="lessThanOrEqual">
      <formula>H60</formula>
    </cfRule>
  </conditionalFormatting>
  <conditionalFormatting sqref="Q61">
    <cfRule type="cellIs" dxfId="4" priority="552" operator="lessThanOrEqual">
      <formula>H61</formula>
    </cfRule>
  </conditionalFormatting>
  <conditionalFormatting sqref="Q62">
    <cfRule type="cellIs" dxfId="4" priority="557" operator="lessThanOrEqual">
      <formula>H62</formula>
    </cfRule>
  </conditionalFormatting>
  <conditionalFormatting sqref="Q64">
    <cfRule type="cellIs" dxfId="4" priority="562" operator="lessThanOrEqual">
      <formula>H64</formula>
    </cfRule>
  </conditionalFormatting>
  <conditionalFormatting sqref="Q65">
    <cfRule type="cellIs" dxfId="4" priority="567" operator="lessThanOrEqual">
      <formula>H65</formula>
    </cfRule>
  </conditionalFormatting>
  <conditionalFormatting sqref="Q66">
    <cfRule type="cellIs" dxfId="4" priority="572" operator="lessThanOrEqual">
      <formula>H66</formula>
    </cfRule>
  </conditionalFormatting>
  <conditionalFormatting sqref="Q67">
    <cfRule type="cellIs" dxfId="4" priority="577" operator="lessThanOrEqual">
      <formula>H67</formula>
    </cfRule>
  </conditionalFormatting>
  <conditionalFormatting sqref="Q68">
    <cfRule type="cellIs" dxfId="4" priority="582" operator="lessThanOrEqual">
      <formula>H68</formula>
    </cfRule>
  </conditionalFormatting>
  <conditionalFormatting sqref="Q69">
    <cfRule type="cellIs" dxfId="4" priority="587" operator="lessThanOrEqual">
      <formula>H69</formula>
    </cfRule>
  </conditionalFormatting>
  <conditionalFormatting sqref="Q7">
    <cfRule type="cellIs" dxfId="4" priority="297" operator="lessThanOrEqual">
      <formula>H7</formula>
    </cfRule>
  </conditionalFormatting>
  <conditionalFormatting sqref="Q70">
    <cfRule type="cellIs" dxfId="4" priority="592" operator="lessThanOrEqual">
      <formula>H70</formula>
    </cfRule>
  </conditionalFormatting>
  <conditionalFormatting sqref="Q71">
    <cfRule type="cellIs" dxfId="4" priority="597" operator="lessThanOrEqual">
      <formula>H71</formula>
    </cfRule>
  </conditionalFormatting>
  <conditionalFormatting sqref="Q72">
    <cfRule type="cellIs" dxfId="4" priority="602" operator="lessThanOrEqual">
      <formula>H72</formula>
    </cfRule>
  </conditionalFormatting>
  <conditionalFormatting sqref="Q73">
    <cfRule type="cellIs" dxfId="4" priority="607" operator="lessThanOrEqual">
      <formula>H73</formula>
    </cfRule>
  </conditionalFormatting>
  <conditionalFormatting sqref="Q74">
    <cfRule type="cellIs" dxfId="4" priority="612" operator="lessThanOrEqual">
      <formula>H74</formula>
    </cfRule>
  </conditionalFormatting>
  <conditionalFormatting sqref="Q75">
    <cfRule type="cellIs" dxfId="4" priority="617" operator="lessThanOrEqual">
      <formula>H75</formula>
    </cfRule>
  </conditionalFormatting>
  <conditionalFormatting sqref="Q76">
    <cfRule type="cellIs" dxfId="4" priority="622" operator="lessThanOrEqual">
      <formula>H76</formula>
    </cfRule>
  </conditionalFormatting>
  <conditionalFormatting sqref="Q77">
    <cfRule type="cellIs" dxfId="4" priority="627" operator="lessThanOrEqual">
      <formula>H77</formula>
    </cfRule>
  </conditionalFormatting>
  <conditionalFormatting sqref="Q78">
    <cfRule type="cellIs" dxfId="4" priority="632" operator="lessThanOrEqual">
      <formula>H78</formula>
    </cfRule>
  </conditionalFormatting>
  <conditionalFormatting sqref="Q79">
    <cfRule type="cellIs" dxfId="4" priority="637" operator="lessThanOrEqual">
      <formula>H79</formula>
    </cfRule>
  </conditionalFormatting>
  <conditionalFormatting sqref="Q8">
    <cfRule type="cellIs" dxfId="4" priority="302" operator="lessThanOrEqual">
      <formula>H8</formula>
    </cfRule>
  </conditionalFormatting>
  <conditionalFormatting sqref="Q9">
    <cfRule type="cellIs" dxfId="4" priority="307" operator="lessThanOrEqual">
      <formula>H9</formula>
    </cfRule>
  </conditionalFormatting>
  <conditionalFormatting sqref="R10">
    <cfRule type="cellIs" dxfId="4" priority="311" operator="lessThanOrEqual">
      <formula>I10</formula>
    </cfRule>
  </conditionalFormatting>
  <conditionalFormatting sqref="R11">
    <cfRule type="cellIs" dxfId="4" priority="316" operator="lessThanOrEqual">
      <formula>I11</formula>
    </cfRule>
  </conditionalFormatting>
  <conditionalFormatting sqref="R12">
    <cfRule type="cellIs" dxfId="4" priority="321" operator="lessThanOrEqual">
      <formula>I12</formula>
    </cfRule>
  </conditionalFormatting>
  <conditionalFormatting sqref="R13">
    <cfRule type="cellIs" dxfId="4" priority="326" operator="lessThanOrEqual">
      <formula>I13</formula>
    </cfRule>
  </conditionalFormatting>
  <conditionalFormatting sqref="R14">
    <cfRule type="cellIs" dxfId="4" priority="331" operator="lessThanOrEqual">
      <formula>I14</formula>
    </cfRule>
  </conditionalFormatting>
  <conditionalFormatting sqref="R15">
    <cfRule type="cellIs" dxfId="4" priority="336" operator="lessThanOrEqual">
      <formula>I15</formula>
    </cfRule>
  </conditionalFormatting>
  <conditionalFormatting sqref="R16">
    <cfRule type="cellIs" dxfId="4" priority="341" operator="lessThanOrEqual">
      <formula>I16</formula>
    </cfRule>
  </conditionalFormatting>
  <conditionalFormatting sqref="R17">
    <cfRule type="cellIs" dxfId="4" priority="346" operator="lessThanOrEqual">
      <formula>I17</formula>
    </cfRule>
  </conditionalFormatting>
  <conditionalFormatting sqref="R18">
    <cfRule type="cellIs" dxfId="4" priority="351" operator="lessThanOrEqual">
      <formula>I18</formula>
    </cfRule>
  </conditionalFormatting>
  <conditionalFormatting sqref="R19">
    <cfRule type="cellIs" dxfId="4" priority="356" operator="lessThanOrEqual">
      <formula>I19</formula>
    </cfRule>
  </conditionalFormatting>
  <conditionalFormatting sqref="R20">
    <cfRule type="cellIs" dxfId="4" priority="361" operator="lessThanOrEqual">
      <formula>I20</formula>
    </cfRule>
  </conditionalFormatting>
  <conditionalFormatting sqref="R21">
    <cfRule type="cellIs" dxfId="4" priority="366" operator="lessThanOrEqual">
      <formula>I21</formula>
    </cfRule>
  </conditionalFormatting>
  <conditionalFormatting sqref="R22">
    <cfRule type="cellIs" dxfId="4" priority="371" operator="lessThanOrEqual">
      <formula>I22</formula>
    </cfRule>
  </conditionalFormatting>
  <conditionalFormatting sqref="R23">
    <cfRule type="cellIs" dxfId="4" priority="376" operator="lessThanOrEqual">
      <formula>I23</formula>
    </cfRule>
  </conditionalFormatting>
  <conditionalFormatting sqref="R24">
    <cfRule type="cellIs" dxfId="4" priority="381" operator="lessThanOrEqual">
      <formula>I24</formula>
    </cfRule>
  </conditionalFormatting>
  <conditionalFormatting sqref="R25">
    <cfRule type="cellIs" dxfId="4" priority="386" operator="lessThanOrEqual">
      <formula>I25</formula>
    </cfRule>
  </conditionalFormatting>
  <conditionalFormatting sqref="R26">
    <cfRule type="cellIs" dxfId="4" priority="391" operator="lessThanOrEqual">
      <formula>I26</formula>
    </cfRule>
  </conditionalFormatting>
  <conditionalFormatting sqref="R28">
    <cfRule type="cellIs" dxfId="4" priority="396" operator="lessThanOrEqual">
      <formula>I28</formula>
    </cfRule>
  </conditionalFormatting>
  <conditionalFormatting sqref="R29">
    <cfRule type="cellIs" dxfId="4" priority="401" operator="lessThanOrEqual">
      <formula>I29</formula>
    </cfRule>
  </conditionalFormatting>
  <conditionalFormatting sqref="R32">
    <cfRule type="cellIs" dxfId="4" priority="406" operator="lessThanOrEqual">
      <formula>I32</formula>
    </cfRule>
  </conditionalFormatting>
  <conditionalFormatting sqref="R33">
    <cfRule type="cellIs" dxfId="4" priority="411" operator="lessThanOrEqual">
      <formula>I33</formula>
    </cfRule>
  </conditionalFormatting>
  <conditionalFormatting sqref="R34">
    <cfRule type="cellIs" dxfId="4" priority="416" operator="lessThanOrEqual">
      <formula>I34</formula>
    </cfRule>
  </conditionalFormatting>
  <conditionalFormatting sqref="R35">
    <cfRule type="cellIs" dxfId="4" priority="421" operator="lessThanOrEqual">
      <formula>I35</formula>
    </cfRule>
  </conditionalFormatting>
  <conditionalFormatting sqref="R36">
    <cfRule type="cellIs" dxfId="4" priority="426" operator="lessThanOrEqual">
      <formula>I36</formula>
    </cfRule>
  </conditionalFormatting>
  <conditionalFormatting sqref="R37">
    <cfRule type="cellIs" dxfId="4" priority="431" operator="lessThanOrEqual">
      <formula>I37</formula>
    </cfRule>
  </conditionalFormatting>
  <conditionalFormatting sqref="R38">
    <cfRule type="cellIs" dxfId="4" priority="436" operator="lessThanOrEqual">
      <formula>I38</formula>
    </cfRule>
  </conditionalFormatting>
  <conditionalFormatting sqref="R39">
    <cfRule type="cellIs" dxfId="4" priority="441" operator="lessThanOrEqual">
      <formula>I39</formula>
    </cfRule>
  </conditionalFormatting>
  <conditionalFormatting sqref="R40">
    <cfRule type="cellIs" dxfId="4" priority="446" operator="lessThanOrEqual">
      <formula>I40</formula>
    </cfRule>
  </conditionalFormatting>
  <conditionalFormatting sqref="R41">
    <cfRule type="cellIs" dxfId="4" priority="451" operator="lessThanOrEqual">
      <formula>I41</formula>
    </cfRule>
  </conditionalFormatting>
  <conditionalFormatting sqref="R42">
    <cfRule type="cellIs" dxfId="4" priority="456" operator="lessThanOrEqual">
      <formula>I42</formula>
    </cfRule>
  </conditionalFormatting>
  <conditionalFormatting sqref="R43">
    <cfRule type="cellIs" dxfId="4" priority="461" operator="lessThanOrEqual">
      <formula>I43</formula>
    </cfRule>
  </conditionalFormatting>
  <conditionalFormatting sqref="R44">
    <cfRule type="cellIs" dxfId="4" priority="466" operator="lessThanOrEqual">
      <formula>I44</formula>
    </cfRule>
  </conditionalFormatting>
  <conditionalFormatting sqref="R45">
    <cfRule type="cellIs" dxfId="4" priority="471" operator="lessThanOrEqual">
      <formula>I45</formula>
    </cfRule>
  </conditionalFormatting>
  <conditionalFormatting sqref="R46">
    <cfRule type="cellIs" dxfId="4" priority="476" operator="lessThanOrEqual">
      <formula>I46</formula>
    </cfRule>
  </conditionalFormatting>
  <conditionalFormatting sqref="R47">
    <cfRule type="cellIs" dxfId="4" priority="481" operator="lessThanOrEqual">
      <formula>I47</formula>
    </cfRule>
  </conditionalFormatting>
  <conditionalFormatting sqref="R48">
    <cfRule type="cellIs" dxfId="4" priority="486" operator="lessThanOrEqual">
      <formula>I48</formula>
    </cfRule>
  </conditionalFormatting>
  <conditionalFormatting sqref="R49">
    <cfRule type="cellIs" dxfId="4" priority="491" operator="lessThanOrEqual">
      <formula>I49</formula>
    </cfRule>
  </conditionalFormatting>
  <conditionalFormatting sqref="R50">
    <cfRule type="cellIs" dxfId="4" priority="496" operator="lessThanOrEqual">
      <formula>I50</formula>
    </cfRule>
  </conditionalFormatting>
  <conditionalFormatting sqref="R51">
    <cfRule type="cellIs" dxfId="4" priority="501" operator="lessThanOrEqual">
      <formula>I51</formula>
    </cfRule>
  </conditionalFormatting>
  <conditionalFormatting sqref="R52">
    <cfRule type="cellIs" dxfId="4" priority="506" operator="lessThanOrEqual">
      <formula>I52</formula>
    </cfRule>
  </conditionalFormatting>
  <conditionalFormatting sqref="R53">
    <cfRule type="cellIs" dxfId="4" priority="511" operator="lessThanOrEqual">
      <formula>I53</formula>
    </cfRule>
  </conditionalFormatting>
  <conditionalFormatting sqref="R54">
    <cfRule type="cellIs" dxfId="4" priority="516" operator="lessThanOrEqual">
      <formula>I54</formula>
    </cfRule>
  </conditionalFormatting>
  <conditionalFormatting sqref="R55">
    <cfRule type="cellIs" dxfId="4" priority="521" operator="lessThanOrEqual">
      <formula>I55</formula>
    </cfRule>
  </conditionalFormatting>
  <conditionalFormatting sqref="R56">
    <cfRule type="cellIs" dxfId="4" priority="526" operator="lessThanOrEqual">
      <formula>I56</formula>
    </cfRule>
  </conditionalFormatting>
  <conditionalFormatting sqref="R57">
    <cfRule type="cellIs" dxfId="4" priority="531" operator="lessThanOrEqual">
      <formula>I57</formula>
    </cfRule>
  </conditionalFormatting>
  <conditionalFormatting sqref="R58">
    <cfRule type="cellIs" dxfId="4" priority="536" operator="lessThanOrEqual">
      <formula>I58</formula>
    </cfRule>
  </conditionalFormatting>
  <conditionalFormatting sqref="R59">
    <cfRule type="cellIs" dxfId="4" priority="541" operator="lessThanOrEqual">
      <formula>I59</formula>
    </cfRule>
  </conditionalFormatting>
  <conditionalFormatting sqref="R60">
    <cfRule type="cellIs" dxfId="4" priority="546" operator="lessThanOrEqual">
      <formula>I60</formula>
    </cfRule>
  </conditionalFormatting>
  <conditionalFormatting sqref="R61">
    <cfRule type="cellIs" dxfId="4" priority="551" operator="lessThanOrEqual">
      <formula>I61</formula>
    </cfRule>
  </conditionalFormatting>
  <conditionalFormatting sqref="R62">
    <cfRule type="cellIs" dxfId="4" priority="556" operator="lessThanOrEqual">
      <formula>I62</formula>
    </cfRule>
  </conditionalFormatting>
  <conditionalFormatting sqref="R64">
    <cfRule type="cellIs" dxfId="4" priority="561" operator="lessThanOrEqual">
      <formula>I64</formula>
    </cfRule>
  </conditionalFormatting>
  <conditionalFormatting sqref="R65">
    <cfRule type="cellIs" dxfId="4" priority="566" operator="lessThanOrEqual">
      <formula>I65</formula>
    </cfRule>
  </conditionalFormatting>
  <conditionalFormatting sqref="R66">
    <cfRule type="cellIs" dxfId="4" priority="571" operator="lessThanOrEqual">
      <formula>I66</formula>
    </cfRule>
  </conditionalFormatting>
  <conditionalFormatting sqref="R67">
    <cfRule type="cellIs" dxfId="4" priority="576" operator="lessThanOrEqual">
      <formula>I67</formula>
    </cfRule>
  </conditionalFormatting>
  <conditionalFormatting sqref="R68">
    <cfRule type="cellIs" dxfId="4" priority="581" operator="lessThanOrEqual">
      <formula>I68</formula>
    </cfRule>
  </conditionalFormatting>
  <conditionalFormatting sqref="R69">
    <cfRule type="cellIs" dxfId="4" priority="586" operator="lessThanOrEqual">
      <formula>I69</formula>
    </cfRule>
  </conditionalFormatting>
  <conditionalFormatting sqref="R7">
    <cfRule type="cellIs" dxfId="4" priority="296" operator="lessThanOrEqual">
      <formula>I7</formula>
    </cfRule>
  </conditionalFormatting>
  <conditionalFormatting sqref="R70">
    <cfRule type="cellIs" dxfId="4" priority="591" operator="lessThanOrEqual">
      <formula>I70</formula>
    </cfRule>
  </conditionalFormatting>
  <conditionalFormatting sqref="R71">
    <cfRule type="cellIs" dxfId="4" priority="596" operator="lessThanOrEqual">
      <formula>I71</formula>
    </cfRule>
  </conditionalFormatting>
  <conditionalFormatting sqref="R72">
    <cfRule type="cellIs" dxfId="4" priority="601" operator="lessThanOrEqual">
      <formula>I72</formula>
    </cfRule>
  </conditionalFormatting>
  <conditionalFormatting sqref="R73">
    <cfRule type="cellIs" dxfId="4" priority="606" operator="lessThanOrEqual">
      <formula>I73</formula>
    </cfRule>
  </conditionalFormatting>
  <conditionalFormatting sqref="R74">
    <cfRule type="cellIs" dxfId="4" priority="611" operator="lessThanOrEqual">
      <formula>I74</formula>
    </cfRule>
  </conditionalFormatting>
  <conditionalFormatting sqref="R75">
    <cfRule type="cellIs" dxfId="4" priority="616" operator="lessThanOrEqual">
      <formula>I75</formula>
    </cfRule>
  </conditionalFormatting>
  <conditionalFormatting sqref="R76">
    <cfRule type="cellIs" dxfId="4" priority="621" operator="lessThanOrEqual">
      <formula>I76</formula>
    </cfRule>
  </conditionalFormatting>
  <conditionalFormatting sqref="R77">
    <cfRule type="cellIs" dxfId="4" priority="626" operator="lessThanOrEqual">
      <formula>I77</formula>
    </cfRule>
  </conditionalFormatting>
  <conditionalFormatting sqref="R78">
    <cfRule type="cellIs" dxfId="4" priority="631" operator="lessThanOrEqual">
      <formula>I78</formula>
    </cfRule>
  </conditionalFormatting>
  <conditionalFormatting sqref="R79">
    <cfRule type="cellIs" dxfId="4" priority="636" operator="lessThanOrEqual">
      <formula>I79</formula>
    </cfRule>
  </conditionalFormatting>
  <conditionalFormatting sqref="R8">
    <cfRule type="cellIs" dxfId="4" priority="301" operator="lessThanOrEqual">
      <formula>I8</formula>
    </cfRule>
  </conditionalFormatting>
  <conditionalFormatting sqref="R9">
    <cfRule type="cellIs" dxfId="4" priority="306" operator="lessThanOrEqual">
      <formula>I9</formula>
    </cfRule>
  </conditionalFormatting>
  <conditionalFormatting sqref="T10">
    <cfRule type="cellIs" dxfId="1" priority="656" operator="equal">
      <formula>0</formula>
    </cfRule>
    <cfRule type="cellIs" dxfId="2" priority="657" operator="lessThan">
      <formula>G10</formula>
    </cfRule>
  </conditionalFormatting>
  <conditionalFormatting sqref="T14">
    <cfRule type="cellIs" dxfId="1" priority="662" operator="equal">
      <formula>0</formula>
    </cfRule>
    <cfRule type="cellIs" dxfId="2" priority="663" operator="lessThan">
      <formula>G14</formula>
    </cfRule>
  </conditionalFormatting>
  <conditionalFormatting sqref="T15">
    <cfRule type="cellIs" dxfId="1" priority="668" operator="equal">
      <formula>0</formula>
    </cfRule>
    <cfRule type="cellIs" dxfId="2" priority="669" operator="lessThan">
      <formula>G15</formula>
    </cfRule>
  </conditionalFormatting>
  <conditionalFormatting sqref="T16">
    <cfRule type="cellIs" dxfId="1" priority="674" operator="equal">
      <formula>0</formula>
    </cfRule>
    <cfRule type="cellIs" dxfId="2" priority="675" operator="lessThan">
      <formula>G16</formula>
    </cfRule>
  </conditionalFormatting>
  <conditionalFormatting sqref="T17">
    <cfRule type="cellIs" dxfId="1" priority="680" operator="equal">
      <formula>0</formula>
    </cfRule>
    <cfRule type="cellIs" dxfId="2" priority="681" operator="lessThan">
      <formula>G17</formula>
    </cfRule>
  </conditionalFormatting>
  <conditionalFormatting sqref="T18">
    <cfRule type="cellIs" dxfId="1" priority="686" operator="equal">
      <formula>0</formula>
    </cfRule>
    <cfRule type="cellIs" dxfId="2" priority="687" operator="lessThan">
      <formula>G18</formula>
    </cfRule>
  </conditionalFormatting>
  <conditionalFormatting sqref="T19">
    <cfRule type="cellIs" dxfId="1" priority="692" operator="equal">
      <formula>0</formula>
    </cfRule>
    <cfRule type="cellIs" dxfId="2" priority="693" operator="lessThan">
      <formula>G19</formula>
    </cfRule>
  </conditionalFormatting>
  <conditionalFormatting sqref="T20">
    <cfRule type="cellIs" dxfId="1" priority="698" operator="equal">
      <formula>0</formula>
    </cfRule>
    <cfRule type="cellIs" dxfId="2" priority="699" operator="lessThan">
      <formula>G20</formula>
    </cfRule>
  </conditionalFormatting>
  <conditionalFormatting sqref="T23">
    <cfRule type="cellIs" dxfId="1" priority="704" operator="equal">
      <formula>0</formula>
    </cfRule>
    <cfRule type="cellIs" dxfId="2" priority="705" operator="lessThan">
      <formula>G23</formula>
    </cfRule>
  </conditionalFormatting>
  <conditionalFormatting sqref="T24">
    <cfRule type="cellIs" dxfId="1" priority="710" operator="equal">
      <formula>0</formula>
    </cfRule>
    <cfRule type="cellIs" dxfId="2" priority="711" operator="lessThan">
      <formula>G24</formula>
    </cfRule>
  </conditionalFormatting>
  <conditionalFormatting sqref="T26">
    <cfRule type="cellIs" dxfId="1" priority="716" operator="equal">
      <formula>0</formula>
    </cfRule>
    <cfRule type="cellIs" dxfId="2" priority="717" operator="lessThan">
      <formula>G26</formula>
    </cfRule>
  </conditionalFormatting>
  <conditionalFormatting sqref="T29">
    <cfRule type="cellIs" dxfId="1" priority="722" operator="equal">
      <formula>0</formula>
    </cfRule>
    <cfRule type="cellIs" dxfId="2" priority="723" operator="lessThan">
      <formula>G29</formula>
    </cfRule>
  </conditionalFormatting>
  <conditionalFormatting sqref="T32">
    <cfRule type="cellIs" dxfId="1" priority="727" operator="equal">
      <formula>0</formula>
    </cfRule>
    <cfRule type="cellIs" dxfId="2" priority="728" operator="lessThan">
      <formula>G32</formula>
    </cfRule>
  </conditionalFormatting>
  <conditionalFormatting sqref="T33">
    <cfRule type="cellIs" dxfId="1" priority="733" operator="equal">
      <formula>0</formula>
    </cfRule>
    <cfRule type="cellIs" dxfId="2" priority="734" operator="lessThan">
      <formula>G33</formula>
    </cfRule>
  </conditionalFormatting>
  <conditionalFormatting sqref="T34">
    <cfRule type="cellIs" dxfId="1" priority="739" operator="equal">
      <formula>0</formula>
    </cfRule>
    <cfRule type="cellIs" dxfId="2" priority="740" operator="lessThan">
      <formula>G34</formula>
    </cfRule>
  </conditionalFormatting>
  <conditionalFormatting sqref="T36">
    <cfRule type="cellIs" dxfId="1" priority="745" operator="equal">
      <formula>0</formula>
    </cfRule>
    <cfRule type="cellIs" dxfId="2" priority="746" operator="lessThan">
      <formula>G36</formula>
    </cfRule>
  </conditionalFormatting>
  <conditionalFormatting sqref="T37">
    <cfRule type="cellIs" dxfId="1" priority="751" operator="equal">
      <formula>0</formula>
    </cfRule>
    <cfRule type="cellIs" dxfId="2" priority="752" operator="lessThan">
      <formula>G37</formula>
    </cfRule>
  </conditionalFormatting>
  <conditionalFormatting sqref="T38">
    <cfRule type="cellIs" dxfId="1" priority="756" operator="equal">
      <formula>0</formula>
    </cfRule>
    <cfRule type="cellIs" dxfId="2" priority="757" operator="lessThan">
      <formula>G38</formula>
    </cfRule>
  </conditionalFormatting>
  <conditionalFormatting sqref="T42">
    <cfRule type="cellIs" dxfId="1" priority="762" operator="equal">
      <formula>0</formula>
    </cfRule>
    <cfRule type="cellIs" dxfId="2" priority="763" operator="lessThan">
      <formula>G42</formula>
    </cfRule>
  </conditionalFormatting>
  <conditionalFormatting sqref="T43">
    <cfRule type="cellIs" dxfId="1" priority="768" operator="equal">
      <formula>0</formula>
    </cfRule>
    <cfRule type="cellIs" dxfId="2" priority="769" operator="lessThan">
      <formula>G43</formula>
    </cfRule>
  </conditionalFormatting>
  <conditionalFormatting sqref="T44">
    <cfRule type="cellIs" dxfId="1" priority="774" operator="equal">
      <formula>0</formula>
    </cfRule>
    <cfRule type="cellIs" dxfId="2" priority="775" operator="lessThan">
      <formula>G44</formula>
    </cfRule>
  </conditionalFormatting>
  <conditionalFormatting sqref="T45">
    <cfRule type="cellIs" dxfId="1" priority="780" operator="equal">
      <formula>0</formula>
    </cfRule>
    <cfRule type="cellIs" dxfId="2" priority="781" operator="lessThan">
      <formula>G45</formula>
    </cfRule>
  </conditionalFormatting>
  <conditionalFormatting sqref="T46">
    <cfRule type="cellIs" dxfId="1" priority="786" operator="equal">
      <formula>0</formula>
    </cfRule>
    <cfRule type="cellIs" dxfId="2" priority="787" operator="lessThan">
      <formula>G46</formula>
    </cfRule>
  </conditionalFormatting>
  <conditionalFormatting sqref="T47">
    <cfRule type="cellIs" dxfId="1" priority="792" operator="equal">
      <formula>0</formula>
    </cfRule>
    <cfRule type="cellIs" dxfId="2" priority="793" operator="lessThan">
      <formula>G47</formula>
    </cfRule>
  </conditionalFormatting>
  <conditionalFormatting sqref="T48">
    <cfRule type="cellIs" dxfId="1" priority="798" operator="equal">
      <formula>0</formula>
    </cfRule>
    <cfRule type="cellIs" dxfId="2" priority="799" operator="lessThan">
      <formula>G48</formula>
    </cfRule>
  </conditionalFormatting>
  <conditionalFormatting sqref="T49">
    <cfRule type="cellIs" dxfId="1" priority="804" operator="equal">
      <formula>0</formula>
    </cfRule>
    <cfRule type="cellIs" dxfId="2" priority="805" operator="lessThan">
      <formula>G49</formula>
    </cfRule>
  </conditionalFormatting>
  <conditionalFormatting sqref="T50">
    <cfRule type="cellIs" dxfId="1" priority="810" operator="equal">
      <formula>0</formula>
    </cfRule>
    <cfRule type="cellIs" dxfId="2" priority="811" operator="lessThan">
      <formula>G50</formula>
    </cfRule>
  </conditionalFormatting>
  <conditionalFormatting sqref="T51">
    <cfRule type="cellIs" dxfId="1" priority="816" operator="equal">
      <formula>0</formula>
    </cfRule>
    <cfRule type="cellIs" dxfId="2" priority="817" operator="lessThan">
      <formula>G51</formula>
    </cfRule>
  </conditionalFormatting>
  <conditionalFormatting sqref="T52">
    <cfRule type="cellIs" dxfId="1" priority="822" operator="equal">
      <formula>0</formula>
    </cfRule>
    <cfRule type="cellIs" dxfId="2" priority="823" operator="lessThan">
      <formula>G52</formula>
    </cfRule>
  </conditionalFormatting>
  <conditionalFormatting sqref="T53">
    <cfRule type="cellIs" dxfId="1" priority="828" operator="equal">
      <formula>0</formula>
    </cfRule>
    <cfRule type="cellIs" dxfId="2" priority="829" operator="lessThan">
      <formula>G53</formula>
    </cfRule>
  </conditionalFormatting>
  <conditionalFormatting sqref="T54">
    <cfRule type="cellIs" dxfId="1" priority="834" operator="equal">
      <formula>0</formula>
    </cfRule>
    <cfRule type="cellIs" dxfId="2" priority="835" operator="lessThan">
      <formula>G54</formula>
    </cfRule>
  </conditionalFormatting>
  <conditionalFormatting sqref="T55">
    <cfRule type="cellIs" dxfId="1" priority="840" operator="equal">
      <formula>0</formula>
    </cfRule>
    <cfRule type="cellIs" dxfId="2" priority="841" operator="lessThan">
      <formula>G55</formula>
    </cfRule>
  </conditionalFormatting>
  <conditionalFormatting sqref="T56">
    <cfRule type="cellIs" dxfId="1" priority="846" operator="equal">
      <formula>0</formula>
    </cfRule>
    <cfRule type="cellIs" dxfId="2" priority="847" operator="lessThan">
      <formula>G56</formula>
    </cfRule>
  </conditionalFormatting>
  <conditionalFormatting sqref="T57">
    <cfRule type="cellIs" dxfId="1" priority="852" operator="equal">
      <formula>0</formula>
    </cfRule>
    <cfRule type="cellIs" dxfId="2" priority="853" operator="lessThan">
      <formula>G57</formula>
    </cfRule>
  </conditionalFormatting>
  <conditionalFormatting sqref="T58">
    <cfRule type="cellIs" dxfId="1" priority="858" operator="equal">
      <formula>0</formula>
    </cfRule>
    <cfRule type="cellIs" dxfId="2" priority="859" operator="lessThan">
      <formula>G58</formula>
    </cfRule>
  </conditionalFormatting>
  <conditionalFormatting sqref="T59">
    <cfRule type="cellIs" dxfId="1" priority="864" operator="equal">
      <formula>0</formula>
    </cfRule>
    <cfRule type="cellIs" dxfId="2" priority="865" operator="lessThan">
      <formula>G59</formula>
    </cfRule>
  </conditionalFormatting>
  <conditionalFormatting sqref="T61">
    <cfRule type="cellIs" dxfId="1" priority="870" operator="equal">
      <formula>0</formula>
    </cfRule>
    <cfRule type="cellIs" dxfId="2" priority="871" operator="lessThan">
      <formula>G61</formula>
    </cfRule>
  </conditionalFormatting>
  <conditionalFormatting sqref="T62">
    <cfRule type="cellIs" dxfId="1" priority="876" operator="equal">
      <formula>0</formula>
    </cfRule>
    <cfRule type="cellIs" dxfId="2" priority="877" operator="lessThan">
      <formula>G62</formula>
    </cfRule>
  </conditionalFormatting>
  <conditionalFormatting sqref="T65">
    <cfRule type="cellIs" dxfId="1" priority="882" operator="equal">
      <formula>0</formula>
    </cfRule>
    <cfRule type="cellIs" dxfId="2" priority="883" operator="lessThan">
      <formula>G65</formula>
    </cfRule>
  </conditionalFormatting>
  <conditionalFormatting sqref="T67">
    <cfRule type="cellIs" dxfId="1" priority="888" operator="equal">
      <formula>0</formula>
    </cfRule>
    <cfRule type="cellIs" dxfId="2" priority="889" operator="lessThan">
      <formula>G67</formula>
    </cfRule>
  </conditionalFormatting>
  <conditionalFormatting sqref="T68">
    <cfRule type="cellIs" dxfId="1" priority="893" operator="equal">
      <formula>0</formula>
    </cfRule>
    <cfRule type="cellIs" dxfId="2" priority="894" operator="lessThan">
      <formula>G68</formula>
    </cfRule>
  </conditionalFormatting>
  <conditionalFormatting sqref="T7">
    <cfRule type="cellIs" dxfId="1" priority="638" operator="equal">
      <formula>0</formula>
    </cfRule>
    <cfRule type="cellIs" dxfId="2" priority="639" operator="lessThan">
      <formula>G7</formula>
    </cfRule>
  </conditionalFormatting>
  <conditionalFormatting sqref="T70">
    <cfRule type="cellIs" dxfId="1" priority="898" operator="equal">
      <formula>0</formula>
    </cfRule>
    <cfRule type="cellIs" dxfId="2" priority="899" operator="lessThan">
      <formula>G70</formula>
    </cfRule>
  </conditionalFormatting>
  <conditionalFormatting sqref="T72">
    <cfRule type="cellIs" dxfId="1" priority="903" operator="equal">
      <formula>0</formula>
    </cfRule>
    <cfRule type="cellIs" dxfId="2" priority="904" operator="lessThan">
      <formula>G72</formula>
    </cfRule>
  </conditionalFormatting>
  <conditionalFormatting sqref="T74">
    <cfRule type="cellIs" dxfId="1" priority="908" operator="equal">
      <formula>0</formula>
    </cfRule>
    <cfRule type="cellIs" dxfId="2" priority="909" operator="lessThan">
      <formula>G74</formula>
    </cfRule>
  </conditionalFormatting>
  <conditionalFormatting sqref="T75">
    <cfRule type="cellIs" dxfId="1" priority="913" operator="equal">
      <formula>0</formula>
    </cfRule>
    <cfRule type="cellIs" dxfId="2" priority="914" operator="lessThan">
      <formula>G75</formula>
    </cfRule>
  </conditionalFormatting>
  <conditionalFormatting sqref="T76">
    <cfRule type="cellIs" dxfId="1" priority="919" operator="equal">
      <formula>0</formula>
    </cfRule>
    <cfRule type="cellIs" dxfId="2" priority="920" operator="lessThan">
      <formula>G76</formula>
    </cfRule>
  </conditionalFormatting>
  <conditionalFormatting sqref="T78">
    <cfRule type="cellIs" dxfId="1" priority="924" operator="equal">
      <formula>0</formula>
    </cfRule>
    <cfRule type="cellIs" dxfId="2" priority="925" operator="lessThan">
      <formula>G78</formula>
    </cfRule>
  </conditionalFormatting>
  <conditionalFormatting sqref="T8">
    <cfRule type="cellIs" dxfId="1" priority="644" operator="equal">
      <formula>0</formula>
    </cfRule>
    <cfRule type="cellIs" dxfId="2" priority="645" operator="lessThan">
      <formula>G8</formula>
    </cfRule>
  </conditionalFormatting>
  <conditionalFormatting sqref="T9">
    <cfRule type="cellIs" dxfId="1" priority="650" operator="equal">
      <formula>0</formula>
    </cfRule>
    <cfRule type="cellIs" dxfId="2" priority="651" operator="lessThan">
      <formula>G9</formula>
    </cfRule>
  </conditionalFormatting>
  <conditionalFormatting sqref="U10">
    <cfRule type="expression" dxfId="3" priority="658">
      <formula>AND(U10&gt;0,U10&lt;4000)</formula>
    </cfRule>
    <cfRule type="cellIs" dxfId="1" priority="659" operator="greaterThan">
      <formula>T10</formula>
    </cfRule>
  </conditionalFormatting>
  <conditionalFormatting sqref="U14">
    <cfRule type="expression" dxfId="3" priority="664">
      <formula>AND(U14&gt;0,U14&lt;4000)</formula>
    </cfRule>
    <cfRule type="cellIs" dxfId="1" priority="665" operator="greaterThan">
      <formula>T14</formula>
    </cfRule>
  </conditionalFormatting>
  <conditionalFormatting sqref="U15">
    <cfRule type="expression" dxfId="3" priority="670">
      <formula>AND(U15&gt;0,U15&lt;4000)</formula>
    </cfRule>
    <cfRule type="cellIs" dxfId="1" priority="671" operator="greaterThan">
      <formula>T15</formula>
    </cfRule>
  </conditionalFormatting>
  <conditionalFormatting sqref="U16">
    <cfRule type="expression" dxfId="3" priority="676">
      <formula>AND(U16&gt;0,U16&lt;10)</formula>
    </cfRule>
    <cfRule type="cellIs" dxfId="1" priority="677" operator="greaterThan">
      <formula>T16</formula>
    </cfRule>
  </conditionalFormatting>
  <conditionalFormatting sqref="U17">
    <cfRule type="expression" dxfId="3" priority="682">
      <formula>AND(U17&gt;0,U17&lt;4000)</formula>
    </cfRule>
    <cfRule type="cellIs" dxfId="1" priority="683" operator="greaterThan">
      <formula>T17</formula>
    </cfRule>
  </conditionalFormatting>
  <conditionalFormatting sqref="U18">
    <cfRule type="expression" dxfId="3" priority="688">
      <formula>AND(U18&gt;0,U18&lt;4000)</formula>
    </cfRule>
    <cfRule type="cellIs" dxfId="1" priority="689" operator="greaterThan">
      <formula>T18</formula>
    </cfRule>
  </conditionalFormatting>
  <conditionalFormatting sqref="U19">
    <cfRule type="expression" dxfId="3" priority="694">
      <formula>AND(U19&gt;0,U19&lt;10)</formula>
    </cfRule>
    <cfRule type="cellIs" dxfId="1" priority="695" operator="greaterThan">
      <formula>T19</formula>
    </cfRule>
  </conditionalFormatting>
  <conditionalFormatting sqref="U20">
    <cfRule type="expression" dxfId="3" priority="700">
      <formula>AND(U20&gt;0,U20&lt;10)</formula>
    </cfRule>
    <cfRule type="cellIs" dxfId="1" priority="701" operator="greaterThan">
      <formula>T20</formula>
    </cfRule>
  </conditionalFormatting>
  <conditionalFormatting sqref="U23">
    <cfRule type="expression" dxfId="3" priority="706">
      <formula>AND(U23&gt;0,U23&lt;10)</formula>
    </cfRule>
    <cfRule type="cellIs" dxfId="1" priority="707" operator="greaterThan">
      <formula>T23</formula>
    </cfRule>
  </conditionalFormatting>
  <conditionalFormatting sqref="U24">
    <cfRule type="expression" dxfId="3" priority="712">
      <formula>AND(U24&gt;0,U24&lt;10)</formula>
    </cfRule>
    <cfRule type="cellIs" dxfId="1" priority="713" operator="greaterThan">
      <formula>T24</formula>
    </cfRule>
  </conditionalFormatting>
  <conditionalFormatting sqref="U26">
    <cfRule type="expression" dxfId="3" priority="718">
      <formula>AND(U26&gt;0,U26&lt;3000)</formula>
    </cfRule>
    <cfRule type="cellIs" dxfId="1" priority="719" operator="greaterThan">
      <formula>T26</formula>
    </cfRule>
  </conditionalFormatting>
  <conditionalFormatting sqref="U29">
    <cfRule type="cellIs" dxfId="1" priority="724" operator="greaterThan">
      <formula>T29</formula>
    </cfRule>
  </conditionalFormatting>
  <conditionalFormatting sqref="U32">
    <cfRule type="expression" dxfId="3" priority="729">
      <formula>AND(U32&gt;0,U32&lt;5)</formula>
    </cfRule>
    <cfRule type="cellIs" dxfId="1" priority="730" operator="greaterThan">
      <formula>T32</formula>
    </cfRule>
  </conditionalFormatting>
  <conditionalFormatting sqref="U33">
    <cfRule type="expression" dxfId="3" priority="735">
      <formula>AND(U33&gt;0,U33&lt;5)</formula>
    </cfRule>
    <cfRule type="cellIs" dxfId="1" priority="736" operator="greaterThan">
      <formula>T33</formula>
    </cfRule>
  </conditionalFormatting>
  <conditionalFormatting sqref="U34">
    <cfRule type="expression" dxfId="3" priority="741">
      <formula>AND(U34&gt;0,U34&lt;10)</formula>
    </cfRule>
    <cfRule type="cellIs" dxfId="1" priority="742" operator="greaterThan">
      <formula>T34</formula>
    </cfRule>
  </conditionalFormatting>
  <conditionalFormatting sqref="U36">
    <cfRule type="expression" dxfId="3" priority="747">
      <formula>AND(U36&gt;0,U36&lt;10)</formula>
    </cfRule>
    <cfRule type="cellIs" dxfId="1" priority="748" operator="greaterThan">
      <formula>T36</formula>
    </cfRule>
  </conditionalFormatting>
  <conditionalFormatting sqref="U37">
    <cfRule type="cellIs" dxfId="1" priority="753" operator="greaterThan">
      <formula>T37</formula>
    </cfRule>
  </conditionalFormatting>
  <conditionalFormatting sqref="U38">
    <cfRule type="expression" dxfId="3" priority="758">
      <formula>AND(U38&gt;0,U38&lt;10)</formula>
    </cfRule>
    <cfRule type="cellIs" dxfId="1" priority="759" operator="greaterThan">
      <formula>T38</formula>
    </cfRule>
  </conditionalFormatting>
  <conditionalFormatting sqref="U42">
    <cfRule type="expression" dxfId="3" priority="764">
      <formula>AND(U42&gt;0,U42&lt;10)</formula>
    </cfRule>
    <cfRule type="cellIs" dxfId="1" priority="765" operator="greaterThan">
      <formula>T42</formula>
    </cfRule>
  </conditionalFormatting>
  <conditionalFormatting sqref="U43">
    <cfRule type="expression" dxfId="3" priority="770">
      <formula>AND(U43&gt;0,U43&lt;10)</formula>
    </cfRule>
    <cfRule type="cellIs" dxfId="1" priority="771" operator="greaterThan">
      <formula>T43</formula>
    </cfRule>
  </conditionalFormatting>
  <conditionalFormatting sqref="U44">
    <cfRule type="expression" dxfId="3" priority="776">
      <formula>AND(U44&gt;0,U44&lt;10)</formula>
    </cfRule>
    <cfRule type="cellIs" dxfId="1" priority="777" operator="greaterThan">
      <formula>T44</formula>
    </cfRule>
  </conditionalFormatting>
  <conditionalFormatting sqref="U45">
    <cfRule type="expression" dxfId="3" priority="782">
      <formula>AND(U45&gt;0,U45&lt;10)</formula>
    </cfRule>
    <cfRule type="cellIs" dxfId="1" priority="783" operator="greaterThan">
      <formula>T45</formula>
    </cfRule>
  </conditionalFormatting>
  <conditionalFormatting sqref="U46">
    <cfRule type="expression" dxfId="3" priority="788">
      <formula>AND(U46&gt;0,U46&lt;10)</formula>
    </cfRule>
    <cfRule type="cellIs" dxfId="1" priority="789" operator="greaterThan">
      <formula>T46</formula>
    </cfRule>
  </conditionalFormatting>
  <conditionalFormatting sqref="U47">
    <cfRule type="expression" dxfId="3" priority="794">
      <formula>AND(U47&gt;0,U47&lt;10)</formula>
    </cfRule>
    <cfRule type="cellIs" dxfId="1" priority="795" operator="greaterThan">
      <formula>T47</formula>
    </cfRule>
  </conditionalFormatting>
  <conditionalFormatting sqref="U48">
    <cfRule type="expression" dxfId="3" priority="800">
      <formula>AND(U48&gt;0,U48&lt;10)</formula>
    </cfRule>
    <cfRule type="cellIs" dxfId="1" priority="801" operator="greaterThan">
      <formula>T48</formula>
    </cfRule>
  </conditionalFormatting>
  <conditionalFormatting sqref="U49">
    <cfRule type="expression" dxfId="3" priority="806">
      <formula>AND(U49&gt;0,U49&lt;10)</formula>
    </cfRule>
    <cfRule type="cellIs" dxfId="1" priority="807" operator="greaterThan">
      <formula>T49</formula>
    </cfRule>
  </conditionalFormatting>
  <conditionalFormatting sqref="U50">
    <cfRule type="expression" dxfId="3" priority="812">
      <formula>AND(U50&gt;0,U50&lt;10)</formula>
    </cfRule>
    <cfRule type="cellIs" dxfId="1" priority="813" operator="greaterThan">
      <formula>T50</formula>
    </cfRule>
  </conditionalFormatting>
  <conditionalFormatting sqref="U51">
    <cfRule type="expression" dxfId="3" priority="818">
      <formula>AND(U51&gt;0,U51&lt;10)</formula>
    </cfRule>
    <cfRule type="cellIs" dxfId="1" priority="819" operator="greaterThan">
      <formula>T51</formula>
    </cfRule>
  </conditionalFormatting>
  <conditionalFormatting sqref="U52">
    <cfRule type="expression" dxfId="3" priority="824">
      <formula>AND(U52&gt;0,U52&lt;10)</formula>
    </cfRule>
    <cfRule type="cellIs" dxfId="1" priority="825" operator="greaterThan">
      <formula>T52</formula>
    </cfRule>
  </conditionalFormatting>
  <conditionalFormatting sqref="U53">
    <cfRule type="expression" dxfId="3" priority="830">
      <formula>AND(U53&gt;0,U53&lt;10)</formula>
    </cfRule>
    <cfRule type="cellIs" dxfId="1" priority="831" operator="greaterThan">
      <formula>T53</formula>
    </cfRule>
  </conditionalFormatting>
  <conditionalFormatting sqref="U54">
    <cfRule type="expression" dxfId="3" priority="836">
      <formula>AND(U54&gt;0,U54&lt;10)</formula>
    </cfRule>
    <cfRule type="cellIs" dxfId="1" priority="837" operator="greaterThan">
      <formula>T54</formula>
    </cfRule>
  </conditionalFormatting>
  <conditionalFormatting sqref="U55">
    <cfRule type="expression" dxfId="3" priority="842">
      <formula>AND(U55&gt;0,U55&lt;10)</formula>
    </cfRule>
    <cfRule type="cellIs" dxfId="1" priority="843" operator="greaterThan">
      <formula>T55</formula>
    </cfRule>
  </conditionalFormatting>
  <conditionalFormatting sqref="U56">
    <cfRule type="expression" dxfId="3" priority="848">
      <formula>AND(U56&gt;0,U56&lt;10)</formula>
    </cfRule>
    <cfRule type="cellIs" dxfId="1" priority="849" operator="greaterThan">
      <formula>T56</formula>
    </cfRule>
  </conditionalFormatting>
  <conditionalFormatting sqref="U57">
    <cfRule type="expression" dxfId="3" priority="854">
      <formula>AND(U57&gt;0,U57&lt;10)</formula>
    </cfRule>
    <cfRule type="cellIs" dxfId="1" priority="855" operator="greaterThan">
      <formula>T57</formula>
    </cfRule>
  </conditionalFormatting>
  <conditionalFormatting sqref="U58">
    <cfRule type="expression" dxfId="3" priority="860">
      <formula>AND(U58&gt;0,U58&lt;10)</formula>
    </cfRule>
    <cfRule type="cellIs" dxfId="1" priority="861" operator="greaterThan">
      <formula>T58</formula>
    </cfRule>
  </conditionalFormatting>
  <conditionalFormatting sqref="U59">
    <cfRule type="expression" dxfId="3" priority="866">
      <formula>AND(U59&gt;0,U59&lt;10)</formula>
    </cfRule>
    <cfRule type="cellIs" dxfId="1" priority="867" operator="greaterThan">
      <formula>T59</formula>
    </cfRule>
  </conditionalFormatting>
  <conditionalFormatting sqref="U61">
    <cfRule type="expression" dxfId="3" priority="872">
      <formula>AND(U61&gt;0,U61&lt;10)</formula>
    </cfRule>
    <cfRule type="cellIs" dxfId="1" priority="873" operator="greaterThan">
      <formula>T61</formula>
    </cfRule>
  </conditionalFormatting>
  <conditionalFormatting sqref="U62">
    <cfRule type="expression" dxfId="3" priority="878">
      <formula>AND(U62&gt;0,U62&lt;10)</formula>
    </cfRule>
    <cfRule type="cellIs" dxfId="1" priority="879" operator="greaterThan">
      <formula>T62</formula>
    </cfRule>
  </conditionalFormatting>
  <conditionalFormatting sqref="U65">
    <cfRule type="expression" dxfId="3" priority="884">
      <formula>AND(U65&gt;0,U65&lt;5)</formula>
    </cfRule>
    <cfRule type="cellIs" dxfId="1" priority="885" operator="greaterThan">
      <formula>T65</formula>
    </cfRule>
  </conditionalFormatting>
  <conditionalFormatting sqref="U67">
    <cfRule type="cellIs" dxfId="1" priority="890" operator="greaterThan">
      <formula>T67</formula>
    </cfRule>
  </conditionalFormatting>
  <conditionalFormatting sqref="U68">
    <cfRule type="cellIs" dxfId="1" priority="895" operator="greaterThan">
      <formula>T68</formula>
    </cfRule>
  </conditionalFormatting>
  <conditionalFormatting sqref="U7">
    <cfRule type="expression" dxfId="3" priority="640">
      <formula>AND(U7&gt;0,U7&lt;4000)</formula>
    </cfRule>
    <cfRule type="cellIs" dxfId="1" priority="641" operator="greaterThan">
      <formula>T7</formula>
    </cfRule>
  </conditionalFormatting>
  <conditionalFormatting sqref="U70">
    <cfRule type="cellIs" dxfId="1" priority="900" operator="greaterThan">
      <formula>T70</formula>
    </cfRule>
  </conditionalFormatting>
  <conditionalFormatting sqref="U72">
    <cfRule type="cellIs" dxfId="1" priority="905" operator="greaterThan">
      <formula>T72</formula>
    </cfRule>
  </conditionalFormatting>
  <conditionalFormatting sqref="U74">
    <cfRule type="cellIs" dxfId="1" priority="910" operator="greaterThan">
      <formula>T74</formula>
    </cfRule>
  </conditionalFormatting>
  <conditionalFormatting sqref="U75">
    <cfRule type="expression" dxfId="3" priority="915">
      <formula>AND(U75&gt;0,U75&lt;3300)</formula>
    </cfRule>
    <cfRule type="cellIs" dxfId="1" priority="916" operator="greaterThan">
      <formula>T75</formula>
    </cfRule>
  </conditionalFormatting>
  <conditionalFormatting sqref="U76">
    <cfRule type="cellIs" dxfId="1" priority="921" operator="greaterThan">
      <formula>T76</formula>
    </cfRule>
  </conditionalFormatting>
  <conditionalFormatting sqref="U78">
    <cfRule type="cellIs" dxfId="1" priority="926" operator="greaterThan">
      <formula>T78</formula>
    </cfRule>
  </conditionalFormatting>
  <conditionalFormatting sqref="U8">
    <cfRule type="expression" dxfId="3" priority="646">
      <formula>AND(U8&gt;0,U8&lt;10)</formula>
    </cfRule>
    <cfRule type="cellIs" dxfId="1" priority="647" operator="greaterThan">
      <formula>T8</formula>
    </cfRule>
  </conditionalFormatting>
  <conditionalFormatting sqref="U9">
    <cfRule type="expression" dxfId="3" priority="652">
      <formula>AND(U9&gt;0,U9&lt;10)</formula>
    </cfRule>
    <cfRule type="cellIs" dxfId="1" priority="653" operator="greaterThan">
      <formula>T9</formula>
    </cfRule>
  </conditionalFormatting>
  <conditionalFormatting sqref="V10">
    <cfRule type="cellIs" dxfId="4" priority="661" operator="lessThanOrEqual">
      <formula>H10</formula>
    </cfRule>
  </conditionalFormatting>
  <conditionalFormatting sqref="V14">
    <cfRule type="cellIs" dxfId="4" priority="667" operator="lessThanOrEqual">
      <formula>H14</formula>
    </cfRule>
  </conditionalFormatting>
  <conditionalFormatting sqref="V15">
    <cfRule type="cellIs" dxfId="4" priority="673" operator="lessThanOrEqual">
      <formula>H15</formula>
    </cfRule>
  </conditionalFormatting>
  <conditionalFormatting sqref="V16">
    <cfRule type="cellIs" dxfId="4" priority="679" operator="lessThanOrEqual">
      <formula>H16</formula>
    </cfRule>
  </conditionalFormatting>
  <conditionalFormatting sqref="V17">
    <cfRule type="cellIs" dxfId="4" priority="685" operator="lessThanOrEqual">
      <formula>H17</formula>
    </cfRule>
  </conditionalFormatting>
  <conditionalFormatting sqref="V18">
    <cfRule type="cellIs" dxfId="4" priority="691" operator="lessThanOrEqual">
      <formula>H18</formula>
    </cfRule>
  </conditionalFormatting>
  <conditionalFormatting sqref="V19">
    <cfRule type="cellIs" dxfId="4" priority="697" operator="lessThanOrEqual">
      <formula>H19</formula>
    </cfRule>
  </conditionalFormatting>
  <conditionalFormatting sqref="V20">
    <cfRule type="cellIs" dxfId="4" priority="703" operator="lessThanOrEqual">
      <formula>H20</formula>
    </cfRule>
  </conditionalFormatting>
  <conditionalFormatting sqref="V23">
    <cfRule type="cellIs" dxfId="4" priority="709" operator="lessThanOrEqual">
      <formula>H23</formula>
    </cfRule>
  </conditionalFormatting>
  <conditionalFormatting sqref="V24">
    <cfRule type="cellIs" dxfId="4" priority="715" operator="lessThanOrEqual">
      <formula>H24</formula>
    </cfRule>
  </conditionalFormatting>
  <conditionalFormatting sqref="V26">
    <cfRule type="cellIs" dxfId="4" priority="721" operator="lessThanOrEqual">
      <formula>H26</formula>
    </cfRule>
  </conditionalFormatting>
  <conditionalFormatting sqref="V29">
    <cfRule type="cellIs" dxfId="4" priority="726" operator="lessThanOrEqual">
      <formula>H29</formula>
    </cfRule>
  </conditionalFormatting>
  <conditionalFormatting sqref="V32">
    <cfRule type="cellIs" dxfId="4" priority="732" operator="lessThanOrEqual">
      <formula>H32</formula>
    </cfRule>
  </conditionalFormatting>
  <conditionalFormatting sqref="V33">
    <cfRule type="cellIs" dxfId="4" priority="738" operator="lessThanOrEqual">
      <formula>H33</formula>
    </cfRule>
  </conditionalFormatting>
  <conditionalFormatting sqref="V34">
    <cfRule type="cellIs" dxfId="4" priority="744" operator="lessThanOrEqual">
      <formula>H34</formula>
    </cfRule>
  </conditionalFormatting>
  <conditionalFormatting sqref="V36">
    <cfRule type="cellIs" dxfId="4" priority="750" operator="lessThanOrEqual">
      <formula>H36</formula>
    </cfRule>
  </conditionalFormatting>
  <conditionalFormatting sqref="V37">
    <cfRule type="cellIs" dxfId="4" priority="755" operator="lessThanOrEqual">
      <formula>H37</formula>
    </cfRule>
  </conditionalFormatting>
  <conditionalFormatting sqref="V38">
    <cfRule type="cellIs" dxfId="4" priority="761" operator="lessThanOrEqual">
      <formula>H38</formula>
    </cfRule>
  </conditionalFormatting>
  <conditionalFormatting sqref="V42">
    <cfRule type="cellIs" dxfId="4" priority="767" operator="lessThanOrEqual">
      <formula>H42</formula>
    </cfRule>
  </conditionalFormatting>
  <conditionalFormatting sqref="V43">
    <cfRule type="cellIs" dxfId="4" priority="773" operator="lessThanOrEqual">
      <formula>H43</formula>
    </cfRule>
  </conditionalFormatting>
  <conditionalFormatting sqref="V44">
    <cfRule type="cellIs" dxfId="4" priority="779" operator="lessThanOrEqual">
      <formula>H44</formula>
    </cfRule>
  </conditionalFormatting>
  <conditionalFormatting sqref="V45">
    <cfRule type="cellIs" dxfId="4" priority="785" operator="lessThanOrEqual">
      <formula>H45</formula>
    </cfRule>
  </conditionalFormatting>
  <conditionalFormatting sqref="V46">
    <cfRule type="cellIs" dxfId="4" priority="791" operator="lessThanOrEqual">
      <formula>H46</formula>
    </cfRule>
  </conditionalFormatting>
  <conditionalFormatting sqref="V47">
    <cfRule type="cellIs" dxfId="4" priority="797" operator="lessThanOrEqual">
      <formula>H47</formula>
    </cfRule>
  </conditionalFormatting>
  <conditionalFormatting sqref="V48">
    <cfRule type="cellIs" dxfId="4" priority="803" operator="lessThanOrEqual">
      <formula>H48</formula>
    </cfRule>
  </conditionalFormatting>
  <conditionalFormatting sqref="V49">
    <cfRule type="cellIs" dxfId="4" priority="809" operator="lessThanOrEqual">
      <formula>H49</formula>
    </cfRule>
  </conditionalFormatting>
  <conditionalFormatting sqref="V50">
    <cfRule type="cellIs" dxfId="4" priority="815" operator="lessThanOrEqual">
      <formula>H50</formula>
    </cfRule>
  </conditionalFormatting>
  <conditionalFormatting sqref="V51">
    <cfRule type="cellIs" dxfId="4" priority="821" operator="lessThanOrEqual">
      <formula>H51</formula>
    </cfRule>
  </conditionalFormatting>
  <conditionalFormatting sqref="V52">
    <cfRule type="cellIs" dxfId="4" priority="827" operator="lessThanOrEqual">
      <formula>H52</formula>
    </cfRule>
  </conditionalFormatting>
  <conditionalFormatting sqref="V53">
    <cfRule type="cellIs" dxfId="4" priority="833" operator="lessThanOrEqual">
      <formula>H53</formula>
    </cfRule>
  </conditionalFormatting>
  <conditionalFormatting sqref="V54">
    <cfRule type="cellIs" dxfId="4" priority="839" operator="lessThanOrEqual">
      <formula>H54</formula>
    </cfRule>
  </conditionalFormatting>
  <conditionalFormatting sqref="V55">
    <cfRule type="cellIs" dxfId="4" priority="845" operator="lessThanOrEqual">
      <formula>H55</formula>
    </cfRule>
  </conditionalFormatting>
  <conditionalFormatting sqref="V56">
    <cfRule type="cellIs" dxfId="4" priority="851" operator="lessThanOrEqual">
      <formula>H56</formula>
    </cfRule>
  </conditionalFormatting>
  <conditionalFormatting sqref="V57">
    <cfRule type="cellIs" dxfId="4" priority="857" operator="lessThanOrEqual">
      <formula>H57</formula>
    </cfRule>
  </conditionalFormatting>
  <conditionalFormatting sqref="V58">
    <cfRule type="cellIs" dxfId="4" priority="863" operator="lessThanOrEqual">
      <formula>H58</formula>
    </cfRule>
  </conditionalFormatting>
  <conditionalFormatting sqref="V59">
    <cfRule type="cellIs" dxfId="4" priority="869" operator="lessThanOrEqual">
      <formula>H59</formula>
    </cfRule>
  </conditionalFormatting>
  <conditionalFormatting sqref="V61">
    <cfRule type="cellIs" dxfId="4" priority="875" operator="lessThanOrEqual">
      <formula>H61</formula>
    </cfRule>
  </conditionalFormatting>
  <conditionalFormatting sqref="V62">
    <cfRule type="cellIs" dxfId="4" priority="881" operator="lessThanOrEqual">
      <formula>H62</formula>
    </cfRule>
  </conditionalFormatting>
  <conditionalFormatting sqref="V65">
    <cfRule type="cellIs" dxfId="4" priority="887" operator="lessThanOrEqual">
      <formula>H65</formula>
    </cfRule>
  </conditionalFormatting>
  <conditionalFormatting sqref="V67">
    <cfRule type="cellIs" dxfId="4" priority="892" operator="lessThanOrEqual">
      <formula>H67</formula>
    </cfRule>
  </conditionalFormatting>
  <conditionalFormatting sqref="V68">
    <cfRule type="cellIs" dxfId="4" priority="897" operator="lessThanOrEqual">
      <formula>H68</formula>
    </cfRule>
  </conditionalFormatting>
  <conditionalFormatting sqref="V7">
    <cfRule type="cellIs" dxfId="4" priority="643" operator="lessThanOrEqual">
      <formula>H7</formula>
    </cfRule>
  </conditionalFormatting>
  <conditionalFormatting sqref="V70">
    <cfRule type="cellIs" dxfId="4" priority="902" operator="lessThanOrEqual">
      <formula>H70</formula>
    </cfRule>
  </conditionalFormatting>
  <conditionalFormatting sqref="V72">
    <cfRule type="cellIs" dxfId="4" priority="907" operator="lessThanOrEqual">
      <formula>H72</formula>
    </cfRule>
  </conditionalFormatting>
  <conditionalFormatting sqref="V74">
    <cfRule type="cellIs" dxfId="4" priority="912" operator="lessThanOrEqual">
      <formula>H74</formula>
    </cfRule>
  </conditionalFormatting>
  <conditionalFormatting sqref="V75">
    <cfRule type="cellIs" dxfId="4" priority="918" operator="lessThanOrEqual">
      <formula>H75</formula>
    </cfRule>
  </conditionalFormatting>
  <conditionalFormatting sqref="V76">
    <cfRule type="cellIs" dxfId="4" priority="923" operator="lessThanOrEqual">
      <formula>H76</formula>
    </cfRule>
  </conditionalFormatting>
  <conditionalFormatting sqref="V78">
    <cfRule type="cellIs" dxfId="4" priority="928" operator="lessThanOrEqual">
      <formula>H78</formula>
    </cfRule>
  </conditionalFormatting>
  <conditionalFormatting sqref="V8">
    <cfRule type="cellIs" dxfId="4" priority="649" operator="lessThanOrEqual">
      <formula>H8</formula>
    </cfRule>
  </conditionalFormatting>
  <conditionalFormatting sqref="V9">
    <cfRule type="cellIs" dxfId="4" priority="655" operator="lessThanOrEqual">
      <formula>H9</formula>
    </cfRule>
  </conditionalFormatting>
  <conditionalFormatting sqref="W10">
    <cfRule type="cellIs" dxfId="4" priority="660" operator="lessThanOrEqual">
      <formula>I10</formula>
    </cfRule>
  </conditionalFormatting>
  <conditionalFormatting sqref="W14">
    <cfRule type="cellIs" dxfId="4" priority="666" operator="lessThanOrEqual">
      <formula>I14</formula>
    </cfRule>
  </conditionalFormatting>
  <conditionalFormatting sqref="W15">
    <cfRule type="cellIs" dxfId="4" priority="672" operator="lessThanOrEqual">
      <formula>I15</formula>
    </cfRule>
  </conditionalFormatting>
  <conditionalFormatting sqref="W16">
    <cfRule type="cellIs" dxfId="4" priority="678" operator="lessThanOrEqual">
      <formula>I16</formula>
    </cfRule>
  </conditionalFormatting>
  <conditionalFormatting sqref="W17">
    <cfRule type="cellIs" dxfId="4" priority="684" operator="lessThanOrEqual">
      <formula>I17</formula>
    </cfRule>
  </conditionalFormatting>
  <conditionalFormatting sqref="W18">
    <cfRule type="cellIs" dxfId="4" priority="690" operator="lessThanOrEqual">
      <formula>I18</formula>
    </cfRule>
  </conditionalFormatting>
  <conditionalFormatting sqref="W19">
    <cfRule type="cellIs" dxfId="4" priority="696" operator="lessThanOrEqual">
      <formula>I19</formula>
    </cfRule>
  </conditionalFormatting>
  <conditionalFormatting sqref="W20">
    <cfRule type="cellIs" dxfId="4" priority="702" operator="lessThanOrEqual">
      <formula>I20</formula>
    </cfRule>
  </conditionalFormatting>
  <conditionalFormatting sqref="W23">
    <cfRule type="cellIs" dxfId="4" priority="708" operator="lessThanOrEqual">
      <formula>I23</formula>
    </cfRule>
  </conditionalFormatting>
  <conditionalFormatting sqref="W24">
    <cfRule type="cellIs" dxfId="4" priority="714" operator="lessThanOrEqual">
      <formula>I24</formula>
    </cfRule>
  </conditionalFormatting>
  <conditionalFormatting sqref="W26">
    <cfRule type="cellIs" dxfId="4" priority="720" operator="lessThanOrEqual">
      <formula>I26</formula>
    </cfRule>
  </conditionalFormatting>
  <conditionalFormatting sqref="W29">
    <cfRule type="cellIs" dxfId="4" priority="725" operator="lessThanOrEqual">
      <formula>I29</formula>
    </cfRule>
  </conditionalFormatting>
  <conditionalFormatting sqref="W32">
    <cfRule type="cellIs" dxfId="4" priority="731" operator="lessThanOrEqual">
      <formula>I32</formula>
    </cfRule>
  </conditionalFormatting>
  <conditionalFormatting sqref="W33">
    <cfRule type="cellIs" dxfId="4" priority="737" operator="lessThanOrEqual">
      <formula>I33</formula>
    </cfRule>
  </conditionalFormatting>
  <conditionalFormatting sqref="W34">
    <cfRule type="cellIs" dxfId="4" priority="743" operator="lessThanOrEqual">
      <formula>I34</formula>
    </cfRule>
  </conditionalFormatting>
  <conditionalFormatting sqref="W36">
    <cfRule type="cellIs" dxfId="4" priority="749" operator="lessThanOrEqual">
      <formula>I36</formula>
    </cfRule>
  </conditionalFormatting>
  <conditionalFormatting sqref="W37">
    <cfRule type="cellIs" dxfId="4" priority="754" operator="lessThanOrEqual">
      <formula>I37</formula>
    </cfRule>
  </conditionalFormatting>
  <conditionalFormatting sqref="W38">
    <cfRule type="cellIs" dxfId="4" priority="760" operator="lessThanOrEqual">
      <formula>I38</formula>
    </cfRule>
  </conditionalFormatting>
  <conditionalFormatting sqref="W42">
    <cfRule type="cellIs" dxfId="4" priority="766" operator="lessThanOrEqual">
      <formula>I42</formula>
    </cfRule>
  </conditionalFormatting>
  <conditionalFormatting sqref="W43">
    <cfRule type="cellIs" dxfId="4" priority="772" operator="lessThanOrEqual">
      <formula>I43</formula>
    </cfRule>
  </conditionalFormatting>
  <conditionalFormatting sqref="W44">
    <cfRule type="cellIs" dxfId="4" priority="778" operator="lessThanOrEqual">
      <formula>I44</formula>
    </cfRule>
  </conditionalFormatting>
  <conditionalFormatting sqref="W45">
    <cfRule type="cellIs" dxfId="4" priority="784" operator="lessThanOrEqual">
      <formula>I45</formula>
    </cfRule>
  </conditionalFormatting>
  <conditionalFormatting sqref="W46">
    <cfRule type="cellIs" dxfId="4" priority="790" operator="lessThanOrEqual">
      <formula>I46</formula>
    </cfRule>
  </conditionalFormatting>
  <conditionalFormatting sqref="W47">
    <cfRule type="cellIs" dxfId="4" priority="796" operator="lessThanOrEqual">
      <formula>I47</formula>
    </cfRule>
  </conditionalFormatting>
  <conditionalFormatting sqref="W48">
    <cfRule type="cellIs" dxfId="4" priority="802" operator="lessThanOrEqual">
      <formula>I48</formula>
    </cfRule>
  </conditionalFormatting>
  <conditionalFormatting sqref="W49">
    <cfRule type="cellIs" dxfId="4" priority="808" operator="lessThanOrEqual">
      <formula>I49</formula>
    </cfRule>
  </conditionalFormatting>
  <conditionalFormatting sqref="W50">
    <cfRule type="cellIs" dxfId="4" priority="814" operator="lessThanOrEqual">
      <formula>I50</formula>
    </cfRule>
  </conditionalFormatting>
  <conditionalFormatting sqref="W51">
    <cfRule type="cellIs" dxfId="4" priority="820" operator="lessThanOrEqual">
      <formula>I51</formula>
    </cfRule>
  </conditionalFormatting>
  <conditionalFormatting sqref="W52">
    <cfRule type="cellIs" dxfId="4" priority="826" operator="lessThanOrEqual">
      <formula>I52</formula>
    </cfRule>
  </conditionalFormatting>
  <conditionalFormatting sqref="W53">
    <cfRule type="cellIs" dxfId="4" priority="832" operator="lessThanOrEqual">
      <formula>I53</formula>
    </cfRule>
  </conditionalFormatting>
  <conditionalFormatting sqref="W54">
    <cfRule type="cellIs" dxfId="4" priority="838" operator="lessThanOrEqual">
      <formula>I54</formula>
    </cfRule>
  </conditionalFormatting>
  <conditionalFormatting sqref="W55">
    <cfRule type="cellIs" dxfId="4" priority="844" operator="lessThanOrEqual">
      <formula>I55</formula>
    </cfRule>
  </conditionalFormatting>
  <conditionalFormatting sqref="W56">
    <cfRule type="cellIs" dxfId="4" priority="850" operator="lessThanOrEqual">
      <formula>I56</formula>
    </cfRule>
  </conditionalFormatting>
  <conditionalFormatting sqref="W57">
    <cfRule type="cellIs" dxfId="4" priority="856" operator="lessThanOrEqual">
      <formula>I57</formula>
    </cfRule>
  </conditionalFormatting>
  <conditionalFormatting sqref="W58">
    <cfRule type="cellIs" dxfId="4" priority="862" operator="lessThanOrEqual">
      <formula>I58</formula>
    </cfRule>
  </conditionalFormatting>
  <conditionalFormatting sqref="W59">
    <cfRule type="cellIs" dxfId="4" priority="868" operator="lessThanOrEqual">
      <formula>I59</formula>
    </cfRule>
  </conditionalFormatting>
  <conditionalFormatting sqref="W61">
    <cfRule type="cellIs" dxfId="4" priority="874" operator="lessThanOrEqual">
      <formula>I61</formula>
    </cfRule>
  </conditionalFormatting>
  <conditionalFormatting sqref="W62">
    <cfRule type="cellIs" dxfId="4" priority="880" operator="lessThanOrEqual">
      <formula>I62</formula>
    </cfRule>
  </conditionalFormatting>
  <conditionalFormatting sqref="W65">
    <cfRule type="cellIs" dxfId="4" priority="886" operator="lessThanOrEqual">
      <formula>I65</formula>
    </cfRule>
  </conditionalFormatting>
  <conditionalFormatting sqref="W67">
    <cfRule type="cellIs" dxfId="4" priority="891" operator="lessThanOrEqual">
      <formula>I67</formula>
    </cfRule>
  </conditionalFormatting>
  <conditionalFormatting sqref="W68">
    <cfRule type="cellIs" dxfId="4" priority="896" operator="lessThanOrEqual">
      <formula>I68</formula>
    </cfRule>
  </conditionalFormatting>
  <conditionalFormatting sqref="W7">
    <cfRule type="cellIs" dxfId="4" priority="642" operator="lessThanOrEqual">
      <formula>I7</formula>
    </cfRule>
  </conditionalFormatting>
  <conditionalFormatting sqref="W70">
    <cfRule type="cellIs" dxfId="4" priority="901" operator="lessThanOrEqual">
      <formula>I70</formula>
    </cfRule>
  </conditionalFormatting>
  <conditionalFormatting sqref="W72">
    <cfRule type="cellIs" dxfId="4" priority="906" operator="lessThanOrEqual">
      <formula>I72</formula>
    </cfRule>
  </conditionalFormatting>
  <conditionalFormatting sqref="W74">
    <cfRule type="cellIs" dxfId="4" priority="911" operator="lessThanOrEqual">
      <formula>I74</formula>
    </cfRule>
  </conditionalFormatting>
  <conditionalFormatting sqref="W75">
    <cfRule type="cellIs" dxfId="4" priority="917" operator="lessThanOrEqual">
      <formula>I75</formula>
    </cfRule>
  </conditionalFormatting>
  <conditionalFormatting sqref="W76">
    <cfRule type="cellIs" dxfId="4" priority="922" operator="lessThanOrEqual">
      <formula>I76</formula>
    </cfRule>
  </conditionalFormatting>
  <conditionalFormatting sqref="W78">
    <cfRule type="cellIs" dxfId="4" priority="927" operator="lessThanOrEqual">
      <formula>I78</formula>
    </cfRule>
  </conditionalFormatting>
  <conditionalFormatting sqref="W8">
    <cfRule type="cellIs" dxfId="4" priority="648" operator="lessThanOrEqual">
      <formula>I8</formula>
    </cfRule>
  </conditionalFormatting>
  <conditionalFormatting sqref="W9">
    <cfRule type="cellIs" dxfId="4" priority="654" operator="lessThanOrEqual">
      <formula>I9</formula>
    </cfRule>
  </conditionalFormatting>
  <conditionalFormatting sqref="Y22">
    <cfRule type="cellIs" dxfId="1" priority="929" operator="equal">
      <formula>0</formula>
    </cfRule>
    <cfRule type="cellIs" dxfId="2" priority="930" operator="lessThan">
      <formula>G22</formula>
    </cfRule>
  </conditionalFormatting>
  <conditionalFormatting sqref="Y26">
    <cfRule type="cellIs" dxfId="1" priority="935" operator="equal">
      <formula>0</formula>
    </cfRule>
    <cfRule type="cellIs" dxfId="2" priority="936" operator="lessThan">
      <formula>G26</formula>
    </cfRule>
  </conditionalFormatting>
  <conditionalFormatting sqref="Y33">
    <cfRule type="cellIs" dxfId="1" priority="941" operator="equal">
      <formula>0</formula>
    </cfRule>
    <cfRule type="cellIs" dxfId="2" priority="942" operator="lessThan">
      <formula>G33</formula>
    </cfRule>
  </conditionalFormatting>
  <conditionalFormatting sqref="Z22">
    <cfRule type="expression" dxfId="3" priority="931">
      <formula>AND(Z22&gt;0,Z22&lt;10)</formula>
    </cfRule>
    <cfRule type="cellIs" dxfId="1" priority="932" operator="greaterThan">
      <formula>Y22</formula>
    </cfRule>
  </conditionalFormatting>
  <conditionalFormatting sqref="Z26">
    <cfRule type="expression" dxfId="3" priority="937">
      <formula>AND(Z26&gt;0,Z26&lt;5)</formula>
    </cfRule>
    <cfRule type="cellIs" dxfId="1" priority="938" operator="greaterThan">
      <formula>Y26</formula>
    </cfRule>
  </conditionalFormatting>
  <conditionalFormatting sqref="Z33">
    <cfRule type="expression" dxfId="3" priority="943">
      <formula>AND(Z33&gt;0,Z33&lt;20)</formula>
    </cfRule>
    <cfRule type="cellIs" dxfId="1" priority="944" operator="greaterThan">
      <formula>Y33</formula>
    </cfRule>
  </conditionalFormatting>
  <hyperlinks>
    <hyperlink ref="S7" r:id="rId1"/>
    <hyperlink ref="X7" r:id="rId2"/>
    <hyperlink ref="AH7" r:id="rId3"/>
    <hyperlink ref="AM7" r:id="rId4"/>
    <hyperlink ref="S8" r:id="rId5"/>
    <hyperlink ref="X8" r:id="rId6"/>
    <hyperlink ref="AH8" r:id="rId7"/>
    <hyperlink ref="AM8" r:id="rId8"/>
    <hyperlink ref="AR8" r:id="rId9"/>
    <hyperlink ref="AW8" r:id="rId10"/>
    <hyperlink ref="S9" r:id="rId11"/>
    <hyperlink ref="X9" r:id="rId12"/>
    <hyperlink ref="AH9" r:id="rId13"/>
    <hyperlink ref="AM9" r:id="rId14"/>
    <hyperlink ref="AR9" r:id="rId15"/>
    <hyperlink ref="AW9" r:id="rId16"/>
    <hyperlink ref="S10" r:id="rId17"/>
    <hyperlink ref="X10" r:id="rId18"/>
    <hyperlink ref="AH10" r:id="rId19"/>
    <hyperlink ref="AM10" r:id="rId20"/>
    <hyperlink ref="S11" r:id="rId21"/>
    <hyperlink ref="AH11" r:id="rId22"/>
    <hyperlink ref="S12" r:id="rId23"/>
    <hyperlink ref="AH12" r:id="rId24"/>
    <hyperlink ref="S13" r:id="rId25"/>
    <hyperlink ref="AH13" r:id="rId26"/>
    <hyperlink ref="S14" r:id="rId27"/>
    <hyperlink ref="X14" r:id="rId28"/>
    <hyperlink ref="AH14" r:id="rId29"/>
    <hyperlink ref="AM14" r:id="rId30"/>
    <hyperlink ref="S15" r:id="rId31"/>
    <hyperlink ref="X15" r:id="rId32"/>
    <hyperlink ref="AH15" r:id="rId33"/>
    <hyperlink ref="S16" r:id="rId34"/>
    <hyperlink ref="X16" r:id="rId35"/>
    <hyperlink ref="AH16" r:id="rId36"/>
    <hyperlink ref="AM16" r:id="rId37"/>
    <hyperlink ref="AW16" r:id="rId38"/>
    <hyperlink ref="S17" r:id="rId39"/>
    <hyperlink ref="X17" r:id="rId40"/>
    <hyperlink ref="AH17" r:id="rId41"/>
    <hyperlink ref="AM17" r:id="rId42"/>
    <hyperlink ref="AR17" r:id="rId43"/>
    <hyperlink ref="S18" r:id="rId44"/>
    <hyperlink ref="X18" r:id="rId45"/>
    <hyperlink ref="AH18" r:id="rId46"/>
    <hyperlink ref="S19" r:id="rId47"/>
    <hyperlink ref="X19" r:id="rId48"/>
    <hyperlink ref="AH19" r:id="rId49"/>
    <hyperlink ref="AM19" r:id="rId50"/>
    <hyperlink ref="S20" r:id="rId51"/>
    <hyperlink ref="X20" r:id="rId52"/>
    <hyperlink ref="AH20" r:id="rId53"/>
    <hyperlink ref="AM20" r:id="rId54"/>
    <hyperlink ref="AR20" r:id="rId55"/>
    <hyperlink ref="S21" r:id="rId56"/>
    <hyperlink ref="AH21" r:id="rId57"/>
    <hyperlink ref="S22" r:id="rId58"/>
    <hyperlink ref="AC22" r:id="rId59"/>
    <hyperlink ref="AH22" r:id="rId60"/>
    <hyperlink ref="AM22" r:id="rId61"/>
    <hyperlink ref="S23" r:id="rId62"/>
    <hyperlink ref="X23" r:id="rId63"/>
    <hyperlink ref="AH23" r:id="rId64"/>
    <hyperlink ref="AM23" r:id="rId65"/>
    <hyperlink ref="AR23" r:id="rId66"/>
    <hyperlink ref="S24" r:id="rId67"/>
    <hyperlink ref="X24" r:id="rId68"/>
    <hyperlink ref="AH24" r:id="rId69"/>
    <hyperlink ref="AM24" r:id="rId70"/>
    <hyperlink ref="AR24" r:id="rId71"/>
    <hyperlink ref="AW24" r:id="rId72"/>
    <hyperlink ref="S25" r:id="rId73"/>
    <hyperlink ref="S26" r:id="rId74"/>
    <hyperlink ref="X26" r:id="rId75"/>
    <hyperlink ref="AC26" r:id="rId76"/>
    <hyperlink ref="AH26" r:id="rId77"/>
    <hyperlink ref="AR26" r:id="rId78"/>
    <hyperlink ref="AW26" r:id="rId79"/>
    <hyperlink ref="S28" r:id="rId80"/>
    <hyperlink ref="AH28" r:id="rId81"/>
    <hyperlink ref="F29" r:id="rId82"/>
    <hyperlink ref="S29" r:id="rId83"/>
    <hyperlink ref="X29" r:id="rId84"/>
    <hyperlink ref="AH29" r:id="rId85"/>
    <hyperlink ref="AM29" r:id="rId86"/>
    <hyperlink ref="AR29" r:id="rId87"/>
    <hyperlink ref="F30" r:id="rId88"/>
    <hyperlink ref="F32" r:id="rId89"/>
    <hyperlink ref="S32" r:id="rId90"/>
    <hyperlink ref="X32" r:id="rId91"/>
    <hyperlink ref="AH32" r:id="rId92"/>
    <hyperlink ref="AM32" r:id="rId93"/>
    <hyperlink ref="AW32" r:id="rId94"/>
    <hyperlink ref="F33" r:id="rId95"/>
    <hyperlink ref="S33" r:id="rId96"/>
    <hyperlink ref="X33" r:id="rId97"/>
    <hyperlink ref="AC33" r:id="rId98"/>
    <hyperlink ref="AH33" r:id="rId99"/>
    <hyperlink ref="AM33" r:id="rId100"/>
    <hyperlink ref="AR33" r:id="rId101"/>
    <hyperlink ref="AW33" r:id="rId102"/>
    <hyperlink ref="F34" r:id="rId103"/>
    <hyperlink ref="S34" r:id="rId104"/>
    <hyperlink ref="X34" r:id="rId105"/>
    <hyperlink ref="AH34" r:id="rId106"/>
    <hyperlink ref="AM34" r:id="rId107"/>
    <hyperlink ref="AW34" r:id="rId108"/>
    <hyperlink ref="F35" r:id="rId109"/>
    <hyperlink ref="S35" r:id="rId110"/>
    <hyperlink ref="AH35" r:id="rId111"/>
    <hyperlink ref="F36" r:id="rId112"/>
    <hyperlink ref="S36" r:id="rId113"/>
    <hyperlink ref="X36" r:id="rId114"/>
    <hyperlink ref="AH36" r:id="rId115"/>
    <hyperlink ref="AM36" r:id="rId116"/>
    <hyperlink ref="AR36" r:id="rId117"/>
    <hyperlink ref="AW36" r:id="rId118"/>
    <hyperlink ref="F37" r:id="rId119"/>
    <hyperlink ref="S37" r:id="rId120"/>
    <hyperlink ref="X37" r:id="rId121"/>
    <hyperlink ref="AH37" r:id="rId122"/>
    <hyperlink ref="AM37" r:id="rId123"/>
    <hyperlink ref="AR37" r:id="rId124"/>
    <hyperlink ref="AW37" r:id="rId125"/>
    <hyperlink ref="F38" r:id="rId126"/>
    <hyperlink ref="S38" r:id="rId127"/>
    <hyperlink ref="X38" r:id="rId128"/>
    <hyperlink ref="AH38" r:id="rId129"/>
    <hyperlink ref="AM38" r:id="rId130"/>
    <hyperlink ref="AR38" r:id="rId131"/>
    <hyperlink ref="AW38" r:id="rId132"/>
    <hyperlink ref="F39" r:id="rId133"/>
    <hyperlink ref="S39" r:id="rId134"/>
    <hyperlink ref="AH39" r:id="rId135"/>
    <hyperlink ref="F40" r:id="rId136"/>
    <hyperlink ref="S40" r:id="rId137"/>
    <hyperlink ref="AH40" r:id="rId138"/>
    <hyperlink ref="F41" r:id="rId139"/>
    <hyperlink ref="S41" r:id="rId140"/>
    <hyperlink ref="AH41" r:id="rId141"/>
    <hyperlink ref="F42" r:id="rId142"/>
    <hyperlink ref="S42" r:id="rId143"/>
    <hyperlink ref="X42" r:id="rId144"/>
    <hyperlink ref="AH42" r:id="rId145"/>
    <hyperlink ref="AM42" r:id="rId146"/>
    <hyperlink ref="AR42" r:id="rId147"/>
    <hyperlink ref="AW42" r:id="rId148"/>
    <hyperlink ref="F43" r:id="rId149"/>
    <hyperlink ref="S43" r:id="rId150"/>
    <hyperlink ref="X43" r:id="rId151"/>
    <hyperlink ref="AH43" r:id="rId152"/>
    <hyperlink ref="AM43" r:id="rId153"/>
    <hyperlink ref="AW43" r:id="rId154"/>
    <hyperlink ref="F44" r:id="rId155"/>
    <hyperlink ref="S44" r:id="rId156"/>
    <hyperlink ref="X44" r:id="rId157"/>
    <hyperlink ref="AH44" r:id="rId158"/>
    <hyperlink ref="AM44" r:id="rId159"/>
    <hyperlink ref="AW44" r:id="rId160"/>
    <hyperlink ref="F45" r:id="rId161"/>
    <hyperlink ref="S45" r:id="rId162"/>
    <hyperlink ref="X45" r:id="rId163"/>
    <hyperlink ref="AH45" r:id="rId164"/>
    <hyperlink ref="AM45" r:id="rId165"/>
    <hyperlink ref="F46" r:id="rId166"/>
    <hyperlink ref="S46" r:id="rId167"/>
    <hyperlink ref="X46" r:id="rId168"/>
    <hyperlink ref="AH46" r:id="rId169"/>
    <hyperlink ref="AM46" r:id="rId170"/>
    <hyperlink ref="AR46" r:id="rId171"/>
    <hyperlink ref="AW46" r:id="rId172"/>
    <hyperlink ref="F47" r:id="rId173"/>
    <hyperlink ref="S47" r:id="rId174"/>
    <hyperlink ref="X47" r:id="rId175"/>
    <hyperlink ref="AH47" r:id="rId176"/>
    <hyperlink ref="AM47" r:id="rId177"/>
    <hyperlink ref="AW47" r:id="rId178"/>
    <hyperlink ref="F48" r:id="rId179"/>
    <hyperlink ref="S48" r:id="rId180"/>
    <hyperlink ref="X48" r:id="rId181"/>
    <hyperlink ref="AH48" r:id="rId182"/>
    <hyperlink ref="AM48" r:id="rId183"/>
    <hyperlink ref="AW48" r:id="rId184"/>
    <hyperlink ref="F49" r:id="rId185"/>
    <hyperlink ref="S49" r:id="rId186"/>
    <hyperlink ref="X49" r:id="rId187"/>
    <hyperlink ref="AH49" r:id="rId188"/>
    <hyperlink ref="AM49" r:id="rId189"/>
    <hyperlink ref="AR49" r:id="rId190"/>
    <hyperlink ref="AW49" r:id="rId191"/>
    <hyperlink ref="F50" r:id="rId192"/>
    <hyperlink ref="S50" r:id="rId193"/>
    <hyperlink ref="X50" r:id="rId194"/>
    <hyperlink ref="AH50" r:id="rId195"/>
    <hyperlink ref="AM50" r:id="rId196"/>
    <hyperlink ref="AR50" r:id="rId197"/>
    <hyperlink ref="AW50" r:id="rId198"/>
    <hyperlink ref="F51" r:id="rId199"/>
    <hyperlink ref="S51" r:id="rId200"/>
    <hyperlink ref="X51" r:id="rId201"/>
    <hyperlink ref="AH51" r:id="rId202"/>
    <hyperlink ref="AM51" r:id="rId203"/>
    <hyperlink ref="AR51" r:id="rId204"/>
    <hyperlink ref="AW51" r:id="rId205"/>
    <hyperlink ref="F52" r:id="rId206"/>
    <hyperlink ref="S52" r:id="rId207"/>
    <hyperlink ref="X52" r:id="rId208"/>
    <hyperlink ref="AH52" r:id="rId209"/>
    <hyperlink ref="AM52" r:id="rId210"/>
    <hyperlink ref="AR52" r:id="rId211"/>
    <hyperlink ref="AW52" r:id="rId212"/>
    <hyperlink ref="F53" r:id="rId213"/>
    <hyperlink ref="S53" r:id="rId214"/>
    <hyperlink ref="X53" r:id="rId215"/>
    <hyperlink ref="AH53" r:id="rId216"/>
    <hyperlink ref="AM53" r:id="rId217"/>
    <hyperlink ref="AW53" r:id="rId218"/>
    <hyperlink ref="F54" r:id="rId219"/>
    <hyperlink ref="S54" r:id="rId220"/>
    <hyperlink ref="X54" r:id="rId221"/>
    <hyperlink ref="AH54" r:id="rId222"/>
    <hyperlink ref="AM54" r:id="rId223"/>
    <hyperlink ref="F55" r:id="rId224"/>
    <hyperlink ref="S55" r:id="rId225"/>
    <hyperlink ref="X55" r:id="rId226"/>
    <hyperlink ref="AH55" r:id="rId227"/>
    <hyperlink ref="AM55" r:id="rId228"/>
    <hyperlink ref="AW55" r:id="rId229"/>
    <hyperlink ref="F56" r:id="rId230"/>
    <hyperlink ref="S56" r:id="rId231"/>
    <hyperlink ref="X56" r:id="rId232"/>
    <hyperlink ref="AH56" r:id="rId233"/>
    <hyperlink ref="AM56" r:id="rId234"/>
    <hyperlink ref="AR56" r:id="rId235"/>
    <hyperlink ref="AW56" r:id="rId236"/>
    <hyperlink ref="F57" r:id="rId237"/>
    <hyperlink ref="S57" r:id="rId238"/>
    <hyperlink ref="X57" r:id="rId239"/>
    <hyperlink ref="AH57" r:id="rId240"/>
    <hyperlink ref="AM57" r:id="rId241"/>
    <hyperlink ref="AR57" r:id="rId242"/>
    <hyperlink ref="AW57" r:id="rId243"/>
    <hyperlink ref="F58" r:id="rId244"/>
    <hyperlink ref="S58" r:id="rId245"/>
    <hyperlink ref="X58" r:id="rId246"/>
    <hyperlink ref="AH58" r:id="rId247"/>
    <hyperlink ref="AM58" r:id="rId248"/>
    <hyperlink ref="AR58" r:id="rId249"/>
    <hyperlink ref="AW58" r:id="rId250"/>
    <hyperlink ref="F59" r:id="rId251"/>
    <hyperlink ref="S59" r:id="rId252"/>
    <hyperlink ref="X59" r:id="rId253"/>
    <hyperlink ref="AH59" r:id="rId254"/>
    <hyperlink ref="AM59" r:id="rId255"/>
    <hyperlink ref="AR59" r:id="rId256"/>
    <hyperlink ref="AW59" r:id="rId257"/>
    <hyperlink ref="F60" r:id="rId258"/>
    <hyperlink ref="S60" r:id="rId259"/>
    <hyperlink ref="AH60" r:id="rId260"/>
    <hyperlink ref="F61" r:id="rId261"/>
    <hyperlink ref="S61" r:id="rId262"/>
    <hyperlink ref="X61" r:id="rId263"/>
    <hyperlink ref="AH61" r:id="rId264"/>
    <hyperlink ref="AM61" r:id="rId265"/>
    <hyperlink ref="AR61" r:id="rId266"/>
    <hyperlink ref="AW61" r:id="rId267"/>
    <hyperlink ref="F62" r:id="rId268"/>
    <hyperlink ref="S62" r:id="rId269"/>
    <hyperlink ref="X62" r:id="rId270"/>
    <hyperlink ref="AH62" r:id="rId271"/>
    <hyperlink ref="AM62" r:id="rId272"/>
    <hyperlink ref="AW62" r:id="rId273"/>
    <hyperlink ref="F64" r:id="rId274"/>
    <hyperlink ref="S64" r:id="rId275"/>
    <hyperlink ref="AH64" r:id="rId276"/>
    <hyperlink ref="F65" r:id="rId277"/>
    <hyperlink ref="S65" r:id="rId278"/>
    <hyperlink ref="X65" r:id="rId279"/>
    <hyperlink ref="AH65" r:id="rId280"/>
    <hyperlink ref="AM65" r:id="rId281"/>
    <hyperlink ref="AR65" r:id="rId282"/>
    <hyperlink ref="F66" r:id="rId283"/>
    <hyperlink ref="S66" r:id="rId284"/>
    <hyperlink ref="AH66" r:id="rId285"/>
    <hyperlink ref="F67" r:id="rId286"/>
    <hyperlink ref="S67" r:id="rId287"/>
    <hyperlink ref="X67" r:id="rId288"/>
    <hyperlink ref="AH67" r:id="rId289"/>
    <hyperlink ref="AM67" r:id="rId290"/>
    <hyperlink ref="F68" r:id="rId291"/>
    <hyperlink ref="S68" r:id="rId292"/>
    <hyperlink ref="X68" r:id="rId293"/>
    <hyperlink ref="AH68" r:id="rId294"/>
    <hyperlink ref="AM68" r:id="rId295"/>
    <hyperlink ref="S69" r:id="rId296"/>
    <hyperlink ref="AH69" r:id="rId297"/>
    <hyperlink ref="F70" r:id="rId298"/>
    <hyperlink ref="S70" r:id="rId299"/>
    <hyperlink ref="X70" r:id="rId300"/>
    <hyperlink ref="AH70" r:id="rId301"/>
    <hyperlink ref="AR70" r:id="rId302"/>
    <hyperlink ref="AW70" r:id="rId303"/>
    <hyperlink ref="S71" r:id="rId304"/>
    <hyperlink ref="AH71" r:id="rId305"/>
    <hyperlink ref="F72" r:id="rId306"/>
    <hyperlink ref="S72" r:id="rId307"/>
    <hyperlink ref="X72" r:id="rId308"/>
    <hyperlink ref="AH72" r:id="rId309"/>
    <hyperlink ref="F73" r:id="rId310"/>
    <hyperlink ref="S73" r:id="rId311"/>
    <hyperlink ref="AH73" r:id="rId312"/>
    <hyperlink ref="AW73" r:id="rId313"/>
    <hyperlink ref="S74" r:id="rId314"/>
    <hyperlink ref="X74" r:id="rId315"/>
    <hyperlink ref="AH74" r:id="rId316"/>
    <hyperlink ref="AM74" r:id="rId317"/>
    <hyperlink ref="F75" r:id="rId318"/>
    <hyperlink ref="S75" r:id="rId319"/>
    <hyperlink ref="X75" r:id="rId320"/>
    <hyperlink ref="AH75" r:id="rId321"/>
    <hyperlink ref="AM75" r:id="rId322"/>
    <hyperlink ref="F76" r:id="rId323"/>
    <hyperlink ref="S76" r:id="rId324"/>
    <hyperlink ref="X76" r:id="rId325"/>
    <hyperlink ref="AH76" r:id="rId326"/>
    <hyperlink ref="AM76" r:id="rId327"/>
    <hyperlink ref="AR76" r:id="rId328"/>
    <hyperlink ref="AW76" r:id="rId329"/>
    <hyperlink ref="F77" r:id="rId330"/>
    <hyperlink ref="S77" r:id="rId331"/>
    <hyperlink ref="AH77" r:id="rId332"/>
    <hyperlink ref="F78" r:id="rId333"/>
    <hyperlink ref="S78" r:id="rId334"/>
    <hyperlink ref="X78" r:id="rId335"/>
    <hyperlink ref="AH78" r:id="rId336"/>
    <hyperlink ref="AM78" r:id="rId337"/>
    <hyperlink ref="AR78" r:id="rId338"/>
    <hyperlink ref="AW78" r:id="rId339"/>
    <hyperlink ref="F79" r:id="rId340"/>
    <hyperlink ref="S79" r:id="rId341"/>
    <hyperlink ref="AH79" r:id="rId342"/>
    <hyperlink ref="AM79" r:id="rId343"/>
  </hyperlinks>
  <pageMargins left="0.7" right="0.7" top="0.75" bottom="0.75" header="0.3" footer="0.3"/>
  <legacyDrawing r:id="rId3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kicost2.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2021-08-12T21:39:09Z</dcterms:created>
  <dcterms:modified xsi:type="dcterms:W3CDTF">2021-08-12T21:39:09Z</dcterms:modified>
</cp:coreProperties>
</file>