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cost2. " sheetId="1" r:id="rId1"/>
  </sheets>
  <definedNames>
    <definedName name="arrow_part_data">'kicost2. '!$I$5:$M$89</definedName>
    <definedName name="BoardQty">'kicost2. '!$H$1</definedName>
    <definedName name="digikey_part_data">'kicost2. '!$N$5:$R$89</definedName>
    <definedName name="farnell_part_data">'kicost2. '!$S$5:$W$89</definedName>
    <definedName name="global_part_data">'kicost2. '!$A$5:$H$89</definedName>
    <definedName name="lcsc_part_data">'kicost2. '!$X$5:$AB$89</definedName>
    <definedName name="mouser_part_data">'kicost2. '!$AC$5:$AG$89</definedName>
    <definedName name="newark_part_data">'kicost2. '!$AH$5:$AL$89</definedName>
    <definedName name="PURCHASE_DESCRIPTION">'kicost2. '!$H$92</definedName>
    <definedName name="rs_part_data">'kicost2. '!$AM$5:$AQ$89</definedName>
    <definedName name="tme_part_data">'kicost2. '!$AR$5:$AV$89</definedName>
    <definedName name="TotalCost">'kicost2. '!$H$3</definedName>
    <definedName name="USD_GBP">'kicost2. '!$C$92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G3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M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R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W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B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G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L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Q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V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F6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J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K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L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M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N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O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P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Q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R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S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T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U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V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W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X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Y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Z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N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O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P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Q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R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S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T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U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V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P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$0.05      $0.54
    50   $0.03      $1.48
   100   $0.02      $2.43
   500   $0.02      $8.66
  1000   $0.01     $13.61
  4000   $0.01     $45.56</t>
        </r>
      </text>
    </comment>
    <comment ref="Z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20   $0.12      $2.40
   200   $0.09     $18.48
   600   $0.09     $52.44
  2000   $0.08    $164.74
 10000   $0.08    $801.30
 20000   $0.08  $1,580.60</t>
        </r>
      </text>
    </comment>
    <comment ref="AE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$0.30
    50   $0.03      $1.50
   100   $0.02      $2.50
  1000   $0.01     $14.00
 10000   $0.01    $100.00</t>
        </r>
      </text>
    </comment>
    <comment ref="P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$0.06      $0.62
    50   $0.03      $1.70
   100   $0.03      $2.78
   500   $0.02      $9.92
  1000   $0.02     $15.59
  4000   $0.01     $52.16</t>
        </r>
      </text>
    </comment>
    <comment ref="AE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$0.16      $0.16
    10   $0.10      $1.03
    50   $0.10      $5.15
   100   $0.05      $4.80
  1000   $0.03     $29.00
 10000   $0.02    $210.00</t>
        </r>
      </text>
    </comment>
    <comment ref="P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$0.38      $0.38
    10   $0.26      $2.60
    50   $0.17      $8.67
   100   $0.15     $14.74
   500   $0.10     $52.03
  1000   $0.09     $91.05
  4000   $0.08    $320.84</t>
        </r>
      </text>
    </comment>
    <comment ref="U1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£0.36      £0.36
    25   £0.16      £4.05
    50   £0.14      £6.85
   100   £0.11     £11.00
   250   £0.10     £26.00
   500   £0.09     £44.95</t>
        </r>
      </text>
    </comment>
    <comment ref="AE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$0.38      $0.38
    10   $0.23      $2.33
    50   $0.23     $11.65
   100   $0.15     $14.80
  1000   $0.10     $95.00
 10000   $0.08    $800.00</t>
        </r>
      </text>
    </comment>
    <comment ref="AJ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$0.44      $0.44
    25   $0.20      $4.90
    50   $0.16      $8.25
   100   $0.13     $13.30
   250   $0.12     $31.25
   500   $0.12     $59.00
  4000   $0.08    $300.00
  8000   $0.07    $544.00</t>
        </r>
      </text>
    </comment>
    <comment ref="AO1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£0.10     £10.40
   200   £0.09     £18.80
   500   £0.07     £36.50</t>
        </r>
      </text>
    </comment>
    <comment ref="P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$0.07      $0.71
    50   $0.04      $1.93
   100   $0.03      $3.16
   500   $0.02     $11.27
  1000   $0.02     $17.71
  4000   $0.01     $59.24</t>
        </r>
      </text>
    </comment>
    <comment ref="AE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$0.04      $0.38
    50   $0.04      $1.90
   100   $0.03      $3.10
  1000   $0.02     $18.00
 10000   $0.01    $130.00</t>
        </r>
      </text>
    </comment>
    <comment ref="P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$0.04      $0.44
    50   $0.02      $1.21
   100   $0.02      $1.98
   500   $0.01      $7.06
  1000   $0.01     $11.10
  4000   $0.01     $37.16</t>
        </r>
      </text>
    </comment>
    <comment ref="U1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£0.03      £0.27
   100   £0.02      £1.63
   150   £0.02      £2.44
   500   £0.02      £7.50
  1000   £0.01     £11.50
  2000   £0.01     £21.80
  4000   £0.01     £32.00
 20000   £0.01    £156.00</t>
        </r>
      </text>
    </comment>
    <comment ref="AE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$0.06      $0.57
    50   $0.06      $2.85
   100   $0.02      $2.50
  1000   $0.02     $15.00
 10000   $0.01    $100.00</t>
        </r>
      </text>
    </comment>
    <comment ref="AJ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$0.05      $0.50
    25   $0.04      $1.03
    50   $0.03      $1.60
   100   $0.02      $2.30
  4000   $0.01     $40.00
  8000   $0.01     $72.00</t>
        </r>
      </text>
    </comment>
    <comment ref="AO1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4000   £0.02     £60.00
 12000   £0.01    £168.00</t>
        </r>
      </text>
    </comment>
    <comment ref="AT1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£0.01      £1.11
   300   £0.01      £2.34
  1000   £0.00      £4.80
  4000   £0.00     £11.88
 12000   £0.00     £34.44</t>
        </r>
      </text>
    </comment>
    <comment ref="P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$0.17      $0.17
    10   $0.12      $1.23
    50   $0.07      $3.48
   100   $0.06      $5.76
   500   $0.04     $20.20
  1000   $0.03     $33.45
  4000   $0.03    $113.92</t>
        </r>
      </text>
    </comment>
    <comment ref="S1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U1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4000   £0.02     £96.80
 20000   £0.02    £346.00</t>
        </r>
      </text>
    </comment>
    <comment ref="AE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$0.17      $0.17
    10   $0.12      $1.20
    50   $0.12      $6.00
   100   $0.06      $5.60
  1000   $0.03     $33.00
 10000   $0.02    $240.00</t>
        </r>
      </text>
    </comment>
    <comment ref="AH1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J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$0.04      $0.04
  4000   $0.03    $128.00
  8000   $0.03    $232.00
 16000   $0.02    $400.00
 24000   $0.02    $504.00</t>
        </r>
      </text>
    </comment>
    <comment ref="P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$0.21      $0.21
    10   $0.14      $1.41
    50   $0.08      $4.24
   100   $0.07      $7.17
   500   $0.05     $24.52
  1000   $0.04     $43.38
  3000   $0.04    $124.47</t>
        </r>
      </text>
    </comment>
    <comment ref="U1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£0.24      £0.24
    25   £0.12      £2.90
    50   £0.10      £4.78
   100   £0.08      £7.70
   250   £0.06     £16.12
   500   £0.05     £25.25</t>
        </r>
      </text>
    </comment>
    <comment ref="Z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20   $0.22      $4.33
   200   $0.17     $34.64
   600   $0.17     $99.16
  2000   $0.16    $314.64
 10000   $0.15  $1,537.90
 20000   $0.15  $3,040.80</t>
        </r>
      </text>
    </comment>
    <comment ref="AC1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E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$0.21      $0.21
    10   $0.14      $1.41
    50   $0.14      $7.05
   100   $0.07      $7.20
  1000   $0.04     $43.00
 10000   $0.04    $380.00</t>
        </r>
      </text>
    </comment>
    <comment ref="AJ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$0.04      $0.04
    25   $0.11      $2.65
    50   $0.10      $4.95
   100   $0.09      $9.00
   250   $0.08     $19.00
   500   $0.06     $30.50
  3000   $0.04    $120.00
  6000   $0.04    $228.00
 12000   $0.03    $396.00</t>
        </r>
      </text>
    </comment>
    <comment ref="AO1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50   £0.09      £4.45
   200   £0.08     £16.00
   500   £0.06     £31.00</t>
        </r>
      </text>
    </comment>
    <comment ref="N1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P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$0.19      $0.19
    10   $0.13      $1.27
    50   $0.08      $3.81
   100   $0.06      $6.44
   500   $0.04     $22.02
  1000   $0.04     $38.96
  4000   $0.03    $135.52</t>
        </r>
      </text>
    </comment>
    <comment ref="U1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£0.25      £0.25
    25   £0.11      £2.75
    50   £0.09      £4.60
   100   £0.07      £7.48
   250   £0.07     £16.48
   500   £0.05     £26.10</t>
        </r>
      </text>
    </comment>
    <comment ref="Z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20   $0.17      $3.37
   200   $0.13     $26.20
   600   $0.12     $74.48
  2000   $0.12    $234.52
 10000   $0.11  $1,142.00
 20000   $0.11  $2,254.00</t>
        </r>
      </text>
    </comment>
    <comment ref="AE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$0.19      $0.19
    10   $0.13      $1.32
    50   $0.13      $6.60
   100   $0.07      $6.70
  1000   $0.04     $40.00
 10000   $0.04    $350.00</t>
        </r>
      </text>
    </comment>
    <comment ref="AJ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$0.24      $0.24
    25   $0.16      $4.12
    50   $0.12      $6.25
   100   $0.08      $8.40
   250   $0.07     $17.75
   500   $0.06     $29.00
  4000   $0.04    $148.00
  8000   $0.04    $280.00</t>
        </r>
      </text>
    </comment>
    <comment ref="N1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P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$0.06      $0.64
    50   $0.03      $1.74
   100   $0.03      $2.84
   500   $0.02     $10.14
  1000   $0.02     $15.94
  4000   $0.01     $53.32</t>
        </r>
      </text>
    </comment>
    <comment ref="S1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U1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£0.13      £1.26
   100   £0.08      £8.30
   150   £0.08     £12.45
   500   £0.04     £20.00
  1000   £0.03     £34.10
  2000   £0.03     £56.40
  4000   £0.02     £87.20
 20000   £0.01    £260.00</t>
        </r>
      </text>
    </comment>
    <comment ref="AE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$0.06      $0.62
    50   $0.06      $3.10
   100   $0.03      $2.80
  1000   $0.02     $18.00
 10000   $0.01    $110.00</t>
        </r>
      </text>
    </comment>
    <comment ref="AH1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J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$0.04      $0.41
    25   $0.04      $0.88
    50   $0.03      $1.45
   100   $0.02      $2.30
  4000   $0.01     $56.00
  8000   $0.01    $104.00</t>
        </r>
      </text>
    </comment>
    <comment ref="N1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P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$0.20      $0.20
    10   $0.13      $1.34
    50   $0.08      $4.01
   100   $0.07      $6.77
   500   $0.05     $23.17
  1000   $0.04     $41.00
  3000   $0.04    $117.63</t>
        </r>
      </text>
    </comment>
    <comment ref="AE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$0.20      $0.20
    10   $0.13      $1.34
    50   $0.13      $6.70
   100   $0.07      $6.80
  1000   $0.04     $41.00
 10000   $0.03    $340.00</t>
        </r>
      </text>
    </comment>
    <comment ref="N1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P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$0.13      $0.13
    10   $0.10      $0.96
    50   $0.05      $2.71
   100   $0.04      $4.50
   500   $0.03     $15.77
  1000   $0.03     $26.11
  4000   $0.02     $88.92</t>
        </r>
      </text>
    </comment>
    <comment ref="S1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U1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£0.15      £0.15
    25   £0.08      £2.12
    50   £0.07      £3.32
   100   £0.05      £5.05
   250   £0.04     £10.02
   500   £0.03     £15.90</t>
        </r>
      </text>
    </comment>
    <comment ref="Z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$0.07      $3.73
   500   $0.05     $27.44
  1500   $0.05     $76.92
  5000   $0.05    $238.35
 25000   $0.05  $1,151.50
 50000   $0.05  $2,263.50</t>
        </r>
      </text>
    </comment>
    <comment ref="AE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$0.13      $0.13
    10   $0.10      $0.95
    50   $0.10      $4.75
   100   $0.04      $4.50
  1000   $0.03     $27.00
 10000   $0.02    $200.00</t>
        </r>
      </text>
    </comment>
    <comment ref="AH1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J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$0.16      $0.16
    25   $0.07      $1.72
    50   $0.06      $3.15
   100   $0.06      $5.60
   250   $0.05     $12.25
   500   $0.04     $20.00
  4000   $0.04    $148.00
  5000   $0.03    $160.00
 10000   $0.02    $250.00
 20000   $0.02    $380.00</t>
        </r>
      </text>
    </comment>
    <comment ref="P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$0.30
    50   $0.02      $0.81
   100   $0.01      $1.33
   500   $0.01      $4.75
  1000   $0.01      $7.46
  4000   $0.01     $24.96</t>
        </r>
      </text>
    </comment>
    <comment ref="AE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$0.17
    50   $0.02      $0.85
   100   $0.01      $1.40
  1000   $0.01      $8.00
 10000   $0.00     $50.00</t>
        </r>
      </text>
    </comment>
    <comment ref="P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$0.07      $0.70
    50   $0.04      $1.90
   100   $0.03      $3.10
   500   $0.02     $11.07
  1000   $0.02     $17.39
  4000   $0.01     $58.20</t>
        </r>
      </text>
    </comment>
    <comment ref="U2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£0.04      £0.42
   100   £0.03      £2.60
   150   £0.03      £3.90
   500   £0.02     £11.45
  1000   £0.02     £17.00
  2000   £0.02     £33.40
  4000   £0.01     £44.80
 20000   £0.01    £216.00</t>
        </r>
      </text>
    </comment>
    <comment ref="AE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$0.08      $0.84
    50   $0.08      $4.20
   100   $0.04      $3.90
  1000   $0.02     $23.00
 10000   $0.02    $170.00</t>
        </r>
      </text>
    </comment>
    <comment ref="AJ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$0.12      $0.12
    25   $0.04      $1.10
    50   $0.04      $1.75
   100   $0.03      $2.60
  4000   $0.01     $52.00
  8000   $0.01     $96.00</t>
        </r>
      </text>
    </comment>
    <comment ref="AO2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4000   £0.01     £52.00
 12000   £0.01    £144.00</t>
        </r>
      </text>
    </comment>
    <comment ref="AT2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£0.01      £1.40
   300   £0.01      £3.01
  1000   £0.01      £6.60
  4000   £0.00     £19.96
 12000   £0.00     £57.72</t>
        </r>
      </text>
    </comment>
    <comment ref="P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$0.55      $0.55
    10   $0.44      $4.45
   100   $0.30     $30.32
   500   $0.23    $113.72
  1000   $0.17    $170.58
  2000   $0.16    $312.90
 12000   $0.16  $1,877.40</t>
        </r>
      </text>
    </comment>
    <comment ref="U2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£0.50      £2.48
    10   £0.40      £3.97
   100   £0.24     £24.00
   150   £0.24     £36.00
   500   £0.12     £58.50</t>
        </r>
      </text>
    </comment>
    <comment ref="Z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$0.86      $0.86
    10   $0.65      $6.49
    30   $0.61     $18.28
   100   $0.57     $57.00
   500   $0.55    $276.25
  1000   $0.54    $543.90</t>
        </r>
      </text>
    </comment>
    <comment ref="AE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$0.56      $0.56
    10   $0.46      $4.62
    50   $0.46     $23.10
   100   $0.32     $31.50
  1000   $0.18    $177.00
 10000   $0.15  $1,530.00</t>
        </r>
      </text>
    </comment>
    <comment ref="AJ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$0.47      $0.47
     5   $0.47      $2.35
    50   $0.32     $16.15
   100   $0.20     $19.70
   250   $0.19     $47.75
   500   $0.19     $93.00
  1000   $0.14    $140.00
 12000   $0.13  $1,596.00
 24000   $0.12  $2,976.00
 36000   $0.13  $4,644.00
 96000   $0.11 $10,944.00</t>
        </r>
      </text>
    </comment>
    <comment ref="AO2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25   £0.28      £7.07
   125   £0.15     £19.12</t>
        </r>
      </text>
    </comment>
    <comment ref="P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$0.15      $0.15
    50   $0.14      $7.05
   100   $0.13     $12.80
   500   $0.12     $59.50
  1000   $0.10    $100.00
  3000   $0.08    $234.00</t>
        </r>
      </text>
    </comment>
    <comment ref="S2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U2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£0.36      £1.78
    10   £0.36      £3.55
    50   £0.20     £10.05
   250   £0.15     £37.75
   500   £0.13     £64.50</t>
        </r>
      </text>
    </comment>
    <comment ref="AE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$0.16      $0.16
    10   $0.16      $1.60
    50   $0.15      $7.30
   100   $0.13     $13.20
  1000   $0.10    $104.00
 10000   $0.08    $810.00</t>
        </r>
      </text>
    </comment>
    <comment ref="AH2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J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$0.20      $1.00
    10   $0.19      $1.94
    25   $0.19      $4.72
    50   $0.18      $9.15
   100   $0.16     $16.50</t>
        </r>
      </text>
    </comment>
    <comment ref="P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$0.31      $0.31
    10   $0.24      $2.41
    25   $0.20      $4.98
    50   $0.17      $8.59
   100   $0.15     $15.47
   250   $0.13     $32.66
   500   $0.12     $58.44
  1000   $0.10     $99.69
  3000   $0.10    $288.75
  6000   $0.09    $556.86
  9000   $0.09    $795.06
 15000   $0.09  $1,289.10</t>
        </r>
      </text>
    </comment>
    <comment ref="S2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U2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3000   £0.07    £214.50
 15000   £0.06    £961.50</t>
        </r>
      </text>
    </comment>
    <comment ref="Z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$0.73      $3.63
    50   $0.57     $28.30
   150   $0.54     $80.50
   500   $0.51    $253.64
  2500   $0.49  $1,235.58
  5000   $0.49  $2,438.90</t>
        </r>
      </text>
    </comment>
    <comment ref="AE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$0.28      $0.28
    10   $0.18      $1.79
    50   $0.18      $8.95
   100   $0.15     $15.10
  1000   $0.12    $123.00
 10000   $0.08    $850.00</t>
        </r>
      </text>
    </comment>
    <comment ref="AO2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25   £0.17      £4.35
    50   £0.15      £7.40
   100   £0.13     £13.10
   500   £0.11     £56.50
  2000   £0.10    £208.00</t>
        </r>
      </text>
    </comment>
    <comment ref="AT2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£0.21      £2.12
   100   £0.12     £11.57
  1000   £0.08     £81.70
  3000   £0.06    £193.20
  9000   £0.06    £563.40</t>
        </r>
      </text>
    </comment>
    <comment ref="N2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P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$20.70     $20.70
    10  $19.09    $190.94
    25  $18.24    $455.91
   100  $17.71  $1,771.00
  1000  $17.71 $17,710.00</t>
        </r>
      </text>
    </comment>
    <comment ref="AC2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E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$22.77     $22.77
    10  $21.00    $210.00
    50  $20.06  $1,003.00
   100  $17.94  $1,794.00
  1000  $17.12 $17,120.00
 10000  $17.12 $171,200.00</t>
        </r>
      </text>
    </comment>
    <comment ref="N2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P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$2.27      $2.27
    10   $2.04     $20.39
    25   $1.92     $48.10
   100   $1.64    $163.92
   250   $1.54    $384.78
   500   $1.35    $673.36
  1000   $1.27  $1,270.50
  2500   $1.27  $3,176.25</t>
        </r>
      </text>
    </comment>
    <comment ref="S2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U2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£2.14      £2.14
    10   £1.60     £16.00
    50   £1.46     £73.00
   100   £1.32    £132.00
   250   £1.19    £297.50</t>
        </r>
      </text>
    </comment>
    <comment ref="AC2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E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$2.26      $2.26
    10   $2.04     $20.40
    50   $1.93     $96.50
   100   $1.64    $164.00
  1000   $1.12  $1,120.00
 10000   $1.11 $11,100.00</t>
        </r>
      </text>
    </comment>
    <comment ref="AH2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J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$3.69      $3.69
    10   $3.44     $34.40
    25   $3.24     $81.00
    50   $3.04    $152.00
   100   $2.84    $284.00
   250   $2.62    $655.00</t>
        </r>
      </text>
    </comment>
    <comment ref="P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$1.19      $1.19
    10   $1.01     $10.06
    25   $0.97     $24.13
    50   $0.94     $47.23
   100   $0.90     $90.34
   400   $0.82    $328.52
   800   $0.72    $574.92
  1200   $0.66    $788.46
  2000   $0.62  $1,231.96
  2800   $0.60  $1,667.26
 10000   $0.55  $5,475.40</t>
        </r>
      </text>
    </comment>
    <comment ref="U2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£0.65      £0.65
    10   £0.62      £6.19
   100   £0.59     £58.90
   500   £0.54    £267.50
  1000   £0.48    £481.00
  2500   £0.43  £1,067.50</t>
        </r>
      </text>
    </comment>
    <comment ref="AE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$1.14      $1.14
    10   $0.90      $9.00
    50   $0.90     $45.00
   100   $0.78     $78.30
  1000   $0.63    $626.00
 10000   $0.56  $5,590.00</t>
        </r>
      </text>
    </comment>
    <comment ref="AJ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$1.39      $1.39
    10   $1.28     $12.80
    25   $1.16     $29.00
    50   $1.03     $51.50
   100   $0.99     $99.20
   250   $0.96    $241.00
   400   $0.77    $306.80
   800   $0.75    $598.40
  1600   $0.73  $1,168.00
  2400   $0.71  $1,711.20
  4000   $0.70  $2,788.00</t>
        </r>
      </text>
    </comment>
    <comment ref="AO2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1 £1,421.80  £1,421.80
    10   £0.72      £7.15
    50   £0.69     £34.65
   100   £0.66     £66.50
   250   £0.63    £157.50</t>
        </r>
      </text>
    </comment>
    <comment ref="P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$1.81      $1.81
    10   $1.55     $15.46
    80   $1.28    $102.14
  3200   $0.94  $3,010.56
  6400   $0.90  $5,734.40</t>
        </r>
      </text>
    </comment>
    <comment ref="AE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$1.73      $1.73
    10   $1.48     $14.80
    50   $1.48     $74.00
   100   $1.21    $121.00
  1000   $0.96    $959.00
 10000   $0.85  $8,510.00</t>
        </r>
      </text>
    </comment>
    <comment ref="AH2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J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$1.69      $1.69
    10   $1.56     $15.60
    32   $1.56     $49.92</t>
        </r>
      </text>
    </comment>
    <comment ref="P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$1.43      $1.43
    18   $1.21     $21.76
    90   $1.09     $97.71
   450   $0.89    $399.74
   954   $0.79    $753.28
  4914   $0.69  $3,395.08
  9810   $0.66  $6,454.98</t>
        </r>
      </text>
    </comment>
    <comment ref="AE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$1.37      $1.37
    10   $1.10     $11.00
    50   $1.10     $55.00
   100   $1.03    $103.00
  1000   $0.75    $752.00
 10000   $0.62  $6,250.00</t>
        </r>
      </text>
    </comment>
    <comment ref="AO2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£1.00      £9.98
   200   £0.86    £171.60
   750   £0.71    £531.75
  3000   £0.57  £1,704.00
  6000   £0.55  £3,300.00</t>
        </r>
      </text>
    </comment>
    <comment ref="AT2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£0.92      £0.92
    18   £0.82     £14.76
    54   £0.71     £38.34
   216   £0.59    £127.44</t>
        </r>
      </text>
    </comment>
    <comment ref="P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$0.75      $0.75
    10   $0.71      $7.06
    25   $0.64     $15.88
    50   $0.56     $28.24
   100   $0.54     $54.13
   250   $0.49    $123.55
   500   $0.47    $235.33
  1000   $0.39    $388.29
  2500   $0.35    $882.50</t>
        </r>
      </text>
    </comment>
    <comment ref="AE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$0.74      $0.74
    10   $0.56      $5.59
    50   $0.56     $27.95
   100   $0.49     $48.90
  1000   $0.38    $384.00
 10000   $0.33  $3,330.00</t>
        </r>
      </text>
    </comment>
    <comment ref="P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$1.54      $1.54
    10   $1.32     $13.16
    80   $1.09     $86.97
  3180   $0.80  $2,547.18
  6360   $0.76  $4,851.79</t>
        </r>
      </text>
    </comment>
    <comment ref="AE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$1.47      $1.47
    10   $1.26     $12.60
    50   $1.26     $63.00
   100   $1.04    $104.00
  1000   $0.82    $818.00
 10000   $0.71  $7,080.00</t>
        </r>
      </text>
    </comment>
    <comment ref="AH3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J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3180   $0.87  $2,772.96</t>
        </r>
      </text>
    </comment>
    <comment ref="P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$3.32      $3.32
    10   $2.53     $25.29
    25   $2.37     $59.23
    50   $2.11    $105.29
   100   $2.06    $206.01
   250   $1.90    $474.97
   500   $1.72    $858.38
  1000   $1.53  $1,526.00</t>
        </r>
      </text>
    </comment>
    <comment ref="N3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P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$3.74      $3.74
    10   $3.29     $32.90
   240   $2.62    $628.03
  2400   $2.02  $4,844.78</t>
        </r>
      </text>
    </comment>
    <comment ref="U3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£2.90      £2.90
    10   £2.59     £25.90
   100   £2.54    £254.00
   250   £2.49    £622.50
   500   £2.43  £1,215.00
  1000   £2.38  £2,380.00</t>
        </r>
      </text>
    </comment>
    <comment ref="Z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$16.37     $16.37
    10  $12.37    $123.70
    30  $11.64    $349.20
   100  $10.91  $1,091.00
   500  $10.58  $5,290.00
  1000  $10.42 $10,420.00</t>
        </r>
      </text>
    </comment>
    <comment ref="AC3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E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$3.70      $3.70
    10   $3.25     $32.50
    50   $3.25    $162.50
   100   $2.59    $259.00
  1000   $2.14  $2,140.00
 10000   $1.99 $19,900.00</t>
        </r>
      </text>
    </comment>
    <comment ref="AH3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J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$3.77      $3.77
    10   $3.32     $33.20
    25   $3.09     $77.25
    50   $2.87    $143.50
   100   $2.64    $264.00
   250   $2.60    $650.00</t>
        </r>
      </text>
    </comment>
    <comment ref="AO3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£3.40      £3.40
    15   £2.89     £43.35
    50   £2.75    £137.50
   100   £2.56    £256.00
   250   £2.37    £592.50</t>
        </r>
      </text>
    </comment>
    <comment ref="AT3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£3.53      £3.53
    20   £2.89     £57.80
    40   £2.11     £84.40
   120   £1.61    £193.20</t>
        </r>
      </text>
    </comment>
    <comment ref="N3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P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$0.50      $0.50</t>
        </r>
      </text>
    </comment>
    <comment ref="AE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$0.50      $0.50
    10   $0.50      $5.00
    50   $0.50     $25.00
   100   $0.50     $50.00
  1000   $0.50    $500.00
 10000   $0.50  $5,000.00</t>
        </r>
      </text>
    </comment>
    <comment ref="P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$1.61      $1.61
    10   $1.37     $13.71
    80   $1.13     $90.58
   945   $0.89    $844.69
  4900   $0.79  $3,883.50
  9800   $0.77  $7,591.77</t>
        </r>
      </text>
    </comment>
    <comment ref="U3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£1.15      £1.15
    10   £0.98      £9.81
    50   £0.90     £44.75
   100   £0.81     £80.80
   500   £0.77    £385.00
  1000   £0.67    £673.00</t>
        </r>
      </text>
    </comment>
    <comment ref="AE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$1.73      $1.73
    10   $1.48     $14.80
    50   $1.48     $74.00
   100   $1.21    $121.00
  1000   $0.96    $962.00
 10000   $0.85  $8,530.00</t>
        </r>
      </text>
    </comment>
    <comment ref="AJ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$1.64      $1.64
    10   $1.41     $14.10
    25   $1.32     $33.00
    50   $1.24     $62.00
   100   $1.15    $115.00
   250   $1.13    $282.50</t>
        </r>
      </text>
    </comment>
    <comment ref="AO3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36   £0.84     £30.17
    72   £0.73     £52.63</t>
        </r>
      </text>
    </comment>
    <comment ref="P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$0.92      $0.92
    10   $0.80      $8.05
    25   $0.75     $18.68
    50   $0.63     $31.61
   100   $0.57     $57.48
   250   $0.54    $135.07
   800   $0.41    $331.06</t>
        </r>
      </text>
    </comment>
    <comment ref="U3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£0.73      £0.73
    10   £0.53      £5.31
    50   £0.36     £17.80
   200   £0.33     £66.40
   400   £0.30    £120.00
   800   £0.27    £218.40
  4000   £0.26  £1,040.00</t>
        </r>
      </text>
    </comment>
    <comment ref="AE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$0.92      $0.92
    10   $0.65      $6.54
    50   $0.65     $32.70
   100   $0.58     $57.50
  1000   $0.41    $414.00
 10000   $0.41  $4,140.00</t>
        </r>
      </text>
    </comment>
    <comment ref="AJ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$0.25      $0.25
    10   $0.25      $2.46
    25   $0.25      $6.15
    50   $0.25     $12.30
   100   $0.25     $24.60
   250   $0.25     $61.50
   800   $0.35    $281.60
  5000   $0.36  $1,810.00
 10000   $0.34  $3,370.00
 20000   $0.32  $6,360.00
 30000   $0.30  $8,970.00
 50000   $0.29 $14,400.00</t>
        </r>
      </text>
    </comment>
    <comment ref="P3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$0.33      $0.33
    10   $0.29      $2.92
    25   $0.26      $6.38
    50   $0.22     $10.94
   100   $0.20     $20.06
   250   $0.18     $45.58
   800   $0.15    $122.52</t>
        </r>
      </text>
    </comment>
    <comment ref="U3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£0.38      £0.38
    10   £0.24      £2.40
    25   £0.22      £5.40
    50   £0.18      £9.15
   100   £0.16     £16.50</t>
        </r>
      </text>
    </comment>
    <comment ref="Z3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$1.10      $1.10
    10   $0.83      $8.26
    30   $0.78     $23.28
   100   $0.73     $72.61
   500   $0.70    $351.95
  1000   $0.69    $693.00</t>
        </r>
      </text>
    </comment>
    <comment ref="AE3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$0.33      $0.33
    10   $0.25      $2.51
    50   $0.25     $12.55
   100   $0.20     $19.90
  1000   $0.14    $139.00
 10000   $0.12  $1,250.00</t>
        </r>
      </text>
    </comment>
    <comment ref="AJ3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$0.34      $0.34
    10   $0.27      $2.66
    25   $0.24      $6.10
    50   $0.22     $11.05
   100   $0.20     $19.90
   800   $0.12     $92.80
  1600   $0.11    $180.80
  3200   $0.11    $348.80
  4800   $0.11    $508.80
  8000   $0.10    $824.00</t>
        </r>
      </text>
    </comment>
    <comment ref="P3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$0.92      $0.92
    10   $0.80      $8.05
    25   $0.75     $18.68
    50   $0.63     $31.61
   100   $0.57     $57.48
   250   $0.54    $135.07
   500   $0.48    $241.40</t>
        </r>
      </text>
    </comment>
    <comment ref="AE3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$0.90      $0.90
    10   $0.63      $6.33
    50   $0.63     $31.65
   100   $0.57     $56.90
  1000   $0.37    $373.00
 10000   $0.37  $3,730.00</t>
        </r>
      </text>
    </comment>
    <comment ref="AH3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J3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500   $0.34    $171.50
  1000   $0.32    $319.00
  2000   $0.31    $624.00
  3000   $0.30    $912.00
  5000   $0.29  $1,470.00</t>
        </r>
      </text>
    </comment>
    <comment ref="P3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$8.44      $8.44
    60   $7.04    $422.10
   120   $6.68    $801.99
   480   $5.63  $2,701.44
   960   $4.92  $4,727.52</t>
        </r>
      </text>
    </comment>
    <comment ref="S3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U3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£9.20      £9.20
     5   £7.92     £39.60
    10   £7.33     £73.30
    25   £6.82    £170.50
    50   £6.18    £309.00</t>
        </r>
      </text>
    </comment>
    <comment ref="AE3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$8.04      $8.04
    10   $7.71     $77.10
    50   $7.71    $385.50
   100   $6.36    $636.00
  1000   $4.68  $4,680.00
 10000   $4.68 $46,800.00</t>
        </r>
      </text>
    </comment>
    <comment ref="AH3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J3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60   $7.71    $462.60
   100   $6.37    $637.00
   500   $5.36  $2,680.00
  1000   $4.69  $4,690.00
  2500   $4.46 $11,150.00</t>
        </r>
      </text>
    </comment>
    <comment ref="AO3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60   £6.06    £363.36</t>
        </r>
      </text>
    </comment>
    <comment ref="N4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P4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$0.20      $0.20
    10   $0.18      $1.81
    25   $0.17      $4.31
   100   $0.10      $9.85
   500   $0.06     $30.32
  1000   $0.04     $41.34
  3000   $0.04    $105.42
  6000   $0.03    $190.14
 15000   $0.03    $413.40
 30000   $0.02    $744.00
 75000   $0.02  $1,653.75</t>
        </r>
      </text>
    </comment>
    <comment ref="U4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£0.24      £1.17
    10   £0.22      £2.25
   100   £0.11     £11.40
   150   £0.11     £17.10
   500   £0.07     £33.10</t>
        </r>
      </text>
    </comment>
    <comment ref="Z4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20   $0.13      $2.57
   200   $0.10     $19.70
   600   $0.09     $55.78
  2000   $0.09    $174.92
 10000   $0.09    $850.10
 20000   $0.08  $1,676.00</t>
        </r>
      </text>
    </comment>
    <comment ref="AE4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$0.20      $0.20
    10   $0.19      $1.92
    50   $0.19      $9.60
   100   $0.10     $10.40
  1000   $0.04     $44.00
 10000   $0.03    $290.00</t>
        </r>
      </text>
    </comment>
    <comment ref="AJ4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$0.01      $0.01
    10   $0.01      $0.10
    25   $0.01      $0.25
    50   $0.01      $0.50
   100   $0.01      $1.00
   250   $0.01      $2.50
   500   $0.01      $5.00
  1000   $0.01     $10.00
  3000   $0.01     $42.00
  6000   $0.01     $78.00
 12000   $0.01    $156.00
 18000   $0.01    $216.00
 30000   $0.01    $360.00</t>
        </r>
      </text>
    </comment>
    <comment ref="AO4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£0.08      £8.40
   500   £0.08     £39.50
  1000   £0.06     £63.00
  2000   £0.06    £120.00
  4000   £0.04    £168.00</t>
        </r>
      </text>
    </comment>
    <comment ref="AT4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20   £0.03      £0.63
   100   £0.01      £1.49
   500   £0.01      £6.59
  3000   £0.01     £34.08
 12000   £0.01    £122.16</t>
        </r>
      </text>
    </comment>
    <comment ref="P4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U4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£0.03      £0.25
   100   £0.01      £0.90
   150   £0.01      £1.35
   500   £0.01      £3.75
  1000   £0.01      £6.00
  2500   £0.01     £13.25
  5000   £0.00     £17.50
 25000   £0.00     £87.50</t>
        </r>
      </text>
    </comment>
    <comment ref="AE4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 50   $0.02      $1.20
   100   $0.01      $1.00
  1000   $0.00      $5.00
 10000   $0.00     $30.00</t>
        </r>
      </text>
    </comment>
    <comment ref="AJ4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$0.00      $0.00
    10   $0.02      $0.22
    25   $0.02      $0.43
    50   $0.01      $0.60
   100   $0.01      $0.70
  5000   $0.00     $20.00</t>
        </r>
      </text>
    </comment>
    <comment ref="AO4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£0.00      £0.50
   500   £0.00      £2.50
  1000   £0.00      £4.00
  2000   £0.00      £8.00</t>
        </r>
      </text>
    </comment>
    <comment ref="AR4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T4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£0.03      £2.67
  1000   £0.01      £9.61
  5000   £0.00     £19.45
 15000   £0.00     £49.20</t>
        </r>
      </text>
    </comment>
    <comment ref="P4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U4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£0.15
   100   £0.01      £1.40
   150   £0.01      £2.10
   500   £0.01      £5.45
  1000   £0.01      £8.80
  2500   £0.01     £18.00
  5000   £0.01     £30.50
 25000   £0.00    £102.50</t>
        </r>
      </text>
    </comment>
    <comment ref="AC4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E4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 50   $0.02      $1.20
   100   $0.01      $1.00
  1000   $0.00      $4.00
 10000   $0.00     $30.00</t>
        </r>
      </text>
    </comment>
    <comment ref="AJ4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$0.19
    25   $0.02      $0.38
    50   $0.01      $0.55
   100   $0.01      $0.70</t>
        </r>
      </text>
    </comment>
    <comment ref="AO4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5000   £0.00     £25.00</t>
        </r>
      </text>
    </comment>
    <comment ref="AR4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T4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£0.03      £2.67
  1000   £0.01      £9.61
  5000   £0.00     £19.45
 15000   £0.00     £49.20</t>
        </r>
      </text>
    </comment>
    <comment ref="P4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AC4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E4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 50   $0.02      $1.20
   100   $0.01      $1.00
  1000   $0.00      $4.00
 10000   $0.00     $20.00</t>
        </r>
      </text>
    </comment>
    <comment ref="P4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AE4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$0.18
    50   $0.02      $0.90
   100   $0.01      $0.60
  1000   $0.00      $5.00
 10000   $0.00     $30.00</t>
        </r>
      </text>
    </comment>
    <comment ref="N4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P4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AE4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$0.18
    50   $0.02      $0.90
   100   $0.01      $0.60
  1000   $0.00      $5.00
 10000   $0.00     $30.00</t>
        </r>
      </text>
    </comment>
    <comment ref="AR4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T4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5000   £0.00     £14.40</t>
        </r>
      </text>
    </comment>
    <comment ref="P4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$0.04      $0.36
   100   $0.01      $1.45
  1000   $0.01      $6.52
  2500   $0.01     $14.15
  5000   $0.00     $23.40</t>
        </r>
      </text>
    </comment>
    <comment ref="AE4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$0.04      $0.36
    50   $0.04      $1.80
   100   $0.02      $1.50
  1000   $0.01      $7.00
 10000   $0.00     $40.00</t>
        </r>
      </text>
    </comment>
    <comment ref="AH4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J4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$0.00      $0.00
 60000   $0.00    $240.00</t>
        </r>
      </text>
    </comment>
    <comment ref="P4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$0.04      $0.36
   100   $0.01      $1.45
  1000   $0.01      $6.52
  2500   $0.01     $14.15
  5000   $0.00     $23.40</t>
        </r>
      </text>
    </comment>
    <comment ref="AE4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$0.12      $0.12
    10   $0.05      $0.54
    50   $0.05      $2.70
   100   $0.03      $3.00
  1000   $0.01      $9.00
 10000   $0.00     $40.00</t>
        </r>
      </text>
    </comment>
    <comment ref="N4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P4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U4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£0.01      £0.01
    10   £0.02      £0.22
   100   £0.01      £0.78
   150   £0.01      £1.17
   500   £0.01      £3.25
  1000   £0.01      £5.20
  2500   £0.00     £11.50
  5000   £0.00     £20.50
 25000   £0.00     £72.50</t>
        </r>
      </text>
    </comment>
    <comment ref="AE4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 50   $0.02      $1.20
   100   $0.01      $1.00
  1000   $0.00      $4.00
 10000   $0.00     $20.00</t>
        </r>
      </text>
    </comment>
    <comment ref="AH4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J4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$0.00      $0.00
    10   $0.01      $0.07
   250   $0.01      $1.50
   500   $0.00      $2.50
  1000   $0.00      $5.00
  5000   $0.00     $10.00</t>
        </r>
      </text>
    </comment>
    <comment ref="AO4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5000   £0.00     £15.00</t>
        </r>
      </text>
    </comment>
    <comment ref="AT4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£0.03      £2.78
  1000   £0.01      £9.85
  5000   £0.00     £19.55
 15000   £0.00     £48.15
 50000   £0.00    £136.50</t>
        </r>
      </text>
    </comment>
    <comment ref="P4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U4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£0.01      £0.14
   100   £0.01      £0.77
   150   £0.01      £1.16
   500   £0.01      £3.20
  1000   £0.01      £5.40
  2500   £0.00     £12.00
  5000   £0.00     £21.50
 25000   £0.00     £75.00</t>
        </r>
      </text>
    </comment>
    <comment ref="AE4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$0.01      $0.12
    50   $0.01      $0.60
   100   $0.00      $0.40
  1000   $0.00      $3.00
 10000   $0.00     $20.00</t>
        </r>
      </text>
    </comment>
    <comment ref="AH4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J4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$0.00      $0.00
    10   $0.01      $0.07
   250   $0.01      $1.50
   500   $0.00      $2.50
  1000   $0.00      $5.00
  5000   $0.00     $15.00</t>
        </r>
      </text>
    </comment>
    <comment ref="AT4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£0.03      £2.78
  1000   £0.01      £9.85
  5000   £0.00     £19.55
 15000   £0.00     £48.15
 50000   £0.00    £136.50</t>
        </r>
      </text>
    </comment>
    <comment ref="N5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P5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$0.66      $0.66
    10   $0.49      $4.89
   100   $0.28     $28.46
  1000   $0.16    $159.62
  2000   $0.16    $312.80</t>
        </r>
      </text>
    </comment>
    <comment ref="AC5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E5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$0.57      $0.57
    10   $0.42      $4.20
    50   $0.42     $20.75
   100   $0.33     $32.80
  1000   $0.17    $167.00
 10000   $0.15  $1,500.00</t>
        </r>
      </text>
    </comment>
    <comment ref="P5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U5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£0.22
   100   £0.01      £0.78
   150   £0.01      £1.17
   500   £0.01      £3.30
  1000   £0.01      £5.40
  2500   £0.00     £12.00
  5000   £0.01     £29.50
 25000   £0.00     £77.50</t>
        </r>
      </text>
    </comment>
    <comment ref="AE5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$0.18
    50   $0.02      $0.90
   100   $0.01      $0.60
  1000   $0.00      $5.00
 10000   $0.00     $30.00</t>
        </r>
      </text>
    </comment>
    <comment ref="AJ5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$0.04      $0.39
    25   $0.03      $0.65
    50   $0.02      $0.90
   100   $0.01      $1.40
   250   $0.01      $2.75
  5000   $0.00     $15.00</t>
        </r>
      </text>
    </comment>
    <comment ref="AO5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5000   £0.00     £15.00</t>
        </r>
      </text>
    </comment>
    <comment ref="AT5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£0.03      £2.78
  1000   £0.01      £9.85
  5000   £0.00     £19.55
 15000   £0.00     £48.15
 50000   £0.00    £136.50</t>
        </r>
      </text>
    </comment>
    <comment ref="P5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U5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£0.21
   100   £0.01      £0.75
   150   £0.01      £1.12
   500   £0.01      £3.15
  1000   £0.01      £5.10
  2500   £0.00     £11.25
  5000   £0.01     £36.50
 25000   £0.00     £77.50</t>
        </r>
      </text>
    </comment>
    <comment ref="AC5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E5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 50   $0.02      $1.20
   100   $0.01      $1.00
  1000   $0.00      $4.00
 10000   $0.00     $20.00</t>
        </r>
      </text>
    </comment>
    <comment ref="AJ5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$0.00      $0.00
    25   $0.02      $0.45
    50   $0.01      $0.65
   100   $0.01      $0.70
  5000   $0.00     $10.00</t>
        </r>
      </text>
    </comment>
    <comment ref="AO5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£0.01      £0.70
  1000   £0.01      £7.00
  2500   £0.01     £15.00
  5000   £0.00     £15.00
 10000   £0.00     £50.00</t>
        </r>
      </text>
    </comment>
    <comment ref="AR5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T5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£0.01      £0.96
  1000   £0.00      £2.13
  5000   £0.00      £4.75
 15000   £0.00     £13.35
 50000   £0.00     £43.00</t>
        </r>
      </text>
    </comment>
    <comment ref="P5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U5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£0.21
   100   £0.01      £0.75
   150   £0.01      £1.12
   500   £0.01      £3.15
  1000   £0.01      £5.10
  2500   £0.00     £11.25
  5000   £0.01     £36.50
 25000   £0.00     £77.50</t>
        </r>
      </text>
    </comment>
    <comment ref="AC5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E5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 50   $0.02      $1.20
   100   $0.01      $1.00
  1000   $0.00      $4.00
 10000   $0.00     $20.00</t>
        </r>
      </text>
    </comment>
    <comment ref="AJ5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$0.00      $0.00
    25   $0.02      $0.45
    50   $0.01      $0.65
   100   $0.01      $0.70
  5000   $0.00     $10.00</t>
        </r>
      </text>
    </comment>
    <comment ref="AO5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£0.01      £0.70
  1000   £0.01      £7.00
  2500   £0.01     £15.00
  5000   £0.00     £15.00
 10000   £0.00     £50.00</t>
        </r>
      </text>
    </comment>
    <comment ref="AR5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T5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£0.01      £0.96
  1000   £0.00      £2.13
  5000   £0.00      £4.75
 15000   £0.00     £13.35
 50000   £0.00     £43.00</t>
        </r>
      </text>
    </comment>
    <comment ref="P5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AC5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E5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 50   $0.02      $1.20
   100   $0.01      $1.00
  1000   $0.00      $4.00
 10000   $0.00     $20.00</t>
        </r>
      </text>
    </comment>
    <comment ref="P5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U5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£0.22
   100   £0.01      £0.96
   150   £0.01      £1.44
   500   £0.01      £3.95
  1000   £0.01      £6.70
  2500   £0.01     £14.75
  5000   £0.01     £26.50</t>
        </r>
      </text>
    </comment>
    <comment ref="AE5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 50   $0.02      $1.20
   100   $0.01      $1.00
  1000   $0.00      $4.00
 10000   $0.00     $30.00</t>
        </r>
      </text>
    </comment>
    <comment ref="AJ5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25   $0.02      $0.45
    50   $0.01      $0.60
   100   $0.01      $0.60
  5000   $0.01     $30.00
 10000   $0.01     $80.00</t>
        </r>
      </text>
    </comment>
    <comment ref="AO5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£0.01      £0.60
  1000   £0.00      £5.00
  2500   £0.00     £12.50
  5000   £0.00     £25.00
 10000   £0.00     £40.00</t>
        </r>
      </text>
    </comment>
    <comment ref="AR5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T5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£0.01      £1.09
  1000   £0.00      £2.37
  5000   £0.00      £4.80
 15000   £0.00     £13.50
 50000   £0.00     £43.00</t>
        </r>
      </text>
    </comment>
    <comment ref="P5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AE5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 50   $0.02      $1.20
   100   $0.01      $1.00
  1000   $0.00      $4.00
 10000   $0.00     $20.00</t>
        </r>
      </text>
    </comment>
    <comment ref="P5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U5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£0.19
   100   £0.01      £0.67
   150   £0.01      £1.01
   500   £0.01      £2.80
  1000   £0.00      £4.40
  2500   £0.00      £9.75
  5000   £0.01     £29.50
 25000   £0.00     £60.00</t>
        </r>
      </text>
    </comment>
    <comment ref="AE5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 50   $0.02      $1.20
   100   $0.01      $1.00
  1000   $0.00      $4.00
 10000   $0.00     $20.00</t>
        </r>
      </text>
    </comment>
    <comment ref="AJ5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$0.00      $0.00
    25   $0.02      $0.45
    50   $0.01      $0.65
   100   $0.01      $0.70
  5000   $0.00     $10.00</t>
        </r>
      </text>
    </comment>
    <comment ref="AT5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£0.03      £2.80
  1000   £0.01      £9.92
  5000   £0.00     £19.70
 15000   £0.00     £48.45
 50000   £0.00    £137.50</t>
        </r>
      </text>
    </comment>
    <comment ref="P5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U5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£0.03      £0.25
   100   £0.01      £0.90
   150   £0.01      £1.35
   500   £0.01      £3.70
  1000   £0.01      £5.80
  2500   £0.01     £12.75
  5000   £0.00     £17.50
 25000   £0.00     £87.50</t>
        </r>
      </text>
    </comment>
    <comment ref="AE5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 50   $0.02      $1.20
   100   $0.01      $1.00
  1000   $0.00      $4.00
 10000   $0.00     $30.00</t>
        </r>
      </text>
    </comment>
    <comment ref="AJ5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$0.12      $0.12
    10   $0.02      $0.22
    25   $0.02      $0.43
    50   $0.01      $0.60
   100   $0.01      $0.70
  5000   $0.00     $20.00</t>
        </r>
      </text>
    </comment>
    <comment ref="AO5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£0.01      £0.60
  1000   £0.00      £5.00
  2500   £0.00     £12.50
  5000   £0.00     £25.00
 10000   £0.00     £40.00</t>
        </r>
      </text>
    </comment>
    <comment ref="AR5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P5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U5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£0.04      £0.38
   100   £0.01      £1.17
   150   £0.01      £1.76
   500   £0.01      £4.75
  1000   £0.01      £7.10
  2500   £0.01     £15.75
  5000   £0.01     £31.00</t>
        </r>
      </text>
    </comment>
    <comment ref="AE5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$0.21
    50   $0.02      $1.05
   100   $0.01      $0.70
  1000   $0.00      $4.00
 10000   $0.00     $20.00</t>
        </r>
      </text>
    </comment>
    <comment ref="AJ5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$0.01      $0.01
    25   $0.02      $0.52
    50   $0.01      $0.70
   100   $0.01      $0.70
  5000   $0.01     $30.00
 10000   $0.00     $40.00</t>
        </r>
      </text>
    </comment>
    <comment ref="AO5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£0.00      £0.50
   500   £0.00      £2.50
  1000   £0.00      £4.00
  2000   £0.00      £8.00
  5000   £0.00     £15.00
 10000   £0.00     £30.00
 15000   £0.00     £45.00
 20000   £0.00     £40.00</t>
        </r>
      </text>
    </comment>
    <comment ref="AR5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T5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£0.01      £1.09
  1000   £0.00      £2.38
  5000   £0.00      £4.85
 15000   £0.00     £13.35
 50000   £0.00     £43.00</t>
        </r>
      </text>
    </comment>
    <comment ref="P6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U6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£0.03      £0.32
   100   £0.01      £0.99
   150   £0.01      £1.48
   500   £0.01      £4.05
  1000   £0.01      £6.20
  2500   £0.01     £13.75
  5000   £0.01     £27.00</t>
        </r>
      </text>
    </comment>
    <comment ref="AE6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$0.21
    50   $0.02      $1.05
   100   $0.01      $0.70
  1000   $0.00      $4.00
 10000   $0.00     $20.00</t>
        </r>
      </text>
    </comment>
    <comment ref="AJ6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$0.01      $0.01
    25   $0.02      $0.52
    50   $0.01      $0.70
   100   $0.01      $0.70
  5000   $0.01     $30.00
 10000   $0.00     $40.00</t>
        </r>
      </text>
    </comment>
    <comment ref="AO6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£0.00      £0.50
   500   £0.00      £2.50
  1000   £0.00      £4.00
  2000   £0.00      £8.00
  5000   £0.00     £15.00
 10000   £0.00     £30.00
 15000   £0.00     £45.00
 20000   £0.00     £40.00</t>
        </r>
      </text>
    </comment>
    <comment ref="AR6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T6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£0.01      £1.09
  1000   £0.00      £2.38
  5000   £0.00      £4.85
 15000   £0.00     £13.35
 50000   £0.00     £43.00</t>
        </r>
      </text>
    </comment>
    <comment ref="N6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P6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U6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£0.19
   100   £0.01      £0.76
   150   £0.01      £1.14
   500   £0.01      £3.35
  1000   £0.01      £5.40
  2500   £0.00     £11.75
  5000   £0.00     £17.50
 25000   £0.00     £77.50</t>
        </r>
      </text>
    </comment>
    <comment ref="AC6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E6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 50   $0.02      $1.20
   100   $0.01      $1.00
  1000   $0.00      $4.00
 10000   $0.00     $20.00</t>
        </r>
      </text>
    </comment>
    <comment ref="AJ6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$0.12      $0.12
    10   $0.12      $1.20
    25   $0.02      $0.55
    50   $0.02      $0.75
   100   $0.01      $0.80
  5000   $0.00     $10.00</t>
        </r>
      </text>
    </comment>
    <comment ref="AO6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5000   £0.00     £15.00</t>
        </r>
      </text>
    </comment>
    <comment ref="AT6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£0.01      £1.31
  1000   £0.00      £2.70
  5000   £0.00      £5.35
 15000   £0.00     £14.55
 50000   £0.00     £47.50</t>
        </r>
      </text>
    </comment>
    <comment ref="P6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$0.18
    25   $0.01      $0.32
    50   $0.01      $0.49
   100   $0.01      $0.73
   250   $0.01      $1.38
   500   $0.00      $2.21
  1000   $0.00      $3.26
  5000   $0.00     $11.70
 10000   $0.00     $20.30
 25000   $0.00     $44.50
 50000   $0.00     $83.50</t>
        </r>
      </text>
    </comment>
    <comment ref="U6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£0.01      £0.09
   100   £0.01      £0.77
   150   £0.01      £1.16
   500   £0.01      £3.20
  1000   £0.01      £5.40
  2500   £0.00     £11.75
  5000   £0.00     £17.00
 25000   £0.00     £67.50</t>
        </r>
      </text>
    </comment>
    <comment ref="AE6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$0.01      $0.10
    50   $0.01      $0.50
   100   $0.00      $0.40
  1000   $0.00      $3.00
 10000   $0.00     $20.00</t>
        </r>
      </text>
    </comment>
    <comment ref="AJ6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$0.00      $0.00
    10   $0.01      $0.12
    25   $0.01      $0.25
    50   $0.01      $0.35
   100   $0.00      $0.50
  5000   $0.00     $25.00
 10000   $0.00     $40.00</t>
        </r>
      </text>
    </comment>
    <comment ref="AR6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T6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£0.02      £1.56
  1000   £0.00      £2.78
  5000   £0.00      £6.05
 15000   £0.00     £16.50</t>
        </r>
      </text>
    </comment>
    <comment ref="P6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U6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£0.25
   100   £0.01      £0.88
   150   £0.01      £1.32
   500   £0.01      £3.70
  1000   £0.01      £6.00
  2500   £0.01     £13.25
  5000   £0.01     £26.00
 25000   £0.00     £90.00</t>
        </r>
      </text>
    </comment>
    <comment ref="AC6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E6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 50   $0.02      $1.20
   100   $0.01      $1.00
  1000   $0.00      $4.00
 10000   $0.00     $20.00</t>
        </r>
      </text>
    </comment>
    <comment ref="AJ6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$0.00      $0.00
    25   $0.02      $0.45
    50   $0.01      $0.65
   100   $0.01      $0.70
  5000   $0.00     $10.00</t>
        </r>
      </text>
    </comment>
    <comment ref="AO6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£0.01      £0.70
  1000   £0.01      £7.00
  2500   £0.01     £15.00
  5000   £0.00     £15.00
 10000   £0.00     £50.00</t>
        </r>
      </text>
    </comment>
    <comment ref="AR6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T6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£0.01      £0.96
  1000   £0.00      £2.13
  5000   £0.00      £4.75
 15000   £0.00     £13.35
 50000   £0.00     £43.00</t>
        </r>
      </text>
    </comment>
    <comment ref="P6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U6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£0.22
   100   £0.01      £0.78
   150   £0.01      £1.17
   500   £0.01      £3.25
  1000   £0.01      £5.20
  2500   £0.00     £11.50
  5000   £0.00     £20.50
 25000   £0.00     £72.50</t>
        </r>
      </text>
    </comment>
    <comment ref="AE6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 50   $0.02      $1.20
   100   $0.01      $1.00
  1000   $0.00      $4.00
 10000   $0.00     $20.00</t>
        </r>
      </text>
    </comment>
    <comment ref="AJ6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$0.00      $0.00
    25   $0.04      $1.00
    50   $0.03      $1.30
   100   $0.02      $1.80
   250   $0.01      $3.50
   500   $0.01      $5.50
  1000   $0.01      $8.00
  2500   $0.01     $15.00
  5000   $0.00     $10.00</t>
        </r>
      </text>
    </comment>
    <comment ref="AT6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£0.03      £2.78
  1000   £0.01      £9.85
  5000   £0.00     £19.55
 15000   £0.00     £48.15
 50000   £0.00    £136.50</t>
        </r>
      </text>
    </comment>
    <comment ref="P6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U6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£0.03      £0.32
   100   £0.01      £1.23
   150   £0.01      £1.84
   500   £0.01      £4.45
  1000   £0.01      £5.40
  2500   £0.00     £11.25
  5000   £0.00     £17.50
 10000   £0.00     £30.00
 25000   £0.00     £77.50</t>
        </r>
      </text>
    </comment>
    <comment ref="AE6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 50   $0.02      $1.20
   100   $0.01      $1.00
  1000   $0.00      $4.00
 10000   $0.00     $30.00</t>
        </r>
      </text>
    </comment>
    <comment ref="AJ6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$0.12      $0.12
    10   $0.02      $0.23
    25   $0.03      $0.70
    50   $0.02      $0.95
   100   $0.01      $1.10
  5000   $0.00     $20.00
 10000   $0.00     $30.00</t>
        </r>
      </text>
    </comment>
    <comment ref="AO6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5000   £0.00     £15.00</t>
        </r>
      </text>
    </comment>
    <comment ref="AT6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£0.02      £2.17
  1000   £0.00      £4.90
  5000   £0.00      £9.10
 15000   £0.00     £25.20
 50000   £0.00     £81.00</t>
        </r>
      </text>
    </comment>
    <comment ref="P6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U6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£0.23
   100   £0.01      £0.78
   150   £0.01      £1.17
   500   £0.01      £3.25
  1000   £0.01      £5.20
  2500   £0.00     £11.50
  5000   £0.00     £20.50
 25000   £0.00     £72.50</t>
        </r>
      </text>
    </comment>
    <comment ref="AC6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E6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 50   $0.02      $1.20
   100   $0.01      $1.00
  1000   $0.00      $4.00
 10000   $0.00     $20.00</t>
        </r>
      </text>
    </comment>
    <comment ref="AJ6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$0.19
    25   $0.02      $0.38
    50   $0.01      $0.55
   100   $0.01      $0.70</t>
        </r>
      </text>
    </comment>
    <comment ref="AR6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T6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£0.03      £2.67
  1000   £0.01      £9.61
  5000   £0.00     £19.45
 15000   £0.00     £49.20</t>
        </r>
      </text>
    </comment>
    <comment ref="P6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$3.69      $3.69
    10   $3.31     $33.12
    25   $3.13     $78.29
   100   $2.71    $271.40
   250   $2.57    $643.70
   500   $2.31  $1,155.18
  1000   $2.30  $2,297.75
  2000   $2.30  $4,595.50</t>
        </r>
      </text>
    </comment>
    <comment ref="AE6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$3.69      $3.69
    10   $3.32     $33.20
    50   $3.14    $157.00
   100   $2.72    $272.00
  1000   $2.02  $2,020.00
 10000   $2.02 $20,200.00</t>
        </r>
      </text>
    </comment>
    <comment ref="P7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$1.55      $1.55
    10   $1.38     $13.85
    25   $1.31     $32.87
   100   $1.08    $108.00
   250   $1.01    $252.40
   500   $0.89    $446.10
  1000   $0.78    $775.25
  3000   $0.78  $2,325.75</t>
        </r>
      </text>
    </comment>
    <comment ref="AE7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$1.54      $1.54
    10   $1.39     $13.90
    50   $1.32     $66.00
   100   $1.08    $108.00
  1000   $0.70    $705.00
 10000   $0.68  $6,810.00</t>
        </r>
      </text>
    </comment>
    <comment ref="N7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P7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$6.71      $6.71
    10   $6.06     $60.62
    25   $5.78    $144.50
   100   $5.02    $501.89
   250   $4.79  $1,198.33
   500   $4.39  $2,194.50</t>
        </r>
      </text>
    </comment>
    <comment ref="S7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U7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£3.71      £3.71
    10   £3.15     £31.50
    25   £2.58     £64.50
    50   £2.55    £127.50
   100   £2.53    £253.00
   250   £2.50    £625.00
   500   £2.47  £1,235.00</t>
        </r>
      </text>
    </comment>
    <comment ref="Z7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$70.98     $70.98
    10  $53.05    $530.50
    30  $49.75  $1,492.50
   100  $46.46  $4,646.00
   500  $44.99 $22,495.00
  1000  $44.27 $44,270.00</t>
        </r>
      </text>
    </comment>
    <comment ref="AE7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$6.71      $6.71
    10   $6.07     $60.70
    50   $5.78    $289.00
   100   $5.02    $502.00
  1000   $3.98  $3,980.00
 10000   $3.98 $39,800.00</t>
        </r>
      </text>
    </comment>
    <comment ref="AO7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£5.23      £5.23
     6   £4.68     £28.08
    30   £4.13    £123.90
    61   £3.58    £218.38</t>
        </r>
      </text>
    </comment>
    <comment ref="AT7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£5.56      £5.56
     3   £4.91     £14.73
    10   £4.26     £42.60
    25   £3.72     £93.00
   121   £3.47    £419.87</t>
        </r>
      </text>
    </comment>
    <comment ref="P7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$1.60      $1.60
    10   $1.44     $14.41
    25   $1.36     $33.99
   100   $1.16    $115.83
   250   $1.09    $271.89
   500   $0.95    $475.81
  1000   $0.90    $897.75
  2000   $0.90  $1,795.50</t>
        </r>
      </text>
    </comment>
    <comment ref="AE7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$1.60      $1.60
    10   $1.45     $14.50
    50   $1.36     $68.00
   100   $1.16    $116.00
  1000   $0.79    $790.00
 10000   $0.79  $7,890.00</t>
        </r>
      </text>
    </comment>
    <comment ref="P7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$1.69      $1.69
    10   $1.51     $15.13
    25   $1.44     $35.91
   100   $1.18    $118.00
   250   $1.10    $275.76
   500   $0.97    $487.39
  1000   $0.85    $847.00</t>
        </r>
      </text>
    </comment>
    <comment ref="U7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£1.60      £1.60
    10   £1.20     £12.00
    50   £1.06     £53.00
   100   £0.92     £92.40
   250   £0.81    £202.75</t>
        </r>
      </text>
    </comment>
    <comment ref="Z7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$6.34      $6.34
    10   $4.62     $46.20
    30   $4.31    $129.30
   100   $3.99    $399.00
   500   $3.85  $1,925.00
  1000   $3.78  $3,780.00</t>
        </r>
      </text>
    </comment>
    <comment ref="AE7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$1.68      $1.68
    10   $1.52     $15.20
    50   $1.44     $72.00
   100   $1.18    $118.00
  1000   $0.77    $769.00
 10000   $0.74  $7,440.00</t>
        </r>
      </text>
    </comment>
    <comment ref="AJ7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$2.05      $2.05
    10   $1.91     $19.10
    25   $1.80     $45.00
    50   $1.69     $84.50
   100   $1.58    $158.00
   250   $1.45    $362.50</t>
        </r>
      </text>
    </comment>
    <comment ref="AO7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£1.24      £6.22
    25   £1.21     £30.15
    50   £1.18     £59.00
   100   £1.15    £114.80
   250   £1.12    £280.00</t>
        </r>
      </text>
    </comment>
    <comment ref="AT7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£0.92      £0.92
     5   £0.82      £4.10
    25   £0.71     £17.75
   100   £0.62     £62.00</t>
        </r>
      </text>
    </comment>
    <comment ref="P7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$2.06      $2.06
    10   $1.85     $18.48
    25   $1.74     $43.59
   100   $1.49    $148.56
   250   $1.39    $348.74
   500   $1.22    $610.30
  1000   $1.15  $1,151.50
  2000   $1.15  $2,303.00</t>
        </r>
      </text>
    </comment>
    <comment ref="S7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U7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£1.93      £1.93
    10   £1.46     £14.60
    50   £1.35     £67.50
   100   £1.24    £124.00
   250   £1.17    £292.50</t>
        </r>
      </text>
    </comment>
    <comment ref="AE7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$2.06      $2.06
    10   $1.85     $18.50
    50   $1.75     $87.50
   100   $1.49    $149.00
  1000   $1.18  $1,180.00
 10000   $1.09 $10,900.00</t>
        </r>
      </text>
    </comment>
    <comment ref="AH7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J7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$2.79      $2.79
    10   $2.60     $26.00
    25   $2.45     $61.25
    50   $2.30    $115.00
   100   $2.14    $214.00
   250   $1.98    $495.00</t>
        </r>
      </text>
    </comment>
    <comment ref="P7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$2.16      $2.16
    10   $1.94     $19.37
    25   $1.83     $45.68
   100   $1.56    $155.66
   250   $1.46    $365.40
   500   $1.28    $639.45
  1000   $1.26  $1,260.00
  2500   $1.26  $3,150.00</t>
        </r>
      </text>
    </comment>
    <comment ref="U7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£2.08      £2.08
    10   £1.53     £15.30
    50   £1.43     £71.50
   100   £1.33    £133.00</t>
        </r>
      </text>
    </comment>
    <comment ref="AE7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$2.05      $2.05
    10   $1.80     $18.00
    50   $1.70     $85.00
   100   $1.49    $149.00
  1000   $1.35  $1,350.00
 10000   $1.28 $12,800.00</t>
        </r>
      </text>
    </comment>
    <comment ref="AJ7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$2.39      $2.39
    10   $2.10     $21.00
    25   $1.99     $49.75
    50   $1.86     $93.00
   100   $1.74    $174.00
   250   $1.69    $422.50</t>
        </r>
      </text>
    </comment>
    <comment ref="P7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$1.69      $1.69
    10   $1.51     $15.13
    25   $1.44     $35.91
   100   $1.18    $118.00
   250   $1.10    $275.76
   500   $0.97    $487.39
  1000   $0.85    $847.00</t>
        </r>
      </text>
    </comment>
    <comment ref="U7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£1.60      £1.60
    10   £1.20     £12.00
    50   £1.06     £53.00
   100   £0.92     £92.40
   250   £0.81    £202.75</t>
        </r>
      </text>
    </comment>
    <comment ref="AE7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$1.68      $1.68
    10   $1.52     $15.20
    50   $1.44     $72.00
   100   $1.18    $118.00
  1000   $0.77    $769.00
 10000   $0.74  $7,440.00</t>
        </r>
      </text>
    </comment>
    <comment ref="AJ7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$2.14      $2.14
    10   $1.99     $19.90
    25   $1.88     $47.00
    50   $1.76     $88.00
   100   $1.65    $165.00
   250   $1.52    $380.00</t>
        </r>
      </text>
    </comment>
    <comment ref="N7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P7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$0.90      $0.90
    10   $0.79      $7.92
    25   $0.74     $18.59
   100   $0.61     $60.69
   250   $0.56    $140.93
   500   $0.48    $239.88
  1000   $0.40    $396.02
  2500   $0.40    $990.05</t>
        </r>
      </text>
    </comment>
    <comment ref="S7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U7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£0.76      £3.79
    10   £0.64      £6.35
   100   £0.41     £41.10
   500   £0.28    £140.50
  2500   £0.24    £597.50
  7500   £0.23  £1,732.50
 20000   £0.23  £4,520.00
 37500   £0.22  £8,325.00</t>
        </r>
      </text>
    </comment>
    <comment ref="AE7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$0.91      $0.91
    10   $0.79      $7.92
    50   $0.79     $39.60
   100   $0.61     $60.70
  1000   $0.38    $384.00
 10000   $0.36  $3,620.00</t>
        </r>
      </text>
    </comment>
    <comment ref="AJ7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$1.07      $1.07
     5   $1.07      $5.35
    10   $0.95      $9.46
   100   $0.72     $72.50
  2500   $0.33    $830.00
  7500   $0.32  $2,362.50
 20000   $0.30  $6,060.00
 37500   $0.29 $10,725.00</t>
        </r>
      </text>
    </comment>
    <comment ref="AO7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£0.43      £4.27
   100   £0.28     £28.40
   500   £0.27    £136.50
  1000   £0.21    £209.00
  2500   £0.20    £507.50</t>
        </r>
      </text>
    </comment>
    <comment ref="AR7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T7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2500   £0.20    £493.00
  7500   £0.19  £1,420.50</t>
        </r>
      </text>
    </comment>
    <comment ref="P7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$1.69      $1.69
    10   $1.51     $15.13
    25   $1.44     $35.91
   100   $1.18    $118.00
   250   $1.10    $275.76
   500   $0.97    $487.39
  1000   $0.85    $847.00</t>
        </r>
      </text>
    </comment>
    <comment ref="AE7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$1.68      $1.68
    10   $1.52     $15.20
    50   $1.44     $72.00
   100   $1.18    $118.00
  1000   $0.77    $769.00
 10000   $0.74  $7,440.00</t>
        </r>
      </text>
    </comment>
    <comment ref="N7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P7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$0.28      $0.28
  3300   $0.28    $940.50</t>
        </r>
      </text>
    </comment>
    <comment ref="S7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U7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3300   £0.22    £732.60</t>
        </r>
      </text>
    </comment>
    <comment ref="AC7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E7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$0.28      $0.28
    10   $0.28      $2.80
    50   $0.28     $14.00
   100   $0.28     $28.00
  1000   $0.28    $280.00
 10000   $0.28  $2,800.00</t>
        </r>
      </text>
    </comment>
    <comment ref="AH7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J7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$0.28      $0.28
  3300   $0.28    $907.50</t>
        </r>
      </text>
    </comment>
    <comment ref="N8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P8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$0.91      $0.91
    10   $0.80      $8.05
    25   $0.76     $18.89
   100   $0.62     $61.68
   250   $0.57    $143.23
   500   $0.49    $243.80
  1000   $0.40    $402.50
  4000   $0.40  $1,610.00</t>
        </r>
      </text>
    </comment>
    <comment ref="S8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U8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£0.53      £0.53
    10   £0.43      £4.34
   100   £0.28     £28.00
   150   £0.28     £42.00
  1000   £0.22    £224.00
  4000   £0.19    £760.00</t>
        </r>
      </text>
    </comment>
    <comment ref="AC8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E8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$0.92      $0.92
    10   $0.80      $8.05
    50   $0.80     $40.25
   100   $0.62     $61.70
  1000   $0.39    $391.00
 10000   $0.36  $3,560.00</t>
        </r>
      </text>
    </comment>
    <comment ref="AH8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J8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$1.05      $1.05
    10   $0.85      $8.54
    25   $0.76     $18.90
    50   $0.67     $33.60
   100   $0.58     $57.70
   250   $0.51    $126.75
   500   $0.40    $201.00
  1000   $0.38    $385.00
  4000   $0.33  $1,320.00
 12000   $0.32  $3,840.00
 32000   $0.30  $9,472.00
 60000   $0.29 $17,460.00</t>
        </r>
      </text>
    </comment>
    <comment ref="AO8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£0.60      £2.98
    50   £0.34     £17.00
   100   £0.33     £32.60
   250   £0.32     £79.50
   500   £0.31    £155.00</t>
        </r>
      </text>
    </comment>
    <comment ref="AR8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T8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£0.78      £0.78
     5   £0.45      £2.23
    25   £0.38      £9.59
   100   £0.34     £33.84
   500   £0.29    £143.75</t>
        </r>
      </text>
    </comment>
    <comment ref="P8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$2.04      $2.04
    10   $1.83     $18.29
    25   $1.73     $43.13
   100   $1.47    $146.98
   250   $1.38    $345.03
   500   $1.21    $603.80
  1000   $1.14  $1,139.25
  2500   $1.14  $2,848.13</t>
        </r>
      </text>
    </comment>
    <comment ref="S8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U8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2500   £0.61  £1,527.50</t>
        </r>
      </text>
    </comment>
    <comment ref="Z8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$14.06     $14.06
    10  $10.35    $103.50
    30   $9.67    $290.10
   100   $8.98    $898.00
   500   $8.68  $4,340.00
  1000   $8.53  $8,530.00</t>
        </r>
      </text>
    </comment>
    <comment ref="AE8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$2.03      $2.03
    10   $1.83     $18.30
    50   $1.73     $86.50
   100   $1.47    $147.00
  1000   $1.05  $1,050.00
 10000   $1.00 $10,000.00</t>
        </r>
      </text>
    </comment>
    <comment ref="AH8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J8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2500   $1.24  $3,100.00
  7500   $1.16  $8,700.00
 20000   $1.10 $22,000.00</t>
        </r>
      </text>
    </comment>
    <comment ref="N8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P8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$1.43      $1.43
    10   $1.28     $12.82
    25   $1.22     $30.42
   100   $1.00     $99.96
   250   $0.93    $233.60
   500   $0.76    $380.28
  1000   $0.72    $717.50
  2000   $0.72  $1,435.00</t>
        </r>
      </text>
    </comment>
    <comment ref="S8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U8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£1.43      £1.43
    10   £1.06     £10.60
    50   £0.96     £48.25
   100   £0.87     £87.00
   250   £0.81    £203.50</t>
        </r>
      </text>
    </comment>
    <comment ref="Z8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$7.58      $7.58
    10   $5.86     $58.60
    30   $5.43    $162.90
   100   $4.87    $487.00
   500   $4.61  $2,305.00
  1000   $4.57  $4,570.00</t>
        </r>
      </text>
    </comment>
    <comment ref="AC8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E8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$1.43      $1.43
    10   $1.29     $12.90
    50   $1.22     $61.00
   100   $1.00    $100.00
  1000   $0.65    $652.00
 10000   $0.63  $6,300.00</t>
        </r>
      </text>
    </comment>
    <comment ref="AH8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J8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$2.35      $2.35
    10   $2.19     $21.90
    25   $2.04     $51.00
    50   $1.91     $95.50
   100   $1.78    $178.00
   250   $1.66    $415.00</t>
        </r>
      </text>
    </comment>
    <comment ref="AO8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£1.13      £1.13
    10   £1.02     £10.20
    50   £0.91     £45.50
   100   £0.79     £79.00
   250   £0.68    £170.00</t>
        </r>
      </text>
    </comment>
    <comment ref="N8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P8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$1.87      $1.87
    10   $1.68     $16.77
    25   $1.58     $39.55
   100   $1.35    $134.79
   250   $1.27    $316.41
   500   $1.11    $553.72
  1000   $1.04  $1,044.75
  2000   $1.04  $2,089.50</t>
        </r>
      </text>
    </comment>
    <comment ref="S8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U8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£1.76      £1.76
    10   £1.32     £13.20
    50   £1.22     £61.00
   100   £1.12    £112.00
   250   £1.06    £265.00</t>
        </r>
      </text>
    </comment>
    <comment ref="AC8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E8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$1.86      $1.86
    10   $1.68     $16.80
    50   $1.59     $79.50
   100   $1.35    $135.00
  1000   $0.92    $919.00
 10000   $0.92  $9,180.00</t>
        </r>
      </text>
    </comment>
    <comment ref="AH8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J8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$3.04      $3.04
    10   $2.83     $28.30
    25   $2.67     $66.75
    50   $2.50    $125.00
   100   $2.33    $233.00
   250   $2.15    $537.50</t>
        </r>
      </text>
    </comment>
    <comment ref="N8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P8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$38.06     $38.06
    10  $35.51    $355.10
    25  $34.02    $850.54
   100  $33.10  $3,309.90
  1500  $33.10 $49,648.50</t>
        </r>
      </text>
    </comment>
    <comment ref="N8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P8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$1.58      $1.58
    10   $1.42     $14.16
    25   $1.34     $33.39
   100   $1.14    $113.79
   250   $1.07    $267.12
   500   $0.93    $467.46
  1000   $0.88    $882.00
  3000   $0.88  $2,646.00</t>
        </r>
      </text>
    </comment>
    <comment ref="AC8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E8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$1.57      $1.57
    10   $1.42     $14.20
    50   $1.34     $67.00
   100   $1.14    $114.00
  1000   $0.78    $776.00
 10000   $0.78  $7,750.00</t>
        </r>
      </text>
    </comment>
    <comment ref="P8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$3.69      $3.69
    10   $3.31     $33.12
    25   $3.13     $78.29
   100   $2.49    $249.13
   250   $2.37    $591.51
   500   $2.30  $1,148.88
  2000   $2.30  $4,595.50</t>
        </r>
      </text>
    </comment>
    <comment ref="AE8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$3.69      $3.69
    10   $3.32     $33.20
    50   $3.14    $157.00
   100   $2.72    $272.00
  1000   $2.02  $2,020.00
 10000   $2.02 $20,200.00</t>
        </r>
      </text>
    </comment>
    <comment ref="P8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$11.93     $11.93
    10  $10.78    $107.80
    25  $10.28    $256.96
   100   $8.92    $892.46
   250   $8.52  $2,130.86
   500   $7.80  $3,902.25
  3000   $7.80 $23,413.50</t>
        </r>
      </text>
    </comment>
    <comment ref="AE8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$11.93     $11.93
    10  $10.78    $107.80
    50  $10.28    $514.00
   100   $8.93    $893.00
  1000   $7.42  $7,420.00
 10000   $7.23 $72,300.00</t>
        </r>
      </text>
    </comment>
    <comment ref="P8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$20.68     $20.68
    10  $19.08    $190.76
    25  $18.22    $455.46
   100  $17.69  $1,769.25
   250  $17.69  $4,423.12</t>
        </r>
      </text>
    </comment>
    <comment ref="AE8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$22.75     $22.75
    10  $20.98    $209.80
    50  $20.04  $1,002.00
   100  $17.92  $1,792.00
  1000  $17.10 $17,100.00
 10000  $17.10 $171,000.00</t>
        </r>
      </text>
    </comment>
    <comment ref="P8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$3.24      $3.24
    10   $2.91     $29.14
    25   $2.75     $68.87
   100   $2.39    $238.74
   250   $2.26    $566.24
   500   $2.03  $1,016.17
  1000   $2.02  $2,021.25
  2500   $2.02  $5,053.13</t>
        </r>
      </text>
    </comment>
    <comment ref="AC8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E8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$3.25      $3.25
    10   $2.92     $29.20
    50   $2.76    $138.00
   100   $2.39    $239.00
  1000   $1.78  $1,780.00
 10000   $1.77 $17,700.00</t>
        </r>
      </text>
    </comment>
    <comment ref="G91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J91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O91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T91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Y91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D91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I91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N91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S91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G92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  <comment ref="Y92" authorId="0">
      <text>
        <r>
          <rPr>
            <sz val="8"/>
            <color indexed="81"/>
            <rFont val="Tahoma"/>
            <family val="2"/>
          </rPr>
          <t>Copy this header and order to CSV file and use for JLCPCB manufacture PCB housing. The multipart components that use "#" symbol is not allowed at JLCPCB.</t>
        </r>
      </text>
    </comment>
  </commentList>
</comments>
</file>

<file path=xl/sharedStrings.xml><?xml version="1.0" encoding="utf-8"?>
<sst xmlns="http://schemas.openxmlformats.org/spreadsheetml/2006/main" count="1142" uniqueCount="602">
  <si>
    <t>Global Part Info</t>
  </si>
  <si>
    <t>Refs</t>
  </si>
  <si>
    <t>Value</t>
  </si>
  <si>
    <t>Desc</t>
  </si>
  <si>
    <t>Footprint</t>
  </si>
  <si>
    <t>Manf#</t>
  </si>
  <si>
    <t>Qty</t>
  </si>
  <si>
    <t>Unit$</t>
  </si>
  <si>
    <t>Ext$</t>
  </si>
  <si>
    <t>C11,C178,C195-C210</t>
  </si>
  <si>
    <t>5p</t>
  </si>
  <si>
    <t>C_0603_1608Metric</t>
  </si>
  <si>
    <t>CL10C050CB81PNC</t>
  </si>
  <si>
    <t>C114,C117,C122,C123,C126,C131,C132,C135,C140,C141,C144,C149,C150,C153,C158,C159,C162,C167</t>
  </si>
  <si>
    <t>DNI</t>
  </si>
  <si>
    <t>C119,C128,C137,C146,C155,C164</t>
  </si>
  <si>
    <t>2p</t>
  </si>
  <si>
    <t>CC0603CRNPO9BN2R0</t>
  </si>
  <si>
    <t>C14,C19,C25</t>
  </si>
  <si>
    <t>4.7u</t>
  </si>
  <si>
    <t>TMK107BBJ475MA-T</t>
  </si>
  <si>
    <t>C15,C20,C21,C24,C28,C30,C33,C35-C37</t>
  </si>
  <si>
    <t>1u</t>
  </si>
  <si>
    <t>CL10A105KA8NFNC</t>
  </si>
  <si>
    <t>C16,C23</t>
  </si>
  <si>
    <t>33p</t>
  </si>
  <si>
    <t>CC0603JRNPO9BN330</t>
  </si>
  <si>
    <t>C18,C22,C32</t>
  </si>
  <si>
    <t>0.33u</t>
  </si>
  <si>
    <t>CC0603KRX5R8BB334</t>
  </si>
  <si>
    <t>C31</t>
  </si>
  <si>
    <t>10u</t>
  </si>
  <si>
    <t>C_0805_2012Metric</t>
  </si>
  <si>
    <t>TMK212BBJ106MG-T</t>
  </si>
  <si>
    <t>C41,C65-C68,C84,C95,C106</t>
  </si>
  <si>
    <t>JMK107ABJ106KAHT</t>
  </si>
  <si>
    <t>C47,C90,C101,C112</t>
  </si>
  <si>
    <t>100p</t>
  </si>
  <si>
    <t>CC0603JRNPO0BN101</t>
  </si>
  <si>
    <t>C70,C71,C80</t>
  </si>
  <si>
    <t>GRM21BR70J106KA73L</t>
  </si>
  <si>
    <t>C77</t>
  </si>
  <si>
    <t>JMK107ABJ106KA-T</t>
  </si>
  <si>
    <t>C1-C10,C12,C13,C17,C26,C27,C29,C34,C38-C40,C42-C46,C48,C69,C72-C76,C78,C79,C81-C83,C85-C89,C91-C94,C96-C100,C102-C105,C107-C111,C113,C115,C116,C118,C120,C121,C124,C125,C127,C129,C130,C133,C134,C136,C138,C139,C142,C143,C145,C147,C148,C151,C152,C154,C156,C157,C160,C161,C163,C165,C166,C168-C177,C179-C194</t>
  </si>
  <si>
    <t>0.1u</t>
  </si>
  <si>
    <t>CL10B104KA8NFNC</t>
  </si>
  <si>
    <t>C49-C64</t>
  </si>
  <si>
    <t>1000p</t>
  </si>
  <si>
    <t>CC0603JRNPO9BN102</t>
  </si>
  <si>
    <t>D1,D2</t>
  </si>
  <si>
    <t>D_Schottky</t>
  </si>
  <si>
    <t>D_Powermite_AK</t>
  </si>
  <si>
    <t>MBRM120LT3G</t>
  </si>
  <si>
    <t>FB7</t>
  </si>
  <si>
    <t>Ferrite_Bead</t>
  </si>
  <si>
    <t>C_1206_3216Metric</t>
  </si>
  <si>
    <t>742792117</t>
  </si>
  <si>
    <t>FB1-FB6</t>
  </si>
  <si>
    <t>BLM31PG500SN1L</t>
  </si>
  <si>
    <t>H1-H4</t>
  </si>
  <si>
    <t>MountingHole_3.2mm_M3_DIN965_Pad</t>
  </si>
  <si>
    <t>IC1</t>
  </si>
  <si>
    <t>ADS8686SIPZAR</t>
  </si>
  <si>
    <t>Analog to Digital Converters - ADC 16-channel 16-bit 1-MSPS dual simultaneous-sampling ADC with integrated analog front end (AFE)</t>
  </si>
  <si>
    <t>LQFP-80_14x14mm_P0.65mm</t>
  </si>
  <si>
    <t>IC2-IC7</t>
  </si>
  <si>
    <t>OPA1662</t>
  </si>
  <si>
    <t>VSSOP-8_3.0x3.0mm_P0.65mm</t>
  </si>
  <si>
    <t>OPA1662AIDGKR</t>
  </si>
  <si>
    <t>J1,J2,J7,J8</t>
  </si>
  <si>
    <t>HDMI_A</t>
  </si>
  <si>
    <t>CONN_10029449-111RLF_HDMI_A</t>
  </si>
  <si>
    <t>10029449-111RLF</t>
  </si>
  <si>
    <t>J10</t>
  </si>
  <si>
    <t>Conn_02x07_Odd_Even</t>
  </si>
  <si>
    <t>PinHeader_2x07_P2.00mm_Horizontal</t>
  </si>
  <si>
    <t>0878331419</t>
  </si>
  <si>
    <t>J11,J15</t>
  </si>
  <si>
    <t>Conn_02x12_Odd_Even</t>
  </si>
  <si>
    <t>PinHeader_2x12_P2.00mm_Horizontal</t>
  </si>
  <si>
    <t>DF11-24DP-2DS(24)</t>
  </si>
  <si>
    <t>J12</t>
  </si>
  <si>
    <t>Barrel_Jack_Switch</t>
  </si>
  <si>
    <t>CUI_PJ-002BH</t>
  </si>
  <si>
    <t>PJ-002BH</t>
  </si>
  <si>
    <t>J13</t>
  </si>
  <si>
    <t>Conn_02x05_Odd_Even</t>
  </si>
  <si>
    <t>PinHeader_2x05_P2.00mm_Vertical_SMD</t>
  </si>
  <si>
    <t>0877591064</t>
  </si>
  <si>
    <t>J14</t>
  </si>
  <si>
    <t>Screw_Terminal_01x12</t>
  </si>
  <si>
    <t>TerminalBlock_Phoenix_MPT-0,5-12-2.54_1x12_P2.54mm_Horizontal</t>
  </si>
  <si>
    <t>OSTVN12A150</t>
  </si>
  <si>
    <t>J16,J17</t>
  </si>
  <si>
    <t>Conn_Coaxial</t>
  </si>
  <si>
    <t>BU-SMA-G</t>
  </si>
  <si>
    <t>0733910083</t>
  </si>
  <si>
    <t>J18</t>
  </si>
  <si>
    <t>QWIIC_CONNECTOR-1MM</t>
  </si>
  <si>
    <t>1X04_1MM_RA</t>
  </si>
  <si>
    <t>PRT-14417</t>
  </si>
  <si>
    <t>J9</t>
  </si>
  <si>
    <t>Conn_02x06_Odd_Even</t>
  </si>
  <si>
    <t>PinHeader_2x06_P2.00mm_Horizontal</t>
  </si>
  <si>
    <t>0878331220</t>
  </si>
  <si>
    <t>L1</t>
  </si>
  <si>
    <t>SRR4018-4R7Y</t>
  </si>
  <si>
    <t>L2</t>
  </si>
  <si>
    <t>10uH</t>
  </si>
  <si>
    <t>NRS5020T100MMGJ</t>
  </si>
  <si>
    <t>L3</t>
  </si>
  <si>
    <t>15uH</t>
  </si>
  <si>
    <t>SRR6028-150Y</t>
  </si>
  <si>
    <t>OK1</t>
  </si>
  <si>
    <t>OPALKELLY_XEM7310</t>
  </si>
  <si>
    <t>BTE-040-02-F-D-A</t>
  </si>
  <si>
    <t>Q1,Q2</t>
  </si>
  <si>
    <t>BC856</t>
  </si>
  <si>
    <t>SOT-23</t>
  </si>
  <si>
    <t>BC856B-7-F</t>
  </si>
  <si>
    <t>R10,R66-R68,R70,R81-R83,R132-R134,R137-R139,R142-R144,R147-R149,R152,R157-R159,R166,R169,R174-R176,R183,R186,R191-R193,R200,R203,R208-R210,R217,R220,R225-R227,R234,R237,R242-R244,R251,R261</t>
  </si>
  <si>
    <t>33</t>
  </si>
  <si>
    <t>R_0603_1608Metric</t>
  </si>
  <si>
    <t>RC0603FR-0733RL</t>
  </si>
  <si>
    <t>R150,R167,R184,R201,R218,R235</t>
  </si>
  <si>
    <t>49.9k</t>
  </si>
  <si>
    <t>RC0603FR-0749k9L</t>
  </si>
  <si>
    <t>R151,R168,R185,R202,R219,R236</t>
  </si>
  <si>
    <t>243k</t>
  </si>
  <si>
    <t>RC0603FR-07243KL</t>
  </si>
  <si>
    <t>R153,R170,R187,R204,R221,R238</t>
  </si>
  <si>
    <t>121k</t>
  </si>
  <si>
    <t>RC0603FR-07121KL</t>
  </si>
  <si>
    <t>R154,R171,R188,R205,R222,R239</t>
  </si>
  <si>
    <t>37.4k</t>
  </si>
  <si>
    <t>RC0603FR-0737k4L</t>
  </si>
  <si>
    <t>R155,R172,R189,R206,R223,R240</t>
  </si>
  <si>
    <t>8.25k</t>
  </si>
  <si>
    <t>CRCW06038K25FKEAC</t>
  </si>
  <si>
    <t>R156,R173,R190,R207,R224,R241</t>
  </si>
  <si>
    <t>3.24k</t>
  </si>
  <si>
    <t>CRCW06033K24FKEAC</t>
  </si>
  <si>
    <t>R161,R163,R178,R180,R195,R197,R212,R214,R229,R231,R246,R248</t>
  </si>
  <si>
    <t>20k</t>
  </si>
  <si>
    <t>RC0603FR-0720KL</t>
  </si>
  <si>
    <t>R164,R181,R198,R215,R232,R249</t>
  </si>
  <si>
    <t>2k</t>
  </si>
  <si>
    <t>RC0603FR-072KL</t>
  </si>
  <si>
    <t>R27,R28,R31,R32,R278,R279,R282,R283</t>
  </si>
  <si>
    <t>4.7M</t>
  </si>
  <si>
    <t>R_1206_3216Metric</t>
  </si>
  <si>
    <t>RG3216P-4704-B-T1</t>
  </si>
  <si>
    <t>R287,R288</t>
  </si>
  <si>
    <t>49.9</t>
  </si>
  <si>
    <t>RC0603FR-0749R9L</t>
  </si>
  <si>
    <t>R33,R284</t>
  </si>
  <si>
    <t>470k</t>
  </si>
  <si>
    <t>RC0603FR-0710KL</t>
  </si>
  <si>
    <t>R34,R285</t>
  </si>
  <si>
    <t>10k</t>
  </si>
  <si>
    <t>R35</t>
  </si>
  <si>
    <t>232k</t>
  </si>
  <si>
    <t>RC0603FR-07232KL</t>
  </si>
  <si>
    <t>R37,R41</t>
  </si>
  <si>
    <t>4.7k</t>
  </si>
  <si>
    <t>RC0603FR-074K7L</t>
  </si>
  <si>
    <t>R42</t>
  </si>
  <si>
    <t>249k</t>
  </si>
  <si>
    <t>RC0603FR-07249KL</t>
  </si>
  <si>
    <t>R43</t>
  </si>
  <si>
    <t>15k</t>
  </si>
  <si>
    <t>RC0603FR-0715KL</t>
  </si>
  <si>
    <t>R51,R52,R54,R55,R57,R59,R61,R63,R65,R69,R71,R72,R77,R78</t>
  </si>
  <si>
    <t>3.3k</t>
  </si>
  <si>
    <t>RC0603FR-073k3L</t>
  </si>
  <si>
    <t>R53</t>
  </si>
  <si>
    <t>1k</t>
  </si>
  <si>
    <t>RC0603FR-071kL</t>
  </si>
  <si>
    <t>R56,R92-R106,R115-R130,R165,R182,R199,R216,R233,R250,R999</t>
  </si>
  <si>
    <t>RC0603FR-071KL</t>
  </si>
  <si>
    <t>R64,R73,R74,R262-R265,R270-R273,R286,R289</t>
  </si>
  <si>
    <t>R79,R80,R135,R136,R140,R141,R145,R146</t>
  </si>
  <si>
    <t>100</t>
  </si>
  <si>
    <t>RC0603FR-07100RL</t>
  </si>
  <si>
    <t>R9,R29,R30,R46-R50,R75,R76,R160,R177,R194,R211,R228,R245,R260,R266-R269,R280,R281</t>
  </si>
  <si>
    <t>0</t>
  </si>
  <si>
    <t>RC0603FR-070RL</t>
  </si>
  <si>
    <t>R1-R4,R15-R18,R84,R85,R90,R91,R111,R112,R162,R179,R196,R213,R230,R247,R254,R255</t>
  </si>
  <si>
    <t>RC0603FR-0710kL</t>
  </si>
  <si>
    <t>R11-R14,R23-R26,R36,R88,R89,R109,R110,R252,R253,R258,R259</t>
  </si>
  <si>
    <t>RC0603FR-0715kL</t>
  </si>
  <si>
    <t>R38-R40,R44,R45,R58,R60,R62,R131</t>
  </si>
  <si>
    <t>100k</t>
  </si>
  <si>
    <t>RC0603FR-07100KL</t>
  </si>
  <si>
    <t>R5-R8,R19-R22,R86,R87,R107,R108,R113,R114,R256,R257</t>
  </si>
  <si>
    <t>30.1k</t>
  </si>
  <si>
    <t>RC0603FR-0730k1L</t>
  </si>
  <si>
    <t>TP1-TP7</t>
  </si>
  <si>
    <t>TestPoint</t>
  </si>
  <si>
    <t>TestPoint_THTPad_1.5x1.5mm_Drill0.7mm</t>
  </si>
  <si>
    <t>U10,U11,U63,U64</t>
  </si>
  <si>
    <t>TMUX6136PWR</t>
  </si>
  <si>
    <t>TSSOP-16_4.4x5mm_P0.65mm</t>
  </si>
  <si>
    <t>U12,U65</t>
  </si>
  <si>
    <t>OPA991S</t>
  </si>
  <si>
    <t>SOT-23-6</t>
  </si>
  <si>
    <t>OPA991SIDBVR</t>
  </si>
  <si>
    <t>U13</t>
  </si>
  <si>
    <t>LT3471</t>
  </si>
  <si>
    <t>DFN-10-1EP_3x3mm_P0.5mm_EP1.65x2.38mm</t>
  </si>
  <si>
    <t>LT3471EDD#PBF</t>
  </si>
  <si>
    <t>U14</t>
  </si>
  <si>
    <t>LP38692MP-5.0</t>
  </si>
  <si>
    <t>SOT-223-5</t>
  </si>
  <si>
    <t>LP38692MPX-5.0/NOPB</t>
  </si>
  <si>
    <t>U15</t>
  </si>
  <si>
    <t>LP38693MP-3.3</t>
  </si>
  <si>
    <t>LP38693MP-3.3/NOPB</t>
  </si>
  <si>
    <t>U16</t>
  </si>
  <si>
    <t>LM2937xMP</t>
  </si>
  <si>
    <t>SOT-223-3_TabPin2</t>
  </si>
  <si>
    <t>LM2937IMPX-15/NOPB</t>
  </si>
  <si>
    <t>U17</t>
  </si>
  <si>
    <t>MAX6070BAUT21+T</t>
  </si>
  <si>
    <t>SOT-23-6_Handsoldering</t>
  </si>
  <si>
    <t>U18</t>
  </si>
  <si>
    <t>LP38693MP-1.8</t>
  </si>
  <si>
    <t>LP38693MP-1.8/NOPB</t>
  </si>
  <si>
    <t>U19</t>
  </si>
  <si>
    <t>MC79M15_TO252</t>
  </si>
  <si>
    <t>TO-252-2</t>
  </si>
  <si>
    <t>MC79M15BDTRKG</t>
  </si>
  <si>
    <t>U20</t>
  </si>
  <si>
    <t>LP38693MP-2.5</t>
  </si>
  <si>
    <t>LP38693MP-2.5/NOPB</t>
  </si>
  <si>
    <t>U21</t>
  </si>
  <si>
    <t>24AA025UID</t>
  </si>
  <si>
    <t>SOIC-8_3.9x4.9mm_P1.27mm</t>
  </si>
  <si>
    <t>24AA025UIDT-I/SN</t>
  </si>
  <si>
    <t>U22</t>
  </si>
  <si>
    <t>PCA9306</t>
  </si>
  <si>
    <t>IC TRNSLTR BIDIRECTIONAL 8TSSOP</t>
  </si>
  <si>
    <t>TSSOP-8_4.4x3mm_P0.65mm</t>
  </si>
  <si>
    <t>PCA9306DTR2G</t>
  </si>
  <si>
    <t>U23</t>
  </si>
  <si>
    <t>NLSX3018DTR2G</t>
  </si>
  <si>
    <t>TSSOP-20_4.4x6.5mm_P0.65mm</t>
  </si>
  <si>
    <t>U24,U25</t>
  </si>
  <si>
    <t>TXS0108EPW</t>
  </si>
  <si>
    <t>TXS0108EPWR</t>
  </si>
  <si>
    <t>U26,U27</t>
  </si>
  <si>
    <t>TCA9555</t>
  </si>
  <si>
    <t>SSOP-24_5.3x8.2mm_P0.65mm</t>
  </si>
  <si>
    <t>TCA9555DBR</t>
  </si>
  <si>
    <t>U28,U30,U32,U34</t>
  </si>
  <si>
    <t>AD7961BCPZ-RL7</t>
  </si>
  <si>
    <t>QFN-32-1EP_5x5mm_P0.5mm_EP3.1x3.1mm</t>
  </si>
  <si>
    <t>U29,U31,U33,U35</t>
  </si>
  <si>
    <t>OPA325</t>
  </si>
  <si>
    <t>SOT-23-5</t>
  </si>
  <si>
    <t>OPA325IDBVR</t>
  </si>
  <si>
    <t>U36,U39,U42,U45,U48,U51</t>
  </si>
  <si>
    <t>TMUX6111PWR</t>
  </si>
  <si>
    <t>U37,U40,U43,U46,U49,U52</t>
  </si>
  <si>
    <t>AD5453</t>
  </si>
  <si>
    <t>TSOT-23-8</t>
  </si>
  <si>
    <t>AD5453YUJZ-REEL7</t>
  </si>
  <si>
    <t>U5,U58</t>
  </si>
  <si>
    <t>DAC80508ZRTER</t>
  </si>
  <si>
    <t>WQFN-16-1EP_3x3mm_P0.5mm_EP1.6x1.6mm</t>
  </si>
  <si>
    <t>DAC80508ZCRTET</t>
  </si>
  <si>
    <t>U1-U4,U6-U9,U38,U41,U44,U47,U50,U53</t>
  </si>
  <si>
    <t>OPA2156xD</t>
  </si>
  <si>
    <t>OPA2156IDR</t>
  </si>
  <si>
    <t>Total Purchase:</t>
  </si>
  <si>
    <t>Purchase description:</t>
  </si>
  <si>
    <t>Used currency rates:</t>
  </si>
  <si>
    <t>USD($)/GBP(£):</t>
  </si>
  <si>
    <t>Prj:</t>
  </si>
  <si>
    <t>covg_daq_v2.xml</t>
  </si>
  <si>
    <t>Co.:</t>
  </si>
  <si>
    <t>Prj date:</t>
  </si>
  <si>
    <t>Thursday, 12 August 2021 at 16:47:09</t>
  </si>
  <si>
    <t>Board Qty:</t>
  </si>
  <si>
    <t>Total Cost:</t>
  </si>
  <si>
    <t>Unit Cost:</t>
  </si>
  <si>
    <t>$ date:</t>
  </si>
  <si>
    <t>2021-08-12 16:48:54</t>
  </si>
  <si>
    <t>Arrow</t>
  </si>
  <si>
    <t>Avail</t>
  </si>
  <si>
    <t>Purch</t>
  </si>
  <si>
    <t>Cat#</t>
  </si>
  <si>
    <t>Digi-Key</t>
  </si>
  <si>
    <t>1276-7005-1-ND</t>
  </si>
  <si>
    <t>311-1051-1-ND</t>
  </si>
  <si>
    <t>587-6294-1-ND</t>
  </si>
  <si>
    <t>1276-1859-1-ND</t>
  </si>
  <si>
    <t>311-1064-1-ND</t>
  </si>
  <si>
    <t>311-3572-1-ND</t>
  </si>
  <si>
    <t>587-6025-1-ND</t>
  </si>
  <si>
    <t>587-JMK107ABJ106KAHTCT-ND</t>
  </si>
  <si>
    <t>NonStk</t>
  </si>
  <si>
    <t>311-1745-1-ND</t>
  </si>
  <si>
    <t>490-GRM21BR70J106KA73LCT-ND</t>
  </si>
  <si>
    <t>587-6012-1-ND</t>
  </si>
  <si>
    <t>1276-1931-1-ND</t>
  </si>
  <si>
    <t>311-1423-1-ND</t>
  </si>
  <si>
    <t>MBRM120LT3GOSCT-ND</t>
  </si>
  <si>
    <t>732-1628-1-ND</t>
  </si>
  <si>
    <t>490-1055-1-ND</t>
  </si>
  <si>
    <t>296-ADS8686SIPZARCT-ND</t>
  </si>
  <si>
    <t>296-36691-1-ND</t>
  </si>
  <si>
    <t>609-4614-1-ND</t>
  </si>
  <si>
    <t>WM20549-ND</t>
  </si>
  <si>
    <t>H10254-ND</t>
  </si>
  <si>
    <t>CP-002BH-ND</t>
  </si>
  <si>
    <t>WM23617-ND</t>
  </si>
  <si>
    <t>ED10568-ND</t>
  </si>
  <si>
    <t>WM26450-ND</t>
  </si>
  <si>
    <t>PRT-14417-ND</t>
  </si>
  <si>
    <t>23-0878331220-ND</t>
  </si>
  <si>
    <t>SRR4018-4R7YCT-ND</t>
  </si>
  <si>
    <t>587-2409-1-ND</t>
  </si>
  <si>
    <t>SRR6028-150YCT-ND</t>
  </si>
  <si>
    <t>SAM9190-ND</t>
  </si>
  <si>
    <t>BC856B-7FDICT-ND</t>
  </si>
  <si>
    <t>311-33.0HRCT-ND</t>
  </si>
  <si>
    <t>311-49.9KHRCT-ND</t>
  </si>
  <si>
    <t>311-243KHRCT-ND</t>
  </si>
  <si>
    <t>311-121KHRCT-ND</t>
  </si>
  <si>
    <t>311-37.4KHRCT-ND</t>
  </si>
  <si>
    <t>541-5584-1-ND</t>
  </si>
  <si>
    <t>541-5390-1-ND</t>
  </si>
  <si>
    <t>311-20.0KHRCT-ND</t>
  </si>
  <si>
    <t>311-2.00KHRCT-ND</t>
  </si>
  <si>
    <t>408-2037-1-ND</t>
  </si>
  <si>
    <t>311-49.9HRCT-ND</t>
  </si>
  <si>
    <t>311-10.0KHRCT-ND</t>
  </si>
  <si>
    <t>311-232KHRCT-ND</t>
  </si>
  <si>
    <t>311-4.70KHRCT-ND</t>
  </si>
  <si>
    <t>311-249KHRCT-ND</t>
  </si>
  <si>
    <t>311-15.0KHRCT-ND</t>
  </si>
  <si>
    <t>311-3.30KHRCT-ND</t>
  </si>
  <si>
    <t>311-1.00KHRCT-ND</t>
  </si>
  <si>
    <t>311-100HRCT-ND</t>
  </si>
  <si>
    <t>311-0.0HRCT-ND</t>
  </si>
  <si>
    <t>311-100KHRCT-ND</t>
  </si>
  <si>
    <t>311-30.1KHRCT-ND</t>
  </si>
  <si>
    <t>296-53265-1-ND</t>
  </si>
  <si>
    <t>296-OPA991SIDBVRCT-ND</t>
  </si>
  <si>
    <t>LT3471EDD#PBF-ND</t>
  </si>
  <si>
    <t>LP38692MPX-5.0/NOPBCT-ND</t>
  </si>
  <si>
    <t>LP38693MP-3.3/NOPBCT-ND</t>
  </si>
  <si>
    <t>LM2937IMPX-15/NOPBCT-ND</t>
  </si>
  <si>
    <t>MAX6070BAUT21+TCT-ND</t>
  </si>
  <si>
    <t>LP38693MP-1.8/NOPBCT-ND</t>
  </si>
  <si>
    <t>MC79M15BDTRKGOSCT-ND</t>
  </si>
  <si>
    <t>LP38693MP-2.5/NOPBCT-ND</t>
  </si>
  <si>
    <t>24AA025UIDT-I/SNCT-ND</t>
  </si>
  <si>
    <t>PCA9306DTR2GOSCT-ND</t>
  </si>
  <si>
    <t>NLSX3018DTR2GOSCT-ND</t>
  </si>
  <si>
    <t>296-23011-1-ND</t>
  </si>
  <si>
    <t>296-44626-1-ND</t>
  </si>
  <si>
    <t>AD7961BCPZ-RL7CT-ND</t>
  </si>
  <si>
    <t>296-OPA325IDBVRCT-ND</t>
  </si>
  <si>
    <t>296-53259-1-ND</t>
  </si>
  <si>
    <t>AD5453YUJZ-REEL7CT-ND</t>
  </si>
  <si>
    <t>296-52292-1-ND</t>
  </si>
  <si>
    <t>296-OPA2156IDRCT-ND</t>
  </si>
  <si>
    <t>Farnell</t>
  </si>
  <si>
    <t>3216484</t>
  </si>
  <si>
    <t>722029</t>
  </si>
  <si>
    <t>3759766</t>
  </si>
  <si>
    <t>3217603</t>
  </si>
  <si>
    <t>3366802</t>
  </si>
  <si>
    <t>3369198</t>
  </si>
  <si>
    <t>3217571</t>
  </si>
  <si>
    <t>3369207</t>
  </si>
  <si>
    <t>1459064</t>
  </si>
  <si>
    <t>3237530</t>
  </si>
  <si>
    <t>1401077</t>
  </si>
  <si>
    <t>3004816</t>
  </si>
  <si>
    <t>2751197</t>
  </si>
  <si>
    <t>2612349</t>
  </si>
  <si>
    <t>3051747</t>
  </si>
  <si>
    <t>3373398</t>
  </si>
  <si>
    <t>1836654</t>
  </si>
  <si>
    <t>3658493</t>
  </si>
  <si>
    <t>1773623</t>
  </si>
  <si>
    <t>9238301</t>
  </si>
  <si>
    <t>3495856</t>
  </si>
  <si>
    <t>3495765</t>
  </si>
  <si>
    <t>3495801</t>
  </si>
  <si>
    <t>1799347</t>
  </si>
  <si>
    <t>9238603</t>
  </si>
  <si>
    <t>9238565</t>
  </si>
  <si>
    <t>3495741</t>
  </si>
  <si>
    <t>9238549</t>
  </si>
  <si>
    <t>9238484</t>
  </si>
  <si>
    <t>1117234</t>
  </si>
  <si>
    <t>9238360</t>
  </si>
  <si>
    <t>2309106</t>
  </si>
  <si>
    <t>2363474</t>
  </si>
  <si>
    <t>3495809</t>
  </si>
  <si>
    <t>1663557</t>
  </si>
  <si>
    <t>3007676</t>
  </si>
  <si>
    <t>3007531</t>
  </si>
  <si>
    <t>2799180</t>
  </si>
  <si>
    <t>3007675</t>
  </si>
  <si>
    <t>2464366</t>
  </si>
  <si>
    <t>3589524</t>
  </si>
  <si>
    <t>2464616</t>
  </si>
  <si>
    <t>3610653</t>
  </si>
  <si>
    <t>3120988</t>
  </si>
  <si>
    <t>3124763</t>
  </si>
  <si>
    <t>LCSC</t>
  </si>
  <si>
    <t>C472780</t>
  </si>
  <si>
    <t>C92606</t>
  </si>
  <si>
    <t>C650947</t>
  </si>
  <si>
    <t>C319196</t>
  </si>
  <si>
    <t>C236085</t>
  </si>
  <si>
    <t>C88997</t>
  </si>
  <si>
    <t>C493445</t>
  </si>
  <si>
    <t>C222919</t>
  </si>
  <si>
    <t>C260879</t>
  </si>
  <si>
    <t>C107839</t>
  </si>
  <si>
    <t>C130904</t>
  </si>
  <si>
    <t>C463618</t>
  </si>
  <si>
    <t>C17206</t>
  </si>
  <si>
    <t>Mouser</t>
  </si>
  <si>
    <t>187CL10C050CB81PNC</t>
  </si>
  <si>
    <t>603CC603CRNPO9BN2R0</t>
  </si>
  <si>
    <t>963TMK107BBJ475MAT</t>
  </si>
  <si>
    <t>187CL10A105KA8NFNC</t>
  </si>
  <si>
    <t>603C0603JRNPO9BN330</t>
  </si>
  <si>
    <t>603CC603KRX5R8BB334</t>
  </si>
  <si>
    <t>963TMK212BBJ106MGT</t>
  </si>
  <si>
    <t>963JMK107ABJ106KAHT</t>
  </si>
  <si>
    <t>603CC603JRNPO0BN101</t>
  </si>
  <si>
    <t>81GRM21BR70J106KA3L</t>
  </si>
  <si>
    <t>963JMK107ABJ106KAT</t>
  </si>
  <si>
    <t>187CL10B104KA8NFNC</t>
  </si>
  <si>
    <t>603C0603JRNPO9BN102</t>
  </si>
  <si>
    <t>863MBRM120LT3G</t>
  </si>
  <si>
    <t>710742792117</t>
  </si>
  <si>
    <t>81BLM31P500S</t>
  </si>
  <si>
    <t>595ADS8686SIPZAR</t>
  </si>
  <si>
    <t>595OPA1662AIDGKR</t>
  </si>
  <si>
    <t>64910029449111RLF</t>
  </si>
  <si>
    <t>538878331419</t>
  </si>
  <si>
    <t>798DF1124DP2DS24</t>
  </si>
  <si>
    <t>490PJ002BH</t>
  </si>
  <si>
    <t>538877591064</t>
  </si>
  <si>
    <t>538733910083</t>
  </si>
  <si>
    <t>474PRT14417</t>
  </si>
  <si>
    <t>538878331220</t>
  </si>
  <si>
    <t>652SRR40184R7Y</t>
  </si>
  <si>
    <t>963NRS5020T100MMGJ</t>
  </si>
  <si>
    <t>652SRR6028150Y</t>
  </si>
  <si>
    <t>200BTE04002FDA</t>
  </si>
  <si>
    <t>621BC856B7F</t>
  </si>
  <si>
    <t>603RC0603FR0733RL</t>
  </si>
  <si>
    <t>603RC0603FR0749K9L</t>
  </si>
  <si>
    <t>603RC0603FR07243KL</t>
  </si>
  <si>
    <t>603RC0603FR07121KL</t>
  </si>
  <si>
    <t>603RC0603FR0737K4L</t>
  </si>
  <si>
    <t>71CRCW06038K25FKEAC</t>
  </si>
  <si>
    <t>71CRCW06033K24FKEAC</t>
  </si>
  <si>
    <t>603RC0603FR0720KL</t>
  </si>
  <si>
    <t>603RC0603FR072KL</t>
  </si>
  <si>
    <t>754RG3216P4704BT1</t>
  </si>
  <si>
    <t>603RC0603FR0749R9L</t>
  </si>
  <si>
    <t>603RC0603FR0710KL</t>
  </si>
  <si>
    <t>603RC0603FR07232KL</t>
  </si>
  <si>
    <t>603RC0603FR074K7L</t>
  </si>
  <si>
    <t>603RC0603FR07249KL</t>
  </si>
  <si>
    <t>603RC0603FR0715KL</t>
  </si>
  <si>
    <t>603RC0603FR073K3L</t>
  </si>
  <si>
    <t>603RC0603FR071KL</t>
  </si>
  <si>
    <t>603RC0603FR07100RL</t>
  </si>
  <si>
    <t>603RC0603FR070RL</t>
  </si>
  <si>
    <t>603RC0603FR07100KL</t>
  </si>
  <si>
    <t>603RC0603FR0730K1L</t>
  </si>
  <si>
    <t>595TMUX6136PWR</t>
  </si>
  <si>
    <t>595OPA991SIDBVR</t>
  </si>
  <si>
    <t>584LT3471EDD#PBF</t>
  </si>
  <si>
    <t>926LP38692MPX50NOPB</t>
  </si>
  <si>
    <t>92638693MP3.3/NOPB</t>
  </si>
  <si>
    <t>926LM2937IMPX15NOPB</t>
  </si>
  <si>
    <t>700MAX6070BAUT21+T</t>
  </si>
  <si>
    <t>92638693MP1.8/NOPB</t>
  </si>
  <si>
    <t>863MC79M15BDTRKG</t>
  </si>
  <si>
    <t>926LP38693MP25NOPB</t>
  </si>
  <si>
    <t>57924AA025UIDTI/SN</t>
  </si>
  <si>
    <t>863PCA9306DTR2G</t>
  </si>
  <si>
    <t>863NLSX3018DTR2G</t>
  </si>
  <si>
    <t>595TXS0108EPWR</t>
  </si>
  <si>
    <t>595TCA9555DBR</t>
  </si>
  <si>
    <t>595OPA325IDBVR</t>
  </si>
  <si>
    <t>595TMUX6111PWR</t>
  </si>
  <si>
    <t>584AD5453YUJZR7</t>
  </si>
  <si>
    <t>595DAC80508ZCRTET</t>
  </si>
  <si>
    <t>595OPA2156IDR</t>
  </si>
  <si>
    <t>Newark</t>
  </si>
  <si>
    <t>02AH5384</t>
  </si>
  <si>
    <t>46WX091</t>
  </si>
  <si>
    <t>50AJ2703</t>
  </si>
  <si>
    <t>08AH2212</t>
  </si>
  <si>
    <t>52AH6806</t>
  </si>
  <si>
    <t>40AJ6403</t>
  </si>
  <si>
    <t>08AH2174</t>
  </si>
  <si>
    <t>68R4714</t>
  </si>
  <si>
    <t>58M8744</t>
  </si>
  <si>
    <t>66AH2677</t>
  </si>
  <si>
    <t>29AH1195</t>
  </si>
  <si>
    <t>76T8273</t>
  </si>
  <si>
    <t>94M2014</t>
  </si>
  <si>
    <t>57R2447</t>
  </si>
  <si>
    <t>97Y3850</t>
  </si>
  <si>
    <t>01AH8802</t>
  </si>
  <si>
    <t>44AC2007</t>
  </si>
  <si>
    <t>84R3585</t>
  </si>
  <si>
    <t>14P7435</t>
  </si>
  <si>
    <t>55T1088</t>
  </si>
  <si>
    <t>51R6401</t>
  </si>
  <si>
    <t>26M6756</t>
  </si>
  <si>
    <t>82AH8171</t>
  </si>
  <si>
    <t>59AC3146</t>
  </si>
  <si>
    <t>82AH8092</t>
  </si>
  <si>
    <t>82AH8079</t>
  </si>
  <si>
    <t>82AH8172</t>
  </si>
  <si>
    <t>68R0049</t>
  </si>
  <si>
    <t>68R0092</t>
  </si>
  <si>
    <t>68R0059</t>
  </si>
  <si>
    <t>98K7393</t>
  </si>
  <si>
    <t>68R0042</t>
  </si>
  <si>
    <t>68R0052</t>
  </si>
  <si>
    <t>50Y7761</t>
  </si>
  <si>
    <t>68R0051</t>
  </si>
  <si>
    <t>82AH8128</t>
  </si>
  <si>
    <t>28AH3744</t>
  </si>
  <si>
    <t>28AH3261</t>
  </si>
  <si>
    <t>38AC1799</t>
  </si>
  <si>
    <t>28AH3743</t>
  </si>
  <si>
    <t>42Y0688</t>
  </si>
  <si>
    <t>70W1671</t>
  </si>
  <si>
    <t>42Y0913</t>
  </si>
  <si>
    <t>52R8696</t>
  </si>
  <si>
    <t>38AH6426</t>
  </si>
  <si>
    <t>26AJ9813</t>
  </si>
  <si>
    <t>RS Components</t>
  </si>
  <si>
    <t>1843402</t>
  </si>
  <si>
    <t>2006491</t>
  </si>
  <si>
    <t>1843756</t>
  </si>
  <si>
    <t>2006470</t>
  </si>
  <si>
    <t>7815812</t>
  </si>
  <si>
    <t>7241589</t>
  </si>
  <si>
    <t>1822113</t>
  </si>
  <si>
    <t>6888966</t>
  </si>
  <si>
    <t>8411827</t>
  </si>
  <si>
    <t>2134781</t>
  </si>
  <si>
    <t>1798735</t>
  </si>
  <si>
    <t>7114850</t>
  </si>
  <si>
    <t>1995548</t>
  </si>
  <si>
    <t>1995587</t>
  </si>
  <si>
    <t>1995490</t>
  </si>
  <si>
    <t>1995589</t>
  </si>
  <si>
    <t>1995443</t>
  </si>
  <si>
    <t>1995594</t>
  </si>
  <si>
    <t>1995564</t>
  </si>
  <si>
    <t>1995479</t>
  </si>
  <si>
    <t>1995440</t>
  </si>
  <si>
    <t>1995438</t>
  </si>
  <si>
    <t>7112579</t>
  </si>
  <si>
    <t>5379200</t>
  </si>
  <si>
    <t>7857162</t>
  </si>
  <si>
    <t>7470936</t>
  </si>
  <si>
    <t>7094639</t>
  </si>
  <si>
    <t>TME</t>
  </si>
  <si>
    <t>CC0603JRNPO9330</t>
  </si>
  <si>
    <t>CC0603JRNPO9102</t>
  </si>
  <si>
    <t>DF1124DP2DS24</t>
  </si>
  <si>
    <t>MX733910083</t>
  </si>
  <si>
    <t>BC856B7F</t>
  </si>
  <si>
    <t>RC0603FR0733RL</t>
  </si>
  <si>
    <t>RC0603FR0749K9L</t>
  </si>
  <si>
    <t>RC0603FR0737K4</t>
  </si>
  <si>
    <t>RC0603FR0720K</t>
  </si>
  <si>
    <t>RC0603FR072K</t>
  </si>
  <si>
    <t>RC0603FR0749R9L</t>
  </si>
  <si>
    <t>RC0603FR0710K</t>
  </si>
  <si>
    <t>RC0603FR074K7</t>
  </si>
  <si>
    <t>RC0603FR0715K</t>
  </si>
  <si>
    <t>RC0603FR073K3</t>
  </si>
  <si>
    <t>RC0603FR071K</t>
  </si>
  <si>
    <t>RC0603FR07100R</t>
  </si>
  <si>
    <t>RC0603FR070RL</t>
  </si>
  <si>
    <t>RC0603FR07100K</t>
  </si>
  <si>
    <t>RC0603FR0730K1L</t>
  </si>
  <si>
    <t>LT3471EDDPBF</t>
  </si>
  <si>
    <t>LP38693MP3.3/NOPB</t>
  </si>
  <si>
    <t>KiCost® v.1.1.4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</si>
</sst>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09090"/>
      <name val="Calibri"/>
      <family val="2"/>
      <scheme val="minor"/>
    </font>
    <font>
      <sz val="8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1166DD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8" fillId="0" borderId="0" xfId="1" applyAlignment="1" applyProtection="1"/>
    <xf numFmtId="0" fontId="9" fillId="0" borderId="0" xfId="0" applyFont="1" applyAlignment="1">
      <alignment horizontal="right" vertical="center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5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ctopart.com/click/track?c=1&amp;ai=8078&amp;sig=04f4efc&amp;sid=459&amp;ppid=82337119&amp;vpid=426278048&amp;ct=offers" TargetMode="External"/><Relationship Id="rId2" Type="http://schemas.openxmlformats.org/officeDocument/2006/relationships/hyperlink" Target="https://octopart.com/click/track?ai=8078&amp;sig=03d529f&amp;sid=27971&amp;ppid=82337119&amp;vpid=609065204&amp;ct=offers" TargetMode="External"/><Relationship Id="rId3" Type="http://schemas.openxmlformats.org/officeDocument/2006/relationships/hyperlink" Target="https://octopart.com/click/track?ai=8078&amp;sig=0dd1f6c&amp;sid=2401&amp;ppid=82337119&amp;vpid=726965751&amp;ct=offers" TargetMode="External"/><Relationship Id="rId4" Type="http://schemas.openxmlformats.org/officeDocument/2006/relationships/hyperlink" Target="http://datasheet.octopart.com/CC0603CRNPO9BN2R0-Yageo-datasheet-8324240.pdf" TargetMode="External"/><Relationship Id="rId5" Type="http://schemas.openxmlformats.org/officeDocument/2006/relationships/hyperlink" Target="https://octopart.com/click/track?ai=8078&amp;sig=0a5771b&amp;sid=459&amp;ppid=9289254&amp;vpid=45680521&amp;ct=offers" TargetMode="External"/><Relationship Id="rId6" Type="http://schemas.openxmlformats.org/officeDocument/2006/relationships/hyperlink" Target="https://octopart.com/click/track?ai=8078&amp;sig=02a9eb8&amp;sid=2401&amp;ppid=9289254&amp;vpid=45350886&amp;ct=offers" TargetMode="External"/><Relationship Id="rId7" Type="http://schemas.openxmlformats.org/officeDocument/2006/relationships/hyperlink" Target="http://datasheet.octopart.com/TMK107BBJ475MA-T-Taiyo-Yuden-datasheet-154844406.pdf" TargetMode="External"/><Relationship Id="rId8" Type="http://schemas.openxmlformats.org/officeDocument/2006/relationships/hyperlink" Target="https://octopart.com/click/track?ai=8078&amp;sig=00ee272&amp;sid=459&amp;ppid=66986889&amp;vpid=531499292&amp;ct=offers" TargetMode="External"/><Relationship Id="rId9" Type="http://schemas.openxmlformats.org/officeDocument/2006/relationships/hyperlink" Target="https://octopart.com/click/track?ai=8078&amp;sig=0ac1d0b&amp;sid=11744&amp;ppid=66986889&amp;vpid=575115875&amp;ct=offers" TargetMode="External"/><Relationship Id="rId10" Type="http://schemas.openxmlformats.org/officeDocument/2006/relationships/hyperlink" Target="https://octopart.com/click/track?ai=8078&amp;sig=0c29864&amp;sid=2401&amp;ppid=66986889&amp;vpid=530166568&amp;ct=offers" TargetMode="External"/><Relationship Id="rId11" Type="http://schemas.openxmlformats.org/officeDocument/2006/relationships/hyperlink" Target="https://octopart.com/click/track?ai=8078&amp;sig=07ed694&amp;sid=2402&amp;ppid=66986889&amp;vpid=547465714&amp;ct=offers" TargetMode="External"/><Relationship Id="rId12" Type="http://schemas.openxmlformats.org/officeDocument/2006/relationships/hyperlink" Target="https://octopart.com/click/track?ai=8078&amp;sig=0d604ac&amp;sid=10022&amp;ppid=66986889&amp;vpid=533260265&amp;ct=offers" TargetMode="External"/><Relationship Id="rId13" Type="http://schemas.openxmlformats.org/officeDocument/2006/relationships/hyperlink" Target="http://datasheet.octopart.com/CL10A105KA8NFNC-Samsung-Electro-Mechanics-datasheet-101324222.pdf" TargetMode="External"/><Relationship Id="rId14" Type="http://schemas.openxmlformats.org/officeDocument/2006/relationships/hyperlink" Target="https://octopart.com/click/track?ai=8078&amp;sig=0d4dca6&amp;sid=459&amp;ppid=24957877&amp;vpid=72523539&amp;ct=offers" TargetMode="External"/><Relationship Id="rId15" Type="http://schemas.openxmlformats.org/officeDocument/2006/relationships/hyperlink" Target="https://octopart.com/click/track?ai=8078&amp;sig=0db6089&amp;sid=2401&amp;ppid=24957877&amp;vpid=659501014&amp;ct=offers" TargetMode="External"/><Relationship Id="rId16" Type="http://schemas.openxmlformats.org/officeDocument/2006/relationships/hyperlink" Target="http://datasheet.octopart.com/CC0603JRNPO9BN330-Yageo-datasheet-151948684.pdf" TargetMode="External"/><Relationship Id="rId17" Type="http://schemas.openxmlformats.org/officeDocument/2006/relationships/hyperlink" Target="https://octopart.com/click/track?ai=8078&amp;sig=034270c&amp;sid=459&amp;ppid=39467676&amp;vpid=114982396&amp;ct=offers" TargetMode="External"/><Relationship Id="rId18" Type="http://schemas.openxmlformats.org/officeDocument/2006/relationships/hyperlink" Target="https://octopart.com/click/track?ai=8078&amp;sig=06ce614&amp;sid=11744&amp;ppid=39467676&amp;vpid=480397627&amp;ct=offers" TargetMode="External"/><Relationship Id="rId19" Type="http://schemas.openxmlformats.org/officeDocument/2006/relationships/hyperlink" Target="https://octopart.com/click/track?ai=8078&amp;sig=0b62136&amp;sid=2401&amp;ppid=39467676&amp;vpid=174191287&amp;ct=offers" TargetMode="External"/><Relationship Id="rId20" Type="http://schemas.openxmlformats.org/officeDocument/2006/relationships/hyperlink" Target="https://octopart.com/click/track?ai=8078&amp;sig=0c07e96&amp;sid=2402&amp;ppid=39467676&amp;vpid=115423483&amp;ct=offers" TargetMode="External"/><Relationship Id="rId21" Type="http://schemas.openxmlformats.org/officeDocument/2006/relationships/hyperlink" Target="https://octopart.com/click/track?ai=8078&amp;sig=0dd4645&amp;sid=10022&amp;ppid=39467676&amp;vpid=635571336&amp;ct=offers" TargetMode="External"/><Relationship Id="rId22" Type="http://schemas.openxmlformats.org/officeDocument/2006/relationships/hyperlink" Target="https://octopart.com/click/track?ai=8078&amp;sig=0f59e6f&amp;sid=1532&amp;ppid=39467676&amp;vpid=709256884&amp;ct=offers" TargetMode="External"/><Relationship Id="rId23" Type="http://schemas.openxmlformats.org/officeDocument/2006/relationships/hyperlink" Target="http://datasheet.octopart.com/CC0603KRX5R8BB334-Yageo-datasheet-10911834.pdf" TargetMode="External"/><Relationship Id="rId24" Type="http://schemas.openxmlformats.org/officeDocument/2006/relationships/hyperlink" Target="https://octopart.com/click/track?ai=8078&amp;sig=0274072&amp;sid=459&amp;ppid=9288159&amp;vpid=447293190&amp;ct=offers" TargetMode="External"/><Relationship Id="rId25" Type="http://schemas.openxmlformats.org/officeDocument/2006/relationships/hyperlink" Target="https://octopart.com/click/track?c=1&amp;ai=8078&amp;sig=0a1340c&amp;sid=11744&amp;ppid=9288159&amp;vpid=718348320&amp;ct=offers" TargetMode="External"/><Relationship Id="rId26" Type="http://schemas.openxmlformats.org/officeDocument/2006/relationships/hyperlink" Target="https://octopart.com/click/track?ai=8078&amp;sig=019063a&amp;sid=2401&amp;ppid=9288159&amp;vpid=45350889&amp;ct=offers" TargetMode="External"/><Relationship Id="rId27" Type="http://schemas.openxmlformats.org/officeDocument/2006/relationships/hyperlink" Target="https://octopart.com/click/track?c=1&amp;ai=8078&amp;sig=07d2095&amp;sid=2402&amp;ppid=9288159&amp;vpid=719401242&amp;ct=offers" TargetMode="External"/><Relationship Id="rId28" Type="http://schemas.openxmlformats.org/officeDocument/2006/relationships/hyperlink" Target="http://datasheet.octopart.com/TMK212BBJ106MG-T-Taiyo-Yuden-datasheet-140424376.pdf" TargetMode="External"/><Relationship Id="rId29" Type="http://schemas.openxmlformats.org/officeDocument/2006/relationships/hyperlink" Target="https://octopart.com/click/track?ai=8078&amp;sig=01aa6bb&amp;sid=459&amp;ppid=23272761&amp;vpid=457505722&amp;ct=offers" TargetMode="External"/><Relationship Id="rId30" Type="http://schemas.openxmlformats.org/officeDocument/2006/relationships/hyperlink" Target="https://octopart.com/click/track?ai=8078&amp;sig=0e4fe1c&amp;sid=11744&amp;ppid=23272761&amp;vpid=575115884&amp;ct=offers" TargetMode="External"/><Relationship Id="rId31" Type="http://schemas.openxmlformats.org/officeDocument/2006/relationships/hyperlink" Target="https://octopart.com/click/track?ai=8078&amp;sig=0d7bd78&amp;sid=27971&amp;ppid=23272761&amp;vpid=445985055&amp;ct=offers" TargetMode="External"/><Relationship Id="rId32" Type="http://schemas.openxmlformats.org/officeDocument/2006/relationships/hyperlink" Target="https://octopart.com/click/track?c=1&amp;ai=8078&amp;sig=0b897de&amp;sid=2401&amp;ppid=23272761&amp;vpid=410758702&amp;ct=offers" TargetMode="External"/><Relationship Id="rId33" Type="http://schemas.openxmlformats.org/officeDocument/2006/relationships/hyperlink" Target="https://octopart.com/click/track?ai=8078&amp;sig=021c7f0&amp;sid=2402&amp;ppid=23272761&amp;vpid=573253041&amp;ct=offers" TargetMode="External"/><Relationship Id="rId34" Type="http://schemas.openxmlformats.org/officeDocument/2006/relationships/hyperlink" Target="https://octopart.com/click/track?ai=8078&amp;sig=03bb1e6&amp;sid=10022&amp;ppid=23272761&amp;vpid=533260286&amp;ct=offers" TargetMode="External"/><Relationship Id="rId35" Type="http://schemas.openxmlformats.org/officeDocument/2006/relationships/hyperlink" Target="http://datasheet.octopart.com/JMK107ABJ106KAHT-Taiyo-Yuden-datasheet-140424376.pdf" TargetMode="External"/><Relationship Id="rId36" Type="http://schemas.openxmlformats.org/officeDocument/2006/relationships/hyperlink" Target="https://octopart.com/click/track?c=1&amp;ai=8078&amp;sig=03185f2&amp;sid=459&amp;ppid=101841647&amp;vpid=590811503&amp;ct=offers" TargetMode="External"/><Relationship Id="rId37" Type="http://schemas.openxmlformats.org/officeDocument/2006/relationships/hyperlink" Target="https://octopart.com/click/track?ai=8078&amp;sig=0b38ae0&amp;sid=11744&amp;ppid=101841647&amp;vpid=607745657&amp;ct=offers" TargetMode="External"/><Relationship Id="rId38" Type="http://schemas.openxmlformats.org/officeDocument/2006/relationships/hyperlink" Target="https://octopart.com/click/track?ai=8078&amp;sig=018e261&amp;sid=27971&amp;ppid=101841647&amp;vpid=629796191&amp;ct=offers" TargetMode="External"/><Relationship Id="rId39" Type="http://schemas.openxmlformats.org/officeDocument/2006/relationships/hyperlink" Target="https://octopart.com/click/track?ai=8078&amp;sig=0ac63b8&amp;sid=2401&amp;ppid=101841647&amp;vpid=587590519&amp;ct=offers" TargetMode="External"/><Relationship Id="rId40" Type="http://schemas.openxmlformats.org/officeDocument/2006/relationships/hyperlink" Target="https://octopart.com/click/track?ai=8078&amp;sig=0e10bba&amp;sid=2402&amp;ppid=101841647&amp;vpid=605051361&amp;ct=offers" TargetMode="External"/><Relationship Id="rId41" Type="http://schemas.openxmlformats.org/officeDocument/2006/relationships/hyperlink" Target="http://datasheet.octopart.com/CC0603JRNPO0BN101-Yageo-datasheet-101324229.pdf" TargetMode="External"/><Relationship Id="rId42" Type="http://schemas.openxmlformats.org/officeDocument/2006/relationships/hyperlink" Target="https://octopart.com/click/track?c=1&amp;ai=8078&amp;sig=0e4867d&amp;sid=459&amp;ppid=11543579&amp;vpid=193846322&amp;ct=offers" TargetMode="External"/><Relationship Id="rId43" Type="http://schemas.openxmlformats.org/officeDocument/2006/relationships/hyperlink" Target="https://octopart.com/click/track?c=1&amp;ai=8078&amp;sig=02852b2&amp;sid=11744&amp;ppid=11543579&amp;vpid=667996741&amp;ct=offers" TargetMode="External"/><Relationship Id="rId44" Type="http://schemas.openxmlformats.org/officeDocument/2006/relationships/hyperlink" Target="https://octopart.com/click/track?ai=8078&amp;sig=005f3ae&amp;sid=2401&amp;ppid=11543579&amp;vpid=193535554&amp;ct=offers" TargetMode="External"/><Relationship Id="rId45" Type="http://schemas.openxmlformats.org/officeDocument/2006/relationships/hyperlink" Target="https://octopart.com/click/track?c=1&amp;ai=8078&amp;sig=072427d&amp;sid=2402&amp;ppid=11543579&amp;vpid=717119498&amp;ct=offers" TargetMode="External"/><Relationship Id="rId46" Type="http://schemas.openxmlformats.org/officeDocument/2006/relationships/hyperlink" Target="http://datasheet.octopart.com/GRM21BR70J106KA73L-Murata-datasheet-141278304.pdf" TargetMode="External"/><Relationship Id="rId47" Type="http://schemas.openxmlformats.org/officeDocument/2006/relationships/hyperlink" Target="https://octopart.com/click/track?c=1&amp;ai=8078&amp;sig=0af36b2&amp;sid=459&amp;ppid=57368793&amp;vpid=705644533&amp;ct=offers" TargetMode="External"/><Relationship Id="rId48" Type="http://schemas.openxmlformats.org/officeDocument/2006/relationships/hyperlink" Target="https://octopart.com/click/track?ai=8078&amp;sig=0eaf062&amp;sid=2401&amp;ppid=57368793&amp;vpid=253484386&amp;ct=offers" TargetMode="External"/><Relationship Id="rId49" Type="http://schemas.openxmlformats.org/officeDocument/2006/relationships/hyperlink" Target="http://sigma.octopart.com/151625811/technical_drawing/Taiyo-Yuden-JMK107ABJ106KA-T.pdf" TargetMode="External"/><Relationship Id="rId50" Type="http://schemas.openxmlformats.org/officeDocument/2006/relationships/hyperlink" Target="https://octopart.com/click/track?c=1&amp;ai=8078&amp;sig=04820b1&amp;sid=459&amp;ppid=75346050&amp;vpid=457505681&amp;ct=offers" TargetMode="External"/><Relationship Id="rId51" Type="http://schemas.openxmlformats.org/officeDocument/2006/relationships/hyperlink" Target="https://octopart.com/click/track?c=1&amp;ai=8078&amp;sig=005e9a0&amp;sid=819&amp;ppid=75346050&amp;vpid=575183996&amp;ct=offers" TargetMode="External"/><Relationship Id="rId52" Type="http://schemas.openxmlformats.org/officeDocument/2006/relationships/hyperlink" Target="https://octopart.com/click/track?ai=8078&amp;sig=095a358&amp;sid=27971&amp;ppid=75346050&amp;vpid=507190495&amp;ct=offers" TargetMode="External"/><Relationship Id="rId53" Type="http://schemas.openxmlformats.org/officeDocument/2006/relationships/hyperlink" Target="https://octopart.com/click/track?ai=8078&amp;sig=0e2e592&amp;sid=2401&amp;ppid=75346050&amp;vpid=410536848&amp;ct=offers" TargetMode="External"/><Relationship Id="rId54" Type="http://schemas.openxmlformats.org/officeDocument/2006/relationships/hyperlink" Target="https://octopart.com/click/track?c=1&amp;ai=8078&amp;sig=08c5803&amp;sid=2402&amp;ppid=75346050&amp;vpid=573252843&amp;ct=offers" TargetMode="External"/><Relationship Id="rId55" Type="http://schemas.openxmlformats.org/officeDocument/2006/relationships/hyperlink" Target="http://datasheet.octopart.com/CL10B104KA8NFNC-Samsung-Electro-Mechanics-datasheet-141347134.pdf" TargetMode="External"/><Relationship Id="rId56" Type="http://schemas.openxmlformats.org/officeDocument/2006/relationships/hyperlink" Target="https://octopart.com/click/track?ai=8078&amp;sig=0817193&amp;sid=459&amp;ppid=19831572&amp;vpid=72523872&amp;ct=offers" TargetMode="External"/><Relationship Id="rId57" Type="http://schemas.openxmlformats.org/officeDocument/2006/relationships/hyperlink" Target="https://octopart.com/click/track?ai=8078&amp;sig=05f6751&amp;sid=2401&amp;ppid=19831572&amp;vpid=658751322&amp;ct=offers" TargetMode="External"/><Relationship Id="rId58" Type="http://schemas.openxmlformats.org/officeDocument/2006/relationships/hyperlink" Target="http://datasheet.octopart.com/CC0603JRNPO9BN102-Yageo-datasheet-10406438.pdf" TargetMode="External"/><Relationship Id="rId59" Type="http://schemas.openxmlformats.org/officeDocument/2006/relationships/hyperlink" Target="https://octopart.com/click/track?ai=8078&amp;sig=0ae7871&amp;sid=459&amp;ppid=9292454&amp;vpid=45699632&amp;ct=offers" TargetMode="External"/><Relationship Id="rId60" Type="http://schemas.openxmlformats.org/officeDocument/2006/relationships/hyperlink" Target="https://octopart.com/click/track?ai=8078&amp;sig=0288f91&amp;sid=11744&amp;ppid=9292454&amp;vpid=667996749&amp;ct=offers" TargetMode="External"/><Relationship Id="rId61" Type="http://schemas.openxmlformats.org/officeDocument/2006/relationships/hyperlink" Target="https://octopart.com/click/track?ai=8078&amp;sig=08b9619&amp;sid=2401&amp;ppid=9292454&amp;vpid=39335198&amp;ct=offers" TargetMode="External"/><Relationship Id="rId62" Type="http://schemas.openxmlformats.org/officeDocument/2006/relationships/hyperlink" Target="https://octopart.com/click/track?ai=8078&amp;sig=0187d57&amp;sid=2402&amp;ppid=9292454&amp;vpid=21910781&amp;ct=offers" TargetMode="External"/><Relationship Id="rId63" Type="http://schemas.openxmlformats.org/officeDocument/2006/relationships/hyperlink" Target="https://octopart.com/click/track?ai=8078&amp;sig=0e63bc3&amp;sid=10022&amp;ppid=9292454&amp;vpid=635571335&amp;ct=offers" TargetMode="External"/><Relationship Id="rId64" Type="http://schemas.openxmlformats.org/officeDocument/2006/relationships/hyperlink" Target="https://octopart.com/click/track?ai=8078&amp;sig=03213ee&amp;sid=1532&amp;ppid=9292454&amp;vpid=709256875&amp;ct=offers" TargetMode="External"/><Relationship Id="rId65" Type="http://schemas.openxmlformats.org/officeDocument/2006/relationships/hyperlink" Target="https://octopart.com/click/track?ai=8078&amp;sig=07f7775&amp;sid=459&amp;ppid=710622&amp;vpid=34060318&amp;ct=offers" TargetMode="External"/><Relationship Id="rId66" Type="http://schemas.openxmlformats.org/officeDocument/2006/relationships/hyperlink" Target="https://octopart.com/click/track?ai=8078&amp;sig=05d91f1&amp;sid=819&amp;ppid=710622&amp;vpid=139241142&amp;ct=offers" TargetMode="External"/><Relationship Id="rId67" Type="http://schemas.openxmlformats.org/officeDocument/2006/relationships/hyperlink" Target="https://octopart.com/click/track?ai=8078&amp;sig=0f71d8c&amp;sid=27971&amp;ppid=710622&amp;vpid=671711713&amp;ct=offers" TargetMode="External"/><Relationship Id="rId68" Type="http://schemas.openxmlformats.org/officeDocument/2006/relationships/hyperlink" Target="https://octopart.com/click/track?ai=8078&amp;sig=064f9ba&amp;sid=2401&amp;ppid=710622&amp;vpid=37598740&amp;ct=offers" TargetMode="External"/><Relationship Id="rId69" Type="http://schemas.openxmlformats.org/officeDocument/2006/relationships/hyperlink" Target="https://octopart.com/click/track?ai=8078&amp;sig=0c48083&amp;sid=2402&amp;ppid=710622&amp;vpid=93860853&amp;ct=offers" TargetMode="External"/><Relationship Id="rId70" Type="http://schemas.openxmlformats.org/officeDocument/2006/relationships/hyperlink" Target="https://octopart.com/click/track?ai=8078&amp;sig=01e40cc&amp;sid=10022&amp;ppid=710622&amp;vpid=199085002&amp;ct=offers" TargetMode="External"/><Relationship Id="rId71" Type="http://schemas.openxmlformats.org/officeDocument/2006/relationships/hyperlink" Target="https://octopart.com/click/track?ai=8078&amp;sig=0f3907e&amp;sid=459&amp;ppid=7861700&amp;vpid=33977022&amp;ct=offers" TargetMode="External"/><Relationship Id="rId72" Type="http://schemas.openxmlformats.org/officeDocument/2006/relationships/hyperlink" Target="https://octopart.com/click/track?c=1&amp;ai=8078&amp;sig=0aa2873&amp;sid=11744&amp;ppid=7861700&amp;vpid=612554768&amp;ct=offers" TargetMode="External"/><Relationship Id="rId73" Type="http://schemas.openxmlformats.org/officeDocument/2006/relationships/hyperlink" Target="https://octopart.com/click/track?ai=8078&amp;sig=0fa016b&amp;sid=2401&amp;ppid=7861700&amp;vpid=37898667&amp;ct=offers" TargetMode="External"/><Relationship Id="rId74" Type="http://schemas.openxmlformats.org/officeDocument/2006/relationships/hyperlink" Target="https://octopart.com/click/track?c=1&amp;ai=8078&amp;sig=0527b3d&amp;sid=2402&amp;ppid=7861700&amp;vpid=614281301&amp;ct=offers" TargetMode="External"/><Relationship Id="rId75" Type="http://schemas.openxmlformats.org/officeDocument/2006/relationships/hyperlink" Target="https://octopart.com/click/track?ai=8078&amp;sig=0ac572b&amp;sid=459&amp;ppid=26207&amp;vpid=1445751&amp;ct=offers" TargetMode="External"/><Relationship Id="rId76" Type="http://schemas.openxmlformats.org/officeDocument/2006/relationships/hyperlink" Target="https://octopart.com/click/track?c=1&amp;ai=8078&amp;sig=0b0dbfb&amp;sid=11744&amp;ppid=26207&amp;vpid=725898673&amp;ct=offers" TargetMode="External"/><Relationship Id="rId77" Type="http://schemas.openxmlformats.org/officeDocument/2006/relationships/hyperlink" Target="https://octopart.com/click/track?ai=8078&amp;sig=0931601&amp;sid=27971&amp;ppid=26207&amp;vpid=445986641&amp;ct=offers" TargetMode="External"/><Relationship Id="rId78" Type="http://schemas.openxmlformats.org/officeDocument/2006/relationships/hyperlink" Target="https://octopart.com/click/track?ai=8078&amp;sig=02c64dd&amp;sid=2401&amp;ppid=26207&amp;vpid=37601758&amp;ct=offers" TargetMode="External"/><Relationship Id="rId79" Type="http://schemas.openxmlformats.org/officeDocument/2006/relationships/hyperlink" Target="https://octopart.com/click/track?ai=8078&amp;sig=0a36d9d&amp;sid=10022&amp;ppid=26207&amp;vpid=199071165&amp;ct=offers" TargetMode="External"/><Relationship Id="rId80" Type="http://schemas.openxmlformats.org/officeDocument/2006/relationships/hyperlink" Target="https://octopart.com/click/track?ai=8078&amp;sig=09a4496&amp;sid=1532&amp;ppid=26207&amp;vpid=709097456&amp;ct=offers" TargetMode="External"/><Relationship Id="rId81" Type="http://schemas.openxmlformats.org/officeDocument/2006/relationships/hyperlink" Target="https://www.ti.com/lit/gpn/ADS8686S" TargetMode="External"/><Relationship Id="rId82" Type="http://schemas.openxmlformats.org/officeDocument/2006/relationships/hyperlink" Target="https://octopart.com/click/track?c=1&amp;ai=8078&amp;sig=09e1543&amp;sid=459&amp;ppid=106673055&amp;vpid=657498482&amp;ct=offers" TargetMode="External"/><Relationship Id="rId83" Type="http://schemas.openxmlformats.org/officeDocument/2006/relationships/hyperlink" Target="https://octopart.com/click/track?c=1&amp;ai=8078&amp;sig=0b5a368&amp;sid=2401&amp;ppid=106673055&amp;vpid=659509766&amp;ct=offers" TargetMode="External"/><Relationship Id="rId84" Type="http://schemas.openxmlformats.org/officeDocument/2006/relationships/hyperlink" Target="https://octopart.com/click/track?c=1&amp;ai=8078&amp;sig=0bacb7a&amp;sid=459&amp;ppid=21515428&amp;vpid=88044068&amp;ct=offers" TargetMode="External"/><Relationship Id="rId85" Type="http://schemas.openxmlformats.org/officeDocument/2006/relationships/hyperlink" Target="https://octopart.com/click/track?c=1&amp;ai=8078&amp;sig=03dc171&amp;sid=819&amp;ppid=21515428&amp;vpid=579544575&amp;ct=offers" TargetMode="External"/><Relationship Id="rId86" Type="http://schemas.openxmlformats.org/officeDocument/2006/relationships/hyperlink" Target="https://octopart.com/click/track?c=1&amp;ai=8078&amp;sig=0ca14df&amp;sid=2401&amp;ppid=21515428&amp;vpid=165577137&amp;ct=offers" TargetMode="External"/><Relationship Id="rId87" Type="http://schemas.openxmlformats.org/officeDocument/2006/relationships/hyperlink" Target="https://octopart.com/click/track?c=1&amp;ai=8078&amp;sig=0aa0609&amp;sid=2402&amp;ppid=21515428&amp;vpid=579323643&amp;ct=offers" TargetMode="External"/><Relationship Id="rId88" Type="http://schemas.openxmlformats.org/officeDocument/2006/relationships/hyperlink" Target="https://en.wikipedia.org/wiki/HDMI" TargetMode="External"/><Relationship Id="rId89" Type="http://schemas.openxmlformats.org/officeDocument/2006/relationships/hyperlink" Target="https://octopart.com/click/track?ai=8078&amp;sig=065fd85&amp;sid=459&amp;ppid=90332945&amp;vpid=531263891&amp;ct=offers" TargetMode="External"/><Relationship Id="rId90" Type="http://schemas.openxmlformats.org/officeDocument/2006/relationships/hyperlink" Target="https://octopart.com/click/track?ai=8078&amp;sig=055f209&amp;sid=11744&amp;ppid=90332945&amp;vpid=474302156&amp;ct=offers" TargetMode="External"/><Relationship Id="rId91" Type="http://schemas.openxmlformats.org/officeDocument/2006/relationships/hyperlink" Target="https://octopart.com/click/track?ai=8078&amp;sig=069f759&amp;sid=2401&amp;ppid=90332945&amp;vpid=97293195&amp;ct=offers" TargetMode="External"/><Relationship Id="rId92" Type="http://schemas.openxmlformats.org/officeDocument/2006/relationships/hyperlink" Target="https://octopart.com/click/track?ai=8078&amp;sig=0fbdf25&amp;sid=2402&amp;ppid=90332945&amp;vpid=474119741&amp;ct=offers" TargetMode="External"/><Relationship Id="rId93" Type="http://schemas.openxmlformats.org/officeDocument/2006/relationships/hyperlink" Target="https://octopart.com/click/track?ai=8078&amp;sig=0781733&amp;sid=10022&amp;ppid=90332945&amp;vpid=527529119&amp;ct=offers" TargetMode="External"/><Relationship Id="rId94" Type="http://schemas.openxmlformats.org/officeDocument/2006/relationships/hyperlink" Target="https://octopart.com/click/track?ai=8078&amp;sig=000fbed&amp;sid=459&amp;ppid=7659281&amp;vpid=605414779&amp;ct=offers" TargetMode="External"/><Relationship Id="rId95" Type="http://schemas.openxmlformats.org/officeDocument/2006/relationships/hyperlink" Target="https://octopart.com/click/track?ai=8078&amp;sig=0a3a839&amp;sid=2401&amp;ppid=7659281&amp;vpid=82014691&amp;ct=offers" TargetMode="External"/><Relationship Id="rId96" Type="http://schemas.openxmlformats.org/officeDocument/2006/relationships/hyperlink" Target="https://octopart.com/click/track?c=1&amp;ai=8078&amp;sig=0e15f31&amp;sid=2402&amp;ppid=7659281&amp;vpid=96393150&amp;ct=offers" TargetMode="External"/><Relationship Id="rId97" Type="http://schemas.openxmlformats.org/officeDocument/2006/relationships/hyperlink" Target="https://octopart.com/click/track?ai=8078&amp;sig=0e332dd&amp;sid=459&amp;ppid=41102935&amp;vpid=114948145&amp;ct=offers" TargetMode="External"/><Relationship Id="rId98" Type="http://schemas.openxmlformats.org/officeDocument/2006/relationships/hyperlink" Target="https://octopart.com/click/track?ai=8078&amp;sig=0ed696d&amp;sid=2401&amp;ppid=41102935&amp;vpid=118920777&amp;ct=offers" TargetMode="External"/><Relationship Id="rId99" Type="http://schemas.openxmlformats.org/officeDocument/2006/relationships/hyperlink" Target="https://octopart.com/click/track?ai=8078&amp;sig=0d9eb23&amp;sid=10022&amp;ppid=41102935&amp;vpid=199028166&amp;ct=offers" TargetMode="External"/><Relationship Id="rId100" Type="http://schemas.openxmlformats.org/officeDocument/2006/relationships/hyperlink" Target="https://octopart.com/click/track?ai=8078&amp;sig=06ebd87&amp;sid=1532&amp;ppid=41102935&amp;vpid=709019374&amp;ct=offers" TargetMode="External"/><Relationship Id="rId101" Type="http://schemas.openxmlformats.org/officeDocument/2006/relationships/hyperlink" Target="https://octopart.com/click/track?ai=8078&amp;sig=0ff3b3d&amp;sid=459&amp;ppid=106233956&amp;vpid=612419672&amp;ct=offers" TargetMode="External"/><Relationship Id="rId102" Type="http://schemas.openxmlformats.org/officeDocument/2006/relationships/hyperlink" Target="https://octopart.com/click/track?ai=8078&amp;sig=0365dfb&amp;sid=2401&amp;ppid=106233956&amp;vpid=595459901&amp;ct=offers" TargetMode="External"/><Relationship Id="rId103" Type="http://schemas.openxmlformats.org/officeDocument/2006/relationships/hyperlink" Target="https://octopart.com/click/track?ai=8078&amp;sig=050b21d&amp;sid=459&amp;ppid=7658324&amp;vpid=502762022&amp;ct=offers" TargetMode="External"/><Relationship Id="rId104" Type="http://schemas.openxmlformats.org/officeDocument/2006/relationships/hyperlink" Target="https://octopart.com/click/track?ai=8078&amp;sig=04db821&amp;sid=2401&amp;ppid=7658324&amp;vpid=87580756&amp;ct=offers" TargetMode="External"/><Relationship Id="rId105" Type="http://schemas.openxmlformats.org/officeDocument/2006/relationships/hyperlink" Target="https://octopart.com/click/track?c=1&amp;ai=8078&amp;sig=0b7c84c&amp;sid=2402&amp;ppid=7658324&amp;vpid=462346066&amp;ct=offers" TargetMode="External"/><Relationship Id="rId106" Type="http://schemas.openxmlformats.org/officeDocument/2006/relationships/hyperlink" Target="https://octopart.com/click/track?c=1&amp;ai=8078&amp;sig=0f0611d&amp;sid=459&amp;ppid=19236861&amp;vpid=44863470&amp;ct=offers" TargetMode="External"/><Relationship Id="rId107" Type="http://schemas.openxmlformats.org/officeDocument/2006/relationships/hyperlink" Target="https://octopart.com/click/track?c=1&amp;ai=8078&amp;sig=01c556e&amp;sid=459&amp;ppid=47144282&amp;vpid=541952551&amp;ct=offers" TargetMode="External"/><Relationship Id="rId108" Type="http://schemas.openxmlformats.org/officeDocument/2006/relationships/hyperlink" Target="https://octopart.com/click/track?ai=8078&amp;sig=01b23b4&amp;sid=819&amp;ppid=47144282&amp;vpid=271352547&amp;ct=offers" TargetMode="External"/><Relationship Id="rId109" Type="http://schemas.openxmlformats.org/officeDocument/2006/relationships/hyperlink" Target="https://octopart.com/click/track?ai=8078&amp;sig=0b026da&amp;sid=27971&amp;ppid=47144282&amp;vpid=613976491&amp;ct=offers" TargetMode="External"/><Relationship Id="rId110" Type="http://schemas.openxmlformats.org/officeDocument/2006/relationships/hyperlink" Target="https://octopart.com/click/track?c=1&amp;ai=8078&amp;sig=0cef10c&amp;sid=2401&amp;ppid=47144282&amp;vpid=458364065&amp;ct=offers" TargetMode="External"/><Relationship Id="rId111" Type="http://schemas.openxmlformats.org/officeDocument/2006/relationships/hyperlink" Target="https://octopart.com/click/track?c=1&amp;ai=8078&amp;sig=0d43ec5&amp;sid=2402&amp;ppid=47144282&amp;vpid=271957012&amp;ct=offers" TargetMode="External"/><Relationship Id="rId112" Type="http://schemas.openxmlformats.org/officeDocument/2006/relationships/hyperlink" Target="https://octopart.com/click/track?ai=8078&amp;sig=0e4e169&amp;sid=10022&amp;ppid=47144282&amp;vpid=203344705&amp;ct=offers" TargetMode="External"/><Relationship Id="rId113" Type="http://schemas.openxmlformats.org/officeDocument/2006/relationships/hyperlink" Target="https://octopart.com/click/track?ai=8078&amp;sig=0147bda&amp;sid=1532&amp;ppid=47144282&amp;vpid=709094856&amp;ct=offers" TargetMode="External"/><Relationship Id="rId114" Type="http://schemas.openxmlformats.org/officeDocument/2006/relationships/hyperlink" Target="https://octopart.com/click/track?c=1&amp;ai=8078&amp;sig=01eefeb&amp;sid=459&amp;ppid=86875078&amp;vpid=447857015&amp;ct=offers" TargetMode="External"/><Relationship Id="rId115" Type="http://schemas.openxmlformats.org/officeDocument/2006/relationships/hyperlink" Target="https://octopart.com/click/track?ai=8078&amp;sig=074296e&amp;sid=2401&amp;ppid=86875078&amp;vpid=460594634&amp;ct=offers" TargetMode="External"/><Relationship Id="rId116" Type="http://schemas.openxmlformats.org/officeDocument/2006/relationships/hyperlink" Target="https://octopart.com/click/track?ai=8078&amp;sig=09ed408&amp;sid=459&amp;ppid=277221&amp;vpid=587833108&amp;ct=offers" TargetMode="External"/><Relationship Id="rId117" Type="http://schemas.openxmlformats.org/officeDocument/2006/relationships/hyperlink" Target="https://octopart.com/click/track?ai=8078&amp;sig=05983c1&amp;sid=11744&amp;ppid=277221&amp;vpid=537740888&amp;ct=offers" TargetMode="External"/><Relationship Id="rId118" Type="http://schemas.openxmlformats.org/officeDocument/2006/relationships/hyperlink" Target="https://octopart.com/click/track?ai=8078&amp;sig=0aaa22a&amp;sid=2401&amp;ppid=277221&amp;vpid=37672608&amp;ct=offers" TargetMode="External"/><Relationship Id="rId119" Type="http://schemas.openxmlformats.org/officeDocument/2006/relationships/hyperlink" Target="https://octopart.com/click/track?ai=8078&amp;sig=03d3d16&amp;sid=2402&amp;ppid=277221&amp;vpid=547454184&amp;ct=offers" TargetMode="External"/><Relationship Id="rId120" Type="http://schemas.openxmlformats.org/officeDocument/2006/relationships/hyperlink" Target="https://octopart.com/click/track?ai=8078&amp;sig=0045671&amp;sid=10022&amp;ppid=277221&amp;vpid=706213453&amp;ct=offers" TargetMode="External"/><Relationship Id="rId121" Type="http://schemas.openxmlformats.org/officeDocument/2006/relationships/hyperlink" Target="https://octopart.com/click/track?ai=8078&amp;sig=08aa71c&amp;sid=459&amp;ppid=10487031&amp;vpid=34264479&amp;ct=offers" TargetMode="External"/><Relationship Id="rId122" Type="http://schemas.openxmlformats.org/officeDocument/2006/relationships/hyperlink" Target="https://octopart.com/click/track?ai=8078&amp;sig=0beafbc&amp;sid=819&amp;ppid=10487031&amp;vpid=666989246&amp;ct=offers" TargetMode="External"/><Relationship Id="rId123" Type="http://schemas.openxmlformats.org/officeDocument/2006/relationships/hyperlink" Target="https://octopart.com/click/track?ai=8078&amp;sig=05cfbf1&amp;sid=2401&amp;ppid=10487031&amp;vpid=37827557&amp;ct=offers" TargetMode="External"/><Relationship Id="rId124" Type="http://schemas.openxmlformats.org/officeDocument/2006/relationships/hyperlink" Target="https://octopart.com/click/track?ai=8078&amp;sig=08cccdf&amp;sid=2402&amp;ppid=10487031&amp;vpid=462273882&amp;ct=offers" TargetMode="External"/><Relationship Id="rId125" Type="http://schemas.openxmlformats.org/officeDocument/2006/relationships/hyperlink" Target="https://octopart.com/click/track?ai=8078&amp;sig=040ebba&amp;sid=459&amp;ppid=13146349&amp;vpid=34090498&amp;ct=offers" TargetMode="External"/><Relationship Id="rId126" Type="http://schemas.openxmlformats.org/officeDocument/2006/relationships/hyperlink" Target="https://octopart.com/click/track?ai=8078&amp;sig=0a8d0b8&amp;sid=11744&amp;ppid=13146349&amp;vpid=132631044&amp;ct=offers" TargetMode="External"/><Relationship Id="rId127" Type="http://schemas.openxmlformats.org/officeDocument/2006/relationships/hyperlink" Target="https://octopart.com/click/track?ai=8078&amp;sig=04bfebf&amp;sid=27971&amp;ppid=13146349&amp;vpid=511500481&amp;ct=offers" TargetMode="External"/><Relationship Id="rId128" Type="http://schemas.openxmlformats.org/officeDocument/2006/relationships/hyperlink" Target="https://octopart.com/click/track?ai=8078&amp;sig=047f095&amp;sid=2401&amp;ppid=13146349&amp;vpid=46007715&amp;ct=offers" TargetMode="External"/><Relationship Id="rId129" Type="http://schemas.openxmlformats.org/officeDocument/2006/relationships/hyperlink" Target="https://octopart.com/click/track?ai=8078&amp;sig=0583141&amp;sid=2402&amp;ppid=13146349&amp;vpid=33173414&amp;ct=offers" TargetMode="External"/><Relationship Id="rId130" Type="http://schemas.openxmlformats.org/officeDocument/2006/relationships/hyperlink" Target="https://octopart.com/click/track?ai=8078&amp;sig=060090a&amp;sid=459&amp;ppid=10486572&amp;vpid=34264554&amp;ct=offers" TargetMode="External"/><Relationship Id="rId131" Type="http://schemas.openxmlformats.org/officeDocument/2006/relationships/hyperlink" Target="https://octopart.com/click/track?ai=8078&amp;sig=0c7f563&amp;sid=2401&amp;ppid=10486572&amp;vpid=37751636&amp;ct=offers" TargetMode="External"/><Relationship Id="rId132" Type="http://schemas.openxmlformats.org/officeDocument/2006/relationships/hyperlink" Target="https://octopart.com/click/track?c=1&amp;ai=8078&amp;sig=0302c63&amp;sid=2402&amp;ppid=10486572&amp;vpid=172547917&amp;ct=offers" TargetMode="External"/><Relationship Id="rId133" Type="http://schemas.openxmlformats.org/officeDocument/2006/relationships/hyperlink" Target="http://datasheet.octopart.com/BTE-040-02-F-D-A-Samtec-datasheet-96904062.pdf" TargetMode="External"/><Relationship Id="rId134" Type="http://schemas.openxmlformats.org/officeDocument/2006/relationships/hyperlink" Target="https://octopart.com/click/track?ai=8078&amp;sig=0149da3&amp;sid=459&amp;ppid=10648255&amp;vpid=416794054&amp;ct=offers" TargetMode="External"/><Relationship Id="rId135" Type="http://schemas.openxmlformats.org/officeDocument/2006/relationships/hyperlink" Target="https://octopart.com/click/track?c=1&amp;ai=8078&amp;sig=000dcbb&amp;sid=819&amp;ppid=10648255&amp;vpid=700854257&amp;ct=offers" TargetMode="External"/><Relationship Id="rId136" Type="http://schemas.openxmlformats.org/officeDocument/2006/relationships/hyperlink" Target="https://octopart.com/click/track?ai=8078&amp;sig=08c5cd4&amp;sid=2401&amp;ppid=10648255&amp;vpid=493037889&amp;ct=offers" TargetMode="External"/><Relationship Id="rId137" Type="http://schemas.openxmlformats.org/officeDocument/2006/relationships/hyperlink" Target="https://octopart.com/click/track?c=1&amp;ai=8078&amp;sig=0aae881&amp;sid=2402&amp;ppid=10648255&amp;vpid=96592418&amp;ct=offers" TargetMode="External"/><Relationship Id="rId138" Type="http://schemas.openxmlformats.org/officeDocument/2006/relationships/hyperlink" Target="https://octopart.com/click/track?ai=8078&amp;sig=076a899&amp;sid=10022&amp;ppid=10648255&amp;vpid=510202915&amp;ct=offers" TargetMode="External"/><Relationship Id="rId139" Type="http://schemas.openxmlformats.org/officeDocument/2006/relationships/hyperlink" Target="https://www.onsemi.com/pub/Collateral/BC860-D.pdf" TargetMode="External"/><Relationship Id="rId140" Type="http://schemas.openxmlformats.org/officeDocument/2006/relationships/hyperlink" Target="https://octopart.com/click/track?c=1&amp;ai=8078&amp;sig=0afb645&amp;sid=459&amp;ppid=12177349&amp;vpid=63806649&amp;ct=offers" TargetMode="External"/><Relationship Id="rId141" Type="http://schemas.openxmlformats.org/officeDocument/2006/relationships/hyperlink" Target="https://octopart.com/click/track?ai=8078&amp;sig=01cd7f9&amp;sid=11744&amp;ppid=12177349&amp;vpid=132237164&amp;ct=offers" TargetMode="External"/><Relationship Id="rId142" Type="http://schemas.openxmlformats.org/officeDocument/2006/relationships/hyperlink" Target="https://octopart.com/click/track?ai=8078&amp;sig=0eb3ef0&amp;sid=27971&amp;ppid=12177349&amp;vpid=511070499&amp;ct=offers" TargetMode="External"/><Relationship Id="rId143" Type="http://schemas.openxmlformats.org/officeDocument/2006/relationships/hyperlink" Target="https://octopart.com/click/track?ai=8078&amp;sig=0529f37&amp;sid=2401&amp;ppid=12177349&amp;vpid=90578187&amp;ct=offers" TargetMode="External"/><Relationship Id="rId144" Type="http://schemas.openxmlformats.org/officeDocument/2006/relationships/hyperlink" Target="https://octopart.com/click/track?ai=8078&amp;sig=0b17478&amp;sid=2402&amp;ppid=12177349&amp;vpid=22465024&amp;ct=offers" TargetMode="External"/><Relationship Id="rId145" Type="http://schemas.openxmlformats.org/officeDocument/2006/relationships/hyperlink" Target="https://octopart.com/click/track?ai=8078&amp;sig=0267b0c&amp;sid=10022&amp;ppid=12177349&amp;vpid=199007838&amp;ct=offers" TargetMode="External"/><Relationship Id="rId146" Type="http://schemas.openxmlformats.org/officeDocument/2006/relationships/hyperlink" Target="https://octopart.com/click/track?ai=8078&amp;sig=0f388c6&amp;sid=1532&amp;ppid=12177349&amp;vpid=707844597&amp;ct=offers" TargetMode="External"/><Relationship Id="rId147" Type="http://schemas.openxmlformats.org/officeDocument/2006/relationships/hyperlink" Target="http://datasheet.octopart.com/RC0603FR-0733RL-Yageo-datasheet-8328172.pdf" TargetMode="External"/><Relationship Id="rId148" Type="http://schemas.openxmlformats.org/officeDocument/2006/relationships/hyperlink" Target="https://octopart.com/click/track?ai=8078&amp;sig=0a5884d&amp;sid=459&amp;ppid=40946050&amp;vpid=114982939&amp;ct=offers" TargetMode="External"/><Relationship Id="rId149" Type="http://schemas.openxmlformats.org/officeDocument/2006/relationships/hyperlink" Target="https://octopart.com/click/track?ai=8078&amp;sig=0ca2430&amp;sid=819&amp;ppid=40946050&amp;vpid=521336414&amp;ct=offers" TargetMode="External"/><Relationship Id="rId150" Type="http://schemas.openxmlformats.org/officeDocument/2006/relationships/hyperlink" Target="https://octopart.com/click/track?ai=8078&amp;sig=05018a2&amp;sid=2401&amp;ppid=40946050&amp;vpid=115540566&amp;ct=offers" TargetMode="External"/><Relationship Id="rId151" Type="http://schemas.openxmlformats.org/officeDocument/2006/relationships/hyperlink" Target="https://octopart.com/click/track?ai=8078&amp;sig=0e35eff&amp;sid=2402&amp;ppid=40946050&amp;vpid=115424146&amp;ct=offers" TargetMode="External"/><Relationship Id="rId152" Type="http://schemas.openxmlformats.org/officeDocument/2006/relationships/hyperlink" Target="https://octopart.com/click/track?ai=8078&amp;sig=01bda52&amp;sid=10022&amp;ppid=40946050&amp;vpid=694057465&amp;ct=offers" TargetMode="External"/><Relationship Id="rId153" Type="http://schemas.openxmlformats.org/officeDocument/2006/relationships/hyperlink" Target="https://octopart.com/click/track?ai=8078&amp;sig=0fffef9&amp;sid=1532&amp;ppid=40946050&amp;vpid=709257921&amp;ct=offers" TargetMode="External"/><Relationship Id="rId154" Type="http://schemas.openxmlformats.org/officeDocument/2006/relationships/hyperlink" Target="http://datasheet.octopart.com/RC0603FR-0749K9L-Yageo-datasheet-8328172.pdf" TargetMode="External"/><Relationship Id="rId155" Type="http://schemas.openxmlformats.org/officeDocument/2006/relationships/hyperlink" Target="https://octopart.com/click/track?ai=8078&amp;sig=07d4e51&amp;sid=459&amp;ppid=1186134&amp;vpid=1959905&amp;ct=offers" TargetMode="External"/><Relationship Id="rId156" Type="http://schemas.openxmlformats.org/officeDocument/2006/relationships/hyperlink" Target="https://octopart.com/click/track?ai=8078&amp;sig=078c3b1&amp;sid=819&amp;ppid=1186134&amp;vpid=653863441&amp;ct=offers" TargetMode="External"/><Relationship Id="rId157" Type="http://schemas.openxmlformats.org/officeDocument/2006/relationships/hyperlink" Target="https://octopart.com/click/track?c=1&amp;ai=8078&amp;sig=08835a4&amp;sid=2401&amp;ppid=1186134&amp;vpid=37768316&amp;ct=offers" TargetMode="External"/><Relationship Id="rId158" Type="http://schemas.openxmlformats.org/officeDocument/2006/relationships/hyperlink" Target="https://octopart.com/click/track?ai=8078&amp;sig=09ac00b&amp;sid=2402&amp;ppid=1186134&amp;vpid=658256899&amp;ct=offers" TargetMode="External"/><Relationship Id="rId159" Type="http://schemas.openxmlformats.org/officeDocument/2006/relationships/hyperlink" Target="https://octopart.com/click/track?ai=8078&amp;sig=025948b&amp;sid=10022&amp;ppid=1186134&amp;vpid=658005426&amp;ct=offers" TargetMode="External"/><Relationship Id="rId160" Type="http://schemas.openxmlformats.org/officeDocument/2006/relationships/hyperlink" Target="https://octopart.com/click/track?ai=8078&amp;sig=0ad4037&amp;sid=1532&amp;ppid=1186134&amp;vpid=709257968&amp;ct=offers" TargetMode="External"/><Relationship Id="rId161" Type="http://schemas.openxmlformats.org/officeDocument/2006/relationships/hyperlink" Target="http://datasheet.octopart.com/RC0603FR-07243KL-Yageo-datasheet-118562.pdf" TargetMode="External"/><Relationship Id="rId162" Type="http://schemas.openxmlformats.org/officeDocument/2006/relationships/hyperlink" Target="https://octopart.com/click/track?ai=8078&amp;sig=0736a7c&amp;sid=459&amp;ppid=1293540&amp;vpid=1916457&amp;ct=offers" TargetMode="External"/><Relationship Id="rId163" Type="http://schemas.openxmlformats.org/officeDocument/2006/relationships/hyperlink" Target="https://octopart.com/click/track?c=1&amp;ai=8078&amp;sig=05d274f&amp;sid=2401&amp;ppid=1293540&amp;vpid=47394980&amp;ct=offers" TargetMode="External"/><Relationship Id="rId164" Type="http://schemas.openxmlformats.org/officeDocument/2006/relationships/hyperlink" Target="http://datasheet.octopart.com/RC0603FR-07121KL-Yageo-datasheet-118562.pdf" TargetMode="External"/><Relationship Id="rId165" Type="http://schemas.openxmlformats.org/officeDocument/2006/relationships/hyperlink" Target="https://octopart.com/click/track?ai=8078&amp;sig=08b65bb&amp;sid=459&amp;ppid=1207990&amp;vpid=2103615&amp;ct=offers" TargetMode="External"/><Relationship Id="rId166" Type="http://schemas.openxmlformats.org/officeDocument/2006/relationships/hyperlink" Target="https://octopart.com/click/track?ai=8078&amp;sig=03aa738&amp;sid=2401&amp;ppid=1207990&amp;vpid=64183562&amp;ct=offers" TargetMode="External"/><Relationship Id="rId167" Type="http://schemas.openxmlformats.org/officeDocument/2006/relationships/hyperlink" Target="http://datasheet.octopart.com/RC0603FR-0737K4L-Yageo-datasheet-8328172.pdf" TargetMode="External"/><Relationship Id="rId168" Type="http://schemas.openxmlformats.org/officeDocument/2006/relationships/hyperlink" Target="https://octopart.com/click/track?c=1&amp;ai=8078&amp;sig=0b38345&amp;sid=459&amp;ppid=1216811&amp;vpid=1237804&amp;ct=offers" TargetMode="External"/><Relationship Id="rId169" Type="http://schemas.openxmlformats.org/officeDocument/2006/relationships/hyperlink" Target="https://octopart.com/click/track?ai=8078&amp;sig=0bd797e&amp;sid=2401&amp;ppid=1216811&amp;vpid=37727227&amp;ct=offers" TargetMode="External"/><Relationship Id="rId170" Type="http://schemas.openxmlformats.org/officeDocument/2006/relationships/hyperlink" Target="https://octopart.com/click/track?ai=8078&amp;sig=0bd2120&amp;sid=1532&amp;ppid=1216811&amp;vpid=709257929&amp;ct=offers" TargetMode="External"/><Relationship Id="rId171" Type="http://schemas.openxmlformats.org/officeDocument/2006/relationships/hyperlink" Target="https://octopart.com/click/track?ai=8078&amp;sig=07d01e6&amp;sid=459&amp;ppid=23798514&amp;vpid=486681715&amp;ct=offers" TargetMode="External"/><Relationship Id="rId172" Type="http://schemas.openxmlformats.org/officeDocument/2006/relationships/hyperlink" Target="https://octopart.com/click/track?ai=8078&amp;sig=0b2abfb&amp;sid=2401&amp;ppid=23798514&amp;vpid=458953872&amp;ct=offers" TargetMode="External"/><Relationship Id="rId173" Type="http://schemas.openxmlformats.org/officeDocument/2006/relationships/hyperlink" Target="https://octopart.com/click/track?c=1&amp;ai=8078&amp;sig=085618e&amp;sid=2402&amp;ppid=23798514&amp;vpid=508831343&amp;ct=offers" TargetMode="External"/><Relationship Id="rId174" Type="http://schemas.openxmlformats.org/officeDocument/2006/relationships/hyperlink" Target="https://octopart.com/click/track?ai=8078&amp;sig=02ae305&amp;sid=459&amp;ppid=22248073&amp;vpid=486681324&amp;ct=offers" TargetMode="External"/><Relationship Id="rId175" Type="http://schemas.openxmlformats.org/officeDocument/2006/relationships/hyperlink" Target="https://octopart.com/click/track?ai=8078&amp;sig=024a98a&amp;sid=2401&amp;ppid=22248073&amp;vpid=458953466&amp;ct=offers" TargetMode="External"/><Relationship Id="rId176" Type="http://schemas.openxmlformats.org/officeDocument/2006/relationships/hyperlink" Target="http://datasheet.octopart.com/RC0603FR-0720KL-Yageo-datasheet-8328172.pdf" TargetMode="External"/><Relationship Id="rId177" Type="http://schemas.openxmlformats.org/officeDocument/2006/relationships/hyperlink" Target="https://octopart.com/click/track?c=1&amp;ai=8078&amp;sig=0636a2e&amp;sid=459&amp;ppid=1197359&amp;vpid=1315555&amp;ct=offers" TargetMode="External"/><Relationship Id="rId178" Type="http://schemas.openxmlformats.org/officeDocument/2006/relationships/hyperlink" Target="https://octopart.com/click/track?ai=8078&amp;sig=010054b&amp;sid=819&amp;ppid=1197359&amp;vpid=653863277&amp;ct=offers" TargetMode="External"/><Relationship Id="rId179" Type="http://schemas.openxmlformats.org/officeDocument/2006/relationships/hyperlink" Target="https://octopart.com/click/track?ai=8078&amp;sig=028b128&amp;sid=2401&amp;ppid=1197359&amp;vpid=37706694&amp;ct=offers" TargetMode="External"/><Relationship Id="rId180" Type="http://schemas.openxmlformats.org/officeDocument/2006/relationships/hyperlink" Target="https://octopart.com/click/track?c=1&amp;ai=8078&amp;sig=07253ae&amp;sid=2402&amp;ppid=1197359&amp;vpid=728061924&amp;ct=offers" TargetMode="External"/><Relationship Id="rId181" Type="http://schemas.openxmlformats.org/officeDocument/2006/relationships/hyperlink" Target="https://octopart.com/click/track?ai=8078&amp;sig=09c2659&amp;sid=10022&amp;ppid=1197359&amp;vpid=654200470&amp;ct=offers" TargetMode="External"/><Relationship Id="rId182" Type="http://schemas.openxmlformats.org/officeDocument/2006/relationships/hyperlink" Target="https://octopart.com/click/track?ai=8078&amp;sig=06c5968&amp;sid=1532&amp;ppid=1197359&amp;vpid=709257853&amp;ct=offers" TargetMode="External"/><Relationship Id="rId183" Type="http://schemas.openxmlformats.org/officeDocument/2006/relationships/hyperlink" Target="http://datasheet.octopart.com/RC0603FR-072KL-Yageo-datasheet-8328172.pdf" TargetMode="External"/><Relationship Id="rId184" Type="http://schemas.openxmlformats.org/officeDocument/2006/relationships/hyperlink" Target="https://octopart.com/click/track?ai=8078&amp;sig=035fe6f&amp;sid=459&amp;ppid=39838380&amp;vpid=114982924&amp;ct=offers" TargetMode="External"/><Relationship Id="rId185" Type="http://schemas.openxmlformats.org/officeDocument/2006/relationships/hyperlink" Target="https://octopart.com/click/track?ai=8078&amp;sig=0f02404&amp;sid=819&amp;ppid=39838380&amp;vpid=653863343&amp;ct=offers" TargetMode="External"/><Relationship Id="rId186" Type="http://schemas.openxmlformats.org/officeDocument/2006/relationships/hyperlink" Target="https://octopart.com/click/track?ai=8078&amp;sig=0d419f0&amp;sid=2401&amp;ppid=39838380&amp;vpid=115161144&amp;ct=offers" TargetMode="External"/><Relationship Id="rId187" Type="http://schemas.openxmlformats.org/officeDocument/2006/relationships/hyperlink" Target="https://octopart.com/click/track?c=1&amp;ai=8078&amp;sig=0e33619&amp;sid=2402&amp;ppid=39838380&amp;vpid=697635388&amp;ct=offers" TargetMode="External"/><Relationship Id="rId188" Type="http://schemas.openxmlformats.org/officeDocument/2006/relationships/hyperlink" Target="https://octopart.com/click/track?ai=8078&amp;sig=08509c1&amp;sid=1532&amp;ppid=39838380&amp;vpid=709257898&amp;ct=offers" TargetMode="External"/><Relationship Id="rId189" Type="http://schemas.openxmlformats.org/officeDocument/2006/relationships/hyperlink" Target="http://datasheet.octopart.com/RG3216P-4704-B-T1-Susumu-datasheet-12509734.pdf" TargetMode="External"/><Relationship Id="rId190" Type="http://schemas.openxmlformats.org/officeDocument/2006/relationships/hyperlink" Target="https://octopart.com/click/track?c=1&amp;ai=8078&amp;sig=0404bac&amp;sid=459&amp;ppid=81680122&amp;vpid=420190873&amp;ct=offers" TargetMode="External"/><Relationship Id="rId191" Type="http://schemas.openxmlformats.org/officeDocument/2006/relationships/hyperlink" Target="https://octopart.com/click/track?c=1&amp;ai=8078&amp;sig=0793ae8&amp;sid=2401&amp;ppid=81680122&amp;vpid=448426716&amp;ct=offers" TargetMode="External"/><Relationship Id="rId192" Type="http://schemas.openxmlformats.org/officeDocument/2006/relationships/hyperlink" Target="http://datasheet.octopart.com/RC0603FR-0749R9L-Yageo-datasheet-8328172.pdf" TargetMode="External"/><Relationship Id="rId193" Type="http://schemas.openxmlformats.org/officeDocument/2006/relationships/hyperlink" Target="https://octopart.com/click/track?ai=8078&amp;sig=0c130d6&amp;sid=459&amp;ppid=1201777&amp;vpid=1178941&amp;ct=offers" TargetMode="External"/><Relationship Id="rId194" Type="http://schemas.openxmlformats.org/officeDocument/2006/relationships/hyperlink" Target="https://octopart.com/click/track?c=1&amp;ai=8078&amp;sig=0fef141&amp;sid=11744&amp;ppid=1201777&amp;vpid=629364148&amp;ct=offers" TargetMode="External"/><Relationship Id="rId195" Type="http://schemas.openxmlformats.org/officeDocument/2006/relationships/hyperlink" Target="https://octopart.com/click/track?ai=8078&amp;sig=0d0baac&amp;sid=2401&amp;ppid=1201777&amp;vpid=37774712&amp;ct=offers" TargetMode="External"/><Relationship Id="rId196" Type="http://schemas.openxmlformats.org/officeDocument/2006/relationships/hyperlink" Target="https://octopart.com/click/track?ai=8078&amp;sig=0987869&amp;sid=2402&amp;ppid=1201777&amp;vpid=674514308&amp;ct=offers" TargetMode="External"/><Relationship Id="rId197" Type="http://schemas.openxmlformats.org/officeDocument/2006/relationships/hyperlink" Target="https://octopart.com/click/track?ai=8078&amp;sig=09fdab0&amp;sid=10022&amp;ppid=1201777&amp;vpid=653083716&amp;ct=offers" TargetMode="External"/><Relationship Id="rId198" Type="http://schemas.openxmlformats.org/officeDocument/2006/relationships/hyperlink" Target="https://octopart.com/click/track?ai=8078&amp;sig=087cafb&amp;sid=1532&amp;ppid=1201777&amp;vpid=709257970&amp;ct=offers" TargetMode="External"/><Relationship Id="rId199" Type="http://schemas.openxmlformats.org/officeDocument/2006/relationships/hyperlink" Target="http://datasheet.octopart.com/RC0603FR-0710KL-Yageo-datasheet-8328172.pdf" TargetMode="External"/><Relationship Id="rId200" Type="http://schemas.openxmlformats.org/officeDocument/2006/relationships/hyperlink" Target="https://octopart.com/click/track?ai=8078&amp;sig=03bdc7a&amp;sid=459&amp;ppid=40025538&amp;vpid=114982759&amp;ct=offers" TargetMode="External"/><Relationship Id="rId201" Type="http://schemas.openxmlformats.org/officeDocument/2006/relationships/hyperlink" Target="https://octopart.com/click/track?ai=8078&amp;sig=09e8397&amp;sid=819&amp;ppid=40025538&amp;vpid=508509528&amp;ct=offers" TargetMode="External"/><Relationship Id="rId202" Type="http://schemas.openxmlformats.org/officeDocument/2006/relationships/hyperlink" Target="https://octopart.com/click/track?c=1&amp;ai=8078&amp;sig=01dd918&amp;sid=2401&amp;ppid=40025538&amp;vpid=115161137&amp;ct=offers" TargetMode="External"/><Relationship Id="rId203" Type="http://schemas.openxmlformats.org/officeDocument/2006/relationships/hyperlink" Target="https://octopart.com/click/track?ai=8078&amp;sig=0811f32&amp;sid=2402&amp;ppid=40025538&amp;vpid=115424063&amp;ct=offers" TargetMode="External"/><Relationship Id="rId204" Type="http://schemas.openxmlformats.org/officeDocument/2006/relationships/hyperlink" Target="https://octopart.com/click/track?ai=8078&amp;sig=0602c5b&amp;sid=10022&amp;ppid=40025538&amp;vpid=694057360&amp;ct=offers" TargetMode="External"/><Relationship Id="rId205" Type="http://schemas.openxmlformats.org/officeDocument/2006/relationships/hyperlink" Target="https://octopart.com/click/track?ai=8078&amp;sig=0db17d2&amp;sid=1532&amp;ppid=40025538&amp;vpid=709257732&amp;ct=offers" TargetMode="External"/><Relationship Id="rId206" Type="http://schemas.openxmlformats.org/officeDocument/2006/relationships/hyperlink" Target="http://datasheet.octopart.com/RC0603FR-0710KL-Yageo-datasheet-8328172.pdf" TargetMode="External"/><Relationship Id="rId207" Type="http://schemas.openxmlformats.org/officeDocument/2006/relationships/hyperlink" Target="https://octopart.com/click/track?ai=8078&amp;sig=03bdc7a&amp;sid=459&amp;ppid=40025538&amp;vpid=114982759&amp;ct=offers" TargetMode="External"/><Relationship Id="rId208" Type="http://schemas.openxmlformats.org/officeDocument/2006/relationships/hyperlink" Target="https://octopart.com/click/track?ai=8078&amp;sig=09e8397&amp;sid=819&amp;ppid=40025538&amp;vpid=508509528&amp;ct=offers" TargetMode="External"/><Relationship Id="rId209" Type="http://schemas.openxmlformats.org/officeDocument/2006/relationships/hyperlink" Target="https://octopart.com/click/track?c=1&amp;ai=8078&amp;sig=01dd918&amp;sid=2401&amp;ppid=40025538&amp;vpid=115161137&amp;ct=offers" TargetMode="External"/><Relationship Id="rId210" Type="http://schemas.openxmlformats.org/officeDocument/2006/relationships/hyperlink" Target="https://octopart.com/click/track?ai=8078&amp;sig=0811f32&amp;sid=2402&amp;ppid=40025538&amp;vpid=115424063&amp;ct=offers" TargetMode="External"/><Relationship Id="rId211" Type="http://schemas.openxmlformats.org/officeDocument/2006/relationships/hyperlink" Target="https://octopart.com/click/track?ai=8078&amp;sig=0602c5b&amp;sid=10022&amp;ppid=40025538&amp;vpid=694057360&amp;ct=offers" TargetMode="External"/><Relationship Id="rId212" Type="http://schemas.openxmlformats.org/officeDocument/2006/relationships/hyperlink" Target="https://octopart.com/click/track?ai=8078&amp;sig=0db17d2&amp;sid=1532&amp;ppid=40025538&amp;vpid=709257732&amp;ct=offers" TargetMode="External"/><Relationship Id="rId213" Type="http://schemas.openxmlformats.org/officeDocument/2006/relationships/hyperlink" Target="http://datasheet.octopart.com/RC0603FR-07232KL-Yageo-datasheet-8328172.pdf" TargetMode="External"/><Relationship Id="rId214" Type="http://schemas.openxmlformats.org/officeDocument/2006/relationships/hyperlink" Target="https://octopart.com/click/track?ai=8078&amp;sig=07b157c&amp;sid=459&amp;ppid=1236570&amp;vpid=2084227&amp;ct=offers" TargetMode="External"/><Relationship Id="rId215" Type="http://schemas.openxmlformats.org/officeDocument/2006/relationships/hyperlink" Target="https://octopart.com/click/track?c=1&amp;ai=8078&amp;sig=054112b&amp;sid=2401&amp;ppid=1236570&amp;vpid=52756983&amp;ct=offers" TargetMode="External"/><Relationship Id="rId216" Type="http://schemas.openxmlformats.org/officeDocument/2006/relationships/hyperlink" Target="http://datasheet.octopart.com/RC0603FR-074K7L-Yageo-datasheet-8328172.pdf" TargetMode="External"/><Relationship Id="rId217" Type="http://schemas.openxmlformats.org/officeDocument/2006/relationships/hyperlink" Target="https://octopart.com/click/track?ai=8078&amp;sig=0a45dd8&amp;sid=459&amp;ppid=55402884&amp;vpid=188128925&amp;ct=offers" TargetMode="External"/><Relationship Id="rId218" Type="http://schemas.openxmlformats.org/officeDocument/2006/relationships/hyperlink" Target="https://octopart.com/click/track?ai=8078&amp;sig=06d2c00&amp;sid=11744&amp;ppid=55402884&amp;vpid=478973461&amp;ct=offers" TargetMode="External"/><Relationship Id="rId219" Type="http://schemas.openxmlformats.org/officeDocument/2006/relationships/hyperlink" Target="https://octopart.com/click/track?ai=8078&amp;sig=0aae6a4&amp;sid=2401&amp;ppid=55402884&amp;vpid=187885233&amp;ct=offers" TargetMode="External"/><Relationship Id="rId220" Type="http://schemas.openxmlformats.org/officeDocument/2006/relationships/hyperlink" Target="https://octopart.com/click/track?c=1&amp;ai=8078&amp;sig=05e6c5a&amp;sid=2402&amp;ppid=55402884&amp;vpid=190899756&amp;ct=offers" TargetMode="External"/><Relationship Id="rId221" Type="http://schemas.openxmlformats.org/officeDocument/2006/relationships/hyperlink" Target="https://octopart.com/click/track?ai=8078&amp;sig=07c4dfd&amp;sid=10022&amp;ppid=55402884&amp;vpid=694057507&amp;ct=offers" TargetMode="External"/><Relationship Id="rId222" Type="http://schemas.openxmlformats.org/officeDocument/2006/relationships/hyperlink" Target="https://octopart.com/click/track?ai=8078&amp;sig=075ee49&amp;sid=1532&amp;ppid=55402884&amp;vpid=709257976&amp;ct=offers" TargetMode="External"/><Relationship Id="rId223" Type="http://schemas.openxmlformats.org/officeDocument/2006/relationships/hyperlink" Target="http://datasheet.octopart.com/RC0603FR-07249KL-Yageo-datasheet-8328172.pdf" TargetMode="External"/><Relationship Id="rId224" Type="http://schemas.openxmlformats.org/officeDocument/2006/relationships/hyperlink" Target="https://octopart.com/click/track?ai=8078&amp;sig=02f74b4&amp;sid=459&amp;ppid=1187039&amp;vpid=1122124&amp;ct=offers" TargetMode="External"/><Relationship Id="rId225" Type="http://schemas.openxmlformats.org/officeDocument/2006/relationships/hyperlink" Target="https://octopart.com/click/track?ai=8078&amp;sig=02281dd&amp;sid=2401&amp;ppid=1187039&amp;vpid=52323040&amp;ct=offers" TargetMode="External"/><Relationship Id="rId226" Type="http://schemas.openxmlformats.org/officeDocument/2006/relationships/hyperlink" Target="http://datasheet.octopart.com/RC0603FR-0715KL-Yageo-datasheet-8328172.pdf" TargetMode="External"/><Relationship Id="rId227" Type="http://schemas.openxmlformats.org/officeDocument/2006/relationships/hyperlink" Target="https://octopart.com/click/track?ai=8078&amp;sig=0522b68&amp;sid=459&amp;ppid=40254895&amp;vpid=114982799&amp;ct=offers" TargetMode="External"/><Relationship Id="rId228" Type="http://schemas.openxmlformats.org/officeDocument/2006/relationships/hyperlink" Target="https://octopart.com/click/track?ai=8078&amp;sig=036359b&amp;sid=819&amp;ppid=40254895&amp;vpid=653863235&amp;ct=offers" TargetMode="External"/><Relationship Id="rId229" Type="http://schemas.openxmlformats.org/officeDocument/2006/relationships/hyperlink" Target="https://octopart.com/click/track?ai=8078&amp;sig=0982cfe&amp;sid=2401&amp;ppid=40254895&amp;vpid=115161140&amp;ct=offers" TargetMode="External"/><Relationship Id="rId230" Type="http://schemas.openxmlformats.org/officeDocument/2006/relationships/hyperlink" Target="https://octopart.com/click/track?ai=8078&amp;sig=0e3a662&amp;sid=2402&amp;ppid=40254895&amp;vpid=115424086&amp;ct=offers" TargetMode="External"/><Relationship Id="rId231" Type="http://schemas.openxmlformats.org/officeDocument/2006/relationships/hyperlink" Target="https://octopart.com/click/track?ai=8078&amp;sig=0a176f1&amp;sid=1532&amp;ppid=40254895&amp;vpid=709257784&amp;ct=offers" TargetMode="External"/><Relationship Id="rId232" Type="http://schemas.openxmlformats.org/officeDocument/2006/relationships/hyperlink" Target="http://datasheet.octopart.com/RC0603FR-073K3L-Yageo-datasheet-8328172.pdf" TargetMode="External"/><Relationship Id="rId233" Type="http://schemas.openxmlformats.org/officeDocument/2006/relationships/hyperlink" Target="https://octopart.com/click/track?ai=8078&amp;sig=0735e2e&amp;sid=459&amp;ppid=40011875&amp;vpid=114982962&amp;ct=offers" TargetMode="External"/><Relationship Id="rId234" Type="http://schemas.openxmlformats.org/officeDocument/2006/relationships/hyperlink" Target="https://octopart.com/click/track?ai=8078&amp;sig=085b6b9&amp;sid=819&amp;ppid=40011875&amp;vpid=508509699&amp;ct=offers" TargetMode="External"/><Relationship Id="rId235" Type="http://schemas.openxmlformats.org/officeDocument/2006/relationships/hyperlink" Target="https://octopart.com/click/track?ai=8078&amp;sig=025390a&amp;sid=2401&amp;ppid=40011875&amp;vpid=114830356&amp;ct=offers" TargetMode="External"/><Relationship Id="rId236" Type="http://schemas.openxmlformats.org/officeDocument/2006/relationships/hyperlink" Target="https://octopart.com/click/track?ai=8078&amp;sig=0ccefaa&amp;sid=2402&amp;ppid=40011875&amp;vpid=115424158&amp;ct=offers" TargetMode="External"/><Relationship Id="rId237" Type="http://schemas.openxmlformats.org/officeDocument/2006/relationships/hyperlink" Target="https://octopart.com/click/track?ai=8078&amp;sig=0317466&amp;sid=10022&amp;ppid=40011875&amp;vpid=694057479&amp;ct=offers" TargetMode="External"/><Relationship Id="rId238" Type="http://schemas.openxmlformats.org/officeDocument/2006/relationships/hyperlink" Target="https://octopart.com/click/track?ai=8078&amp;sig=0df0efd&amp;sid=1532&amp;ppid=40011875&amp;vpid=707694080&amp;ct=offers" TargetMode="External"/><Relationship Id="rId239" Type="http://schemas.openxmlformats.org/officeDocument/2006/relationships/hyperlink" Target="http://datasheet.octopart.com/RC0603FR-071KL-Yageo-datasheet-8328172.pdf" TargetMode="External"/><Relationship Id="rId240" Type="http://schemas.openxmlformats.org/officeDocument/2006/relationships/hyperlink" Target="https://octopart.com/click/track?ai=8078&amp;sig=0fe2519&amp;sid=459&amp;ppid=55402882&amp;vpid=188128906&amp;ct=offers" TargetMode="External"/><Relationship Id="rId241" Type="http://schemas.openxmlformats.org/officeDocument/2006/relationships/hyperlink" Target="https://octopart.com/click/track?ai=8078&amp;sig=0c79d71&amp;sid=11744&amp;ppid=55402882&amp;vpid=508988657&amp;ct=offers" TargetMode="External"/><Relationship Id="rId242" Type="http://schemas.openxmlformats.org/officeDocument/2006/relationships/hyperlink" Target="https://octopart.com/click/track?ai=8078&amp;sig=0fb13ef&amp;sid=2401&amp;ppid=55402882&amp;vpid=187885225&amp;ct=offers" TargetMode="External"/><Relationship Id="rId243" Type="http://schemas.openxmlformats.org/officeDocument/2006/relationships/hyperlink" Target="https://octopart.com/click/track?c=1&amp;ai=8078&amp;sig=0aae659&amp;sid=2402&amp;ppid=55402882&amp;vpid=190899752&amp;ct=offers" TargetMode="External"/><Relationship Id="rId244" Type="http://schemas.openxmlformats.org/officeDocument/2006/relationships/hyperlink" Target="https://octopart.com/click/track?ai=8078&amp;sig=0f30183&amp;sid=10022&amp;ppid=55402882&amp;vpid=694057393&amp;ct=offers" TargetMode="External"/><Relationship Id="rId245" Type="http://schemas.openxmlformats.org/officeDocument/2006/relationships/hyperlink" Target="https://octopart.com/click/track?ai=8078&amp;sig=0da4270&amp;sid=1532&amp;ppid=55402882&amp;vpid=709257838&amp;ct=offers" TargetMode="External"/><Relationship Id="rId246" Type="http://schemas.openxmlformats.org/officeDocument/2006/relationships/hyperlink" Target="http://datasheet.octopart.com/RC0603FR-071KL-Yageo-datasheet-8328172.pdf" TargetMode="External"/><Relationship Id="rId247" Type="http://schemas.openxmlformats.org/officeDocument/2006/relationships/hyperlink" Target="https://octopart.com/click/track?ai=8078&amp;sig=0fe2519&amp;sid=459&amp;ppid=55402882&amp;vpid=188128906&amp;ct=offers" TargetMode="External"/><Relationship Id="rId248" Type="http://schemas.openxmlformats.org/officeDocument/2006/relationships/hyperlink" Target="https://octopart.com/click/track?c=1&amp;ai=8078&amp;sig=0a27286&amp;sid=11744&amp;ppid=55402882&amp;vpid=541915175&amp;ct=offers" TargetMode="External"/><Relationship Id="rId249" Type="http://schemas.openxmlformats.org/officeDocument/2006/relationships/hyperlink" Target="https://octopart.com/click/track?ai=8078&amp;sig=0fb13ef&amp;sid=2401&amp;ppid=55402882&amp;vpid=187885225&amp;ct=offers" TargetMode="External"/><Relationship Id="rId250" Type="http://schemas.openxmlformats.org/officeDocument/2006/relationships/hyperlink" Target="https://octopart.com/click/track?c=1&amp;ai=8078&amp;sig=0aae659&amp;sid=2402&amp;ppid=55402882&amp;vpid=190899752&amp;ct=offers" TargetMode="External"/><Relationship Id="rId251" Type="http://schemas.openxmlformats.org/officeDocument/2006/relationships/hyperlink" Target="https://octopart.com/click/track?ai=8078&amp;sig=0f30183&amp;sid=10022&amp;ppid=55402882&amp;vpid=694057393&amp;ct=offers" TargetMode="External"/><Relationship Id="rId252" Type="http://schemas.openxmlformats.org/officeDocument/2006/relationships/hyperlink" Target="https://octopart.com/click/track?ai=8078&amp;sig=0da4270&amp;sid=1532&amp;ppid=55402882&amp;vpid=709257838&amp;ct=offers" TargetMode="External"/><Relationship Id="rId253" Type="http://schemas.openxmlformats.org/officeDocument/2006/relationships/hyperlink" Target="http://datasheet.octopart.com/RC0603FR-07100RL-Yageo-datasheet-8328172.pdf" TargetMode="External"/><Relationship Id="rId254" Type="http://schemas.openxmlformats.org/officeDocument/2006/relationships/hyperlink" Target="https://octopart.com/click/track?c=1&amp;ai=8078&amp;sig=0da778d&amp;sid=459&amp;ppid=55402879&amp;vpid=188128876&amp;ct=offers" TargetMode="External"/><Relationship Id="rId255" Type="http://schemas.openxmlformats.org/officeDocument/2006/relationships/hyperlink" Target="https://octopart.com/click/track?ai=8078&amp;sig=0f28a3b&amp;sid=819&amp;ppid=55402879&amp;vpid=508509521&amp;ct=offers" TargetMode="External"/><Relationship Id="rId256" Type="http://schemas.openxmlformats.org/officeDocument/2006/relationships/hyperlink" Target="https://octopart.com/click/track?c=1&amp;ai=8078&amp;sig=0b7a00d&amp;sid=2401&amp;ppid=55402879&amp;vpid=187885219&amp;ct=offers" TargetMode="External"/><Relationship Id="rId257" Type="http://schemas.openxmlformats.org/officeDocument/2006/relationships/hyperlink" Target="https://octopart.com/click/track?ai=8078&amp;sig=0dab92b&amp;sid=2402&amp;ppid=55402879&amp;vpid=191426217&amp;ct=offers" TargetMode="External"/><Relationship Id="rId258" Type="http://schemas.openxmlformats.org/officeDocument/2006/relationships/hyperlink" Target="https://octopart.com/click/track?ai=8078&amp;sig=08ae2df&amp;sid=10022&amp;ppid=55402879&amp;vpid=655980881&amp;ct=offers" TargetMode="External"/><Relationship Id="rId259" Type="http://schemas.openxmlformats.org/officeDocument/2006/relationships/hyperlink" Target="https://octopart.com/click/track?ai=8078&amp;sig=0dafa91&amp;sid=1532&amp;ppid=55402879&amp;vpid=709257727&amp;ct=offers" TargetMode="External"/><Relationship Id="rId260" Type="http://schemas.openxmlformats.org/officeDocument/2006/relationships/hyperlink" Target="http://datasheet.octopart.com/RC0603FR-070RL-Yageo-datasheet-8328172.pdf" TargetMode="External"/><Relationship Id="rId261" Type="http://schemas.openxmlformats.org/officeDocument/2006/relationships/hyperlink" Target="https://octopart.com/click/track?ai=8078&amp;sig=08367b6&amp;sid=459&amp;ppid=1180803&amp;vpid=88049501&amp;ct=offers" TargetMode="External"/><Relationship Id="rId262" Type="http://schemas.openxmlformats.org/officeDocument/2006/relationships/hyperlink" Target="https://octopart.com/click/track?c=1&amp;ai=8078&amp;sig=0af1779&amp;sid=11744&amp;ppid=1180803&amp;vpid=132762899&amp;ct=offers" TargetMode="External"/><Relationship Id="rId263" Type="http://schemas.openxmlformats.org/officeDocument/2006/relationships/hyperlink" Target="https://octopart.com/click/track?ai=8078&amp;sig=058e129&amp;sid=2401&amp;ppid=1180803&amp;vpid=45348878&amp;ct=offers" TargetMode="External"/><Relationship Id="rId264" Type="http://schemas.openxmlformats.org/officeDocument/2006/relationships/hyperlink" Target="https://octopart.com/click/track?ai=8078&amp;sig=02e3980&amp;sid=2402&amp;ppid=1180803&amp;vpid=215610244&amp;ct=offers" TargetMode="External"/><Relationship Id="rId265" Type="http://schemas.openxmlformats.org/officeDocument/2006/relationships/hyperlink" Target="https://octopart.com/click/track?ai=8078&amp;sig=0c4ac5d&amp;sid=1532&amp;ppid=1180803&amp;vpid=709257724&amp;ct=offers" TargetMode="External"/><Relationship Id="rId266" Type="http://schemas.openxmlformats.org/officeDocument/2006/relationships/hyperlink" Target="http://datasheet.octopart.com/RC0603FR-0710KL-Yageo-datasheet-8328172.pdf" TargetMode="External"/><Relationship Id="rId267" Type="http://schemas.openxmlformats.org/officeDocument/2006/relationships/hyperlink" Target="https://octopart.com/click/track?ai=8078&amp;sig=03bdc7a&amp;sid=459&amp;ppid=40025538&amp;vpid=114982759&amp;ct=offers" TargetMode="External"/><Relationship Id="rId268" Type="http://schemas.openxmlformats.org/officeDocument/2006/relationships/hyperlink" Target="https://octopart.com/click/track?ai=8078&amp;sig=09e8397&amp;sid=819&amp;ppid=40025538&amp;vpid=508509528&amp;ct=offers" TargetMode="External"/><Relationship Id="rId269" Type="http://schemas.openxmlformats.org/officeDocument/2006/relationships/hyperlink" Target="https://octopart.com/click/track?c=1&amp;ai=8078&amp;sig=01dd918&amp;sid=2401&amp;ppid=40025538&amp;vpid=115161137&amp;ct=offers" TargetMode="External"/><Relationship Id="rId270" Type="http://schemas.openxmlformats.org/officeDocument/2006/relationships/hyperlink" Target="https://octopart.com/click/track?ai=8078&amp;sig=0811f32&amp;sid=2402&amp;ppid=40025538&amp;vpid=115424063&amp;ct=offers" TargetMode="External"/><Relationship Id="rId271" Type="http://schemas.openxmlformats.org/officeDocument/2006/relationships/hyperlink" Target="https://octopart.com/click/track?ai=8078&amp;sig=0602c5b&amp;sid=10022&amp;ppid=40025538&amp;vpid=694057360&amp;ct=offers" TargetMode="External"/><Relationship Id="rId272" Type="http://schemas.openxmlformats.org/officeDocument/2006/relationships/hyperlink" Target="https://octopart.com/click/track?ai=8078&amp;sig=0db17d2&amp;sid=1532&amp;ppid=40025538&amp;vpid=709257732&amp;ct=offers" TargetMode="External"/><Relationship Id="rId273" Type="http://schemas.openxmlformats.org/officeDocument/2006/relationships/hyperlink" Target="http://datasheet.octopart.com/RC0603FR-0715KL-Yageo-datasheet-8328172.pdf" TargetMode="External"/><Relationship Id="rId274" Type="http://schemas.openxmlformats.org/officeDocument/2006/relationships/hyperlink" Target="https://octopart.com/click/track?ai=8078&amp;sig=0522b68&amp;sid=459&amp;ppid=40254895&amp;vpid=114982799&amp;ct=offers" TargetMode="External"/><Relationship Id="rId275" Type="http://schemas.openxmlformats.org/officeDocument/2006/relationships/hyperlink" Target="https://octopart.com/click/track?ai=8078&amp;sig=036359b&amp;sid=819&amp;ppid=40254895&amp;vpid=653863235&amp;ct=offers" TargetMode="External"/><Relationship Id="rId276" Type="http://schemas.openxmlformats.org/officeDocument/2006/relationships/hyperlink" Target="https://octopart.com/click/track?ai=8078&amp;sig=0982cfe&amp;sid=2401&amp;ppid=40254895&amp;vpid=115161140&amp;ct=offers" TargetMode="External"/><Relationship Id="rId277" Type="http://schemas.openxmlformats.org/officeDocument/2006/relationships/hyperlink" Target="https://octopart.com/click/track?ai=8078&amp;sig=0e3a662&amp;sid=2402&amp;ppid=40254895&amp;vpid=115424086&amp;ct=offers" TargetMode="External"/><Relationship Id="rId278" Type="http://schemas.openxmlformats.org/officeDocument/2006/relationships/hyperlink" Target="https://octopart.com/click/track?ai=8078&amp;sig=0a176f1&amp;sid=1532&amp;ppid=40254895&amp;vpid=709257784&amp;ct=offers" TargetMode="External"/><Relationship Id="rId279" Type="http://schemas.openxmlformats.org/officeDocument/2006/relationships/hyperlink" Target="http://datasheet.octopart.com/RC0603FR-07100KL-Yageo-datasheet-8328172.pdf" TargetMode="External"/><Relationship Id="rId280" Type="http://schemas.openxmlformats.org/officeDocument/2006/relationships/hyperlink" Target="https://octopart.com/click/track?ai=8078&amp;sig=08a3cd1&amp;sid=459&amp;ppid=40946036&amp;vpid=114982751&amp;ct=offers" TargetMode="External"/><Relationship Id="rId281" Type="http://schemas.openxmlformats.org/officeDocument/2006/relationships/hyperlink" Target="https://octopart.com/click/track?ai=8078&amp;sig=0a9f7b0&amp;sid=819&amp;ppid=40946036&amp;vpid=532285462&amp;ct=offers" TargetMode="External"/><Relationship Id="rId282" Type="http://schemas.openxmlformats.org/officeDocument/2006/relationships/hyperlink" Target="https://octopart.com/click/track?ai=8078&amp;sig=053969b&amp;sid=2401&amp;ppid=40946036&amp;vpid=115001591&amp;ct=offers" TargetMode="External"/><Relationship Id="rId283" Type="http://schemas.openxmlformats.org/officeDocument/2006/relationships/hyperlink" Target="https://octopart.com/click/track?ai=8078&amp;sig=0aea520&amp;sid=2402&amp;ppid=40946036&amp;vpid=115424057&amp;ct=offers" TargetMode="External"/><Relationship Id="rId284" Type="http://schemas.openxmlformats.org/officeDocument/2006/relationships/hyperlink" Target="https://octopart.com/click/track?ai=8078&amp;sig=08c3fb7&amp;sid=10022&amp;ppid=40946036&amp;vpid=655980879&amp;ct=offers" TargetMode="External"/><Relationship Id="rId285" Type="http://schemas.openxmlformats.org/officeDocument/2006/relationships/hyperlink" Target="https://octopart.com/click/track?ai=8078&amp;sig=06355db&amp;sid=1532&amp;ppid=40946036&amp;vpid=709257726&amp;ct=offers" TargetMode="External"/><Relationship Id="rId286" Type="http://schemas.openxmlformats.org/officeDocument/2006/relationships/hyperlink" Target="http://datasheet.octopart.com/RC0603FR-0730K1L-Yageo-datasheet-8328172.pdf" TargetMode="External"/><Relationship Id="rId287" Type="http://schemas.openxmlformats.org/officeDocument/2006/relationships/hyperlink" Target="https://octopart.com/click/track?ai=8078&amp;sig=0e05a69&amp;sid=459&amp;ppid=55458484&amp;vpid=188128915&amp;ct=offers" TargetMode="External"/><Relationship Id="rId288" Type="http://schemas.openxmlformats.org/officeDocument/2006/relationships/hyperlink" Target="https://octopart.com/click/track?ai=8078&amp;sig=02b2e0e&amp;sid=819&amp;ppid=55458484&amp;vpid=653863357&amp;ct=offers" TargetMode="External"/><Relationship Id="rId289" Type="http://schemas.openxmlformats.org/officeDocument/2006/relationships/hyperlink" Target="https://octopart.com/click/track?c=1&amp;ai=8078&amp;sig=05185f7&amp;sid=2401&amp;ppid=55458484&amp;vpid=189038668&amp;ct=offers" TargetMode="External"/><Relationship Id="rId290" Type="http://schemas.openxmlformats.org/officeDocument/2006/relationships/hyperlink" Target="https://octopart.com/click/track?ai=8078&amp;sig=0bdec1f&amp;sid=2402&amp;ppid=55458484&amp;vpid=658256892&amp;ct=offers" TargetMode="External"/><Relationship Id="rId291" Type="http://schemas.openxmlformats.org/officeDocument/2006/relationships/hyperlink" Target="https://octopart.com/click/track?ai=8078&amp;sig=0955934&amp;sid=1532&amp;ppid=55458484&amp;vpid=709257909&amp;ct=offers" TargetMode="External"/><Relationship Id="rId292" Type="http://schemas.openxmlformats.org/officeDocument/2006/relationships/hyperlink" Target="https://octopart.com/click/track?ai=8078&amp;sig=0c2d191&amp;sid=459&amp;ppid=97359468&amp;vpid=528037660&amp;ct=offers" TargetMode="External"/><Relationship Id="rId293" Type="http://schemas.openxmlformats.org/officeDocument/2006/relationships/hyperlink" Target="https://octopart.com/click/track?ai=8078&amp;sig=0b8ad0a&amp;sid=2401&amp;ppid=97359468&amp;vpid=511660522&amp;ct=offers" TargetMode="External"/><Relationship Id="rId294" Type="http://schemas.openxmlformats.org/officeDocument/2006/relationships/hyperlink" Target="https://www.ti.com/lit/ds/symlink/opa991.pdf" TargetMode="External"/><Relationship Id="rId295" Type="http://schemas.openxmlformats.org/officeDocument/2006/relationships/hyperlink" Target="https://octopart.com/click/track?ai=8078&amp;sig=0ab66ae&amp;sid=459&amp;ppid=109077649&amp;vpid=658145768&amp;ct=offers" TargetMode="External"/><Relationship Id="rId296" Type="http://schemas.openxmlformats.org/officeDocument/2006/relationships/hyperlink" Target="https://octopart.com/click/track?ai=8078&amp;sig=000aad8&amp;sid=2401&amp;ppid=109077649&amp;vpid=654741938&amp;ct=offers" TargetMode="External"/><Relationship Id="rId297" Type="http://schemas.openxmlformats.org/officeDocument/2006/relationships/hyperlink" Target="http://datasheet.octopart.com/LT3471EDD%23PBF-Linear-Technology-datasheet-10690774.pdf" TargetMode="External"/><Relationship Id="rId298" Type="http://schemas.openxmlformats.org/officeDocument/2006/relationships/hyperlink" Target="https://octopart.com/click/track?c=1&amp;ai=8078&amp;sig=0032591&amp;sid=459&amp;ppid=534169&amp;vpid=650441833&amp;ct=offers" TargetMode="External"/><Relationship Id="rId299" Type="http://schemas.openxmlformats.org/officeDocument/2006/relationships/hyperlink" Target="https://octopart.com/click/track?c=1&amp;ai=8078&amp;sig=0980855&amp;sid=819&amp;ppid=534169&amp;vpid=138987563&amp;ct=offers" TargetMode="External"/><Relationship Id="rId300" Type="http://schemas.openxmlformats.org/officeDocument/2006/relationships/hyperlink" Target="https://octopart.com/click/track?ai=8078&amp;sig=0da9aa3&amp;sid=27971&amp;ppid=534169&amp;vpid=646980798&amp;ct=offers" TargetMode="External"/><Relationship Id="rId301" Type="http://schemas.openxmlformats.org/officeDocument/2006/relationships/hyperlink" Target="https://octopart.com/click/track?ai=8078&amp;sig=05a931d&amp;sid=2401&amp;ppid=534169&amp;vpid=457794336&amp;ct=offers" TargetMode="External"/><Relationship Id="rId302" Type="http://schemas.openxmlformats.org/officeDocument/2006/relationships/hyperlink" Target="https://octopart.com/click/track?ai=8078&amp;sig=00f2fa4&amp;sid=10022&amp;ppid=534169&amp;vpid=590119024&amp;ct=offers" TargetMode="External"/><Relationship Id="rId303" Type="http://schemas.openxmlformats.org/officeDocument/2006/relationships/hyperlink" Target="https://octopart.com/click/track?ai=8078&amp;sig=0d11130&amp;sid=1532&amp;ppid=534169&amp;vpid=707785711&amp;ct=offers" TargetMode="External"/><Relationship Id="rId304" Type="http://schemas.openxmlformats.org/officeDocument/2006/relationships/hyperlink" Target="https://www.ti.com/lit/ds/symlink/lp38693.pdf" TargetMode="External"/><Relationship Id="rId305" Type="http://schemas.openxmlformats.org/officeDocument/2006/relationships/hyperlink" Target="https://octopart.com/click/track?ai=8078&amp;sig=00ac2a2&amp;sid=459&amp;ppid=24816548&amp;vpid=57597414&amp;ct=offers" TargetMode="External"/><Relationship Id="rId306" Type="http://schemas.openxmlformats.org/officeDocument/2006/relationships/hyperlink" Target="https://octopart.com/click/track?ai=8078&amp;sig=0ae2e71&amp;sid=2401&amp;ppid=24816548&amp;vpid=57207691&amp;ct=offers" TargetMode="External"/><Relationship Id="rId307" Type="http://schemas.openxmlformats.org/officeDocument/2006/relationships/hyperlink" Target="https://www.ti.com/lit/ds/symlink/lp38693.pdf" TargetMode="External"/><Relationship Id="rId308" Type="http://schemas.openxmlformats.org/officeDocument/2006/relationships/hyperlink" Target="https://octopart.com/click/track?ai=8078&amp;sig=096f187&amp;sid=459&amp;ppid=24816556&amp;vpid=57597457&amp;ct=offers" TargetMode="External"/><Relationship Id="rId309" Type="http://schemas.openxmlformats.org/officeDocument/2006/relationships/hyperlink" Target="https://octopart.com/click/track?ai=8078&amp;sig=0959b20&amp;sid=819&amp;ppid=24816556&amp;vpid=575367510&amp;ct=offers" TargetMode="External"/><Relationship Id="rId310" Type="http://schemas.openxmlformats.org/officeDocument/2006/relationships/hyperlink" Target="https://octopart.com/click/track?ai=8078&amp;sig=0279a46&amp;sid=27971&amp;ppid=24816556&amp;vpid=448096533&amp;ct=offers" TargetMode="External"/><Relationship Id="rId311" Type="http://schemas.openxmlformats.org/officeDocument/2006/relationships/hyperlink" Target="https://octopart.com/click/track?ai=8078&amp;sig=084d3ac&amp;sid=2401&amp;ppid=24816556&amp;vpid=57207700&amp;ct=offers" TargetMode="External"/><Relationship Id="rId312" Type="http://schemas.openxmlformats.org/officeDocument/2006/relationships/hyperlink" Target="https://octopart.com/click/track?ai=8078&amp;sig=06c0d09&amp;sid=2402&amp;ppid=24816556&amp;vpid=578994107&amp;ct=offers" TargetMode="External"/><Relationship Id="rId313" Type="http://schemas.openxmlformats.org/officeDocument/2006/relationships/hyperlink" Target="https://octopart.com/click/track?ai=8078&amp;sig=08b6504&amp;sid=10022&amp;ppid=24816556&amp;vpid=199164951&amp;ct=offers" TargetMode="External"/><Relationship Id="rId314" Type="http://schemas.openxmlformats.org/officeDocument/2006/relationships/hyperlink" Target="https://octopart.com/click/track?ai=8078&amp;sig=06532ed&amp;sid=1532&amp;ppid=24816556&amp;vpid=709227631&amp;ct=offers" TargetMode="External"/><Relationship Id="rId315" Type="http://schemas.openxmlformats.org/officeDocument/2006/relationships/hyperlink" Target="http://www.ti.com/lit/ds/symlink/lm2937.pdf" TargetMode="External"/><Relationship Id="rId316" Type="http://schemas.openxmlformats.org/officeDocument/2006/relationships/hyperlink" Target="https://octopart.com/click/track?ai=8078&amp;sig=098aaa0&amp;sid=459&amp;ppid=24154105&amp;vpid=57588520&amp;ct=offers" TargetMode="External"/><Relationship Id="rId317" Type="http://schemas.openxmlformats.org/officeDocument/2006/relationships/hyperlink" Target="https://octopart.com/click/track?c=1&amp;ai=8078&amp;sig=0e0e964&amp;sid=819&amp;ppid=24154105&amp;vpid=575366299&amp;ct=offers" TargetMode="External"/><Relationship Id="rId318" Type="http://schemas.openxmlformats.org/officeDocument/2006/relationships/hyperlink" Target="https://octopart.com/click/track?ai=8078&amp;sig=0aa3da0&amp;sid=2401&amp;ppid=24154105&amp;vpid=57204458&amp;ct=offers" TargetMode="External"/><Relationship Id="rId319" Type="http://schemas.openxmlformats.org/officeDocument/2006/relationships/hyperlink" Target="https://octopart.com/click/track?c=1&amp;ai=8078&amp;sig=0282ee0&amp;sid=2402&amp;ppid=24154105&amp;vpid=578992524&amp;ct=offers" TargetMode="External"/><Relationship Id="rId320" Type="http://schemas.openxmlformats.org/officeDocument/2006/relationships/hyperlink" Target="http://datasheet.octopart.com/MAX6070BAUT21%2BT-Maxim-Integrated-datasheet-66419529.pdf" TargetMode="External"/><Relationship Id="rId321" Type="http://schemas.openxmlformats.org/officeDocument/2006/relationships/hyperlink" Target="https://octopart.com/click/track?ai=8078&amp;sig=0c55dc4&amp;sid=459&amp;ppid=27048045&amp;vpid=178314896&amp;ct=offers" TargetMode="External"/><Relationship Id="rId322" Type="http://schemas.openxmlformats.org/officeDocument/2006/relationships/hyperlink" Target="https://octopart.com/click/track?ai=8078&amp;sig=09a36f8&amp;sid=819&amp;ppid=27048045&amp;vpid=464830578&amp;ct=offers" TargetMode="External"/><Relationship Id="rId323" Type="http://schemas.openxmlformats.org/officeDocument/2006/relationships/hyperlink" Target="https://octopart.com/click/track?ai=8078&amp;sig=02ff0e7&amp;sid=2401&amp;ppid=27048045&amp;vpid=454163148&amp;ct=offers" TargetMode="External"/><Relationship Id="rId324" Type="http://schemas.openxmlformats.org/officeDocument/2006/relationships/hyperlink" Target="https://octopart.com/click/track?ai=8078&amp;sig=0a46917&amp;sid=2402&amp;ppid=27048045&amp;vpid=462331099&amp;ct=offers" TargetMode="External"/><Relationship Id="rId325" Type="http://schemas.openxmlformats.org/officeDocument/2006/relationships/hyperlink" Target="https://www.ti.com/lit/ds/symlink/lp38693.pdf" TargetMode="External"/><Relationship Id="rId326" Type="http://schemas.openxmlformats.org/officeDocument/2006/relationships/hyperlink" Target="https://octopart.com/click/track?ai=8078&amp;sig=01d6381&amp;sid=459&amp;ppid=24816555&amp;vpid=57597450&amp;ct=offers" TargetMode="External"/><Relationship Id="rId327" Type="http://schemas.openxmlformats.org/officeDocument/2006/relationships/hyperlink" Target="https://octopart.com/click/track?ai=8078&amp;sig=0632994&amp;sid=819&amp;ppid=24816555&amp;vpid=575367508&amp;ct=offers" TargetMode="External"/><Relationship Id="rId328" Type="http://schemas.openxmlformats.org/officeDocument/2006/relationships/hyperlink" Target="https://octopart.com/click/track?ai=8078&amp;sig=0679759&amp;sid=2401&amp;ppid=24816555&amp;vpid=57207698&amp;ct=offers" TargetMode="External"/><Relationship Id="rId329" Type="http://schemas.openxmlformats.org/officeDocument/2006/relationships/hyperlink" Target="https://octopart.com/click/track?ai=8078&amp;sig=08f1801&amp;sid=2402&amp;ppid=24816555&amp;vpid=578994105&amp;ct=offers" TargetMode="External"/><Relationship Id="rId330" Type="http://schemas.openxmlformats.org/officeDocument/2006/relationships/hyperlink" Target="http://www.onsemi.com/pub/Collateral/MC79M00-D.PDF" TargetMode="External"/><Relationship Id="rId331" Type="http://schemas.openxmlformats.org/officeDocument/2006/relationships/hyperlink" Target="https://octopart.com/click/track?c=1&amp;ai=8078&amp;sig=0d06cb9&amp;sid=459&amp;ppid=1421968&amp;vpid=34060895&amp;ct=offers" TargetMode="External"/><Relationship Id="rId332" Type="http://schemas.openxmlformats.org/officeDocument/2006/relationships/hyperlink" Target="https://octopart.com/click/track?c=1&amp;ai=8078&amp;sig=0f1d1f3&amp;sid=11744&amp;ppid=1421968&amp;vpid=181368003&amp;ct=offers" TargetMode="External"/><Relationship Id="rId333" Type="http://schemas.openxmlformats.org/officeDocument/2006/relationships/hyperlink" Target="https://octopart.com/click/track?ai=8078&amp;sig=06d5bec&amp;sid=2401&amp;ppid=1421968&amp;vpid=82411174&amp;ct=offers" TargetMode="External"/><Relationship Id="rId334" Type="http://schemas.openxmlformats.org/officeDocument/2006/relationships/hyperlink" Target="https://octopart.com/click/track?ai=8078&amp;sig=03fc67b&amp;sid=2402&amp;ppid=1421968&amp;vpid=192877173&amp;ct=offers" TargetMode="External"/><Relationship Id="rId335" Type="http://schemas.openxmlformats.org/officeDocument/2006/relationships/hyperlink" Target="https://octopart.com/click/track?ai=8078&amp;sig=0940d80&amp;sid=10022&amp;ppid=1421968&amp;vpid=199086093&amp;ct=offers" TargetMode="External"/><Relationship Id="rId336" Type="http://schemas.openxmlformats.org/officeDocument/2006/relationships/hyperlink" Target="https://octopart.com/click/track?ai=8078&amp;sig=09b66b3&amp;sid=1532&amp;ppid=1421968&amp;vpid=709121357&amp;ct=offers" TargetMode="External"/><Relationship Id="rId337" Type="http://schemas.openxmlformats.org/officeDocument/2006/relationships/hyperlink" Target="https://www.ti.com/lit/ds/symlink/lp38693.pdf" TargetMode="External"/><Relationship Id="rId338" Type="http://schemas.openxmlformats.org/officeDocument/2006/relationships/hyperlink" Target="https://octopart.com/click/track?ai=8078&amp;sig=0618bf5&amp;sid=459&amp;ppid=24154291&amp;vpid=57597452&amp;ct=offers" TargetMode="External"/><Relationship Id="rId339" Type="http://schemas.openxmlformats.org/officeDocument/2006/relationships/hyperlink" Target="https://octopart.com/click/track?ai=8078&amp;sig=05688ce&amp;sid=2401&amp;ppid=24154291&amp;vpid=57207699&amp;ct=offers" TargetMode="External"/><Relationship Id="rId340" Type="http://schemas.openxmlformats.org/officeDocument/2006/relationships/hyperlink" Target="https://ww1.microchip.com/downloads/en/DeviceDoc/20005202A.pdf" TargetMode="External"/><Relationship Id="rId341" Type="http://schemas.openxmlformats.org/officeDocument/2006/relationships/hyperlink" Target="https://octopart.com/click/track?c=1&amp;ai=8078&amp;sig=07d9dba&amp;sid=459&amp;ppid=28160807&amp;vpid=462964766&amp;ct=offers" TargetMode="External"/><Relationship Id="rId342" Type="http://schemas.openxmlformats.org/officeDocument/2006/relationships/hyperlink" Target="https://octopart.com/click/track?c=1&amp;ai=8078&amp;sig=0f22a5f&amp;sid=819&amp;ppid=28160807&amp;vpid=671898961&amp;ct=offers" TargetMode="External"/><Relationship Id="rId343" Type="http://schemas.openxmlformats.org/officeDocument/2006/relationships/hyperlink" Target="https://octopart.com/click/track?c=1&amp;ai=8078&amp;sig=0ebea38&amp;sid=2401&amp;ppid=28160807&amp;vpid=410280499&amp;ct=offers" TargetMode="External"/><Relationship Id="rId344" Type="http://schemas.openxmlformats.org/officeDocument/2006/relationships/hyperlink" Target="https://octopart.com/click/track?c=1&amp;ai=8078&amp;sig=07ce189&amp;sid=2402&amp;ppid=28160807&amp;vpid=96332414&amp;ct=offers" TargetMode="External"/><Relationship Id="rId345" Type="http://schemas.openxmlformats.org/officeDocument/2006/relationships/hyperlink" Target="http://www.ti.com/lit/ds/symlink/pca9306.pdf" TargetMode="External"/><Relationship Id="rId346" Type="http://schemas.openxmlformats.org/officeDocument/2006/relationships/hyperlink" Target="https://octopart.com/click/track?c=1&amp;ai=8078&amp;sig=0017466&amp;sid=459&amp;ppid=19977256&amp;vpid=39177806&amp;ct=offers" TargetMode="External"/><Relationship Id="rId347" Type="http://schemas.openxmlformats.org/officeDocument/2006/relationships/hyperlink" Target="https://octopart.com/click/track?c=1&amp;ai=8078&amp;sig=03072e6&amp;sid=11744&amp;ppid=19977256&amp;vpid=181368202&amp;ct=offers" TargetMode="External"/><Relationship Id="rId348" Type="http://schemas.openxmlformats.org/officeDocument/2006/relationships/hyperlink" Target="https://octopart.com/click/track?c=1&amp;ai=8078&amp;sig=00cc9d7&amp;sid=2401&amp;ppid=19977256&amp;vpid=107603094&amp;ct=offers" TargetMode="External"/><Relationship Id="rId349" Type="http://schemas.openxmlformats.org/officeDocument/2006/relationships/hyperlink" Target="https://octopart.com/click/track?c=1&amp;ai=8078&amp;sig=0c37cf4&amp;sid=2402&amp;ppid=19977256&amp;vpid=192877359&amp;ct=offers" TargetMode="External"/><Relationship Id="rId350" Type="http://schemas.openxmlformats.org/officeDocument/2006/relationships/hyperlink" Target="https://octopart.com/click/track?ai=8078&amp;sig=0104fe0&amp;sid=10022&amp;ppid=19977256&amp;vpid=199088976&amp;ct=offers" TargetMode="External"/><Relationship Id="rId351" Type="http://schemas.openxmlformats.org/officeDocument/2006/relationships/hyperlink" Target="https://octopart.com/click/track?ai=8078&amp;sig=016fc24&amp;sid=1532&amp;ppid=19977256&amp;vpid=709123021&amp;ct=offers" TargetMode="External"/><Relationship Id="rId352" Type="http://schemas.openxmlformats.org/officeDocument/2006/relationships/hyperlink" Target="http://datasheet.octopart.com/NLSX3018DTR2G-ON-Semiconductor-datasheet-11546757.pdf" TargetMode="External"/><Relationship Id="rId353" Type="http://schemas.openxmlformats.org/officeDocument/2006/relationships/hyperlink" Target="https://octopart.com/click/track?ai=8078&amp;sig=0fb5be1&amp;sid=459&amp;ppid=15755069&amp;vpid=479907032&amp;ct=offers" TargetMode="External"/><Relationship Id="rId354" Type="http://schemas.openxmlformats.org/officeDocument/2006/relationships/hyperlink" Target="https://octopart.com/click/track?c=1&amp;ai=8078&amp;sig=0c79dc3&amp;sid=819&amp;ppid=15755069&amp;vpid=679568991&amp;ct=offers" TargetMode="External"/><Relationship Id="rId355" Type="http://schemas.openxmlformats.org/officeDocument/2006/relationships/hyperlink" Target="https://octopart.com/click/track?ai=8078&amp;sig=0887866&amp;sid=27971&amp;ppid=15755069&amp;vpid=609063995&amp;ct=offers" TargetMode="External"/><Relationship Id="rId356" Type="http://schemas.openxmlformats.org/officeDocument/2006/relationships/hyperlink" Target="https://octopart.com/click/track?ai=8078&amp;sig=077d59e&amp;sid=2401&amp;ppid=15755069&amp;vpid=421147092&amp;ct=offers" TargetMode="External"/><Relationship Id="rId357" Type="http://schemas.openxmlformats.org/officeDocument/2006/relationships/hyperlink" Target="https://octopart.com/click/track?c=1&amp;ai=8078&amp;sig=0bac0e2&amp;sid=2402&amp;ppid=15755069&amp;vpid=96445641&amp;ct=offers" TargetMode="External"/><Relationship Id="rId358" Type="http://schemas.openxmlformats.org/officeDocument/2006/relationships/hyperlink" Target="www.ti.com/lit/ds/symlink/txs0108e.pdf" TargetMode="External"/><Relationship Id="rId359" Type="http://schemas.openxmlformats.org/officeDocument/2006/relationships/hyperlink" Target="https://octopart.com/click/track?c=1&amp;ai=8078&amp;sig=02e7900&amp;sid=459&amp;ppid=7116516&amp;vpid=34358207&amp;ct=offers" TargetMode="External"/><Relationship Id="rId360" Type="http://schemas.openxmlformats.org/officeDocument/2006/relationships/hyperlink" Target="https://octopart.com/click/track?c=1&amp;ai=8078&amp;sig=04f663e&amp;sid=11744&amp;ppid=7116516&amp;vpid=698109291&amp;ct=offers" TargetMode="External"/><Relationship Id="rId361" Type="http://schemas.openxmlformats.org/officeDocument/2006/relationships/hyperlink" Target="https://octopart.com/click/track?ai=8078&amp;sig=0d32201&amp;sid=27971&amp;ppid=7116516&amp;vpid=445993288&amp;ct=offers" TargetMode="External"/><Relationship Id="rId362" Type="http://schemas.openxmlformats.org/officeDocument/2006/relationships/hyperlink" Target="https://octopart.com/click/track?c=1&amp;ai=8078&amp;sig=0f9f803&amp;sid=2401&amp;ppid=7116516&amp;vpid=37814040&amp;ct=offers" TargetMode="External"/><Relationship Id="rId363" Type="http://schemas.openxmlformats.org/officeDocument/2006/relationships/hyperlink" Target="https://octopart.com/click/track?c=1&amp;ai=8078&amp;sig=032c168&amp;sid=2402&amp;ppid=7116516&amp;vpid=702464420&amp;ct=offers" TargetMode="External"/><Relationship Id="rId364" Type="http://schemas.openxmlformats.org/officeDocument/2006/relationships/hyperlink" Target="https://octopart.com/click/track?ai=8078&amp;sig=095ce7d&amp;sid=10022&amp;ppid=7116516&amp;vpid=199172104&amp;ct=offers" TargetMode="External"/><Relationship Id="rId365" Type="http://schemas.openxmlformats.org/officeDocument/2006/relationships/hyperlink" Target="https://octopart.com/click/track?c=1&amp;ai=8078&amp;sig=0e87380&amp;sid=459&amp;ppid=74606494&amp;vpid=268971818&amp;ct=offers" TargetMode="External"/><Relationship Id="rId366" Type="http://schemas.openxmlformats.org/officeDocument/2006/relationships/hyperlink" Target="https://octopart.com/click/track?c=1&amp;ai=8078&amp;sig=09fe355&amp;sid=819&amp;ppid=74606494&amp;vpid=698032603&amp;ct=offers" TargetMode="External"/><Relationship Id="rId367" Type="http://schemas.openxmlformats.org/officeDocument/2006/relationships/hyperlink" Target="https://octopart.com/click/track?c=1&amp;ai=8078&amp;sig=077a5fd&amp;sid=2401&amp;ppid=74606494&amp;vpid=269061268&amp;ct=offers" TargetMode="External"/><Relationship Id="rId368" Type="http://schemas.openxmlformats.org/officeDocument/2006/relationships/hyperlink" Target="https://octopart.com/click/track?c=1&amp;ai=8078&amp;sig=0429030&amp;sid=2402&amp;ppid=74606494&amp;vpid=702463304&amp;ct=offers" TargetMode="External"/><Relationship Id="rId369" Type="http://schemas.openxmlformats.org/officeDocument/2006/relationships/hyperlink" Target="http://datasheet.octopart.com/AD7961BCPZ-RL7-Analog-Devices-datasheet-17332396.pdf" TargetMode="External"/><Relationship Id="rId370" Type="http://schemas.openxmlformats.org/officeDocument/2006/relationships/hyperlink" Target="https://octopart.com/click/track?c=1&amp;ai=8078&amp;sig=015ce26&amp;sid=459&amp;ppid=30556019&amp;vpid=88237454&amp;ct=offers" TargetMode="External"/><Relationship Id="rId371" Type="http://schemas.openxmlformats.org/officeDocument/2006/relationships/hyperlink" Target="https://octopart.com/click/track?c=1&amp;ai=8078&amp;sig=00539d2&amp;sid=459&amp;ppid=103121085&amp;vpid=594892163&amp;ct=offers" TargetMode="External"/><Relationship Id="rId372" Type="http://schemas.openxmlformats.org/officeDocument/2006/relationships/hyperlink" Target="https://octopart.com/click/track?c=1&amp;ai=8078&amp;sig=0dfbdbb&amp;sid=2401&amp;ppid=103121085&amp;vpid=582376771&amp;ct=offers" TargetMode="External"/><Relationship Id="rId373" Type="http://schemas.openxmlformats.org/officeDocument/2006/relationships/hyperlink" Target="https://octopart.com/click/track?ai=8078&amp;sig=0316205&amp;sid=459&amp;ppid=94966384&amp;vpid=528037645&amp;ct=offers" TargetMode="External"/><Relationship Id="rId374" Type="http://schemas.openxmlformats.org/officeDocument/2006/relationships/hyperlink" Target="https://octopart.com/click/track?ai=8078&amp;sig=01ec7c4&amp;sid=2401&amp;ppid=94966384&amp;vpid=511660519&amp;ct=offers" TargetMode="External"/><Relationship Id="rId375" Type="http://schemas.openxmlformats.org/officeDocument/2006/relationships/hyperlink" Target="http://datasheet.octopart.com/AD5453YUJZ-REEL7-Analog-Devices-datasheet-21360866.pdf" TargetMode="External"/><Relationship Id="rId376" Type="http://schemas.openxmlformats.org/officeDocument/2006/relationships/hyperlink" Target="https://octopart.com/click/track?ai=8078&amp;sig=06a5a23&amp;sid=459&amp;ppid=46772072&amp;vpid=119672513&amp;ct=offers" TargetMode="External"/><Relationship Id="rId377" Type="http://schemas.openxmlformats.org/officeDocument/2006/relationships/hyperlink" Target="https://octopart.com/click/track?ai=8078&amp;sig=0421628&amp;sid=2401&amp;ppid=46772072&amp;vpid=417182248&amp;ct=offers" TargetMode="External"/><Relationship Id="rId378" Type="http://schemas.openxmlformats.org/officeDocument/2006/relationships/hyperlink" Target="https://octopart.com/click/track?ai=8078&amp;sig=0212d35&amp;sid=459&amp;ppid=94839369&amp;vpid=511553319&amp;ct=offers" TargetMode="External"/><Relationship Id="rId379" Type="http://schemas.openxmlformats.org/officeDocument/2006/relationships/hyperlink" Target="https://octopart.com/click/track?ai=8078&amp;sig=051aa7d&amp;sid=2401&amp;ppid=94839369&amp;vpid=510663658&amp;ct=offers" TargetMode="External"/><Relationship Id="rId380" Type="http://schemas.openxmlformats.org/officeDocument/2006/relationships/hyperlink" Target="https://www.ti.com/lit/ds/symlink/opa2156.pdf" TargetMode="External"/><Relationship Id="rId381" Type="http://schemas.openxmlformats.org/officeDocument/2006/relationships/hyperlink" Target="https://octopart.com/click/track?ai=8078&amp;sig=0e6c7ab&amp;sid=459&amp;ppid=95825379&amp;vpid=625743947&amp;ct=offers" TargetMode="External"/><Relationship Id="rId382" Type="http://schemas.openxmlformats.org/officeDocument/2006/relationships/hyperlink" Target="https://octopart.com/click/track?c=1&amp;ai=8078&amp;sig=0a58609&amp;sid=2401&amp;ppid=95825379&amp;vpid=577109425&amp;ct=offers" TargetMode="External"/><Relationship Id="rId383" Type="http://schemas.openxmlformats.org/officeDocument/2006/relationships/vmlDrawing" Target="../drawings/vmlDrawing1.vml"/><Relationship Id="rId38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175"/>
  <sheetViews>
    <sheetView tabSelected="1" workbookViewId="0">
      <pane xSplit="8" ySplit="6" topLeftCell="I7" activePane="bottomRight" state="frozen"/>
      <selection pane="topRight" activeCell="I1" sqref="I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 outlineLevel="2"/>
    <col min="4" max="4" width="9.140625" outlineLevel="2"/>
    <col min="5" max="5" width="9.140625" outlineLevel="1"/>
    <col min="6" max="6" width="9.140625" outlineLevel="1"/>
    <col min="7" max="7" width="9.140625"/>
    <col min="8" max="8" width="15.7109375" customWidth="1"/>
    <col min="9" max="9" width="9.140625" outlineLevel="1"/>
    <col min="10" max="10" width="9.140625" outlineLevel="2"/>
    <col min="11" max="11" width="9.140625" outlineLevel="2"/>
    <col min="12" max="12" width="15.7109375" customWidth="1"/>
    <col min="13" max="13" width="15.7109375" customWidth="1" outlineLevel="2"/>
    <col min="14" max="14" width="9.140625" outlineLevel="1"/>
    <col min="15" max="15" width="9.140625" outlineLevel="2"/>
    <col min="16" max="16" width="9.140625" outlineLevel="2"/>
    <col min="17" max="17" width="15.7109375" customWidth="1"/>
    <col min="18" max="18" width="15.7109375" customWidth="1" outlineLevel="2"/>
    <col min="19" max="19" width="9.140625" outlineLevel="1"/>
    <col min="20" max="20" width="9.140625" outlineLevel="2"/>
    <col min="21" max="21" width="9.140625" outlineLevel="2"/>
    <col min="22" max="22" width="15.7109375" customWidth="1"/>
    <col min="23" max="23" width="15.7109375" customWidth="1" outlineLevel="2"/>
    <col min="24" max="24" width="9.140625" outlineLevel="1"/>
    <col min="25" max="25" width="9.140625" outlineLevel="2"/>
    <col min="26" max="26" width="9.140625" outlineLevel="2"/>
    <col min="27" max="27" width="15.7109375" customWidth="1"/>
    <col min="28" max="28" width="15.7109375" customWidth="1" outlineLevel="2"/>
    <col min="29" max="29" width="9.140625" outlineLevel="1"/>
    <col min="30" max="30" width="9.140625" outlineLevel="2"/>
    <col min="31" max="31" width="9.140625" outlineLevel="2"/>
    <col min="32" max="32" width="15.7109375" customWidth="1"/>
    <col min="33" max="33" width="15.7109375" customWidth="1" outlineLevel="2"/>
    <col min="34" max="34" width="9.140625" outlineLevel="1"/>
    <col min="35" max="35" width="9.140625" outlineLevel="2"/>
    <col min="36" max="36" width="9.140625" outlineLevel="2"/>
    <col min="37" max="37" width="15.7109375" customWidth="1"/>
    <col min="38" max="38" width="15.7109375" customWidth="1" outlineLevel="2"/>
    <col min="39" max="39" width="9.140625" outlineLevel="1"/>
    <col min="40" max="40" width="9.140625" outlineLevel="2"/>
    <col min="41" max="41" width="9.140625" outlineLevel="2"/>
    <col min="42" max="42" width="15.7109375" customWidth="1"/>
    <col min="43" max="43" width="15.7109375" customWidth="1" outlineLevel="2"/>
    <col min="44" max="44" width="9.140625" outlineLevel="1"/>
    <col min="45" max="45" width="9.140625" outlineLevel="2"/>
    <col min="46" max="46" width="9.140625" outlineLevel="2"/>
    <col min="47" max="47" width="15.7109375" customWidth="1"/>
    <col min="48" max="48" width="15.7109375" customWidth="1" outlineLevel="2"/>
  </cols>
  <sheetData>
    <row r="1" spans="1:48">
      <c r="A1" s="1" t="s">
        <v>278</v>
      </c>
      <c r="B1" s="2" t="s">
        <v>279</v>
      </c>
      <c r="G1" s="3" t="s">
        <v>283</v>
      </c>
      <c r="H1" s="3">
        <v>100</v>
      </c>
    </row>
    <row r="2" spans="1:48">
      <c r="A2" s="1" t="s">
        <v>280</v>
      </c>
      <c r="B2" s="2"/>
      <c r="G2" s="1" t="s">
        <v>285</v>
      </c>
      <c r="H2" s="4">
        <f>TotalCost/BoardQty</f>
        <v>0</v>
      </c>
    </row>
    <row r="3" spans="1:48">
      <c r="A3" s="1" t="s">
        <v>281</v>
      </c>
      <c r="B3" s="2" t="s">
        <v>282</v>
      </c>
      <c r="G3" s="1" t="s">
        <v>284</v>
      </c>
      <c r="H3" s="5">
        <f>SUM(H7:H89)</f>
        <v>0</v>
      </c>
      <c r="L3" s="5">
        <f>SUM(L7:L89)</f>
        <v>0</v>
      </c>
      <c r="M3" s="6">
        <f>(COUNTA(L7:L89)&amp;" of "&amp;ROWS(L7:L89)&amp;" parts found"</f>
        <v>0</v>
      </c>
      <c r="Q3" s="5">
        <f>SUM(Q7:Q89)</f>
        <v>0</v>
      </c>
      <c r="R3" s="6">
        <f>(COUNTA(Q7:Q89)&amp;" of "&amp;ROWS(Q7:Q89)&amp;" parts found"</f>
        <v>0</v>
      </c>
      <c r="V3" s="5">
        <f>SUM(V7:V89)</f>
        <v>0</v>
      </c>
      <c r="W3" s="6">
        <f>(COUNTA(V7:V89)&amp;" of "&amp;ROWS(V7:V89)&amp;" parts found"</f>
        <v>0</v>
      </c>
      <c r="AA3" s="5">
        <f>SUM(AA7:AA89)</f>
        <v>0</v>
      </c>
      <c r="AB3" s="6">
        <f>(COUNTA(AA7:AA89)&amp;" of "&amp;ROWS(AA7:AA89)&amp;" parts found"</f>
        <v>0</v>
      </c>
      <c r="AF3" s="5">
        <f>SUM(AF7:AF89)</f>
        <v>0</v>
      </c>
      <c r="AG3" s="6">
        <f>(COUNTA(AF7:AF89)&amp;" of "&amp;ROWS(AF7:AF89)&amp;" parts found"</f>
        <v>0</v>
      </c>
      <c r="AK3" s="5">
        <f>SUM(AK7:AK89)</f>
        <v>0</v>
      </c>
      <c r="AL3" s="6">
        <f>(COUNTA(AK7:AK89)&amp;" of "&amp;ROWS(AK7:AK89)&amp;" parts found"</f>
        <v>0</v>
      </c>
      <c r="AP3" s="5">
        <f>SUM(AP7:AP89)</f>
        <v>0</v>
      </c>
      <c r="AQ3" s="6">
        <f>(COUNTA(AP7:AP89)&amp;" of "&amp;ROWS(AP7:AP89)&amp;" parts found"</f>
        <v>0</v>
      </c>
      <c r="AU3" s="5">
        <f>SUM(AU7:AU89)</f>
        <v>0</v>
      </c>
      <c r="AV3" s="6">
        <f>(COUNTA(AU7:AU89)&amp;" of "&amp;ROWS(AU7:AU89)&amp;" parts found"</f>
        <v>0</v>
      </c>
    </row>
    <row r="4" spans="1:48">
      <c r="A4" s="1" t="s">
        <v>286</v>
      </c>
      <c r="B4" s="2" t="s">
        <v>287</v>
      </c>
    </row>
    <row r="5" spans="1:48">
      <c r="A5" s="7" t="s">
        <v>0</v>
      </c>
      <c r="B5" s="7"/>
      <c r="C5" s="7"/>
      <c r="D5" s="7"/>
      <c r="E5" s="7"/>
      <c r="F5" s="7"/>
      <c r="G5" s="7"/>
      <c r="H5" s="7"/>
      <c r="I5" s="8" t="s">
        <v>288</v>
      </c>
      <c r="J5" s="8"/>
      <c r="K5" s="8"/>
      <c r="L5" s="8"/>
      <c r="M5" s="8"/>
      <c r="N5" s="9" t="s">
        <v>292</v>
      </c>
      <c r="O5" s="9"/>
      <c r="P5" s="9"/>
      <c r="Q5" s="9"/>
      <c r="R5" s="9"/>
      <c r="S5" s="10" t="s">
        <v>369</v>
      </c>
      <c r="T5" s="10"/>
      <c r="U5" s="10"/>
      <c r="V5" s="10"/>
      <c r="W5" s="10"/>
      <c r="X5" s="11" t="s">
        <v>415</v>
      </c>
      <c r="Y5" s="11"/>
      <c r="Z5" s="11"/>
      <c r="AA5" s="11"/>
      <c r="AB5" s="11"/>
      <c r="AC5" s="12" t="s">
        <v>429</v>
      </c>
      <c r="AD5" s="12"/>
      <c r="AE5" s="12"/>
      <c r="AF5" s="12"/>
      <c r="AG5" s="12"/>
      <c r="AH5" s="13" t="s">
        <v>503</v>
      </c>
      <c r="AI5" s="13"/>
      <c r="AJ5" s="13"/>
      <c r="AK5" s="13"/>
      <c r="AL5" s="13"/>
      <c r="AM5" s="14" t="s">
        <v>550</v>
      </c>
      <c r="AN5" s="14"/>
      <c r="AO5" s="14"/>
      <c r="AP5" s="14"/>
      <c r="AQ5" s="14"/>
      <c r="AR5" s="15" t="s">
        <v>578</v>
      </c>
      <c r="AS5" s="15"/>
      <c r="AT5" s="15"/>
      <c r="AU5" s="15"/>
      <c r="AV5" s="15"/>
    </row>
    <row r="6" spans="1:48">
      <c r="A6" s="16" t="s">
        <v>1</v>
      </c>
      <c r="B6" s="16" t="s">
        <v>2</v>
      </c>
      <c r="C6" s="16" t="s">
        <v>3</v>
      </c>
      <c r="D6" s="16" t="s">
        <v>4</v>
      </c>
      <c r="E6" s="16" t="s">
        <v>5</v>
      </c>
      <c r="F6" s="16" t="s">
        <v>6</v>
      </c>
      <c r="G6" s="16" t="s">
        <v>7</v>
      </c>
      <c r="H6" s="16" t="s">
        <v>8</v>
      </c>
      <c r="I6" s="16" t="s">
        <v>289</v>
      </c>
      <c r="J6" s="16" t="s">
        <v>290</v>
      </c>
      <c r="K6" s="16" t="s">
        <v>7</v>
      </c>
      <c r="L6" s="16" t="s">
        <v>8</v>
      </c>
      <c r="M6" s="16" t="s">
        <v>291</v>
      </c>
      <c r="N6" s="16" t="s">
        <v>289</v>
      </c>
      <c r="O6" s="16" t="s">
        <v>290</v>
      </c>
      <c r="P6" s="16" t="s">
        <v>7</v>
      </c>
      <c r="Q6" s="16" t="s">
        <v>8</v>
      </c>
      <c r="R6" s="16" t="s">
        <v>291</v>
      </c>
      <c r="S6" s="16" t="s">
        <v>289</v>
      </c>
      <c r="T6" s="16" t="s">
        <v>290</v>
      </c>
      <c r="U6" s="16" t="s">
        <v>7</v>
      </c>
      <c r="V6" s="16" t="s">
        <v>8</v>
      </c>
      <c r="W6" s="16" t="s">
        <v>291</v>
      </c>
      <c r="X6" s="16" t="s">
        <v>289</v>
      </c>
      <c r="Y6" s="16" t="s">
        <v>290</v>
      </c>
      <c r="Z6" s="16" t="s">
        <v>7</v>
      </c>
      <c r="AA6" s="16" t="s">
        <v>8</v>
      </c>
      <c r="AB6" s="16" t="s">
        <v>291</v>
      </c>
      <c r="AC6" s="16" t="s">
        <v>289</v>
      </c>
      <c r="AD6" s="16" t="s">
        <v>290</v>
      </c>
      <c r="AE6" s="16" t="s">
        <v>7</v>
      </c>
      <c r="AF6" s="16" t="s">
        <v>8</v>
      </c>
      <c r="AG6" s="16" t="s">
        <v>291</v>
      </c>
      <c r="AH6" s="16" t="s">
        <v>289</v>
      </c>
      <c r="AI6" s="16" t="s">
        <v>290</v>
      </c>
      <c r="AJ6" s="16" t="s">
        <v>7</v>
      </c>
      <c r="AK6" s="16" t="s">
        <v>8</v>
      </c>
      <c r="AL6" s="16" t="s">
        <v>291</v>
      </c>
      <c r="AM6" s="16" t="s">
        <v>289</v>
      </c>
      <c r="AN6" s="16" t="s">
        <v>290</v>
      </c>
      <c r="AO6" s="16" t="s">
        <v>7</v>
      </c>
      <c r="AP6" s="16" t="s">
        <v>8</v>
      </c>
      <c r="AQ6" s="16" t="s">
        <v>291</v>
      </c>
      <c r="AR6" s="16" t="s">
        <v>289</v>
      </c>
      <c r="AS6" s="16" t="s">
        <v>290</v>
      </c>
      <c r="AT6" s="16" t="s">
        <v>7</v>
      </c>
      <c r="AU6" s="16" t="s">
        <v>8</v>
      </c>
      <c r="AV6" s="16" t="s">
        <v>291</v>
      </c>
    </row>
    <row r="7" spans="1:48">
      <c r="A7" s="17" t="s">
        <v>9</v>
      </c>
      <c r="B7" s="17" t="s">
        <v>10</v>
      </c>
      <c r="D7" s="17" t="s">
        <v>11</v>
      </c>
      <c r="E7" s="17" t="s">
        <v>12</v>
      </c>
      <c r="F7" s="17">
        <f>BoardQty*18</f>
        <v>0</v>
      </c>
      <c r="G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7" s="18">
        <f>iferror(F7*G7,"")</f>
        <v>0</v>
      </c>
      <c r="N7" s="17">
        <v>23378</v>
      </c>
      <c r="P7" s="18">
        <f>iferror(lookup(if(O7="",F7,O7),{0,1,10,50,100,500,1000,4000},{0.0,0.1,0.054,0.0296,0.0243,0.01732,0.01361,0.01139}),"")</f>
        <v>0</v>
      </c>
      <c r="Q7" s="18">
        <f>iferror(if(O7="",F7,O7)*P7,"")</f>
        <v>0</v>
      </c>
      <c r="R7" s="19" t="s">
        <v>293</v>
      </c>
      <c r="X7" s="17">
        <v>8020</v>
      </c>
      <c r="Z7" s="18">
        <f>iferror(lookup(if(Y7="",F7,Y7),{0,1,20,200,600,2000,10000,20000},{0.0,0.11979,0.11979,0.09242,0.0874,0.08237,0.08013,0.07903}),"")</f>
        <v>0</v>
      </c>
      <c r="AA7" s="18">
        <f>iferror(if(Y7="",F7,Y7)*Z7,"")</f>
        <v>0</v>
      </c>
      <c r="AB7" s="19" t="s">
        <v>416</v>
      </c>
      <c r="AC7" s="17">
        <v>3900</v>
      </c>
      <c r="AE7" s="18">
        <f>iferror(lookup(if(AD7="",F7,AD7),{0,1,10,50,100,1000,10000},{0.0,0.1,0.03,0.03,0.025,0.014,0.01}),"")</f>
        <v>0</v>
      </c>
      <c r="AF7" s="18">
        <f>iferror(if(AD7="",F7,AD7)*AE7,"")</f>
        <v>0</v>
      </c>
      <c r="AG7" s="19" t="s">
        <v>430</v>
      </c>
    </row>
    <row r="8" spans="1:48">
      <c r="A8" s="17" t="s">
        <v>13</v>
      </c>
      <c r="B8" s="17" t="s">
        <v>14</v>
      </c>
      <c r="D8" s="17" t="s">
        <v>11</v>
      </c>
      <c r="F8" s="17">
        <f>BoardQty*18</f>
        <v>0</v>
      </c>
      <c r="G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8" s="18">
        <f>iferror(F8*G8,"")</f>
        <v>0</v>
      </c>
    </row>
    <row r="9" spans="1:48">
      <c r="A9" s="17" t="s">
        <v>15</v>
      </c>
      <c r="B9" s="17" t="s">
        <v>16</v>
      </c>
      <c r="D9" s="17" t="s">
        <v>11</v>
      </c>
      <c r="E9" s="17" t="s">
        <v>17</v>
      </c>
      <c r="F9" s="17">
        <f>BoardQty*6</f>
        <v>0</v>
      </c>
      <c r="G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9" s="18">
        <f>iferror(F9*G9,"")</f>
        <v>0</v>
      </c>
      <c r="N9" s="17">
        <v>104</v>
      </c>
      <c r="P9" s="18">
        <f>iferror(lookup(if(O9="",F9,O9),{0,1,10,50,100,500,1000,4000},{0.0,0.1,0.062,0.034,0.0278,0.01984,0.01559,0.01304}),"")</f>
        <v>0</v>
      </c>
      <c r="Q9" s="18">
        <f>iferror(if(O9="",F9,O9)*P9,"")</f>
        <v>0</v>
      </c>
      <c r="R9" s="19" t="s">
        <v>294</v>
      </c>
      <c r="AC9" s="17">
        <v>10593</v>
      </c>
      <c r="AE9" s="18">
        <f>iferror(lookup(if(AD9="",F9,AD9),{0,1,10,50,100,1000,10000},{0.0,0.16,0.103,0.103,0.048,0.029,0.021}),"")</f>
        <v>0</v>
      </c>
      <c r="AF9" s="18">
        <f>iferror(if(AD9="",F9,AD9)*AE9,"")</f>
        <v>0</v>
      </c>
      <c r="AG9" s="19" t="s">
        <v>431</v>
      </c>
    </row>
    <row r="10" spans="1:48">
      <c r="A10" s="17" t="s">
        <v>18</v>
      </c>
      <c r="B10" s="17" t="s">
        <v>19</v>
      </c>
      <c r="D10" s="17" t="s">
        <v>11</v>
      </c>
      <c r="E10" s="17" t="s">
        <v>20</v>
      </c>
      <c r="F10" s="17">
        <f>BoardQty*3</f>
        <v>0</v>
      </c>
      <c r="G1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10" s="18">
        <f>iferror(F10*G10,"")</f>
        <v>0</v>
      </c>
      <c r="N10" s="17">
        <v>3333</v>
      </c>
      <c r="P10" s="18">
        <f>iferror(lookup(if(O10="",F10,O10),{0,1,10,50,100,500,1000,4000},{0.0,0.38,0.26,0.1734,0.1474,0.10406,0.09105,0.08021}),"")</f>
        <v>0</v>
      </c>
      <c r="Q10" s="18">
        <f>iferror(if(O10="",F10,O10)*P10,"")</f>
        <v>0</v>
      </c>
      <c r="R10" s="19" t="s">
        <v>295</v>
      </c>
      <c r="S10" s="17">
        <v>2805</v>
      </c>
      <c r="U10" s="18">
        <f>iferror(USD_GBP*lookup(if(T10="",F10,T10),{0,1,25,50,100,250,500},{0.0,0.363,0.162,0.137,0.11,0.104,0.0899}),"")</f>
        <v>0</v>
      </c>
      <c r="V10" s="18">
        <f>iferror(if(T10="",F10,T10)*U10,"")</f>
        <v>0</v>
      </c>
      <c r="W10" s="19" t="s">
        <v>370</v>
      </c>
      <c r="AC10" s="17">
        <v>26678</v>
      </c>
      <c r="AE10" s="18">
        <f>iferror(lookup(if(AD10="",F10,AD10),{0,1,10,50,100,1000,10000},{0.0,0.38,0.233,0.233,0.148,0.095,0.08}),"")</f>
        <v>0</v>
      </c>
      <c r="AF10" s="18">
        <f>iferror(if(AD10="",F10,AD10)*AE10,"")</f>
        <v>0</v>
      </c>
      <c r="AG10" s="19" t="s">
        <v>432</v>
      </c>
      <c r="AH10" s="17">
        <v>2705</v>
      </c>
      <c r="AJ10" s="18">
        <f>iferror(lookup(if(AI10="",F10,AI10),{0,1,25,50,100,250,500,4000,8000},{0.0,0.438,0.196,0.165,0.133,0.125,0.118,0.075,0.068}),"")</f>
        <v>0</v>
      </c>
      <c r="AK10" s="18">
        <f>iferror(if(AI10="",F10,AI10)*AJ10,"")</f>
        <v>0</v>
      </c>
      <c r="AL10" s="19" t="s">
        <v>504</v>
      </c>
      <c r="AM10" s="17">
        <v>200</v>
      </c>
      <c r="AO10" s="18">
        <f>iferror(USD_GBP*lookup(if(AN10="",F10,AN10),{0,1,100,200,500},{0.0,0.104,0.104,0.094,0.073}),"")</f>
        <v>0</v>
      </c>
      <c r="AP10" s="18">
        <f>iferror(if(AN10="",F10,AN10)*AO10,"")</f>
        <v>0</v>
      </c>
      <c r="AQ10" s="19" t="s">
        <v>551</v>
      </c>
    </row>
    <row r="11" spans="1:48">
      <c r="A11" s="17" t="s">
        <v>21</v>
      </c>
      <c r="B11" s="17" t="s">
        <v>22</v>
      </c>
      <c r="D11" s="17" t="s">
        <v>11</v>
      </c>
      <c r="E11" s="17" t="s">
        <v>23</v>
      </c>
      <c r="F11" s="17">
        <f>BoardQty*10</f>
        <v>0</v>
      </c>
      <c r="G1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11" s="18">
        <f>iferror(F11*G11,"")</f>
        <v>0</v>
      </c>
      <c r="N11" s="17">
        <v>126</v>
      </c>
      <c r="P11" s="18">
        <f>iferror(lookup(if(O11="",F11,O11),{0,1,10,50,100,500,1000,4000},{0.0,0.1,0.071,0.0386,0.0316,0.02254,0.01771,0.01481}),"")</f>
        <v>0</v>
      </c>
      <c r="Q11" s="18">
        <f>iferror(if(O11="",F11,O11)*P11,"")</f>
        <v>0</v>
      </c>
      <c r="R11" s="19" t="s">
        <v>296</v>
      </c>
      <c r="AC11" s="17">
        <v>78161</v>
      </c>
      <c r="AE11" s="18">
        <f>iferror(lookup(if(AD11="",F11,AD11),{0,1,10,50,100,1000,10000},{0.0,0.1,0.038,0.038,0.031,0.018,0.013}),"")</f>
        <v>0</v>
      </c>
      <c r="AF11" s="18">
        <f>iferror(if(AD11="",F11,AD11)*AE11,"")</f>
        <v>0</v>
      </c>
      <c r="AG11" s="19" t="s">
        <v>433</v>
      </c>
    </row>
    <row r="12" spans="1:48">
      <c r="A12" s="17" t="s">
        <v>24</v>
      </c>
      <c r="B12" s="17" t="s">
        <v>25</v>
      </c>
      <c r="D12" s="17" t="s">
        <v>11</v>
      </c>
      <c r="E12" s="17" t="s">
        <v>26</v>
      </c>
      <c r="F12" s="17">
        <f>BoardQty*2</f>
        <v>0</v>
      </c>
      <c r="G1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12" s="18">
        <f>iferror(F12*G12,"")</f>
        <v>0</v>
      </c>
      <c r="N12" s="17">
        <v>647791</v>
      </c>
      <c r="P12" s="18">
        <f>iferror(lookup(if(O12="",F12,O12),{0,1,10,50,100,500,1000,4000},{0.0,0.1,0.044,0.0242,0.0198,0.01412,0.0111,0.00929}),"")</f>
        <v>0</v>
      </c>
      <c r="Q12" s="18">
        <f>iferror(if(O12="",F12,O12)*P12,"")</f>
        <v>0</v>
      </c>
      <c r="R12" s="19" t="s">
        <v>297</v>
      </c>
      <c r="S12" s="17">
        <v>164000</v>
      </c>
      <c r="U12" s="18">
        <f>iferror(USD_GBP*lookup(if(T12="",F12,T12),{0,1,10,100,150,500,1000,2000,4000,20000},{0.0,0.0269,0.0269,0.0163,0.0163,0.015,0.0115,0.0109,0.008,0.0078}),"")</f>
        <v>0</v>
      </c>
      <c r="V12" s="18">
        <f>iferror(if(T12="",F12,T12)*U12,"")</f>
        <v>0</v>
      </c>
      <c r="W12" s="19" t="s">
        <v>371</v>
      </c>
      <c r="AC12" s="17">
        <v>34053</v>
      </c>
      <c r="AE12" s="18">
        <f>iferror(lookup(if(AD12="",F12,AD12),{0,1,10,50,100,1000,10000},{0.0,0.1,0.057,0.057,0.025,0.015,0.01}),"")</f>
        <v>0</v>
      </c>
      <c r="AF12" s="18">
        <f>iferror(if(AD12="",F12,AD12)*AE12,"")</f>
        <v>0</v>
      </c>
      <c r="AG12" s="19" t="s">
        <v>434</v>
      </c>
      <c r="AH12" s="17">
        <v>104000</v>
      </c>
      <c r="AJ12" s="18">
        <f>iferror(lookup(if(AI12="",F12,AI12),{0,1,10,25,50,100,4000,8000},{0.0,0.05,0.05,0.041,0.032,0.023,0.01,0.009}),"")</f>
        <v>0</v>
      </c>
      <c r="AK12" s="18">
        <f>iferror(if(AI12="",F12,AI12)*AJ12,"")</f>
        <v>0</v>
      </c>
      <c r="AL12" s="19" t="s">
        <v>505</v>
      </c>
      <c r="AM12" s="17">
        <v>1000</v>
      </c>
      <c r="AO12" s="18">
        <f>iferror(USD_GBP*lookup(if(AN12="",F12,AN12),{0,1,4000,12000},{0.0,0.015,0.015,0.014}),"")</f>
        <v>0</v>
      </c>
      <c r="AP12" s="18">
        <f>iferror(if(AN12="",F12,AN12)*AO12,"")</f>
        <v>0</v>
      </c>
      <c r="AQ12" s="19" t="s">
        <v>552</v>
      </c>
      <c r="AR12" s="17">
        <v>434500</v>
      </c>
      <c r="AT12" s="18">
        <f>iferror(USD_GBP*lookup(if(AS12="",F12,AS12),{0,1,100,300,1000,4000,12000},{0.0,0.0111,0.0111,0.0078,0.0048,0.00297,0.00287}),"")</f>
        <v>0</v>
      </c>
      <c r="AU12" s="18">
        <f>iferror(if(AS12="",F12,AS12)*AT12,"")</f>
        <v>0</v>
      </c>
      <c r="AV12" s="19" t="s">
        <v>579</v>
      </c>
    </row>
    <row r="13" spans="1:48">
      <c r="A13" s="17" t="s">
        <v>27</v>
      </c>
      <c r="B13" s="17" t="s">
        <v>28</v>
      </c>
      <c r="D13" s="17" t="s">
        <v>11</v>
      </c>
      <c r="E13" s="17" t="s">
        <v>29</v>
      </c>
      <c r="F13" s="17">
        <f>BoardQty*3</f>
        <v>0</v>
      </c>
      <c r="G1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13" s="18">
        <f>iferror(F13*G13,"")</f>
        <v>0</v>
      </c>
      <c r="N13" s="17">
        <v>40</v>
      </c>
      <c r="P13" s="18">
        <f>iferror(lookup(if(O13="",F13,O13),{0,1,10,50,100,500,1000,4000},{0.0,0.17,0.123,0.0696,0.0576,0.0404,0.03345,0.02848}),"")</f>
        <v>0</v>
      </c>
      <c r="Q13" s="18">
        <f>iferror(if(O13="",F13,O13)*P13,"")</f>
        <v>0</v>
      </c>
      <c r="R13" s="19" t="s">
        <v>298</v>
      </c>
      <c r="S13" s="20" t="s">
        <v>301</v>
      </c>
      <c r="U13" s="18">
        <f>iferror(USD_GBP*lookup(if(T13="",F13,T13),{0,1,4000,20000},{0.0,0.0242,0.0242,0.0173}),"")</f>
        <v>0</v>
      </c>
      <c r="V13" s="18">
        <f>iferror(if(T13="",F13,T13)*U13,"")</f>
        <v>0</v>
      </c>
      <c r="W13" s="19" t="s">
        <v>372</v>
      </c>
      <c r="AC13" s="17">
        <v>10672</v>
      </c>
      <c r="AE13" s="18">
        <f>iferror(lookup(if(AD13="",F13,AD13),{0,1,10,50,100,1000,10000},{0.0,0.17,0.12,0.12,0.056,0.033,0.024}),"")</f>
        <v>0</v>
      </c>
      <c r="AF13" s="18">
        <f>iferror(if(AD13="",F13,AD13)*AE13,"")</f>
        <v>0</v>
      </c>
      <c r="AG13" s="19" t="s">
        <v>435</v>
      </c>
      <c r="AH13" s="20" t="s">
        <v>301</v>
      </c>
      <c r="AJ13" s="18">
        <f>iferror(lookup(if(AI13="",F13,AI13),{0,1,4000,8000,16000,24000},{0.0,0.035,0.032,0.029,0.025,0.021}),"")</f>
        <v>0</v>
      </c>
      <c r="AK13" s="18">
        <f>iferror(if(AI13="",F13,AI13)*AJ13,"")</f>
        <v>0</v>
      </c>
      <c r="AL13" s="19" t="s">
        <v>506</v>
      </c>
    </row>
    <row r="14" spans="1:48">
      <c r="A14" s="17" t="s">
        <v>30</v>
      </c>
      <c r="B14" s="17" t="s">
        <v>31</v>
      </c>
      <c r="D14" s="17" t="s">
        <v>32</v>
      </c>
      <c r="E14" s="17" t="s">
        <v>33</v>
      </c>
      <c r="F14" s="17">
        <f>BoardQty*1</f>
        <v>0</v>
      </c>
      <c r="G1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14" s="18">
        <f>iferror(F14*G14,"")</f>
        <v>0</v>
      </c>
      <c r="N14" s="17">
        <v>130938</v>
      </c>
      <c r="P14" s="18">
        <f>iferror(lookup(if(O14="",F14,O14),{0,1,10,50,100,500,1000,3000},{0.0,0.21,0.141,0.0848,0.0717,0.04904,0.04338,0.04149}),"")</f>
        <v>0</v>
      </c>
      <c r="Q14" s="18">
        <f>iferror(if(O14="",F14,O14)*P14,"")</f>
        <v>0</v>
      </c>
      <c r="R14" s="19" t="s">
        <v>299</v>
      </c>
      <c r="S14" s="17">
        <v>2225</v>
      </c>
      <c r="U14" s="18">
        <f>iferror(USD_GBP*lookup(if(T14="",F14,T14),{0,1,25,50,100,250,500},{0.0,0.238,0.116,0.0957,0.077,0.0645,0.0505}),"")</f>
        <v>0</v>
      </c>
      <c r="V14" s="18">
        <f>iferror(if(T14="",F14,T14)*U14,"")</f>
        <v>0</v>
      </c>
      <c r="W14" s="19" t="s">
        <v>373</v>
      </c>
      <c r="X14" s="17">
        <v>1620</v>
      </c>
      <c r="Z14" s="18">
        <f>iferror(lookup(if(Y14="",F14,Y14),{0,1,20,200,600,2000,10000,20000},{0.0,0.2165,0.2165,0.17322,0.16527,0.15732,0.15379,0.15204}),"")</f>
        <v>0</v>
      </c>
      <c r="AA14" s="18">
        <f>iferror(if(Y14="",F14,Y14)*Z14,"")</f>
        <v>0</v>
      </c>
      <c r="AB14" s="19" t="s">
        <v>417</v>
      </c>
      <c r="AC14" s="20" t="s">
        <v>301</v>
      </c>
      <c r="AE14" s="18">
        <f>iferror(lookup(if(AD14="",F14,AD14),{0,1,10,50,100,1000,10000},{0.0,0.21,0.141,0.141,0.072,0.043,0.038}),"")</f>
        <v>0</v>
      </c>
      <c r="AF14" s="18">
        <f>iferror(if(AD14="",F14,AD14)*AE14,"")</f>
        <v>0</v>
      </c>
      <c r="AG14" s="19" t="s">
        <v>436</v>
      </c>
      <c r="AH14" s="17">
        <v>2225</v>
      </c>
      <c r="AJ14" s="18">
        <f>iferror(lookup(if(AI14="",F14,AI14),{0,1,25,50,100,250,500,3000,6000,12000},{0.0,0.041,0.106,0.099,0.09,0.076,0.061,0.04,0.038,0.033}),"")</f>
        <v>0</v>
      </c>
      <c r="AK14" s="18">
        <f>iferror(if(AI14="",F14,AI14)*AJ14,"")</f>
        <v>0</v>
      </c>
      <c r="AL14" s="19" t="s">
        <v>507</v>
      </c>
      <c r="AM14" s="17">
        <v>750</v>
      </c>
      <c r="AO14" s="18">
        <f>iferror(USD_GBP*lookup(if(AN14="",F14,AN14),{0,1,50,200,500},{0.0,0.089,0.089,0.08,0.062}),"")</f>
        <v>0</v>
      </c>
      <c r="AP14" s="18">
        <f>iferror(if(AN14="",F14,AN14)*AO14,"")</f>
        <v>0</v>
      </c>
      <c r="AQ14" s="19" t="s">
        <v>553</v>
      </c>
    </row>
    <row r="15" spans="1:48">
      <c r="A15" s="17" t="s">
        <v>34</v>
      </c>
      <c r="B15" s="17" t="s">
        <v>31</v>
      </c>
      <c r="D15" s="17" t="s">
        <v>11</v>
      </c>
      <c r="E15" s="17" t="s">
        <v>35</v>
      </c>
      <c r="F15" s="17">
        <f>BoardQty*8</f>
        <v>0</v>
      </c>
      <c r="G1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15" s="18">
        <f>iferror(F15*G15,"")</f>
        <v>0</v>
      </c>
      <c r="N15" s="20" t="s">
        <v>301</v>
      </c>
      <c r="P15" s="18">
        <f>iferror(lookup(if(O15="",F15,O15),{0,1,10,50,100,500,1000,4000},{0.0,0.19,0.127,0.0762,0.0644,0.04404,0.03896,0.03388}),"")</f>
        <v>0</v>
      </c>
      <c r="Q15" s="18">
        <f>iferror(if(O15="",F15,O15)*P15,"")</f>
        <v>0</v>
      </c>
      <c r="R15" s="19" t="s">
        <v>300</v>
      </c>
      <c r="S15" s="17">
        <v>851</v>
      </c>
      <c r="U15" s="18">
        <f>iferror(USD_GBP*lookup(if(T15="",F15,T15),{0,1,25,50,100,250,500},{0.0,0.25,0.11,0.0921,0.0748,0.0659,0.0522}),"")</f>
        <v>0</v>
      </c>
      <c r="V15" s="18">
        <f>iferror(if(T15="",F15,T15)*U15,"")</f>
        <v>0</v>
      </c>
      <c r="W15" s="19" t="s">
        <v>374</v>
      </c>
      <c r="X15" s="17">
        <v>6880</v>
      </c>
      <c r="Z15" s="18">
        <f>iferror(lookup(if(Y15="",F15,Y15),{0,1,20,200,600,2000,10000,20000},{0.0,0.1684,0.1684,0.131,0.12413,0.11726,0.1142,0.1127}),"")</f>
        <v>0</v>
      </c>
      <c r="AA15" s="18">
        <f>iferror(if(Y15="",F15,Y15)*Z15,"")</f>
        <v>0</v>
      </c>
      <c r="AB15" s="19" t="s">
        <v>418</v>
      </c>
      <c r="AC15" s="17">
        <v>6210</v>
      </c>
      <c r="AE15" s="18">
        <f>iferror(lookup(if(AD15="",F15,AD15),{0,1,10,50,100,1000,10000},{0.0,0.19,0.132,0.132,0.067,0.04,0.035}),"")</f>
        <v>0</v>
      </c>
      <c r="AF15" s="18">
        <f>iferror(if(AD15="",F15,AD15)*AE15,"")</f>
        <v>0</v>
      </c>
      <c r="AG15" s="19" t="s">
        <v>437</v>
      </c>
      <c r="AH15" s="17">
        <v>851</v>
      </c>
      <c r="AJ15" s="18">
        <f>iferror(lookup(if(AI15="",F15,AI15),{0,1,25,50,100,250,500,4000,8000},{0.0,0.238,0.165,0.125,0.084,0.071,0.058,0.037,0.035}),"")</f>
        <v>0</v>
      </c>
      <c r="AK15" s="18">
        <f>iferror(if(AI15="",F15,AI15)*AJ15,"")</f>
        <v>0</v>
      </c>
      <c r="AL15" s="19" t="s">
        <v>508</v>
      </c>
    </row>
    <row r="16" spans="1:48">
      <c r="A16" s="17" t="s">
        <v>36</v>
      </c>
      <c r="B16" s="17" t="s">
        <v>37</v>
      </c>
      <c r="D16" s="17" t="s">
        <v>11</v>
      </c>
      <c r="E16" s="17" t="s">
        <v>38</v>
      </c>
      <c r="F16" s="17">
        <f>BoardQty*4</f>
        <v>0</v>
      </c>
      <c r="G1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16" s="18">
        <f>iferror(F16*G16,"")</f>
        <v>0</v>
      </c>
      <c r="N16" s="20" t="s">
        <v>301</v>
      </c>
      <c r="P16" s="18">
        <f>iferror(lookup(if(O16="",F16,O16),{0,1,10,50,100,500,1000,4000},{0.0,0.1,0.064,0.0348,0.0284,0.02028,0.01594,0.01333}),"")</f>
        <v>0</v>
      </c>
      <c r="Q16" s="18">
        <f>iferror(if(O16="",F16,O16)*P16,"")</f>
        <v>0</v>
      </c>
      <c r="R16" s="19" t="s">
        <v>302</v>
      </c>
      <c r="S16" s="20" t="s">
        <v>301</v>
      </c>
      <c r="U16" s="18">
        <f>iferror(USD_GBP*lookup(if(T16="",F16,T16),{0,1,10,100,150,500,1000,2000,4000,20000},{0.0,0.126,0.126,0.083,0.083,0.04,0.0341,0.0282,0.0218,0.013}),"")</f>
        <v>0</v>
      </c>
      <c r="V16" s="18">
        <f>iferror(if(T16="",F16,T16)*U16,"")</f>
        <v>0</v>
      </c>
      <c r="W16" s="19" t="s">
        <v>375</v>
      </c>
      <c r="AC16" s="17">
        <v>1353</v>
      </c>
      <c r="AE16" s="18">
        <f>iferror(lookup(if(AD16="",F16,AD16),{0,1,10,50,100,1000,10000},{0.0,0.1,0.062,0.062,0.028,0.018,0.011}),"")</f>
        <v>0</v>
      </c>
      <c r="AF16" s="18">
        <f>iferror(if(AD16="",F16,AD16)*AE16,"")</f>
        <v>0</v>
      </c>
      <c r="AG16" s="19" t="s">
        <v>438</v>
      </c>
      <c r="AH16" s="20" t="s">
        <v>301</v>
      </c>
      <c r="AJ16" s="18">
        <f>iferror(lookup(if(AI16="",F16,AI16),{0,1,10,25,50,100,4000,8000},{0.0,0.1,0.041,0.035,0.029,0.023,0.014,0.013}),"")</f>
        <v>0</v>
      </c>
      <c r="AK16" s="18">
        <f>iferror(if(AI16="",F16,AI16)*AJ16,"")</f>
        <v>0</v>
      </c>
      <c r="AL16" s="19" t="s">
        <v>509</v>
      </c>
    </row>
    <row r="17" spans="1:48">
      <c r="A17" s="17" t="s">
        <v>39</v>
      </c>
      <c r="B17" s="17" t="s">
        <v>31</v>
      </c>
      <c r="D17" s="17" t="s">
        <v>32</v>
      </c>
      <c r="E17" s="17" t="s">
        <v>40</v>
      </c>
      <c r="F17" s="17">
        <f>BoardQty*3</f>
        <v>0</v>
      </c>
      <c r="G1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17" s="18">
        <f>iferror(F17*G17,"")</f>
        <v>0</v>
      </c>
      <c r="N17" s="20" t="s">
        <v>301</v>
      </c>
      <c r="P17" s="18">
        <f>iferror(lookup(if(O17="",F17,O17),{0,1,10,50,100,500,1000,3000},{0.0,0.2,0.134,0.0802,0.0677,0.04634,0.041,0.03921}),"")</f>
        <v>0</v>
      </c>
      <c r="Q17" s="18">
        <f>iferror(if(O17="",F17,O17)*P17,"")</f>
        <v>0</v>
      </c>
      <c r="R17" s="19" t="s">
        <v>303</v>
      </c>
      <c r="AC17" s="17">
        <v>291780</v>
      </c>
      <c r="AE17" s="18">
        <f>iferror(lookup(if(AD17="",F17,AD17),{0,1,10,50,100,1000,10000},{0.0,0.2,0.134,0.134,0.068,0.041,0.034}),"")</f>
        <v>0</v>
      </c>
      <c r="AF17" s="18">
        <f>iferror(if(AD17="",F17,AD17)*AE17,"")</f>
        <v>0</v>
      </c>
      <c r="AG17" s="19" t="s">
        <v>439</v>
      </c>
    </row>
    <row r="18" spans="1:48">
      <c r="A18" s="17" t="s">
        <v>41</v>
      </c>
      <c r="B18" s="17" t="s">
        <v>31</v>
      </c>
      <c r="D18" s="17" t="s">
        <v>11</v>
      </c>
      <c r="E18" s="17" t="s">
        <v>42</v>
      </c>
      <c r="F18" s="17">
        <f>BoardQty*1</f>
        <v>0</v>
      </c>
      <c r="G1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18" s="18">
        <f>iferror(F18*G18,"")</f>
        <v>0</v>
      </c>
      <c r="N18" s="20" t="s">
        <v>301</v>
      </c>
      <c r="P18" s="18">
        <f>iferror(lookup(if(O18="",F18,O18),{0,1,10,50,100,500,1000,4000},{0.0,0.13,0.096,0.0542,0.045,0.03154,0.02611,0.02223}),"")</f>
        <v>0</v>
      </c>
      <c r="Q18" s="18">
        <f>iferror(if(O18="",F18,O18)*P18,"")</f>
        <v>0</v>
      </c>
      <c r="R18" s="19" t="s">
        <v>304</v>
      </c>
      <c r="S18" s="20" t="s">
        <v>301</v>
      </c>
      <c r="U18" s="18">
        <f>iferror(USD_GBP*lookup(if(T18="",F18,T18),{0,1,25,50,100,250,500},{0.0,0.153,0.0849,0.0664,0.0505,0.0401,0.0318}),"")</f>
        <v>0</v>
      </c>
      <c r="V18" s="18">
        <f>iferror(if(T18="",F18,T18)*U18,"")</f>
        <v>0</v>
      </c>
      <c r="W18" s="19" t="s">
        <v>376</v>
      </c>
      <c r="X18" s="17">
        <v>342600</v>
      </c>
      <c r="Z18" s="18">
        <f>iferror(lookup(if(Y18="",F18,Y18),{0,1,50,500,1500,5000,25000,50000},{0.0,0.07455,0.07455,0.05489,0.05128,0.04767,0.04606,0.04527}),"")</f>
        <v>0</v>
      </c>
      <c r="AA18" s="18">
        <f>iferror(if(Y18="",F18,Y18)*Z18,"")</f>
        <v>0</v>
      </c>
      <c r="AB18" s="19" t="s">
        <v>419</v>
      </c>
      <c r="AC18" s="17">
        <v>2520</v>
      </c>
      <c r="AE18" s="18">
        <f>iferror(lookup(if(AD18="",F18,AD18),{0,1,10,50,100,1000,10000},{0.0,0.13,0.095,0.095,0.045,0.027,0.02}),"")</f>
        <v>0</v>
      </c>
      <c r="AF18" s="18">
        <f>iferror(if(AD18="",F18,AD18)*AE18,"")</f>
        <v>0</v>
      </c>
      <c r="AG18" s="19" t="s">
        <v>440</v>
      </c>
      <c r="AH18" s="20" t="s">
        <v>301</v>
      </c>
      <c r="AJ18" s="18">
        <f>iferror(lookup(if(AI18="",F18,AI18),{0,1,25,50,100,250,500,4000,5000,10000,20000},{0.0,0.163,0.069,0.063,0.056,0.049,0.04,0.037,0.032,0.025,0.019}),"")</f>
        <v>0</v>
      </c>
      <c r="AK18" s="18">
        <f>iferror(if(AI18="",F18,AI18)*AJ18,"")</f>
        <v>0</v>
      </c>
      <c r="AL18" s="19" t="s">
        <v>510</v>
      </c>
    </row>
    <row r="19" spans="1:48">
      <c r="A19" s="17" t="s">
        <v>43</v>
      </c>
      <c r="B19" s="17" t="s">
        <v>44</v>
      </c>
      <c r="D19" s="17" t="s">
        <v>11</v>
      </c>
      <c r="E19" s="17" t="s">
        <v>45</v>
      </c>
      <c r="F19" s="17">
        <f>BoardQty*117</f>
        <v>0</v>
      </c>
      <c r="G1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19" s="18">
        <f>iferror(F19*G19,"")</f>
        <v>0</v>
      </c>
      <c r="N19" s="17">
        <v>523</v>
      </c>
      <c r="P19" s="18">
        <f>iferror(lookup(if(O19="",F19,O19),{0,1,10,50,100,500,1000,4000},{0.0,0.1,0.03,0.0162,0.0133,0.0095,0.00746,0.00624}),"")</f>
        <v>0</v>
      </c>
      <c r="Q19" s="18">
        <f>iferror(if(O19="",F19,O19)*P19,"")</f>
        <v>0</v>
      </c>
      <c r="R19" s="19" t="s">
        <v>305</v>
      </c>
      <c r="AC19" s="17">
        <v>8833</v>
      </c>
      <c r="AE19" s="18">
        <f>iferror(lookup(if(AD19="",F19,AD19),{0,1,10,50,100,1000,10000},{0.0,0.1,0.017,0.017,0.014,0.008,0.005}),"")</f>
        <v>0</v>
      </c>
      <c r="AF19" s="18">
        <f>iferror(if(AD19="",F19,AD19)*AE19,"")</f>
        <v>0</v>
      </c>
      <c r="AG19" s="19" t="s">
        <v>441</v>
      </c>
    </row>
    <row r="20" spans="1:48">
      <c r="A20" s="17" t="s">
        <v>46</v>
      </c>
      <c r="B20" s="17" t="s">
        <v>47</v>
      </c>
      <c r="D20" s="17" t="s">
        <v>11</v>
      </c>
      <c r="E20" s="17" t="s">
        <v>48</v>
      </c>
      <c r="F20" s="17">
        <f>BoardQty*16</f>
        <v>0</v>
      </c>
      <c r="G2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20" s="18">
        <f>iferror(F20*G20,"")</f>
        <v>0</v>
      </c>
      <c r="N20" s="17">
        <v>152997</v>
      </c>
      <c r="P20" s="18">
        <f>iferror(lookup(if(O20="",F20,O20),{0,1,10,50,100,500,1000,4000},{0.0,0.1,0.07,0.038,0.031,0.02214,0.01739,0.01455}),"")</f>
        <v>0</v>
      </c>
      <c r="Q20" s="18">
        <f>iferror(if(O20="",F20,O20)*P20,"")</f>
        <v>0</v>
      </c>
      <c r="R20" s="19" t="s">
        <v>306</v>
      </c>
      <c r="S20" s="17">
        <v>58000</v>
      </c>
      <c r="U20" s="18">
        <f>iferror(USD_GBP*lookup(if(T20="",F20,T20),{0,1,10,100,150,500,1000,2000,4000,20000},{0.0,0.042,0.042,0.026,0.026,0.0229,0.017,0.0167,0.0112,0.0108}),"")</f>
        <v>0</v>
      </c>
      <c r="V20" s="18">
        <f>iferror(if(T20="",F20,T20)*U20,"")</f>
        <v>0</v>
      </c>
      <c r="W20" s="19" t="s">
        <v>377</v>
      </c>
      <c r="AC20" s="17">
        <v>79199</v>
      </c>
      <c r="AE20" s="18">
        <f>iferror(lookup(if(AD20="",F20,AD20),{0,1,10,50,100,1000,10000},{0.0,0.11,0.084,0.084,0.039,0.023,0.017}),"")</f>
        <v>0</v>
      </c>
      <c r="AF20" s="18">
        <f>iferror(if(AD20="",F20,AD20)*AE20,"")</f>
        <v>0</v>
      </c>
      <c r="AG20" s="19" t="s">
        <v>442</v>
      </c>
      <c r="AH20" s="17">
        <v>28000</v>
      </c>
      <c r="AJ20" s="18">
        <f>iferror(lookup(if(AI20="",F20,AI20),{0,1,25,50,100,4000,8000},{0.0,0.12,0.044,0.035,0.026,0.013,0.012}),"")</f>
        <v>0</v>
      </c>
      <c r="AK20" s="18">
        <f>iferror(if(AI20="",F20,AI20)*AJ20,"")</f>
        <v>0</v>
      </c>
      <c r="AL20" s="19" t="s">
        <v>511</v>
      </c>
      <c r="AM20" s="17">
        <v>2200</v>
      </c>
      <c r="AO20" s="18">
        <f>iferror(USD_GBP*lookup(if(AN20="",F20,AN20),{0,1,4000,12000},{0.0,0.013,0.013,0.012}),"")</f>
        <v>0</v>
      </c>
      <c r="AP20" s="18">
        <f>iferror(if(AN20="",F20,AN20)*AO20,"")</f>
        <v>0</v>
      </c>
      <c r="AQ20" s="19" t="s">
        <v>554</v>
      </c>
      <c r="AR20" s="17">
        <v>28300</v>
      </c>
      <c r="AT20" s="18">
        <f>iferror(USD_GBP*lookup(if(AS20="",F20,AS20),{0,1,100,300,1000,4000,12000},{0.0,0.014,0.014,0.01003,0.0066,0.00499,0.00481}),"")</f>
        <v>0</v>
      </c>
      <c r="AU20" s="18">
        <f>iferror(if(AS20="",F20,AS20)*AT20,"")</f>
        <v>0</v>
      </c>
      <c r="AV20" s="19" t="s">
        <v>580</v>
      </c>
    </row>
    <row r="21" spans="1:48">
      <c r="A21" s="17" t="s">
        <v>49</v>
      </c>
      <c r="B21" s="17" t="s">
        <v>50</v>
      </c>
      <c r="D21" s="17" t="s">
        <v>51</v>
      </c>
      <c r="E21" s="17" t="s">
        <v>52</v>
      </c>
      <c r="F21" s="17">
        <f>BoardQty*2</f>
        <v>0</v>
      </c>
      <c r="G2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21" s="18">
        <f>iferror(F21*G21,"")</f>
        <v>0</v>
      </c>
      <c r="N21" s="17">
        <v>12408</v>
      </c>
      <c r="P21" s="18">
        <f>iferror(lookup(if(O21="",F21,O21),{0,1,10,100,500,1000,2000,12000},{0.0,0.55,0.445,0.3032,0.22744,0.17058,0.15645,0.15645}),"")</f>
        <v>0</v>
      </c>
      <c r="Q21" s="18">
        <f>iferror(if(O21="",F21,O21)*P21,"")</f>
        <v>0</v>
      </c>
      <c r="R21" s="19" t="s">
        <v>307</v>
      </c>
      <c r="S21" s="17">
        <v>30723</v>
      </c>
      <c r="U21" s="18">
        <f>iferror(USD_GBP*lookup(if(T21="",F21,T21),{0,1,5,10,100,150,500},{0.0,0.495,0.495,0.397,0.24,0.24,0.117}),"")</f>
        <v>0</v>
      </c>
      <c r="V21" s="18">
        <f>iferror(if(T21="",F21,T21)*U21,"")</f>
        <v>0</v>
      </c>
      <c r="W21" s="19" t="s">
        <v>378</v>
      </c>
      <c r="X21" s="17">
        <v>7902</v>
      </c>
      <c r="Z21" s="18">
        <f>iferror(lookup(if(Y21="",F21,Y21),{0,1,10,30,100,500,1000},{0.0,0.8626,0.6486,0.6093,0.57,0.5525,0.5439}),"")</f>
        <v>0</v>
      </c>
      <c r="AA21" s="18">
        <f>iferror(if(Y21="",F21,Y21)*Z21,"")</f>
        <v>0</v>
      </c>
      <c r="AB21" s="19" t="s">
        <v>420</v>
      </c>
      <c r="AC21" s="17">
        <v>456</v>
      </c>
      <c r="AE21" s="18">
        <f>iferror(lookup(if(AD21="",F21,AD21),{0,1,10,50,100,1000,10000},{0.0,0.56,0.462,0.462,0.315,0.177,0.153}),"")</f>
        <v>0</v>
      </c>
      <c r="AF21" s="18">
        <f>iferror(if(AD21="",F21,AD21)*AE21,"")</f>
        <v>0</v>
      </c>
      <c r="AG21" s="19" t="s">
        <v>443</v>
      </c>
      <c r="AH21" s="17">
        <v>24000</v>
      </c>
      <c r="AJ21" s="18">
        <f>iferror(lookup(if(AI21="",F21,AI21),{0,1,5,50,100,250,500,1000,12000,24000,36000,96000},{0.0,0.47,0.47,0.323,0.197,0.191,0.186,0.14,0.133,0.124,0.129,0.114}),"")</f>
        <v>0</v>
      </c>
      <c r="AK21" s="18">
        <f>iferror(if(AI21="",F21,AI21)*AJ21,"")</f>
        <v>0</v>
      </c>
      <c r="AL21" s="19" t="s">
        <v>512</v>
      </c>
      <c r="AM21" s="17">
        <v>4700</v>
      </c>
      <c r="AO21" s="18">
        <f>iferror(USD_GBP*lookup(if(AN21="",F21,AN21),{0,1,25,125},{0.0,0.283,0.283,0.153}),"")</f>
        <v>0</v>
      </c>
      <c r="AP21" s="18">
        <f>iferror(if(AN21="",F21,AN21)*AO21,"")</f>
        <v>0</v>
      </c>
      <c r="AQ21" s="19" t="s">
        <v>555</v>
      </c>
    </row>
    <row r="22" spans="1:48">
      <c r="A22" s="17" t="s">
        <v>53</v>
      </c>
      <c r="B22" s="17" t="s">
        <v>54</v>
      </c>
      <c r="D22" s="17" t="s">
        <v>55</v>
      </c>
      <c r="E22" s="17" t="s">
        <v>56</v>
      </c>
      <c r="F22" s="17">
        <f>BoardQty*1</f>
        <v>0</v>
      </c>
      <c r="G2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22" s="18">
        <f>iferror(F22*G22,"")</f>
        <v>0</v>
      </c>
      <c r="N22" s="17">
        <v>10568</v>
      </c>
      <c r="P22" s="18">
        <f>iferror(lookup(if(O22="",F22,O22),{0,1,50,100,500,1000,3000},{0.0,0.15,0.141,0.128,0.119,0.1,0.078}),"")</f>
        <v>0</v>
      </c>
      <c r="Q22" s="18">
        <f>iferror(if(O22="",F22,O22)*P22,"")</f>
        <v>0</v>
      </c>
      <c r="R22" s="19" t="s">
        <v>308</v>
      </c>
      <c r="S22" s="20" t="s">
        <v>301</v>
      </c>
      <c r="U22" s="18">
        <f>iferror(USD_GBP*lookup(if(T22="",F22,T22),{0,1,5,10,50,250,500},{0.0,0.355,0.355,0.355,0.201,0.151,0.129}),"")</f>
        <v>0</v>
      </c>
      <c r="V22" s="18">
        <f>iferror(if(T22="",F22,T22)*U22,"")</f>
        <v>0</v>
      </c>
      <c r="W22" s="19" t="s">
        <v>379</v>
      </c>
      <c r="AC22" s="17">
        <v>27899</v>
      </c>
      <c r="AE22" s="18">
        <f>iferror(lookup(if(AD22="",F22,AD22),{0,1,10,50,100,1000,10000},{0.0,0.16,0.16,0.146,0.132,0.104,0.081}),"")</f>
        <v>0</v>
      </c>
      <c r="AF22" s="18">
        <f>iferror(if(AD22="",F22,AD22)*AE22,"")</f>
        <v>0</v>
      </c>
      <c r="AG22" s="19" t="s">
        <v>444</v>
      </c>
      <c r="AH22" s="20" t="s">
        <v>301</v>
      </c>
      <c r="AJ22" s="18">
        <f>iferror(lookup(if(AI22="",F22,AI22),{0,1,5,10,25,50,100},{0.0,0.2,0.2,0.194,0.189,0.183,0.165}),"")</f>
        <v>0</v>
      </c>
      <c r="AK22" s="18">
        <f>iferror(if(AI22="",F22,AI22)*AJ22,"")</f>
        <v>0</v>
      </c>
      <c r="AL22" s="19" t="s">
        <v>513</v>
      </c>
    </row>
    <row r="23" spans="1:48">
      <c r="A23" s="17" t="s">
        <v>57</v>
      </c>
      <c r="B23" s="17" t="s">
        <v>54</v>
      </c>
      <c r="D23" s="17" t="s">
        <v>55</v>
      </c>
      <c r="E23" s="17" t="s">
        <v>58</v>
      </c>
      <c r="F23" s="17">
        <f>BoardQty*6</f>
        <v>0</v>
      </c>
      <c r="G2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23" s="18">
        <f>iferror(F23*G23,"")</f>
        <v>0</v>
      </c>
      <c r="N23" s="17">
        <v>79748</v>
      </c>
      <c r="P23" s="18">
        <f>iferror(lookup(if(O23="",F23,O23),{0,1,10,25,50,100,250,500,1000,3000,6000,9000,15000},{0.0,0.31,0.241,0.1992,0.1718,0.1547,0.13064,0.11688,0.09969,0.09625,0.09281,0.08834,0.08594}),"")</f>
        <v>0</v>
      </c>
      <c r="Q23" s="18">
        <f>iferror(if(O23="",F23,O23)*P23,"")</f>
        <v>0</v>
      </c>
      <c r="R23" s="19" t="s">
        <v>309</v>
      </c>
      <c r="S23" s="20" t="s">
        <v>301</v>
      </c>
      <c r="U23" s="18">
        <f>iferror(USD_GBP*lookup(if(T23="",F23,T23),{0,1,3000,15000},{0.0,0.0715,0.0715,0.0641}),"")</f>
        <v>0</v>
      </c>
      <c r="V23" s="18">
        <f>iferror(if(T23="",F23,T23)*U23,"")</f>
        <v>0</v>
      </c>
      <c r="W23" s="19" t="s">
        <v>380</v>
      </c>
      <c r="X23" s="17">
        <v>15485</v>
      </c>
      <c r="Z23" s="18">
        <f>iferror(lookup(if(Y23="",F23,Y23),{0,1,5,50,150,500,2500,5000},{0.0,0.72592,0.72592,0.56602,0.53665,0.50728,0.49423,0.48778}),"")</f>
        <v>0</v>
      </c>
      <c r="AA23" s="18">
        <f>iferror(if(Y23="",F23,Y23)*Z23,"")</f>
        <v>0</v>
      </c>
      <c r="AB23" s="19" t="s">
        <v>421</v>
      </c>
      <c r="AC23" s="17">
        <v>1600</v>
      </c>
      <c r="AE23" s="18">
        <f>iferror(lookup(if(AD23="",F23,AD23),{0,1,10,50,100,1000,10000},{0.0,0.28,0.179,0.179,0.151,0.123,0.085}),"")</f>
        <v>0</v>
      </c>
      <c r="AF23" s="18">
        <f>iferror(if(AD23="",F23,AD23)*AE23,"")</f>
        <v>0</v>
      </c>
      <c r="AG23" s="19" t="s">
        <v>445</v>
      </c>
      <c r="AM23" s="17">
        <v>10050</v>
      </c>
      <c r="AO23" s="18">
        <f>iferror(USD_GBP*lookup(if(AN23="",F23,AN23),{0,1,25,50,100,500,2000},{0.0,0.174,0.174,0.148,0.131,0.113,0.104}),"")</f>
        <v>0</v>
      </c>
      <c r="AP23" s="18">
        <f>iferror(if(AN23="",F23,AN23)*AO23,"")</f>
        <v>0</v>
      </c>
      <c r="AQ23" s="19" t="s">
        <v>556</v>
      </c>
      <c r="AR23" s="17">
        <v>15030</v>
      </c>
      <c r="AT23" s="18">
        <f>iferror(USD_GBP*lookup(if(AS23="",F23,AS23),{0,1,10,100,1000,3000,9000},{0.0,0.212,0.212,0.1157,0.0817,0.0644,0.0626}),"")</f>
        <v>0</v>
      </c>
      <c r="AU23" s="18">
        <f>iferror(if(AS23="",F23,AS23)*AT23,"")</f>
        <v>0</v>
      </c>
      <c r="AV23" s="19" t="s">
        <v>58</v>
      </c>
    </row>
    <row r="24" spans="1:48">
      <c r="A24" s="17" t="s">
        <v>59</v>
      </c>
      <c r="B24" s="17" t="s">
        <v>14</v>
      </c>
      <c r="D24" s="17" t="s">
        <v>60</v>
      </c>
      <c r="F24" s="17">
        <f>BoardQty*4</f>
        <v>0</v>
      </c>
      <c r="G2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24" s="18">
        <f>iferror(F24*G24,"")</f>
        <v>0</v>
      </c>
    </row>
    <row r="25" spans="1:48">
      <c r="A25" s="17" t="s">
        <v>61</v>
      </c>
      <c r="B25" s="17" t="s">
        <v>62</v>
      </c>
      <c r="C25" s="17" t="s">
        <v>63</v>
      </c>
      <c r="D25" s="17" t="s">
        <v>64</v>
      </c>
      <c r="E25" s="17" t="s">
        <v>62</v>
      </c>
      <c r="F25" s="17">
        <f>BoardQty*1</f>
        <v>0</v>
      </c>
      <c r="G2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25" s="18">
        <f>iferror(F25*G25,"")</f>
        <v>0</v>
      </c>
      <c r="N25" s="20" t="s">
        <v>301</v>
      </c>
      <c r="P25" s="18">
        <f>iferror(lookup(if(O25="",F25,O25),{0,1,10,25,100,1000},{0.0,20.7,19.094,18.2364,17.71,17.71}),"")</f>
        <v>0</v>
      </c>
      <c r="Q25" s="18">
        <f>iferror(if(O25="",F25,O25)*P25,"")</f>
        <v>0</v>
      </c>
      <c r="R25" s="19" t="s">
        <v>310</v>
      </c>
      <c r="AC25" s="20" t="s">
        <v>301</v>
      </c>
      <c r="AE25" s="18">
        <f>iferror(lookup(if(AD25="",F25,AD25),{0,1,10,50,100,1000,10000},{0.0,22.77,21.0,20.06,17.94,17.12,17.12}),"")</f>
        <v>0</v>
      </c>
      <c r="AF25" s="18">
        <f>iferror(if(AD25="",F25,AD25)*AE25,"")</f>
        <v>0</v>
      </c>
      <c r="AG25" s="19" t="s">
        <v>446</v>
      </c>
    </row>
    <row r="26" spans="1:48">
      <c r="A26" s="17" t="s">
        <v>65</v>
      </c>
      <c r="B26" s="17" t="s">
        <v>66</v>
      </c>
      <c r="D26" s="17" t="s">
        <v>67</v>
      </c>
      <c r="E26" s="17" t="s">
        <v>68</v>
      </c>
      <c r="F26" s="17">
        <f>BoardQty*6</f>
        <v>0</v>
      </c>
      <c r="G2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26" s="18">
        <f>iferror(F26*G26,"")</f>
        <v>0</v>
      </c>
      <c r="N26" s="20" t="s">
        <v>301</v>
      </c>
      <c r="P26" s="18">
        <f>iferror(lookup(if(O26="",F26,O26),{0,1,10,25,100,250,500,1000,2500},{0.0,2.27,2.039,1.924,1.6392,1.53912,1.34672,1.2705,1.2705}),"")</f>
        <v>0</v>
      </c>
      <c r="Q26" s="18">
        <f>iferror(if(O26="",F26,O26)*P26,"")</f>
        <v>0</v>
      </c>
      <c r="R26" s="19" t="s">
        <v>311</v>
      </c>
      <c r="S26" s="20" t="s">
        <v>301</v>
      </c>
      <c r="U26" s="18">
        <f>iferror(USD_GBP*lookup(if(T26="",F26,T26),{0,1,10,50,100,250},{0.0,2.14,1.6,1.46,1.32,1.19}),"")</f>
        <v>0</v>
      </c>
      <c r="V26" s="18">
        <f>iferror(if(T26="",F26,T26)*U26,"")</f>
        <v>0</v>
      </c>
      <c r="W26" s="19" t="s">
        <v>381</v>
      </c>
      <c r="AC26" s="20" t="s">
        <v>301</v>
      </c>
      <c r="AE26" s="18">
        <f>iferror(lookup(if(AD26="",F26,AD26),{0,1,10,50,100,1000,10000},{0.0,2.26,2.04,1.93,1.64,1.12,1.11}),"")</f>
        <v>0</v>
      </c>
      <c r="AF26" s="18">
        <f>iferror(if(AD26="",F26,AD26)*AE26,"")</f>
        <v>0</v>
      </c>
      <c r="AG26" s="19" t="s">
        <v>447</v>
      </c>
      <c r="AH26" s="20" t="s">
        <v>301</v>
      </c>
      <c r="AJ26" s="18">
        <f>iferror(lookup(if(AI26="",F26,AI26),{0,1,10,25,50,100,250},{0.0,3.69,3.44,3.24,3.04,2.84,2.62}),"")</f>
        <v>0</v>
      </c>
      <c r="AK26" s="18">
        <f>iferror(if(AI26="",F26,AI26)*AJ26,"")</f>
        <v>0</v>
      </c>
      <c r="AL26" s="19" t="s">
        <v>514</v>
      </c>
    </row>
    <row r="27" spans="1:48">
      <c r="A27" s="17" t="s">
        <v>69</v>
      </c>
      <c r="B27" s="17" t="s">
        <v>70</v>
      </c>
      <c r="D27" s="17" t="s">
        <v>71</v>
      </c>
      <c r="E27" s="17" t="s">
        <v>72</v>
      </c>
      <c r="F27" s="17">
        <f>BoardQty*4</f>
        <v>0</v>
      </c>
      <c r="G2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27" s="18">
        <f>iferror(F27*G27,"")</f>
        <v>0</v>
      </c>
      <c r="N27" s="17">
        <v>12258</v>
      </c>
      <c r="P27" s="18">
        <f>iferror(lookup(if(O27="",F27,O27),{0,1,10,25,50,100,400,800,1200,2000,2800,10000},{0.0,1.19,1.006,0.9652,0.9446,0.9034,0.8213,0.71865,0.65705,0.61598,0.59545,0.54754}),"")</f>
        <v>0</v>
      </c>
      <c r="Q27" s="18">
        <f>iferror(if(O27="",F27,O27)*P27,"")</f>
        <v>0</v>
      </c>
      <c r="R27" s="19" t="s">
        <v>312</v>
      </c>
      <c r="S27" s="17">
        <v>8793</v>
      </c>
      <c r="U27" s="18">
        <f>iferror(USD_GBP*lookup(if(T27="",F27,T27),{0,1,10,100,500,1000,2500},{0.0,0.648,0.619,0.589,0.535,0.481,0.427}),"")</f>
        <v>0</v>
      </c>
      <c r="V27" s="18">
        <f>iferror(if(T27="",F27,T27)*U27,"")</f>
        <v>0</v>
      </c>
      <c r="W27" s="19" t="s">
        <v>382</v>
      </c>
      <c r="AC27" s="17">
        <v>9465</v>
      </c>
      <c r="AE27" s="18">
        <f>iferror(lookup(if(AD27="",F27,AD27),{0,1,10,50,100,1000,10000},{0.0,1.14,0.9,0.9,0.783,0.626,0.559}),"")</f>
        <v>0</v>
      </c>
      <c r="AF27" s="18">
        <f>iferror(if(AD27="",F27,AD27)*AE27,"")</f>
        <v>0</v>
      </c>
      <c r="AG27" s="19" t="s">
        <v>448</v>
      </c>
      <c r="AH27" s="17">
        <v>2794</v>
      </c>
      <c r="AJ27" s="18">
        <f>iferror(lookup(if(AI27="",F27,AI27),{0,1,10,25,50,100,250,400,800,1600,2400,4000},{0.0,1.39,1.28,1.16,1.03,0.992,0.964,0.767,0.748,0.73,0.713,0.697}),"")</f>
        <v>0</v>
      </c>
      <c r="AK27" s="18">
        <f>iferror(if(AI27="",F27,AI27)*AJ27,"")</f>
        <v>0</v>
      </c>
      <c r="AL27" s="19" t="s">
        <v>515</v>
      </c>
      <c r="AM27" s="17">
        <v>6520</v>
      </c>
      <c r="AO27" s="18">
        <f>iferror(USD_GBP*lookup(if(AN27="",F27,AN27),{0,1,10,50,100,250},{0.0,1421.8,0.715,0.693,0.665,0.63}),"")</f>
        <v>0</v>
      </c>
      <c r="AP27" s="18">
        <f>iferror(if(AN27="",F27,AN27)*AO27,"")</f>
        <v>0</v>
      </c>
      <c r="AQ27" s="19" t="s">
        <v>557</v>
      </c>
    </row>
    <row r="28" spans="1:48">
      <c r="A28" s="17" t="s">
        <v>73</v>
      </c>
      <c r="B28" s="17" t="s">
        <v>74</v>
      </c>
      <c r="D28" s="17" t="s">
        <v>75</v>
      </c>
      <c r="E28" s="17" t="s">
        <v>76</v>
      </c>
      <c r="F28" s="17">
        <f>BoardQty*1</f>
        <v>0</v>
      </c>
      <c r="G2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28" s="18">
        <f>iferror(F28*G28,"")</f>
        <v>0</v>
      </c>
      <c r="N28" s="17">
        <v>2398</v>
      </c>
      <c r="P28" s="18">
        <f>iferror(lookup(if(O28="",F28,O28),{0,1,10,80,3200,6400},{0.0,1.81,1.546,1.27675,0.9408,0.896}),"")</f>
        <v>0</v>
      </c>
      <c r="Q28" s="18">
        <f>iferror(if(O28="",F28,O28)*P28,"")</f>
        <v>0</v>
      </c>
      <c r="R28" s="19" t="s">
        <v>313</v>
      </c>
      <c r="AC28" s="17">
        <v>11</v>
      </c>
      <c r="AE28" s="18">
        <f>iferror(lookup(if(AD28="",F28,AD28),{0,1,10,50,100,1000,10000},{0.0,1.73,1.48,1.48,1.21,0.959,0.851}),"")</f>
        <v>0</v>
      </c>
      <c r="AF28" s="18">
        <f>iferror(if(AD28="",F28,AD28)*AE28,"")</f>
        <v>0</v>
      </c>
      <c r="AG28" s="19" t="s">
        <v>449</v>
      </c>
      <c r="AH28" s="20" t="s">
        <v>301</v>
      </c>
      <c r="AJ28" s="18">
        <f>iferror(lookup(if(AI28="",F28,AI28),{0,1,10,32},{0.0,1.69,1.56,1.56}),"")</f>
        <v>0</v>
      </c>
      <c r="AK28" s="18">
        <f>iferror(if(AI28="",F28,AI28)*AJ28,"")</f>
        <v>0</v>
      </c>
      <c r="AL28" s="19" t="s">
        <v>516</v>
      </c>
    </row>
    <row r="29" spans="1:48">
      <c r="A29" s="17" t="s">
        <v>77</v>
      </c>
      <c r="B29" s="17" t="s">
        <v>78</v>
      </c>
      <c r="D29" s="17" t="s">
        <v>79</v>
      </c>
      <c r="E29" s="17" t="s">
        <v>80</v>
      </c>
      <c r="F29" s="17">
        <f>BoardQty*2</f>
        <v>0</v>
      </c>
      <c r="G2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29" s="18">
        <f>iferror(F29*G29,"")</f>
        <v>0</v>
      </c>
      <c r="N29" s="17">
        <v>1967</v>
      </c>
      <c r="P29" s="18">
        <f>iferror(lookup(if(O29="",F29,O29),{0,1,18,90,450,954,4914,9810},{0.0,1.43,1.20889,1.08567,0.88831,0.7896,0.6909,0.658}),"")</f>
        <v>0</v>
      </c>
      <c r="Q29" s="18">
        <f>iferror(if(O29="",F29,O29)*P29,"")</f>
        <v>0</v>
      </c>
      <c r="R29" s="19" t="s">
        <v>314</v>
      </c>
      <c r="AC29" s="17">
        <v>1737</v>
      </c>
      <c r="AE29" s="18">
        <f>iferror(lookup(if(AD29="",F29,AD29),{0,1,10,50,100,1000,10000},{0.0,1.37,1.1,1.1,1.03,0.752,0.625}),"")</f>
        <v>0</v>
      </c>
      <c r="AF29" s="18">
        <f>iferror(if(AD29="",F29,AD29)*AE29,"")</f>
        <v>0</v>
      </c>
      <c r="AG29" s="19" t="s">
        <v>450</v>
      </c>
      <c r="AM29" s="17">
        <v>322</v>
      </c>
      <c r="AO29" s="18">
        <f>iferror(USD_GBP*lookup(if(AN29="",F29,AN29),{0,1,10,200,750,3000,6000},{0.0,0.998,0.998,0.858,0.709,0.568,0.55}),"")</f>
        <v>0</v>
      </c>
      <c r="AP29" s="18">
        <f>iferror(if(AN29="",F29,AN29)*AO29,"")</f>
        <v>0</v>
      </c>
      <c r="AQ29" s="19" t="s">
        <v>558</v>
      </c>
      <c r="AR29" s="17">
        <v>52</v>
      </c>
      <c r="AT29" s="18">
        <f>iferror(USD_GBP*lookup(if(AS29="",F29,AS29),{0,1,18,54,216},{0.0,0.92,0.82,0.71,0.59}),"")</f>
        <v>0</v>
      </c>
      <c r="AU29" s="18">
        <f>iferror(if(AS29="",F29,AS29)*AT29,"")</f>
        <v>0</v>
      </c>
      <c r="AV29" s="19" t="s">
        <v>581</v>
      </c>
    </row>
    <row r="30" spans="1:48">
      <c r="A30" s="17" t="s">
        <v>81</v>
      </c>
      <c r="B30" s="17" t="s">
        <v>82</v>
      </c>
      <c r="D30" s="17" t="s">
        <v>83</v>
      </c>
      <c r="E30" s="17" t="s">
        <v>84</v>
      </c>
      <c r="F30" s="17">
        <f>BoardQty*1</f>
        <v>0</v>
      </c>
      <c r="G3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30" s="18">
        <f>iferror(F30*G30,"")</f>
        <v>0</v>
      </c>
      <c r="N30" s="17">
        <v>87909</v>
      </c>
      <c r="P30" s="18">
        <f>iferror(lookup(if(O30="",F30,O30),{0,1,10,25,50,100,250,500,1000,2500},{0.0,0.75,0.706,0.6352,0.5648,0.5413,0.4942,0.47066,0.38829,0.353}),"")</f>
        <v>0</v>
      </c>
      <c r="Q30" s="18">
        <f>iferror(if(O30="",F30,O30)*P30,"")</f>
        <v>0</v>
      </c>
      <c r="R30" s="19" t="s">
        <v>315</v>
      </c>
      <c r="AC30" s="17">
        <v>300</v>
      </c>
      <c r="AE30" s="18">
        <f>iferror(lookup(if(AD30="",F30,AD30),{0,1,10,50,100,1000,10000},{0.0,0.74,0.559,0.559,0.489,0.384,0.333}),"")</f>
        <v>0</v>
      </c>
      <c r="AF30" s="18">
        <f>iferror(if(AD30="",F30,AD30)*AE30,"")</f>
        <v>0</v>
      </c>
      <c r="AG30" s="19" t="s">
        <v>451</v>
      </c>
    </row>
    <row r="31" spans="1:48">
      <c r="A31" s="17" t="s">
        <v>85</v>
      </c>
      <c r="B31" s="17" t="s">
        <v>86</v>
      </c>
      <c r="D31" s="17" t="s">
        <v>87</v>
      </c>
      <c r="E31" s="17" t="s">
        <v>88</v>
      </c>
      <c r="F31" s="17">
        <f>BoardQty*1</f>
        <v>0</v>
      </c>
      <c r="G3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31" s="18">
        <f>iferror(F31*G31,"")</f>
        <v>0</v>
      </c>
      <c r="N31" s="17">
        <v>1040</v>
      </c>
      <c r="P31" s="18">
        <f>iferror(lookup(if(O31="",F31,O31),{0,1,10,80,3180,6360},{0.0,1.54,1.316,1.08713,0.801,0.76286}),"")</f>
        <v>0</v>
      </c>
      <c r="Q31" s="18">
        <f>iferror(if(O31="",F31,O31)*P31,"")</f>
        <v>0</v>
      </c>
      <c r="R31" s="19" t="s">
        <v>316</v>
      </c>
      <c r="AC31" s="17">
        <v>2666</v>
      </c>
      <c r="AE31" s="18">
        <f>iferror(lookup(if(AD31="",F31,AD31),{0,1,10,50,100,1000,10000},{0.0,1.47,1.26,1.26,1.04,0.818,0.708}),"")</f>
        <v>0</v>
      </c>
      <c r="AF31" s="18">
        <f>iferror(if(AD31="",F31,AD31)*AE31,"")</f>
        <v>0</v>
      </c>
      <c r="AG31" s="19" t="s">
        <v>452</v>
      </c>
      <c r="AH31" s="20" t="s">
        <v>301</v>
      </c>
      <c r="AJ31" s="18">
        <f>iferror(lookup(if(AI31="",F31,AI31),{0,1,3180},{0.0,0.872,0.872}),"")</f>
        <v>0</v>
      </c>
      <c r="AK31" s="18">
        <f>iferror(if(AI31="",F31,AI31)*AJ31,"")</f>
        <v>0</v>
      </c>
      <c r="AL31" s="19" t="s">
        <v>517</v>
      </c>
    </row>
    <row r="32" spans="1:48">
      <c r="A32" s="17" t="s">
        <v>89</v>
      </c>
      <c r="B32" s="17" t="s">
        <v>90</v>
      </c>
      <c r="D32" s="17" t="s">
        <v>91</v>
      </c>
      <c r="E32" s="17" t="s">
        <v>92</v>
      </c>
      <c r="F32" s="17">
        <f>BoardQty*1</f>
        <v>0</v>
      </c>
      <c r="G3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32" s="18">
        <f>iferror(F32*G32,"")</f>
        <v>0</v>
      </c>
      <c r="N32" s="17">
        <v>3318</v>
      </c>
      <c r="P32" s="18">
        <f>iferror(lookup(if(O32="",F32,O32),{0,1,10,25,50,100,250,500,1000},{0.0,3.32,2.529,2.3692,2.1058,2.0601,1.89988,1.71676,1.526}),"")</f>
        <v>0</v>
      </c>
      <c r="Q32" s="18">
        <f>iferror(if(O32="",F32,O32)*P32,"")</f>
        <v>0</v>
      </c>
      <c r="R32" s="19" t="s">
        <v>317</v>
      </c>
    </row>
    <row r="33" spans="1:48">
      <c r="A33" s="17" t="s">
        <v>93</v>
      </c>
      <c r="B33" s="17" t="s">
        <v>94</v>
      </c>
      <c r="D33" s="17" t="s">
        <v>95</v>
      </c>
      <c r="E33" s="17" t="s">
        <v>96</v>
      </c>
      <c r="F33" s="17">
        <f>BoardQty*2</f>
        <v>0</v>
      </c>
      <c r="G3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33" s="18">
        <f>iferror(F33*G33,"")</f>
        <v>0</v>
      </c>
      <c r="N33" s="20" t="s">
        <v>301</v>
      </c>
      <c r="P33" s="18">
        <f>iferror(lookup(if(O33="",F33,O33),{0,1,10,240,2400},{0.0,3.74,3.29,2.61679,2.01866}),"")</f>
        <v>0</v>
      </c>
      <c r="Q33" s="18">
        <f>iferror(if(O33="",F33,O33)*P33,"")</f>
        <v>0</v>
      </c>
      <c r="R33" s="19" t="s">
        <v>318</v>
      </c>
      <c r="S33" s="17">
        <v>818</v>
      </c>
      <c r="U33" s="18">
        <f>iferror(USD_GBP*lookup(if(T33="",F33,T33),{0,1,10,100,250,500,1000},{0.0,2.9,2.59,2.54,2.49,2.43,2.38}),"")</f>
        <v>0</v>
      </c>
      <c r="V33" s="18">
        <f>iferror(if(T33="",F33,T33)*U33,"")</f>
        <v>0</v>
      </c>
      <c r="W33" s="19" t="s">
        <v>383</v>
      </c>
      <c r="X33" s="17">
        <v>45</v>
      </c>
      <c r="Z33" s="18">
        <f>iferror(lookup(if(Y33="",F33,Y33),{0,1,10,30,100,500,1000},{0.0,16.37,12.37,11.64,10.91,10.58,10.42}),"")</f>
        <v>0</v>
      </c>
      <c r="AA33" s="18">
        <f>iferror(if(Y33="",F33,Y33)*Z33,"")</f>
        <v>0</v>
      </c>
      <c r="AB33" s="19" t="s">
        <v>422</v>
      </c>
      <c r="AC33" s="20" t="s">
        <v>301</v>
      </c>
      <c r="AE33" s="18">
        <f>iferror(lookup(if(AD33="",F33,AD33),{0,1,10,50,100,1000,10000},{0.0,3.7,3.25,3.25,2.59,2.14,1.99}),"")</f>
        <v>0</v>
      </c>
      <c r="AF33" s="18">
        <f>iferror(if(AD33="",F33,AD33)*AE33,"")</f>
        <v>0</v>
      </c>
      <c r="AG33" s="19" t="s">
        <v>453</v>
      </c>
      <c r="AH33" s="20" t="s">
        <v>301</v>
      </c>
      <c r="AJ33" s="18">
        <f>iferror(lookup(if(AI33="",F33,AI33),{0,1,10,25,50,100,250},{0.0,3.77,3.32,3.09,2.87,2.64,2.6}),"")</f>
        <v>0</v>
      </c>
      <c r="AK33" s="18">
        <f>iferror(if(AI33="",F33,AI33)*AJ33,"")</f>
        <v>0</v>
      </c>
      <c r="AL33" s="19" t="s">
        <v>518</v>
      </c>
      <c r="AM33" s="17">
        <v>303</v>
      </c>
      <c r="AO33" s="18">
        <f>iferror(USD_GBP*lookup(if(AN33="",F33,AN33),{0,1,15,50,100,250},{0.0,3.4,2.89,2.75,2.56,2.37}),"")</f>
        <v>0</v>
      </c>
      <c r="AP33" s="18">
        <f>iferror(if(AN33="",F33,AN33)*AO33,"")</f>
        <v>0</v>
      </c>
      <c r="AQ33" s="19" t="s">
        <v>559</v>
      </c>
      <c r="AR33" s="17">
        <v>494</v>
      </c>
      <c r="AT33" s="18">
        <f>iferror(USD_GBP*lookup(if(AS33="",F33,AS33),{0,1,20,40,120},{0.0,3.53,2.89,2.11,1.61}),"")</f>
        <v>0</v>
      </c>
      <c r="AU33" s="18">
        <f>iferror(if(AS33="",F33,AS33)*AT33,"")</f>
        <v>0</v>
      </c>
      <c r="AV33" s="19" t="s">
        <v>582</v>
      </c>
    </row>
    <row r="34" spans="1:48">
      <c r="A34" s="17" t="s">
        <v>97</v>
      </c>
      <c r="B34" s="17" t="s">
        <v>98</v>
      </c>
      <c r="D34" s="17" t="s">
        <v>99</v>
      </c>
      <c r="E34" s="17" t="s">
        <v>100</v>
      </c>
      <c r="F34" s="17">
        <f>BoardQty*1</f>
        <v>0</v>
      </c>
      <c r="G3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34" s="18">
        <f>iferror(F34*G34,"")</f>
        <v>0</v>
      </c>
      <c r="N34" s="20" t="s">
        <v>301</v>
      </c>
      <c r="P34" s="18">
        <f>iferror(lookup(if(O34="",F34,O34),{0,1},{0.0,0.5}),"")</f>
        <v>0</v>
      </c>
      <c r="Q34" s="18">
        <f>iferror(if(O34="",F34,O34)*P34,"")</f>
        <v>0</v>
      </c>
      <c r="R34" s="19" t="s">
        <v>319</v>
      </c>
      <c r="AC34" s="17">
        <v>579</v>
      </c>
      <c r="AE34" s="18">
        <f>iferror(lookup(if(AD34="",F34,AD34),{0,1,10,50,100,1000,10000},{0.0,0.5,0.5,0.5,0.5,0.5,0.5}),"")</f>
        <v>0</v>
      </c>
      <c r="AF34" s="18">
        <f>iferror(if(AD34="",F34,AD34)*AE34,"")</f>
        <v>0</v>
      </c>
      <c r="AG34" s="19" t="s">
        <v>454</v>
      </c>
    </row>
    <row r="35" spans="1:48">
      <c r="A35" s="17" t="s">
        <v>101</v>
      </c>
      <c r="B35" s="17" t="s">
        <v>102</v>
      </c>
      <c r="D35" s="17" t="s">
        <v>103</v>
      </c>
      <c r="E35" s="17" t="s">
        <v>104</v>
      </c>
      <c r="F35" s="17">
        <f>BoardQty*1</f>
        <v>0</v>
      </c>
      <c r="G3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35" s="18">
        <f>iferror(F35*G35,"")</f>
        <v>0</v>
      </c>
      <c r="N35" s="17">
        <v>4500</v>
      </c>
      <c r="P35" s="18">
        <f>iferror(lookup(if(O35="",F35,O35),{0,1,10,80,945,4900,9800},{0.0,1.61,1.371,1.13225,0.89385,0.79255,0.77467}),"")</f>
        <v>0</v>
      </c>
      <c r="Q35" s="18">
        <f>iferror(if(O35="",F35,O35)*P35,"")</f>
        <v>0</v>
      </c>
      <c r="R35" s="19" t="s">
        <v>320</v>
      </c>
      <c r="S35" s="17">
        <v>36</v>
      </c>
      <c r="U35" s="18">
        <f>iferror(USD_GBP*lookup(if(T35="",F35,T35),{0,1,10,50,100,500,1000},{0.0,1.15,0.981,0.895,0.808,0.77,0.673}),"")</f>
        <v>0</v>
      </c>
      <c r="V35" s="18">
        <f>iferror(if(T35="",F35,T35)*U35,"")</f>
        <v>0</v>
      </c>
      <c r="W35" s="19" t="s">
        <v>384</v>
      </c>
      <c r="AC35" s="17">
        <v>671</v>
      </c>
      <c r="AE35" s="18">
        <f>iferror(lookup(if(AD35="",F35,AD35),{0,1,10,50,100,1000,10000},{0.0,1.73,1.48,1.48,1.21,0.962,0.853}),"")</f>
        <v>0</v>
      </c>
      <c r="AF35" s="18">
        <f>iferror(if(AD35="",F35,AD35)*AE35,"")</f>
        <v>0</v>
      </c>
      <c r="AG35" s="19" t="s">
        <v>455</v>
      </c>
      <c r="AH35" s="17">
        <v>529</v>
      </c>
      <c r="AJ35" s="18">
        <f>iferror(lookup(if(AI35="",F35,AI35),{0,1,10,25,50,100,250},{0.0,1.64,1.41,1.32,1.24,1.15,1.13}),"")</f>
        <v>0</v>
      </c>
      <c r="AK35" s="18">
        <f>iferror(if(AI35="",F35,AI35)*AJ35,"")</f>
        <v>0</v>
      </c>
      <c r="AL35" s="19" t="s">
        <v>519</v>
      </c>
      <c r="AM35" s="17">
        <v>2880</v>
      </c>
      <c r="AO35" s="18">
        <f>iferror(USD_GBP*lookup(if(AN35="",F35,AN35),{0,1,36,72},{0.0,0.838,0.838,0.731}),"")</f>
        <v>0</v>
      </c>
      <c r="AP35" s="18">
        <f>iferror(if(AN35="",F35,AN35)*AO35,"")</f>
        <v>0</v>
      </c>
      <c r="AQ35" s="19" t="s">
        <v>560</v>
      </c>
    </row>
    <row r="36" spans="1:48">
      <c r="A36" s="17" t="s">
        <v>105</v>
      </c>
      <c r="B36" s="17" t="s">
        <v>19</v>
      </c>
      <c r="D36" s="17" t="s">
        <v>106</v>
      </c>
      <c r="E36" s="17" t="s">
        <v>106</v>
      </c>
      <c r="F36" s="17">
        <f>BoardQty*1</f>
        <v>0</v>
      </c>
      <c r="G3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36" s="18">
        <f>iferror(F36*G36,"")</f>
        <v>0</v>
      </c>
      <c r="N36" s="17">
        <v>895</v>
      </c>
      <c r="P36" s="18">
        <f>iferror(lookup(if(O36="",F36,O36),{0,1,10,25,50,100,250,800},{0.0,0.92,0.805,0.7472,0.6322,0.5748,0.54028,0.41383}),"")</f>
        <v>0</v>
      </c>
      <c r="Q36" s="18">
        <f>iferror(if(O36="",F36,O36)*P36,"")</f>
        <v>0</v>
      </c>
      <c r="R36" s="19" t="s">
        <v>321</v>
      </c>
      <c r="S36" s="17">
        <v>1590</v>
      </c>
      <c r="U36" s="18">
        <f>iferror(USD_GBP*lookup(if(T36="",F36,T36),{0,1,10,50,200,400,800,4000},{0.0,0.729,0.531,0.356,0.332,0.3,0.273,0.26}),"")</f>
        <v>0</v>
      </c>
      <c r="V36" s="18">
        <f>iferror(if(T36="",F36,T36)*U36,"")</f>
        <v>0</v>
      </c>
      <c r="W36" s="19" t="s">
        <v>385</v>
      </c>
      <c r="AC36" s="17">
        <v>556</v>
      </c>
      <c r="AE36" s="18">
        <f>iferror(lookup(if(AD36="",F36,AD36),{0,1,10,50,100,1000,10000},{0.0,0.92,0.654,0.654,0.575,0.414,0.414}),"")</f>
        <v>0</v>
      </c>
      <c r="AF36" s="18">
        <f>iferror(if(AD36="",F36,AD36)*AE36,"")</f>
        <v>0</v>
      </c>
      <c r="AG36" s="19" t="s">
        <v>456</v>
      </c>
      <c r="AH36" s="17">
        <v>800</v>
      </c>
      <c r="AJ36" s="18">
        <f>iferror(lookup(if(AI36="",F36,AI36),{0,1,10,25,50,100,250,800,5000,10000,20000,30000,50000},{0.0,0.246,0.246,0.246,0.246,0.246,0.246,0.352,0.362,0.337,0.318,0.299,0.288}),"")</f>
        <v>0</v>
      </c>
      <c r="AK36" s="18">
        <f>iferror(if(AI36="",F36,AI36)*AJ36,"")</f>
        <v>0</v>
      </c>
      <c r="AL36" s="19" t="s">
        <v>520</v>
      </c>
    </row>
    <row r="37" spans="1:48">
      <c r="A37" s="17" t="s">
        <v>107</v>
      </c>
      <c r="B37" s="17" t="s">
        <v>108</v>
      </c>
      <c r="D37" s="17" t="s">
        <v>109</v>
      </c>
      <c r="E37" s="17" t="s">
        <v>109</v>
      </c>
      <c r="F37" s="17">
        <f>BoardQty*1</f>
        <v>0</v>
      </c>
      <c r="G3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37" s="18">
        <f>iferror(F37*G37,"")</f>
        <v>0</v>
      </c>
      <c r="N37" s="17">
        <v>741</v>
      </c>
      <c r="P37" s="18">
        <f>iferror(lookup(if(O37="",F37,O37),{0,1,10,25,50,100,250,800},{0.0,0.33,0.292,0.2552,0.2188,0.2006,0.18232,0.15315}),"")</f>
        <v>0</v>
      </c>
      <c r="Q37" s="18">
        <f>iferror(if(O37="",F37,O37)*P37,"")</f>
        <v>0</v>
      </c>
      <c r="R37" s="19" t="s">
        <v>322</v>
      </c>
      <c r="S37" s="17">
        <v>796</v>
      </c>
      <c r="U37" s="18">
        <f>iferror(USD_GBP*lookup(if(T37="",F37,T37),{0,1,10,25,50,100},{0.0,0.385,0.24,0.216,0.183,0.165}),"")</f>
        <v>0</v>
      </c>
      <c r="V37" s="18">
        <f>iferror(if(T37="",F37,T37)*U37,"")</f>
        <v>0</v>
      </c>
      <c r="W37" s="19" t="s">
        <v>386</v>
      </c>
      <c r="X37" s="17">
        <v>874</v>
      </c>
      <c r="Z37" s="18">
        <f>iferror(lookup(if(Y37="",F37,Y37),{0,1,10,30,100,500,1000},{0.0,1.0972,0.8258,0.7759,0.7261,0.7039,0.693}),"")</f>
        <v>0</v>
      </c>
      <c r="AA37" s="18">
        <f>iferror(if(Y37="",F37,Y37)*Z37,"")</f>
        <v>0</v>
      </c>
      <c r="AB37" s="19" t="s">
        <v>423</v>
      </c>
      <c r="AC37" s="17">
        <v>9023</v>
      </c>
      <c r="AE37" s="18">
        <f>iferror(lookup(if(AD37="",F37,AD37),{0,1,10,50,100,1000,10000},{0.0,0.33,0.251,0.251,0.199,0.139,0.125}),"")</f>
        <v>0</v>
      </c>
      <c r="AF37" s="18">
        <f>iferror(if(AD37="",F37,AD37)*AE37,"")</f>
        <v>0</v>
      </c>
      <c r="AG37" s="19" t="s">
        <v>457</v>
      </c>
      <c r="AH37" s="17">
        <v>796</v>
      </c>
      <c r="AJ37" s="18">
        <f>iferror(lookup(if(AI37="",F37,AI37),{0,1,10,25,50,100,800,1600,3200,4800,8000},{0.0,0.34,0.266,0.244,0.221,0.199,0.116,0.113,0.109,0.106,0.103}),"")</f>
        <v>0</v>
      </c>
      <c r="AK37" s="18">
        <f>iferror(if(AI37="",F37,AI37)*AJ37,"")</f>
        <v>0</v>
      </c>
      <c r="AL37" s="19" t="s">
        <v>521</v>
      </c>
    </row>
    <row r="38" spans="1:48">
      <c r="A38" s="17" t="s">
        <v>110</v>
      </c>
      <c r="B38" s="17" t="s">
        <v>111</v>
      </c>
      <c r="D38" s="17" t="s">
        <v>112</v>
      </c>
      <c r="E38" s="17" t="s">
        <v>112</v>
      </c>
      <c r="F38" s="17">
        <f>BoardQty*1</f>
        <v>0</v>
      </c>
      <c r="G3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38" s="18">
        <f>iferror(F38*G38,"")</f>
        <v>0</v>
      </c>
      <c r="N38" s="17">
        <v>144</v>
      </c>
      <c r="P38" s="18">
        <f>iferror(lookup(if(O38="",F38,O38),{0,1,10,25,50,100,250,500},{0.0,0.92,0.805,0.7472,0.6322,0.5748,0.54028,0.4828}),"")</f>
        <v>0</v>
      </c>
      <c r="Q38" s="18">
        <f>iferror(if(O38="",F38,O38)*P38,"")</f>
        <v>0</v>
      </c>
      <c r="R38" s="19" t="s">
        <v>323</v>
      </c>
      <c r="AC38" s="17">
        <v>356</v>
      </c>
      <c r="AE38" s="18">
        <f>iferror(lookup(if(AD38="",F38,AD38),{0,1,10,50,100,1000,10000},{0.0,0.9,0.633,0.633,0.569,0.373,0.373}),"")</f>
        <v>0</v>
      </c>
      <c r="AF38" s="18">
        <f>iferror(if(AD38="",F38,AD38)*AE38,"")</f>
        <v>0</v>
      </c>
      <c r="AG38" s="19" t="s">
        <v>458</v>
      </c>
      <c r="AH38" s="20" t="s">
        <v>301</v>
      </c>
      <c r="AJ38" s="18">
        <f>iferror(lookup(if(AI38="",F38,AI38),{0,1,500,1000,2000,3000,5000},{0.0,0.343,0.343,0.319,0.312,0.304,0.294}),"")</f>
        <v>0</v>
      </c>
      <c r="AK38" s="18">
        <f>iferror(if(AI38="",F38,AI38)*AJ38,"")</f>
        <v>0</v>
      </c>
      <c r="AL38" s="19" t="s">
        <v>522</v>
      </c>
    </row>
    <row r="39" spans="1:48">
      <c r="A39" s="17" t="s">
        <v>113</v>
      </c>
      <c r="B39" s="17" t="s">
        <v>114</v>
      </c>
      <c r="D39" s="17" t="s">
        <v>114</v>
      </c>
      <c r="E39" s="17" t="s">
        <v>115</v>
      </c>
      <c r="F39" s="17">
        <f>BoardQty*1</f>
        <v>0</v>
      </c>
      <c r="G3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39" s="18">
        <f>iferror(F39*G39,"")</f>
        <v>0</v>
      </c>
      <c r="N39" s="17">
        <v>1186</v>
      </c>
      <c r="P39" s="18">
        <f>iferror(lookup(if(O39="",F39,O39),{0,1,60,120,480,960},{0.0,8.44,7.035,6.68325,5.628,4.9245}),"")</f>
        <v>0</v>
      </c>
      <c r="Q39" s="18">
        <f>iferror(if(O39="",F39,O39)*P39,"")</f>
        <v>0</v>
      </c>
      <c r="R39" s="19" t="s">
        <v>324</v>
      </c>
      <c r="S39" s="20" t="s">
        <v>301</v>
      </c>
      <c r="U39" s="18">
        <f>iferror(USD_GBP*lookup(if(T39="",F39,T39),{0,1,5,10,25,50},{0.0,9.2,7.92,7.33,6.82,6.18}),"")</f>
        <v>0</v>
      </c>
      <c r="V39" s="18">
        <f>iferror(if(T39="",F39,T39)*U39,"")</f>
        <v>0</v>
      </c>
      <c r="W39" s="19" t="s">
        <v>387</v>
      </c>
      <c r="AC39" s="17">
        <v>310</v>
      </c>
      <c r="AE39" s="18">
        <f>iferror(lookup(if(AD39="",F39,AD39),{0,1,10,50,100,1000,10000},{0.0,8.04,7.71,7.71,6.36,4.68,4.68}),"")</f>
        <v>0</v>
      </c>
      <c r="AF39" s="18">
        <f>iferror(if(AD39="",F39,AD39)*AE39,"")</f>
        <v>0</v>
      </c>
      <c r="AG39" s="19" t="s">
        <v>459</v>
      </c>
      <c r="AH39" s="20" t="s">
        <v>301</v>
      </c>
      <c r="AJ39" s="18">
        <f>iferror(lookup(if(AI39="",F39,AI39),{0,1,60,100,500,1000,2500},{0.0,7.71,7.71,6.37,5.36,4.69,4.46}),"")</f>
        <v>0</v>
      </c>
      <c r="AK39" s="18">
        <f>iferror(if(AI39="",F39,AI39)*AJ39,"")</f>
        <v>0</v>
      </c>
      <c r="AL39" s="19" t="s">
        <v>523</v>
      </c>
      <c r="AM39" s="17">
        <v>32</v>
      </c>
      <c r="AO39" s="18">
        <f>iferror(USD_GBP*lookup(if(AN39="",F39,AN39),{0,1,60},{0.0,6.056,6.056}),"")</f>
        <v>0</v>
      </c>
      <c r="AP39" s="18">
        <f>iferror(if(AN39="",F39,AN39)*AO39,"")</f>
        <v>0</v>
      </c>
      <c r="AQ39" s="19" t="s">
        <v>561</v>
      </c>
    </row>
    <row r="40" spans="1:48">
      <c r="A40" s="17" t="s">
        <v>116</v>
      </c>
      <c r="B40" s="17" t="s">
        <v>117</v>
      </c>
      <c r="D40" s="17" t="s">
        <v>118</v>
      </c>
      <c r="E40" s="17" t="s">
        <v>119</v>
      </c>
      <c r="F40" s="17">
        <f>BoardQty*2</f>
        <v>0</v>
      </c>
      <c r="G4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40" s="18">
        <f>iferror(F40*G40,"")</f>
        <v>0</v>
      </c>
      <c r="N40" s="20" t="s">
        <v>301</v>
      </c>
      <c r="P40" s="18">
        <f>iferror(lookup(if(O40="",F40,O40),{0,1,10,25,100,500,1000,3000,6000,15000,30000,75000},{0.0,0.2,0.181,0.1724,0.0985,0.06064,0.04134,0.03514,0.03169,0.02756,0.0248,0.02205}),"")</f>
        <v>0</v>
      </c>
      <c r="Q40" s="18">
        <f>iferror(if(O40="",F40,O40)*P40,"")</f>
        <v>0</v>
      </c>
      <c r="R40" s="19" t="s">
        <v>325</v>
      </c>
      <c r="S40" s="17">
        <v>1186</v>
      </c>
      <c r="U40" s="18">
        <f>iferror(USD_GBP*lookup(if(T40="",F40,T40),{0,1,5,10,100,150,500},{0.0,0.235,0.235,0.225,0.114,0.114,0.0662}),"")</f>
        <v>0</v>
      </c>
      <c r="V40" s="18">
        <f>iferror(if(T40="",F40,T40)*U40,"")</f>
        <v>0</v>
      </c>
      <c r="W40" s="19" t="s">
        <v>388</v>
      </c>
      <c r="X40" s="17">
        <v>9780</v>
      </c>
      <c r="Z40" s="18">
        <f>iferror(lookup(if(Y40="",F40,Y40),{0,1,20,200,600,2000,10000,20000},{0.0,0.12848,0.12848,0.09848,0.09297,0.08746,0.08501,0.0838}),"")</f>
        <v>0</v>
      </c>
      <c r="AA40" s="18">
        <f>iferror(if(Y40="",F40,Y40)*Z40,"")</f>
        <v>0</v>
      </c>
      <c r="AB40" s="19" t="s">
        <v>424</v>
      </c>
      <c r="AC40" s="17">
        <v>2969</v>
      </c>
      <c r="AE40" s="18">
        <f>iferror(lookup(if(AD40="",F40,AD40),{0,1,10,50,100,1000,10000},{0.0,0.2,0.192,0.192,0.104,0.044,0.029}),"")</f>
        <v>0</v>
      </c>
      <c r="AF40" s="18">
        <f>iferror(if(AD40="",F40,AD40)*AE40,"")</f>
        <v>0</v>
      </c>
      <c r="AG40" s="19" t="s">
        <v>460</v>
      </c>
      <c r="AH40" s="17">
        <v>3125</v>
      </c>
      <c r="AJ40" s="18">
        <f>iferror(lookup(if(AI40="",F40,AI40),{0,1,10,25,50,100,250,500,1000,3000,6000,12000,18000,30000},{0.0,0.014,0.01,0.01,0.01,0.01,0.01,0.01,0.01,0.014,0.013,0.013,0.012,0.012}),"")</f>
        <v>0</v>
      </c>
      <c r="AK40" s="18">
        <f>iferror(if(AI40="",F40,AI40)*AJ40,"")</f>
        <v>0</v>
      </c>
      <c r="AL40" s="19" t="s">
        <v>524</v>
      </c>
      <c r="AM40" s="17">
        <v>19900</v>
      </c>
      <c r="AO40" s="18">
        <f>iferror(USD_GBP*lookup(if(AN40="",F40,AN40),{0,1,100,500,1000,2000,4000},{0.0,0.084,0.084,0.079,0.063,0.06,0.042}),"")</f>
        <v>0</v>
      </c>
      <c r="AP40" s="18">
        <f>iferror(if(AN40="",F40,AN40)*AO40,"")</f>
        <v>0</v>
      </c>
      <c r="AQ40" s="19" t="s">
        <v>562</v>
      </c>
      <c r="AR40" s="17">
        <v>650</v>
      </c>
      <c r="AT40" s="18">
        <f>iferror(USD_GBP*lookup(if(AS40="",F40,AS40),{0,1,20,100,500,3000,12000},{0.0,0.0315,0.0315,0.0149,0.01318,0.01136,0.01018}),"")</f>
        <v>0</v>
      </c>
      <c r="AU40" s="18">
        <f>iferror(if(AS40="",F40,AS40)*AT40,"")</f>
        <v>0</v>
      </c>
      <c r="AV40" s="19" t="s">
        <v>583</v>
      </c>
    </row>
    <row r="41" spans="1:48">
      <c r="A41" s="17" t="s">
        <v>120</v>
      </c>
      <c r="B41" s="17" t="s">
        <v>121</v>
      </c>
      <c r="D41" s="17" t="s">
        <v>122</v>
      </c>
      <c r="E41" s="17" t="s">
        <v>123</v>
      </c>
      <c r="F41" s="17">
        <f>BoardQty*51</f>
        <v>0</v>
      </c>
      <c r="G4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41" s="18">
        <f>iferror(F41*G41,"")</f>
        <v>0</v>
      </c>
      <c r="N41" s="17">
        <v>2873</v>
      </c>
      <c r="P41" s="18">
        <f>iferror(lookup(if(O41="",F41,O41),{0,1,10,100,1000,2500,5000},{0.0,0.1,0.024,0.0097,0.00436,0.00378,0.00312}),"")</f>
        <v>0</v>
      </c>
      <c r="Q41" s="18">
        <f>iferror(if(O41="",F41,O41)*P41,"")</f>
        <v>0</v>
      </c>
      <c r="R41" s="19" t="s">
        <v>326</v>
      </c>
      <c r="S41" s="17">
        <v>26498</v>
      </c>
      <c r="U41" s="18">
        <f>iferror(USD_GBP*lookup(if(T41="",F41,T41),{0,1,10,100,150,500,1000,2500,5000,25000},{0.0,0.0251,0.0251,0.009,0.009,0.0075,0.006,0.0053,0.0035,0.0035}),"")</f>
        <v>0</v>
      </c>
      <c r="V41" s="18">
        <f>iferror(if(T41="",F41,T41)*U41,"")</f>
        <v>0</v>
      </c>
      <c r="W41" s="19" t="s">
        <v>389</v>
      </c>
      <c r="AC41" s="17">
        <v>566859</v>
      </c>
      <c r="AE41" s="18">
        <f>iferror(lookup(if(AD41="",F41,AD41),{0,1,10,50,100,1000,10000},{0.0,0.1,0.024,0.024,0.01,0.005,0.003}),"")</f>
        <v>0</v>
      </c>
      <c r="AF41" s="18">
        <f>iferror(if(AD41="",F41,AD41)*AE41,"")</f>
        <v>0</v>
      </c>
      <c r="AG41" s="19" t="s">
        <v>461</v>
      </c>
      <c r="AH41" s="17">
        <v>26488</v>
      </c>
      <c r="AJ41" s="18">
        <f>iferror(lookup(if(AI41="",F41,AI41),{0,1,10,25,50,100,5000},{0.0,0.004,0.022,0.017,0.012,0.007,0.004}),"")</f>
        <v>0</v>
      </c>
      <c r="AK41" s="18">
        <f>iferror(if(AI41="",F41,AI41)*AJ41,"")</f>
        <v>0</v>
      </c>
      <c r="AL41" s="19" t="s">
        <v>525</v>
      </c>
      <c r="AM41" s="17">
        <v>100</v>
      </c>
      <c r="AO41" s="18">
        <f>iferror(USD_GBP*lookup(if(AN41="",F41,AN41),{0,1,100,500,1000,2000},{0.0,0.005,0.005,0.005,0.004,0.004}),"")</f>
        <v>0</v>
      </c>
      <c r="AP41" s="18">
        <f>iferror(if(AN41="",F41,AN41)*AO41,"")</f>
        <v>0</v>
      </c>
      <c r="AQ41" s="19" t="s">
        <v>563</v>
      </c>
      <c r="AR41" s="20" t="s">
        <v>301</v>
      </c>
      <c r="AT41" s="18">
        <f>iferror(USD_GBP*lookup(if(AS41="",F41,AS41),{0,1,100,1000,5000,15000},{0.0,0.02667,0.02667,0.00961,0.00389,0.00328}),"")</f>
        <v>0</v>
      </c>
      <c r="AU41" s="18">
        <f>iferror(if(AS41="",F41,AS41)*AT41,"")</f>
        <v>0</v>
      </c>
      <c r="AV41" s="19" t="s">
        <v>584</v>
      </c>
    </row>
    <row r="42" spans="1:48">
      <c r="A42" s="17" t="s">
        <v>124</v>
      </c>
      <c r="B42" s="17" t="s">
        <v>125</v>
      </c>
      <c r="D42" s="17" t="s">
        <v>122</v>
      </c>
      <c r="E42" s="17" t="s">
        <v>126</v>
      </c>
      <c r="F42" s="17">
        <f>BoardQty*6</f>
        <v>0</v>
      </c>
      <c r="G4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42" s="18">
        <f>iferror(F42*G42,"")</f>
        <v>0</v>
      </c>
      <c r="N42" s="17">
        <v>275722</v>
      </c>
      <c r="P42" s="18">
        <f>iferror(lookup(if(O42="",F42,O42),{0,1,10,100,1000,2500,5000},{0.0,0.1,0.024,0.0097,0.00436,0.00378,0.00312}),"")</f>
        <v>0</v>
      </c>
      <c r="Q42" s="18">
        <f>iferror(if(O42="",F42,O42)*P42,"")</f>
        <v>0</v>
      </c>
      <c r="R42" s="19" t="s">
        <v>327</v>
      </c>
      <c r="S42" s="17">
        <v>167480</v>
      </c>
      <c r="U42" s="18">
        <f>iferror(USD_GBP*lookup(if(T42="",F42,T42),{0,1,10,100,150,500,1000,2500,5000,25000},{0.0,0.0151,0.0151,0.014,0.014,0.0109,0.0088,0.0072,0.0061,0.0041}),"")</f>
        <v>0</v>
      </c>
      <c r="V42" s="18">
        <f>iferror(if(T42="",F42,T42)*U42,"")</f>
        <v>0</v>
      </c>
      <c r="W42" s="19" t="s">
        <v>390</v>
      </c>
      <c r="AC42" s="20" t="s">
        <v>301</v>
      </c>
      <c r="AE42" s="18">
        <f>iferror(lookup(if(AD42="",F42,AD42),{0,1,10,50,100,1000,10000},{0.0,0.1,0.024,0.024,0.01,0.004,0.003}),"")</f>
        <v>0</v>
      </c>
      <c r="AF42" s="18">
        <f>iferror(if(AD42="",F42,AD42)*AE42,"")</f>
        <v>0</v>
      </c>
      <c r="AG42" s="19" t="s">
        <v>462</v>
      </c>
      <c r="AH42" s="17">
        <v>14690</v>
      </c>
      <c r="AJ42" s="18">
        <f>iferror(lookup(if(AI42="",F42,AI42),{0,1,10,25,50,100},{0.0,0.101,0.019,0.015,0.011,0.007}),"")</f>
        <v>0</v>
      </c>
      <c r="AK42" s="18">
        <f>iferror(if(AI42="",F42,AI42)*AJ42,"")</f>
        <v>0</v>
      </c>
      <c r="AL42" s="19" t="s">
        <v>526</v>
      </c>
      <c r="AM42" s="17">
        <v>2000</v>
      </c>
      <c r="AO42" s="18">
        <f>iferror(USD_GBP*lookup(if(AN42="",F42,AN42),{0,1,5000},{0.0,0.005,0.005}),"")</f>
        <v>0</v>
      </c>
      <c r="AP42" s="18">
        <f>iferror(if(AN42="",F42,AN42)*AO42,"")</f>
        <v>0</v>
      </c>
      <c r="AQ42" s="19" t="s">
        <v>564</v>
      </c>
      <c r="AR42" s="20" t="s">
        <v>301</v>
      </c>
      <c r="AT42" s="18">
        <f>iferror(USD_GBP*lookup(if(AS42="",F42,AS42),{0,1,100,1000,5000,15000},{0.0,0.02667,0.02667,0.00961,0.00389,0.00328}),"")</f>
        <v>0</v>
      </c>
      <c r="AU42" s="18">
        <f>iferror(if(AS42="",F42,AS42)*AT42,"")</f>
        <v>0</v>
      </c>
      <c r="AV42" s="19" t="s">
        <v>585</v>
      </c>
    </row>
    <row r="43" spans="1:48">
      <c r="A43" s="17" t="s">
        <v>127</v>
      </c>
      <c r="B43" s="17" t="s">
        <v>128</v>
      </c>
      <c r="D43" s="17" t="s">
        <v>122</v>
      </c>
      <c r="E43" s="17" t="s">
        <v>129</v>
      </c>
      <c r="F43" s="17">
        <f>BoardQty*6</f>
        <v>0</v>
      </c>
      <c r="G4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43" s="18">
        <f>iferror(F43*G43,"")</f>
        <v>0</v>
      </c>
      <c r="N43" s="17">
        <v>31030</v>
      </c>
      <c r="P43" s="18">
        <f>iferror(lookup(if(O43="",F43,O43),{0,1,10,100,1000,2500,5000},{0.0,0.1,0.024,0.0097,0.00436,0.00378,0.00312}),"")</f>
        <v>0</v>
      </c>
      <c r="Q43" s="18">
        <f>iferror(if(O43="",F43,O43)*P43,"")</f>
        <v>0</v>
      </c>
      <c r="R43" s="19" t="s">
        <v>328</v>
      </c>
      <c r="AC43" s="20" t="s">
        <v>301</v>
      </c>
      <c r="AE43" s="18">
        <f>iferror(lookup(if(AD43="",F43,AD43),{0,1,10,50,100,1000,10000},{0.0,0.1,0.024,0.024,0.01,0.004,0.002}),"")</f>
        <v>0</v>
      </c>
      <c r="AF43" s="18">
        <f>iferror(if(AD43="",F43,AD43)*AE43,"")</f>
        <v>0</v>
      </c>
      <c r="AG43" s="19" t="s">
        <v>463</v>
      </c>
    </row>
    <row r="44" spans="1:48">
      <c r="A44" s="17" t="s">
        <v>130</v>
      </c>
      <c r="B44" s="17" t="s">
        <v>131</v>
      </c>
      <c r="D44" s="17" t="s">
        <v>122</v>
      </c>
      <c r="E44" s="17" t="s">
        <v>132</v>
      </c>
      <c r="F44" s="17">
        <f>BoardQty*6</f>
        <v>0</v>
      </c>
      <c r="G4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44" s="18">
        <f>iferror(F44*G44,"")</f>
        <v>0</v>
      </c>
      <c r="N44" s="17">
        <v>3786</v>
      </c>
      <c r="P44" s="18">
        <f>iferror(lookup(if(O44="",F44,O44),{0,1,10,100,1000,2500,5000},{0.0,0.1,0.024,0.0097,0.00436,0.00378,0.00312}),"")</f>
        <v>0</v>
      </c>
      <c r="Q44" s="18">
        <f>iferror(if(O44="",F44,O44)*P44,"")</f>
        <v>0</v>
      </c>
      <c r="R44" s="19" t="s">
        <v>329</v>
      </c>
      <c r="AC44" s="17">
        <v>142630</v>
      </c>
      <c r="AE44" s="18">
        <f>iferror(lookup(if(AD44="",F44,AD44),{0,1,10,50,100,1000,10000},{0.0,0.1,0.018,0.018,0.006,0.005,0.003}),"")</f>
        <v>0</v>
      </c>
      <c r="AF44" s="18">
        <f>iferror(if(AD44="",F44,AD44)*AE44,"")</f>
        <v>0</v>
      </c>
      <c r="AG44" s="19" t="s">
        <v>464</v>
      </c>
    </row>
    <row r="45" spans="1:48">
      <c r="A45" s="17" t="s">
        <v>133</v>
      </c>
      <c r="B45" s="17" t="s">
        <v>134</v>
      </c>
      <c r="D45" s="17" t="s">
        <v>122</v>
      </c>
      <c r="E45" s="17" t="s">
        <v>135</v>
      </c>
      <c r="F45" s="17">
        <f>BoardQty*6</f>
        <v>0</v>
      </c>
      <c r="G4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45" s="18">
        <f>iferror(F45*G45,"")</f>
        <v>0</v>
      </c>
      <c r="N45" s="20" t="s">
        <v>301</v>
      </c>
      <c r="P45" s="18">
        <f>iferror(lookup(if(O45="",F45,O45),{0,1,10,100,1000,2500,5000},{0.0,0.1,0.024,0.0097,0.00436,0.00378,0.00312}),"")</f>
        <v>0</v>
      </c>
      <c r="Q45" s="18">
        <f>iferror(if(O45="",F45,O45)*P45,"")</f>
        <v>0</v>
      </c>
      <c r="R45" s="19" t="s">
        <v>330</v>
      </c>
      <c r="AC45" s="17">
        <v>794</v>
      </c>
      <c r="AE45" s="18">
        <f>iferror(lookup(if(AD45="",F45,AD45),{0,1,10,50,100,1000,10000},{0.0,0.1,0.018,0.018,0.006,0.005,0.003}),"")</f>
        <v>0</v>
      </c>
      <c r="AF45" s="18">
        <f>iferror(if(AD45="",F45,AD45)*AE45,"")</f>
        <v>0</v>
      </c>
      <c r="AG45" s="19" t="s">
        <v>465</v>
      </c>
      <c r="AR45" s="20" t="s">
        <v>301</v>
      </c>
      <c r="AT45" s="18">
        <f>iferror(USD_GBP*lookup(if(AS45="",F45,AS45),{0,1,5000},{0.0,0.00288,0.00288}),"")</f>
        <v>0</v>
      </c>
      <c r="AU45" s="18">
        <f>iferror(if(AS45="",F45,AS45)*AT45,"")</f>
        <v>0</v>
      </c>
      <c r="AV45" s="19" t="s">
        <v>586</v>
      </c>
    </row>
    <row r="46" spans="1:48">
      <c r="A46" s="17" t="s">
        <v>136</v>
      </c>
      <c r="B46" s="17" t="s">
        <v>137</v>
      </c>
      <c r="D46" s="17" t="s">
        <v>122</v>
      </c>
      <c r="E46" s="17" t="s">
        <v>138</v>
      </c>
      <c r="F46" s="17">
        <f>BoardQty*6</f>
        <v>0</v>
      </c>
      <c r="G4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46" s="18">
        <f>iferror(F46*G46,"")</f>
        <v>0</v>
      </c>
      <c r="N46" s="17">
        <v>48795</v>
      </c>
      <c r="P46" s="18">
        <f>iferror(lookup(if(O46="",F46,O46),{0,1,10,100,1000,2500,5000},{0.0,0.1,0.036,0.0145,0.00652,0.00566,0.00468}),"")</f>
        <v>0</v>
      </c>
      <c r="Q46" s="18">
        <f>iferror(if(O46="",F46,O46)*P46,"")</f>
        <v>0</v>
      </c>
      <c r="R46" s="19" t="s">
        <v>331</v>
      </c>
      <c r="AC46" s="17">
        <v>35216</v>
      </c>
      <c r="AE46" s="18">
        <f>iferror(lookup(if(AD46="",F46,AD46),{0,1,10,50,100,1000,10000},{0.0,0.1,0.036,0.036,0.015,0.007,0.004}),"")</f>
        <v>0</v>
      </c>
      <c r="AF46" s="18">
        <f>iferror(if(AD46="",F46,AD46)*AE46,"")</f>
        <v>0</v>
      </c>
      <c r="AG46" s="19" t="s">
        <v>466</v>
      </c>
      <c r="AH46" s="20" t="s">
        <v>301</v>
      </c>
      <c r="AJ46" s="18">
        <f>iferror(lookup(if(AI46="",F46,AI46),{0,1,60000},{0.0,0.004,0.004}),"")</f>
        <v>0</v>
      </c>
      <c r="AK46" s="18">
        <f>iferror(if(AI46="",F46,AI46)*AJ46,"")</f>
        <v>0</v>
      </c>
      <c r="AL46" s="19" t="s">
        <v>527</v>
      </c>
    </row>
    <row r="47" spans="1:48">
      <c r="A47" s="17" t="s">
        <v>139</v>
      </c>
      <c r="B47" s="17" t="s">
        <v>140</v>
      </c>
      <c r="D47" s="17" t="s">
        <v>122</v>
      </c>
      <c r="E47" s="17" t="s">
        <v>141</v>
      </c>
      <c r="F47" s="17">
        <f>BoardQty*6</f>
        <v>0</v>
      </c>
      <c r="G4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47" s="18">
        <f>iferror(F47*G47,"")</f>
        <v>0</v>
      </c>
      <c r="N47" s="17">
        <v>54880</v>
      </c>
      <c r="P47" s="18">
        <f>iferror(lookup(if(O47="",F47,O47),{0,1,10,100,1000,2500,5000},{0.0,0.1,0.036,0.0145,0.00652,0.00566,0.00468}),"")</f>
        <v>0</v>
      </c>
      <c r="Q47" s="18">
        <f>iferror(if(O47="",F47,O47)*P47,"")</f>
        <v>0</v>
      </c>
      <c r="R47" s="19" t="s">
        <v>332</v>
      </c>
      <c r="AC47" s="17">
        <v>43528</v>
      </c>
      <c r="AE47" s="18">
        <f>iferror(lookup(if(AD47="",F47,AD47),{0,1,10,50,100,1000,10000},{0.0,0.12,0.054,0.054,0.03,0.009,0.004}),"")</f>
        <v>0</v>
      </c>
      <c r="AF47" s="18">
        <f>iferror(if(AD47="",F47,AD47)*AE47,"")</f>
        <v>0</v>
      </c>
      <c r="AG47" s="19" t="s">
        <v>467</v>
      </c>
    </row>
    <row r="48" spans="1:48">
      <c r="A48" s="17" t="s">
        <v>142</v>
      </c>
      <c r="B48" s="17" t="s">
        <v>143</v>
      </c>
      <c r="D48" s="17" t="s">
        <v>122</v>
      </c>
      <c r="E48" s="17" t="s">
        <v>144</v>
      </c>
      <c r="F48" s="17">
        <f>BoardQty*12</f>
        <v>0</v>
      </c>
      <c r="G4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48" s="18">
        <f>iferror(F48*G48,"")</f>
        <v>0</v>
      </c>
      <c r="N48" s="20" t="s">
        <v>301</v>
      </c>
      <c r="P48" s="18">
        <f>iferror(lookup(if(O48="",F48,O48),{0,1,10,100,1000,2500,5000},{0.0,0.1,0.024,0.0097,0.00436,0.00378,0.00312}),"")</f>
        <v>0</v>
      </c>
      <c r="Q48" s="18">
        <f>iferror(if(O48="",F48,O48)*P48,"")</f>
        <v>0</v>
      </c>
      <c r="R48" s="19" t="s">
        <v>333</v>
      </c>
      <c r="S48" s="17">
        <v>189580</v>
      </c>
      <c r="U48" s="18">
        <f>iferror(USD_GBP*lookup(if(T48="",F48,T48),{0,1,10,100,150,500,1000,2500,5000,25000},{0.0,0.0056,0.0218,0.0078,0.0078,0.0065,0.0052,0.0046,0.0041,0.0029}),"")</f>
        <v>0</v>
      </c>
      <c r="V48" s="18">
        <f>iferror(if(T48="",F48,T48)*U48,"")</f>
        <v>0</v>
      </c>
      <c r="W48" s="19" t="s">
        <v>391</v>
      </c>
      <c r="AC48" s="17">
        <v>2369</v>
      </c>
      <c r="AE48" s="18">
        <f>iferror(lookup(if(AD48="",F48,AD48),{0,1,10,50,100,1000,10000},{0.0,0.1,0.024,0.024,0.01,0.004,0.002}),"")</f>
        <v>0</v>
      </c>
      <c r="AF48" s="18">
        <f>iferror(if(AD48="",F48,AD48)*AE48,"")</f>
        <v>0</v>
      </c>
      <c r="AG48" s="19" t="s">
        <v>468</v>
      </c>
      <c r="AH48" s="20" t="s">
        <v>301</v>
      </c>
      <c r="AJ48" s="18">
        <f>iferror(lookup(if(AI48="",F48,AI48),{0,1,10,250,500,1000,5000},{0.0,0.002,0.007,0.006,0.005,0.005,0.002}),"")</f>
        <v>0</v>
      </c>
      <c r="AK48" s="18">
        <f>iferror(if(AI48="",F48,AI48)*AJ48,"")</f>
        <v>0</v>
      </c>
      <c r="AL48" s="19" t="s">
        <v>528</v>
      </c>
      <c r="AM48" s="17">
        <v>1800</v>
      </c>
      <c r="AO48" s="18">
        <f>iferror(USD_GBP*lookup(if(AN48="",F48,AN48),{0,1,5000},{0.0,0.003,0.003}),"")</f>
        <v>0</v>
      </c>
      <c r="AP48" s="18">
        <f>iferror(if(AN48="",F48,AN48)*AO48,"")</f>
        <v>0</v>
      </c>
      <c r="AQ48" s="19" t="s">
        <v>565</v>
      </c>
      <c r="AR48" s="17">
        <v>8500</v>
      </c>
      <c r="AT48" s="18">
        <f>iferror(USD_GBP*lookup(if(AS48="",F48,AS48),{0,1,100,1000,5000,15000,50000},{0.0,0.0278,0.0278,0.00985,0.00391,0.00321,0.00273}),"")</f>
        <v>0</v>
      </c>
      <c r="AU48" s="18">
        <f>iferror(if(AS48="",F48,AS48)*AT48,"")</f>
        <v>0</v>
      </c>
      <c r="AV48" s="19" t="s">
        <v>587</v>
      </c>
    </row>
    <row r="49" spans="1:48">
      <c r="A49" s="17" t="s">
        <v>145</v>
      </c>
      <c r="B49" s="17" t="s">
        <v>146</v>
      </c>
      <c r="D49" s="17" t="s">
        <v>122</v>
      </c>
      <c r="E49" s="17" t="s">
        <v>147</v>
      </c>
      <c r="F49" s="17">
        <f>BoardQty*6</f>
        <v>0</v>
      </c>
      <c r="G4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49" s="18">
        <f>iferror(F49*G49,"")</f>
        <v>0</v>
      </c>
      <c r="N49" s="17">
        <v>1899500</v>
      </c>
      <c r="P49" s="18">
        <f>iferror(lookup(if(O49="",F49,O49),{0,1,10,100,1000,2500,5000},{0.0,0.1,0.024,0.0097,0.00436,0.00378,0.00312}),"")</f>
        <v>0</v>
      </c>
      <c r="Q49" s="18">
        <f>iferror(if(O49="",F49,O49)*P49,"")</f>
        <v>0</v>
      </c>
      <c r="R49" s="19" t="s">
        <v>334</v>
      </c>
      <c r="S49" s="17">
        <v>405823</v>
      </c>
      <c r="U49" s="18">
        <f>iferror(USD_GBP*lookup(if(T49="",F49,T49),{0,1,10,100,150,500,1000,2500,5000,25000},{0.0,0.014,0.014,0.0077,0.0077,0.0064,0.0054,0.0048,0.0043,0.003}),"")</f>
        <v>0</v>
      </c>
      <c r="V49" s="18">
        <f>iferror(if(T49="",F49,T49)*U49,"")</f>
        <v>0</v>
      </c>
      <c r="W49" s="19" t="s">
        <v>392</v>
      </c>
      <c r="AC49" s="17">
        <v>35662</v>
      </c>
      <c r="AE49" s="18">
        <f>iferror(lookup(if(AD49="",F49,AD49),{0,1,10,50,100,1000,10000},{0.0,0.1,0.012,0.012,0.004,0.003,0.002}),"")</f>
        <v>0</v>
      </c>
      <c r="AF49" s="18">
        <f>iferror(if(AD49="",F49,AD49)*AE49,"")</f>
        <v>0</v>
      </c>
      <c r="AG49" s="19" t="s">
        <v>469</v>
      </c>
      <c r="AH49" s="20" t="s">
        <v>301</v>
      </c>
      <c r="AJ49" s="18">
        <f>iferror(lookup(if(AI49="",F49,AI49),{0,1,10,250,500,1000,5000},{0.0,0.003,0.007,0.006,0.005,0.005,0.003}),"")</f>
        <v>0</v>
      </c>
      <c r="AK49" s="18">
        <f>iferror(if(AI49="",F49,AI49)*AJ49,"")</f>
        <v>0</v>
      </c>
      <c r="AL49" s="19" t="s">
        <v>529</v>
      </c>
      <c r="AR49" s="17">
        <v>61100</v>
      </c>
      <c r="AT49" s="18">
        <f>iferror(USD_GBP*lookup(if(AS49="",F49,AS49),{0,1,100,1000,5000,15000,50000},{0.0,0.0278,0.0278,0.00985,0.00391,0.00321,0.00273}),"")</f>
        <v>0</v>
      </c>
      <c r="AU49" s="18">
        <f>iferror(if(AS49="",F49,AS49)*AT49,"")</f>
        <v>0</v>
      </c>
      <c r="AV49" s="19" t="s">
        <v>588</v>
      </c>
    </row>
    <row r="50" spans="1:48">
      <c r="A50" s="17" t="s">
        <v>148</v>
      </c>
      <c r="B50" s="17" t="s">
        <v>149</v>
      </c>
      <c r="D50" s="17" t="s">
        <v>150</v>
      </c>
      <c r="E50" s="17" t="s">
        <v>151</v>
      </c>
      <c r="F50" s="17">
        <f>BoardQty*8</f>
        <v>0</v>
      </c>
      <c r="G5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50" s="18">
        <f>iferror(F50*G50,"")</f>
        <v>0</v>
      </c>
      <c r="N50" s="20" t="s">
        <v>301</v>
      </c>
      <c r="P50" s="18">
        <f>iferror(lookup(if(O50="",F50,O50),{0,1,10,100,1000,2000},{0.0,0.66,0.489,0.2846,0.15962,0.1564}),"")</f>
        <v>0</v>
      </c>
      <c r="Q50" s="18">
        <f>iferror(if(O50="",F50,O50)*P50,"")</f>
        <v>0</v>
      </c>
      <c r="R50" s="19" t="s">
        <v>335</v>
      </c>
      <c r="AC50" s="20" t="s">
        <v>301</v>
      </c>
      <c r="AE50" s="18">
        <f>iferror(lookup(if(AD50="",F50,AD50),{0,1,10,50,100,1000,10000},{0.0,0.57,0.42,0.415,0.328,0.167,0.15}),"")</f>
        <v>0</v>
      </c>
      <c r="AF50" s="18">
        <f>iferror(if(AD50="",F50,AD50)*AE50,"")</f>
        <v>0</v>
      </c>
      <c r="AG50" s="19" t="s">
        <v>470</v>
      </c>
    </row>
    <row r="51" spans="1:48">
      <c r="A51" s="17" t="s">
        <v>152</v>
      </c>
      <c r="B51" s="17" t="s">
        <v>153</v>
      </c>
      <c r="D51" s="17" t="s">
        <v>122</v>
      </c>
      <c r="E51" s="17" t="s">
        <v>154</v>
      </c>
      <c r="F51" s="17">
        <f>BoardQty*2</f>
        <v>0</v>
      </c>
      <c r="G5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51" s="18">
        <f>iferror(F51*G51,"")</f>
        <v>0</v>
      </c>
      <c r="N51" s="17">
        <v>1756570</v>
      </c>
      <c r="P51" s="18">
        <f>iferror(lookup(if(O51="",F51,O51),{0,1,10,100,1000,2500,5000},{0.0,0.1,0.024,0.0097,0.00436,0.00378,0.00312}),"")</f>
        <v>0</v>
      </c>
      <c r="Q51" s="18">
        <f>iferror(if(O51="",F51,O51)*P51,"")</f>
        <v>0</v>
      </c>
      <c r="R51" s="19" t="s">
        <v>336</v>
      </c>
      <c r="S51" s="17">
        <v>266427</v>
      </c>
      <c r="U51" s="18">
        <f>iferror(USD_GBP*lookup(if(T51="",F51,T51),{0,1,10,100,150,500,1000,2500,5000,25000},{0.0,0.0218,0.0218,0.0078,0.0078,0.0066,0.0054,0.0048,0.0059,0.0031}),"")</f>
        <v>0</v>
      </c>
      <c r="V51" s="18">
        <f>iferror(if(T51="",F51,T51)*U51,"")</f>
        <v>0</v>
      </c>
      <c r="W51" s="19" t="s">
        <v>393</v>
      </c>
      <c r="AC51" s="17">
        <v>705618</v>
      </c>
      <c r="AE51" s="18">
        <f>iferror(lookup(if(AD51="",F51,AD51),{0,1,10,50,100,1000,10000},{0.0,0.1,0.018,0.018,0.006,0.005,0.003}),"")</f>
        <v>0</v>
      </c>
      <c r="AF51" s="18">
        <f>iferror(if(AD51="",F51,AD51)*AE51,"")</f>
        <v>0</v>
      </c>
      <c r="AG51" s="19" t="s">
        <v>471</v>
      </c>
      <c r="AH51" s="17">
        <v>6579</v>
      </c>
      <c r="AJ51" s="18">
        <f>iferror(lookup(if(AI51="",F51,AI51),{0,1,10,25,50,100,250,5000},{0.0,0.039,0.039,0.026,0.018,0.014,0.011,0.003}),"")</f>
        <v>0</v>
      </c>
      <c r="AK51" s="18">
        <f>iferror(if(AI51="",F51,AI51)*AJ51,"")</f>
        <v>0</v>
      </c>
      <c r="AL51" s="19" t="s">
        <v>530</v>
      </c>
      <c r="AM51" s="17">
        <v>2400</v>
      </c>
      <c r="AO51" s="18">
        <f>iferror(USD_GBP*lookup(if(AN51="",F51,AN51),{0,1,5000},{0.0,0.003,0.003}),"")</f>
        <v>0</v>
      </c>
      <c r="AP51" s="18">
        <f>iferror(if(AN51="",F51,AN51)*AO51,"")</f>
        <v>0</v>
      </c>
      <c r="AQ51" s="19" t="s">
        <v>566</v>
      </c>
      <c r="AR51" s="17">
        <v>18800</v>
      </c>
      <c r="AT51" s="18">
        <f>iferror(USD_GBP*lookup(if(AS51="",F51,AS51),{0,1,100,1000,5000,15000,50000},{0.0,0.0278,0.0278,0.00985,0.00391,0.00321,0.00273}),"")</f>
        <v>0</v>
      </c>
      <c r="AU51" s="18">
        <f>iferror(if(AS51="",F51,AS51)*AT51,"")</f>
        <v>0</v>
      </c>
      <c r="AV51" s="19" t="s">
        <v>589</v>
      </c>
    </row>
    <row r="52" spans="1:48">
      <c r="A52" s="17" t="s">
        <v>155</v>
      </c>
      <c r="B52" s="17" t="s">
        <v>156</v>
      </c>
      <c r="D52" s="17" t="s">
        <v>122</v>
      </c>
      <c r="E52" s="17" t="s">
        <v>157</v>
      </c>
      <c r="F52" s="17">
        <f>BoardQty*2</f>
        <v>0</v>
      </c>
      <c r="G5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52" s="18">
        <f>iferror(F52*G52,"")</f>
        <v>0</v>
      </c>
      <c r="N52" s="17">
        <v>26097673</v>
      </c>
      <c r="P52" s="18">
        <f>iferror(lookup(if(O52="",F52,O52),{0,1,10,100,1000,2500,5000},{0.0,0.1,0.024,0.0097,0.00436,0.00378,0.00312}),"")</f>
        <v>0</v>
      </c>
      <c r="Q52" s="18">
        <f>iferror(if(O52="",F52,O52)*P52,"")</f>
        <v>0</v>
      </c>
      <c r="R52" s="19" t="s">
        <v>337</v>
      </c>
      <c r="S52" s="17">
        <v>29759995</v>
      </c>
      <c r="U52" s="18">
        <f>iferror(USD_GBP*lookup(if(T52="",F52,T52),{0,1,10,100,150,500,1000,2500,5000,25000},{0.0,0.021,0.021,0.0075,0.0075,0.0063,0.0051,0.0045,0.0073,0.0031}),"")</f>
        <v>0</v>
      </c>
      <c r="V52" s="18">
        <f>iferror(if(T52="",F52,T52)*U52,"")</f>
        <v>0</v>
      </c>
      <c r="W52" s="19" t="s">
        <v>394</v>
      </c>
      <c r="AC52" s="20" t="s">
        <v>301</v>
      </c>
      <c r="AE52" s="18">
        <f>iferror(lookup(if(AD52="",F52,AD52),{0,1,10,50,100,1000,10000},{0.0,0.1,0.024,0.024,0.01,0.004,0.002}),"")</f>
        <v>0</v>
      </c>
      <c r="AF52" s="18">
        <f>iferror(if(AD52="",F52,AD52)*AE52,"")</f>
        <v>0</v>
      </c>
      <c r="AG52" s="19" t="s">
        <v>472</v>
      </c>
      <c r="AH52" s="17">
        <v>50000</v>
      </c>
      <c r="AJ52" s="18">
        <f>iferror(lookup(if(AI52="",F52,AI52),{0,1,25,50,100,5000},{0.0,0.002,0.018,0.013,0.007,0.002}),"")</f>
        <v>0</v>
      </c>
      <c r="AK52" s="18">
        <f>iferror(if(AI52="",F52,AI52)*AJ52,"")</f>
        <v>0</v>
      </c>
      <c r="AL52" s="19" t="s">
        <v>531</v>
      </c>
      <c r="AM52" s="17">
        <v>87000</v>
      </c>
      <c r="AO52" s="18">
        <f>iferror(USD_GBP*lookup(if(AN52="",F52,AN52),{0,1,100,1000,2500,5000,10000},{0.0,0.007,0.007,0.007,0.006,0.003,0.005}),"")</f>
        <v>0</v>
      </c>
      <c r="AP52" s="18">
        <f>iferror(if(AN52="",F52,AN52)*AO52,"")</f>
        <v>0</v>
      </c>
      <c r="AQ52" s="19" t="s">
        <v>567</v>
      </c>
      <c r="AR52" s="20" t="s">
        <v>301</v>
      </c>
      <c r="AT52" s="18">
        <f>iferror(USD_GBP*lookup(if(AS52="",F52,AS52),{0,1,100,1000,5000,15000,50000},{0.0,0.00964,0.00964,0.00213,0.00095,0.00089,0.00086}),"")</f>
        <v>0</v>
      </c>
      <c r="AU52" s="18">
        <f>iferror(if(AS52="",F52,AS52)*AT52,"")</f>
        <v>0</v>
      </c>
      <c r="AV52" s="19" t="s">
        <v>590</v>
      </c>
    </row>
    <row r="53" spans="1:48">
      <c r="A53" s="17" t="s">
        <v>158</v>
      </c>
      <c r="B53" s="17" t="s">
        <v>159</v>
      </c>
      <c r="D53" s="17" t="s">
        <v>122</v>
      </c>
      <c r="E53" s="17" t="s">
        <v>157</v>
      </c>
      <c r="F53" s="17">
        <f>BoardQty*2</f>
        <v>0</v>
      </c>
      <c r="G5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53" s="18">
        <f>iferror(F53*G53,"")</f>
        <v>0</v>
      </c>
      <c r="N53" s="17">
        <v>26097673</v>
      </c>
      <c r="P53" s="18">
        <f>iferror(lookup(if(O53="",F53,O53),{0,1,10,100,1000,2500,5000},{0.0,0.1,0.024,0.0097,0.00436,0.00378,0.00312}),"")</f>
        <v>0</v>
      </c>
      <c r="Q53" s="18">
        <f>iferror(if(O53="",F53,O53)*P53,"")</f>
        <v>0</v>
      </c>
      <c r="R53" s="19" t="s">
        <v>337</v>
      </c>
      <c r="S53" s="17">
        <v>29759995</v>
      </c>
      <c r="U53" s="18">
        <f>iferror(USD_GBP*lookup(if(T53="",F53,T53),{0,1,10,100,150,500,1000,2500,5000,25000},{0.0,0.021,0.021,0.0075,0.0075,0.0063,0.0051,0.0045,0.0073,0.0031}),"")</f>
        <v>0</v>
      </c>
      <c r="V53" s="18">
        <f>iferror(if(T53="",F53,T53)*U53,"")</f>
        <v>0</v>
      </c>
      <c r="W53" s="19" t="s">
        <v>394</v>
      </c>
      <c r="AC53" s="20" t="s">
        <v>301</v>
      </c>
      <c r="AE53" s="18">
        <f>iferror(lookup(if(AD53="",F53,AD53),{0,1,10,50,100,1000,10000},{0.0,0.1,0.024,0.024,0.01,0.004,0.002}),"")</f>
        <v>0</v>
      </c>
      <c r="AF53" s="18">
        <f>iferror(if(AD53="",F53,AD53)*AE53,"")</f>
        <v>0</v>
      </c>
      <c r="AG53" s="19" t="s">
        <v>472</v>
      </c>
      <c r="AH53" s="17">
        <v>50000</v>
      </c>
      <c r="AJ53" s="18">
        <f>iferror(lookup(if(AI53="",F53,AI53),{0,1,25,50,100,5000},{0.0,0.002,0.018,0.013,0.007,0.002}),"")</f>
        <v>0</v>
      </c>
      <c r="AK53" s="18">
        <f>iferror(if(AI53="",F53,AI53)*AJ53,"")</f>
        <v>0</v>
      </c>
      <c r="AL53" s="19" t="s">
        <v>531</v>
      </c>
      <c r="AM53" s="17">
        <v>87000</v>
      </c>
      <c r="AO53" s="18">
        <f>iferror(USD_GBP*lookup(if(AN53="",F53,AN53),{0,1,100,1000,2500,5000,10000},{0.0,0.007,0.007,0.007,0.006,0.003,0.005}),"")</f>
        <v>0</v>
      </c>
      <c r="AP53" s="18">
        <f>iferror(if(AN53="",F53,AN53)*AO53,"")</f>
        <v>0</v>
      </c>
      <c r="AQ53" s="19" t="s">
        <v>567</v>
      </c>
      <c r="AR53" s="20" t="s">
        <v>301</v>
      </c>
      <c r="AT53" s="18">
        <f>iferror(USD_GBP*lookup(if(AS53="",F53,AS53),{0,1,100,1000,5000,15000,50000},{0.0,0.00964,0.00964,0.00213,0.00095,0.00089,0.00086}),"")</f>
        <v>0</v>
      </c>
      <c r="AU53" s="18">
        <f>iferror(if(AS53="",F53,AS53)*AT53,"")</f>
        <v>0</v>
      </c>
      <c r="AV53" s="19" t="s">
        <v>590</v>
      </c>
    </row>
    <row r="54" spans="1:48">
      <c r="A54" s="17" t="s">
        <v>160</v>
      </c>
      <c r="B54" s="17" t="s">
        <v>161</v>
      </c>
      <c r="D54" s="17" t="s">
        <v>122</v>
      </c>
      <c r="E54" s="17" t="s">
        <v>162</v>
      </c>
      <c r="F54" s="17">
        <f>BoardQty*1</f>
        <v>0</v>
      </c>
      <c r="G5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54" s="18">
        <f>iferror(F54*G54,"")</f>
        <v>0</v>
      </c>
      <c r="N54" s="17">
        <v>82584</v>
      </c>
      <c r="P54" s="18">
        <f>iferror(lookup(if(O54="",F54,O54),{0,1,10,100,1000,2500,5000},{0.0,0.1,0.024,0.0097,0.00436,0.00378,0.00312}),"")</f>
        <v>0</v>
      </c>
      <c r="Q54" s="18">
        <f>iferror(if(O54="",F54,O54)*P54,"")</f>
        <v>0</v>
      </c>
      <c r="R54" s="19" t="s">
        <v>338</v>
      </c>
      <c r="AC54" s="20" t="s">
        <v>301</v>
      </c>
      <c r="AE54" s="18">
        <f>iferror(lookup(if(AD54="",F54,AD54),{0,1,10,50,100,1000,10000},{0.0,0.1,0.024,0.024,0.01,0.004,0.002}),"")</f>
        <v>0</v>
      </c>
      <c r="AF54" s="18">
        <f>iferror(if(AD54="",F54,AD54)*AE54,"")</f>
        <v>0</v>
      </c>
      <c r="AG54" s="19" t="s">
        <v>473</v>
      </c>
    </row>
    <row r="55" spans="1:48">
      <c r="A55" s="17" t="s">
        <v>163</v>
      </c>
      <c r="B55" s="17" t="s">
        <v>164</v>
      </c>
      <c r="D55" s="17" t="s">
        <v>122</v>
      </c>
      <c r="E55" s="17" t="s">
        <v>165</v>
      </c>
      <c r="F55" s="17">
        <f>BoardQty*2</f>
        <v>0</v>
      </c>
      <c r="G5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55" s="18">
        <f>iferror(F55*G55,"")</f>
        <v>0</v>
      </c>
      <c r="N55" s="17">
        <v>2888529</v>
      </c>
      <c r="P55" s="18">
        <f>iferror(lookup(if(O55="",F55,O55),{0,1,10,100,1000,2500,5000},{0.0,0.1,0.024,0.0097,0.00436,0.00378,0.00312}),"")</f>
        <v>0</v>
      </c>
      <c r="Q55" s="18">
        <f>iferror(if(O55="",F55,O55)*P55,"")</f>
        <v>0</v>
      </c>
      <c r="R55" s="19" t="s">
        <v>339</v>
      </c>
      <c r="S55" s="17">
        <v>3230000</v>
      </c>
      <c r="U55" s="18">
        <f>iferror(USD_GBP*lookup(if(T55="",F55,T55),{0,1,10,100,150,500,1000,2500,5000},{0.0,0.0222,0.0222,0.0096,0.0096,0.0079,0.0067,0.0059,0.0053}),"")</f>
        <v>0</v>
      </c>
      <c r="V55" s="18">
        <f>iferror(if(T55="",F55,T55)*U55,"")</f>
        <v>0</v>
      </c>
      <c r="W55" s="19" t="s">
        <v>395</v>
      </c>
      <c r="AC55" s="17">
        <v>839936</v>
      </c>
      <c r="AE55" s="18">
        <f>iferror(lookup(if(AD55="",F55,AD55),{0,1,10,50,100,1000,10000},{0.0,0.1,0.024,0.024,0.01,0.004,0.003}),"")</f>
        <v>0</v>
      </c>
      <c r="AF55" s="18">
        <f>iferror(if(AD55="",F55,AD55)*AE55,"")</f>
        <v>0</v>
      </c>
      <c r="AG55" s="19" t="s">
        <v>474</v>
      </c>
      <c r="AH55" s="17">
        <v>3230000</v>
      </c>
      <c r="AJ55" s="18">
        <f>iferror(lookup(if(AI55="",F55,AI55),{0,1,25,50,100,5000,10000},{0.0,0.1,0.018,0.012,0.006,0.006,0.008}),"")</f>
        <v>0</v>
      </c>
      <c r="AK55" s="18">
        <f>iferror(if(AI55="",F55,AI55)*AJ55,"")</f>
        <v>0</v>
      </c>
      <c r="AL55" s="19" t="s">
        <v>532</v>
      </c>
      <c r="AM55" s="17">
        <v>49000</v>
      </c>
      <c r="AO55" s="18">
        <f>iferror(USD_GBP*lookup(if(AN55="",F55,AN55),{0,1,100,1000,2500,5000,10000},{0.0,0.006,0.006,0.005,0.005,0.005,0.004}),"")</f>
        <v>0</v>
      </c>
      <c r="AP55" s="18">
        <f>iferror(if(AN55="",F55,AN55)*AO55,"")</f>
        <v>0</v>
      </c>
      <c r="AQ55" s="19" t="s">
        <v>568</v>
      </c>
      <c r="AR55" s="20" t="s">
        <v>301</v>
      </c>
      <c r="AT55" s="18">
        <f>iferror(USD_GBP*lookup(if(AS55="",F55,AS55),{0,1,100,1000,5000,15000,50000},{0.0,0.01086,0.01086,0.00237,0.00096,0.0009,0.00086}),"")</f>
        <v>0</v>
      </c>
      <c r="AU55" s="18">
        <f>iferror(if(AS55="",F55,AS55)*AT55,"")</f>
        <v>0</v>
      </c>
      <c r="AV55" s="19" t="s">
        <v>591</v>
      </c>
    </row>
    <row r="56" spans="1:48">
      <c r="A56" s="17" t="s">
        <v>166</v>
      </c>
      <c r="B56" s="17" t="s">
        <v>167</v>
      </c>
      <c r="D56" s="17" t="s">
        <v>122</v>
      </c>
      <c r="E56" s="17" t="s">
        <v>168</v>
      </c>
      <c r="F56" s="17">
        <f>BoardQty*1</f>
        <v>0</v>
      </c>
      <c r="G5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56" s="18">
        <f>iferror(F56*G56,"")</f>
        <v>0</v>
      </c>
      <c r="N56" s="17">
        <v>449279</v>
      </c>
      <c r="P56" s="18">
        <f>iferror(lookup(if(O56="",F56,O56),{0,1,10,100,1000,2500,5000},{0.0,0.1,0.024,0.0097,0.00436,0.00378,0.00312}),"")</f>
        <v>0</v>
      </c>
      <c r="Q56" s="18">
        <f>iferror(if(O56="",F56,O56)*P56,"")</f>
        <v>0</v>
      </c>
      <c r="R56" s="19" t="s">
        <v>340</v>
      </c>
      <c r="AC56" s="17">
        <v>1326</v>
      </c>
      <c r="AE56" s="18">
        <f>iferror(lookup(if(AD56="",F56,AD56),{0,1,10,50,100,1000,10000},{0.0,0.1,0.024,0.024,0.01,0.004,0.002}),"")</f>
        <v>0</v>
      </c>
      <c r="AF56" s="18">
        <f>iferror(if(AD56="",F56,AD56)*AE56,"")</f>
        <v>0</v>
      </c>
      <c r="AG56" s="19" t="s">
        <v>475</v>
      </c>
    </row>
    <row r="57" spans="1:48">
      <c r="A57" s="17" t="s">
        <v>169</v>
      </c>
      <c r="B57" s="17" t="s">
        <v>170</v>
      </c>
      <c r="D57" s="17" t="s">
        <v>122</v>
      </c>
      <c r="E57" s="17" t="s">
        <v>171</v>
      </c>
      <c r="F57" s="17">
        <f>BoardQty*1</f>
        <v>0</v>
      </c>
      <c r="G5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57" s="18">
        <f>iferror(F57*G57,"")</f>
        <v>0</v>
      </c>
      <c r="N57" s="17">
        <v>798669</v>
      </c>
      <c r="P57" s="18">
        <f>iferror(lookup(if(O57="",F57,O57),{0,1,10,100,1000,2500,5000},{0.0,0.1,0.024,0.0097,0.00436,0.00378,0.00312}),"")</f>
        <v>0</v>
      </c>
      <c r="Q57" s="18">
        <f>iferror(if(O57="",F57,O57)*P57,"")</f>
        <v>0</v>
      </c>
      <c r="R57" s="19" t="s">
        <v>341</v>
      </c>
      <c r="S57" s="17">
        <v>450898</v>
      </c>
      <c r="U57" s="18">
        <f>iferror(USD_GBP*lookup(if(T57="",F57,T57),{0,1,10,100,150,500,1000,2500,5000,25000},{0.0,0.0187,0.0187,0.0067,0.0067,0.0056,0.0044,0.0039,0.0059,0.0024}),"")</f>
        <v>0</v>
      </c>
      <c r="V57" s="18">
        <f>iferror(if(T57="",F57,T57)*U57,"")</f>
        <v>0</v>
      </c>
      <c r="W57" s="19" t="s">
        <v>396</v>
      </c>
      <c r="AC57" s="17">
        <v>169949</v>
      </c>
      <c r="AE57" s="18">
        <f>iferror(lookup(if(AD57="",F57,AD57),{0,1,10,50,100,1000,10000},{0.0,0.1,0.024,0.024,0.01,0.004,0.002}),"")</f>
        <v>0</v>
      </c>
      <c r="AF57" s="18">
        <f>iferror(if(AD57="",F57,AD57)*AE57,"")</f>
        <v>0</v>
      </c>
      <c r="AG57" s="19" t="s">
        <v>476</v>
      </c>
      <c r="AH57" s="17">
        <v>30000</v>
      </c>
      <c r="AJ57" s="18">
        <f>iferror(lookup(if(AI57="",F57,AI57),{0,1,25,50,100,5000},{0.0,0.002,0.018,0.013,0.007,0.002}),"")</f>
        <v>0</v>
      </c>
      <c r="AK57" s="18">
        <f>iferror(if(AI57="",F57,AI57)*AJ57,"")</f>
        <v>0</v>
      </c>
      <c r="AL57" s="19" t="s">
        <v>533</v>
      </c>
      <c r="AR57" s="17">
        <v>67800</v>
      </c>
      <c r="AT57" s="18">
        <f>iferror(USD_GBP*lookup(if(AS57="",F57,AS57),{0,1,100,1000,5000,15000,50000},{0.0,0.028,0.028,0.00992,0.00394,0.00323,0.00275}),"")</f>
        <v>0</v>
      </c>
      <c r="AU57" s="18">
        <f>iferror(if(AS57="",F57,AS57)*AT57,"")</f>
        <v>0</v>
      </c>
      <c r="AV57" s="19" t="s">
        <v>592</v>
      </c>
    </row>
    <row r="58" spans="1:48">
      <c r="A58" s="17" t="s">
        <v>172</v>
      </c>
      <c r="B58" s="17" t="s">
        <v>173</v>
      </c>
      <c r="D58" s="17" t="s">
        <v>122</v>
      </c>
      <c r="E58" s="17" t="s">
        <v>174</v>
      </c>
      <c r="F58" s="17">
        <f>BoardQty*14</f>
        <v>0</v>
      </c>
      <c r="G5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58" s="18">
        <f>iferror(F58*G58,"")</f>
        <v>0</v>
      </c>
      <c r="N58" s="17">
        <v>1260274</v>
      </c>
      <c r="P58" s="18">
        <f>iferror(lookup(if(O58="",F58,O58),{0,1,10,100,1000,2500,5000},{0.0,0.1,0.024,0.0097,0.00436,0.00378,0.00312}),"")</f>
        <v>0</v>
      </c>
      <c r="Q58" s="18">
        <f>iferror(if(O58="",F58,O58)*P58,"")</f>
        <v>0</v>
      </c>
      <c r="R58" s="19" t="s">
        <v>342</v>
      </c>
      <c r="S58" s="17">
        <v>230000</v>
      </c>
      <c r="U58" s="18">
        <f>iferror(USD_GBP*lookup(if(T58="",F58,T58),{0,1,10,100,150,500,1000,2500,5000,25000},{0.0,0.0253,0.0253,0.009,0.009,0.0074,0.0058,0.0051,0.0035,0.0035}),"")</f>
        <v>0</v>
      </c>
      <c r="V58" s="18">
        <f>iferror(if(T58="",F58,T58)*U58,"")</f>
        <v>0</v>
      </c>
      <c r="W58" s="19" t="s">
        <v>397</v>
      </c>
      <c r="AC58" s="17">
        <v>226423</v>
      </c>
      <c r="AE58" s="18">
        <f>iferror(lookup(if(AD58="",F58,AD58),{0,1,10,50,100,1000,10000},{0.0,0.1,0.024,0.024,0.01,0.004,0.003}),"")</f>
        <v>0</v>
      </c>
      <c r="AF58" s="18">
        <f>iferror(if(AD58="",F58,AD58)*AE58,"")</f>
        <v>0</v>
      </c>
      <c r="AG58" s="19" t="s">
        <v>477</v>
      </c>
      <c r="AH58" s="17">
        <v>230000</v>
      </c>
      <c r="AJ58" s="18">
        <f>iferror(lookup(if(AI58="",F58,AI58),{0,1,10,25,50,100,5000},{0.0,0.12,0.022,0.017,0.012,0.007,0.004}),"")</f>
        <v>0</v>
      </c>
      <c r="AK58" s="18">
        <f>iferror(if(AI58="",F58,AI58)*AJ58,"")</f>
        <v>0</v>
      </c>
      <c r="AL58" s="19" t="s">
        <v>534</v>
      </c>
      <c r="AM58" s="17">
        <v>14900</v>
      </c>
      <c r="AO58" s="18">
        <f>iferror(USD_GBP*lookup(if(AN58="",F58,AN58),{0,1,100,1000,2500,5000,10000},{0.0,0.006,0.006,0.005,0.005,0.005,0.004}),"")</f>
        <v>0</v>
      </c>
      <c r="AP58" s="18">
        <f>iferror(if(AN58="",F58,AN58)*AO58,"")</f>
        <v>0</v>
      </c>
      <c r="AQ58" s="19" t="s">
        <v>569</v>
      </c>
      <c r="AR58" s="20" t="s">
        <v>301</v>
      </c>
      <c r="AV58" s="19" t="s">
        <v>593</v>
      </c>
    </row>
    <row r="59" spans="1:48">
      <c r="A59" s="17" t="s">
        <v>175</v>
      </c>
      <c r="B59" s="17" t="s">
        <v>176</v>
      </c>
      <c r="D59" s="17" t="s">
        <v>122</v>
      </c>
      <c r="E59" s="17" t="s">
        <v>177</v>
      </c>
      <c r="F59" s="17">
        <f>BoardQty*1</f>
        <v>0</v>
      </c>
      <c r="G5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59" s="18">
        <f>iferror(F59*G59,"")</f>
        <v>0</v>
      </c>
      <c r="N59" s="17">
        <v>14138072</v>
      </c>
      <c r="P59" s="18">
        <f>iferror(lookup(if(O59="",F59,O59),{0,1,10,100,1000,2500,5000},{0.0,0.1,0.024,0.0097,0.00436,0.00378,0.00312}),"")</f>
        <v>0</v>
      </c>
      <c r="Q59" s="18">
        <f>iferror(if(O59="",F59,O59)*P59,"")</f>
        <v>0</v>
      </c>
      <c r="R59" s="19" t="s">
        <v>343</v>
      </c>
      <c r="S59" s="17">
        <v>13345000</v>
      </c>
      <c r="U59" s="18">
        <f>iferror(USD_GBP*lookup(if(T59="",F59,T59),{0,1,10,100,150,500,1000,2500,5000},{0.0,0.0375,0.0375,0.0117,0.0117,0.0095,0.0071,0.0063,0.0062}),"")</f>
        <v>0</v>
      </c>
      <c r="V59" s="18">
        <f>iferror(if(T59="",F59,T59)*U59,"")</f>
        <v>0</v>
      </c>
      <c r="W59" s="19" t="s">
        <v>398</v>
      </c>
      <c r="AC59" s="17">
        <v>2711030</v>
      </c>
      <c r="AE59" s="18">
        <f>iferror(lookup(if(AD59="",F59,AD59),{0,1,10,50,100,1000,10000},{0.0,0.1,0.021,0.021,0.007,0.004,0.002}),"")</f>
        <v>0</v>
      </c>
      <c r="AF59" s="18">
        <f>iferror(if(AD59="",F59,AD59)*AE59,"")</f>
        <v>0</v>
      </c>
      <c r="AG59" s="19" t="s">
        <v>478</v>
      </c>
      <c r="AH59" s="17">
        <v>100000</v>
      </c>
      <c r="AJ59" s="18">
        <f>iferror(lookup(if(AI59="",F59,AI59),{0,1,25,50,100,5000,10000},{0.0,0.006,0.021,0.014,0.007,0.006,0.004}),"")</f>
        <v>0</v>
      </c>
      <c r="AK59" s="18">
        <f>iferror(if(AI59="",F59,AI59)*AJ59,"")</f>
        <v>0</v>
      </c>
      <c r="AL59" s="19" t="s">
        <v>535</v>
      </c>
      <c r="AM59" s="17">
        <v>64200</v>
      </c>
      <c r="AO59" s="18">
        <f>iferror(USD_GBP*lookup(if(AN59="",F59,AN59),{0,1,100,500,1000,2000,5000,10000,15000,20000},{0.0,0.005,0.005,0.005,0.004,0.004,0.003,0.003,0.003,0.002}),"")</f>
        <v>0</v>
      </c>
      <c r="AP59" s="18">
        <f>iferror(if(AN59="",F59,AN59)*AO59,"")</f>
        <v>0</v>
      </c>
      <c r="AQ59" s="19" t="s">
        <v>570</v>
      </c>
      <c r="AR59" s="20" t="s">
        <v>301</v>
      </c>
      <c r="AT59" s="18">
        <f>iferror(USD_GBP*lookup(if(AS59="",F59,AS59),{0,1,100,1000,5000,15000,50000},{0.0,0.01086,0.01086,0.00238,0.00097,0.00089,0.00086}),"")</f>
        <v>0</v>
      </c>
      <c r="AU59" s="18">
        <f>iferror(if(AS59="",F59,AS59)*AT59,"")</f>
        <v>0</v>
      </c>
      <c r="AV59" s="19" t="s">
        <v>594</v>
      </c>
    </row>
    <row r="60" spans="1:48">
      <c r="A60" s="17" t="s">
        <v>178</v>
      </c>
      <c r="B60" s="17" t="s">
        <v>176</v>
      </c>
      <c r="D60" s="17" t="s">
        <v>122</v>
      </c>
      <c r="E60" s="17" t="s">
        <v>179</v>
      </c>
      <c r="F60" s="17">
        <f>BoardQty*39</f>
        <v>0</v>
      </c>
      <c r="G6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60" s="18">
        <f>iferror(F60*G60,"")</f>
        <v>0</v>
      </c>
      <c r="N60" s="17">
        <v>14638952</v>
      </c>
      <c r="P60" s="18">
        <f>iferror(lookup(if(O60="",F60,O60),{0,1,10,100,1000,2500,5000},{0.0,0.1,0.024,0.0097,0.00436,0.00378,0.00312}),"")</f>
        <v>0</v>
      </c>
      <c r="Q60" s="18">
        <f>iferror(if(O60="",F60,O60)*P60,"")</f>
        <v>0</v>
      </c>
      <c r="R60" s="19" t="s">
        <v>343</v>
      </c>
      <c r="S60" s="17">
        <v>13355000</v>
      </c>
      <c r="U60" s="18">
        <f>iferror(USD_GBP*lookup(if(T60="",F60,T60),{0,1,10,100,150,500,1000,2500,5000},{0.0,0.0315,0.0315,0.0099,0.0099,0.0081,0.0062,0.0055,0.0054}),"")</f>
        <v>0</v>
      </c>
      <c r="V60" s="18">
        <f>iferror(if(T60="",F60,T60)*U60,"")</f>
        <v>0</v>
      </c>
      <c r="W60" s="19" t="s">
        <v>399</v>
      </c>
      <c r="AC60" s="17">
        <v>2881133</v>
      </c>
      <c r="AE60" s="18">
        <f>iferror(lookup(if(AD60="",F60,AD60),{0,1,10,50,100,1000,10000},{0.0,0.1,0.021,0.021,0.007,0.004,0.002}),"")</f>
        <v>0</v>
      </c>
      <c r="AF60" s="18">
        <f>iferror(if(AD60="",F60,AD60)*AE60,"")</f>
        <v>0</v>
      </c>
      <c r="AG60" s="19" t="s">
        <v>478</v>
      </c>
      <c r="AH60" s="17">
        <v>100000</v>
      </c>
      <c r="AJ60" s="18">
        <f>iferror(lookup(if(AI60="",F60,AI60),{0,1,25,50,100,5000,10000},{0.0,0.006,0.021,0.014,0.007,0.006,0.004}),"")</f>
        <v>0</v>
      </c>
      <c r="AK60" s="18">
        <f>iferror(if(AI60="",F60,AI60)*AJ60,"")</f>
        <v>0</v>
      </c>
      <c r="AL60" s="19" t="s">
        <v>535</v>
      </c>
      <c r="AM60" s="17">
        <v>54200</v>
      </c>
      <c r="AO60" s="18">
        <f>iferror(USD_GBP*lookup(if(AN60="",F60,AN60),{0,1,100,500,1000,2000,5000,10000,15000,20000},{0.0,0.005,0.005,0.005,0.004,0.004,0.003,0.003,0.003,0.002}),"")</f>
        <v>0</v>
      </c>
      <c r="AP60" s="18">
        <f>iferror(if(AN60="",F60,AN60)*AO60,"")</f>
        <v>0</v>
      </c>
      <c r="AQ60" s="19" t="s">
        <v>570</v>
      </c>
      <c r="AR60" s="20" t="s">
        <v>301</v>
      </c>
      <c r="AT60" s="18">
        <f>iferror(USD_GBP*lookup(if(AS60="",F60,AS60),{0,1,100,1000,5000,15000,50000},{0.0,0.01086,0.01086,0.00238,0.00097,0.00089,0.00086}),"")</f>
        <v>0</v>
      </c>
      <c r="AU60" s="18">
        <f>iferror(if(AS60="",F60,AS60)*AT60,"")</f>
        <v>0</v>
      </c>
      <c r="AV60" s="19" t="s">
        <v>594</v>
      </c>
    </row>
    <row r="61" spans="1:48">
      <c r="A61" s="17" t="s">
        <v>180</v>
      </c>
      <c r="B61" s="17" t="s">
        <v>14</v>
      </c>
      <c r="D61" s="17" t="s">
        <v>122</v>
      </c>
      <c r="F61" s="17">
        <f>BoardQty*13</f>
        <v>0</v>
      </c>
      <c r="G6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61" s="18">
        <f>iferror(F61*G61,"")</f>
        <v>0</v>
      </c>
    </row>
    <row r="62" spans="1:48">
      <c r="A62" s="17" t="s">
        <v>181</v>
      </c>
      <c r="B62" s="17" t="s">
        <v>182</v>
      </c>
      <c r="D62" s="17" t="s">
        <v>122</v>
      </c>
      <c r="E62" s="17" t="s">
        <v>183</v>
      </c>
      <c r="F62" s="17">
        <f>BoardQty*8</f>
        <v>0</v>
      </c>
      <c r="G6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62" s="18">
        <f>iferror(F62*G62,"")</f>
        <v>0</v>
      </c>
      <c r="N62" s="20" t="s">
        <v>301</v>
      </c>
      <c r="P62" s="18">
        <f>iferror(lookup(if(O62="",F62,O62),{0,1,10,100,1000,2500,5000},{0.0,0.1,0.024,0.0097,0.00436,0.00378,0.00312}),"")</f>
        <v>0</v>
      </c>
      <c r="Q62" s="18">
        <f>iferror(if(O62="",F62,O62)*P62,"")</f>
        <v>0</v>
      </c>
      <c r="R62" s="19" t="s">
        <v>344</v>
      </c>
      <c r="S62" s="17">
        <v>5745000</v>
      </c>
      <c r="U62" s="18">
        <f>iferror(USD_GBP*lookup(if(T62="",F62,T62),{0,1,10,100,150,500,1000,2500,5000,25000},{0.0,0.0187,0.0187,0.0076,0.0076,0.0067,0.0054,0.0047,0.0035,0.0031}),"")</f>
        <v>0</v>
      </c>
      <c r="V62" s="18">
        <f>iferror(if(T62="",F62,T62)*U62,"")</f>
        <v>0</v>
      </c>
      <c r="W62" s="19" t="s">
        <v>400</v>
      </c>
      <c r="AC62" s="20" t="s">
        <v>301</v>
      </c>
      <c r="AE62" s="18">
        <f>iferror(lookup(if(AD62="",F62,AD62),{0,1,10,50,100,1000,10000},{0.0,0.1,0.024,0.024,0.01,0.004,0.002}),"")</f>
        <v>0</v>
      </c>
      <c r="AF62" s="18">
        <f>iferror(if(AD62="",F62,AD62)*AE62,"")</f>
        <v>0</v>
      </c>
      <c r="AG62" s="19" t="s">
        <v>479</v>
      </c>
      <c r="AH62" s="17">
        <v>5709000</v>
      </c>
      <c r="AJ62" s="18">
        <f>iferror(lookup(if(AI62="",F62,AI62),{0,1,10,25,50,100,5000},{0.0,0.12,0.12,0.022,0.015,0.008,0.002}),"")</f>
        <v>0</v>
      </c>
      <c r="AK62" s="18">
        <f>iferror(if(AI62="",F62,AI62)*AJ62,"")</f>
        <v>0</v>
      </c>
      <c r="AL62" s="19" t="s">
        <v>536</v>
      </c>
      <c r="AM62" s="17">
        <v>7300</v>
      </c>
      <c r="AO62" s="18">
        <f>iferror(USD_GBP*lookup(if(AN62="",F62,AN62),{0,1,5000},{0.0,0.003,0.003}),"")</f>
        <v>0</v>
      </c>
      <c r="AP62" s="18">
        <f>iferror(if(AN62="",F62,AN62)*AO62,"")</f>
        <v>0</v>
      </c>
      <c r="AQ62" s="19" t="s">
        <v>571</v>
      </c>
      <c r="AR62" s="17">
        <v>249000</v>
      </c>
      <c r="AT62" s="18">
        <f>iferror(USD_GBP*lookup(if(AS62="",F62,AS62),{0,1,100,1000,5000,15000,50000},{0.0,0.0131,0.0131,0.0027,0.00107,0.00097,0.00095}),"")</f>
        <v>0</v>
      </c>
      <c r="AU62" s="18">
        <f>iferror(if(AS62="",F62,AS62)*AT62,"")</f>
        <v>0</v>
      </c>
      <c r="AV62" s="19" t="s">
        <v>595</v>
      </c>
    </row>
    <row r="63" spans="1:48">
      <c r="A63" s="17" t="s">
        <v>184</v>
      </c>
      <c r="B63" s="17" t="s">
        <v>185</v>
      </c>
      <c r="D63" s="17" t="s">
        <v>122</v>
      </c>
      <c r="E63" s="17" t="s">
        <v>186</v>
      </c>
      <c r="F63" s="17">
        <f>BoardQty*23</f>
        <v>0</v>
      </c>
      <c r="G6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63" s="18">
        <f>iferror(F63*G63,"")</f>
        <v>0</v>
      </c>
      <c r="N63" s="17">
        <v>697</v>
      </c>
      <c r="P63" s="18">
        <f>iferror(lookup(if(O63="",F63,O63),{0,1,10,25,50,100,250,500,1000,5000,10000,25000,50000},{0.0,0.1,0.018,0.0128,0.0098,0.0073,0.00552,0.00442,0.00326,0.00234,0.00203,0.00178,0.00167}),"")</f>
        <v>0</v>
      </c>
      <c r="Q63" s="18">
        <f>iferror(if(O63="",F63,O63)*P63,"")</f>
        <v>0</v>
      </c>
      <c r="R63" s="19" t="s">
        <v>345</v>
      </c>
      <c r="S63" s="17">
        <v>601</v>
      </c>
      <c r="U63" s="18">
        <f>iferror(USD_GBP*lookup(if(T63="",F63,T63),{0,1,10,100,150,500,1000,2500,5000,25000},{0.0,0.0094,0.0094,0.0077,0.0077,0.0064,0.0054,0.0047,0.0034,0.0027}),"")</f>
        <v>0</v>
      </c>
      <c r="V63" s="18">
        <f>iferror(if(T63="",F63,T63)*U63,"")</f>
        <v>0</v>
      </c>
      <c r="W63" s="19" t="s">
        <v>401</v>
      </c>
      <c r="AC63" s="17">
        <v>368762</v>
      </c>
      <c r="AE63" s="18">
        <f>iferror(lookup(if(AD63="",F63,AD63),{0,1,10,50,100,1000,10000},{0.0,0.1,0.01,0.01,0.004,0.003,0.002}),"")</f>
        <v>0</v>
      </c>
      <c r="AF63" s="18">
        <f>iferror(if(AD63="",F63,AD63)*AE63,"")</f>
        <v>0</v>
      </c>
      <c r="AG63" s="19" t="s">
        <v>480</v>
      </c>
      <c r="AH63" s="17">
        <v>2865</v>
      </c>
      <c r="AJ63" s="18">
        <f>iferror(lookup(if(AI63="",F63,AI63),{0,1,10,25,50,100,5000,10000},{0.0,0.003,0.012,0.01,0.007,0.005,0.005,0.004}),"")</f>
        <v>0</v>
      </c>
      <c r="AK63" s="18">
        <f>iferror(if(AI63="",F63,AI63)*AJ63,"")</f>
        <v>0</v>
      </c>
      <c r="AL63" s="19" t="s">
        <v>537</v>
      </c>
      <c r="AR63" s="20" t="s">
        <v>301</v>
      </c>
      <c r="AT63" s="18">
        <f>iferror(USD_GBP*lookup(if(AS63="",F63,AS63),{0,1,100,1000,5000,15000},{0.0,0.01563,0.01563,0.00278,0.00121,0.0011}),"")</f>
        <v>0</v>
      </c>
      <c r="AU63" s="18">
        <f>iferror(if(AS63="",F63,AS63)*AT63,"")</f>
        <v>0</v>
      </c>
      <c r="AV63" s="19" t="s">
        <v>596</v>
      </c>
    </row>
    <row r="64" spans="1:48">
      <c r="A64" s="17" t="s">
        <v>187</v>
      </c>
      <c r="B64" s="17" t="s">
        <v>159</v>
      </c>
      <c r="D64" s="17" t="s">
        <v>122</v>
      </c>
      <c r="E64" s="17" t="s">
        <v>188</v>
      </c>
      <c r="F64" s="17">
        <f>BoardQty*22</f>
        <v>0</v>
      </c>
      <c r="G6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64" s="18">
        <f>iferror(F64*G64,"")</f>
        <v>0</v>
      </c>
      <c r="N64" s="17">
        <v>24767586</v>
      </c>
      <c r="P64" s="18">
        <f>iferror(lookup(if(O64="",F64,O64),{0,1,10,100,1000,2500,5000},{0.0,0.1,0.024,0.0097,0.00436,0.00378,0.00312}),"")</f>
        <v>0</v>
      </c>
      <c r="Q64" s="18">
        <f>iferror(if(O64="",F64,O64)*P64,"")</f>
        <v>0</v>
      </c>
      <c r="R64" s="19" t="s">
        <v>337</v>
      </c>
      <c r="S64" s="17">
        <v>34294940</v>
      </c>
      <c r="U64" s="18">
        <f>iferror(USD_GBP*lookup(if(T64="",F64,T64),{0,1,10,100,150,500,1000,2500,5000,25000},{0.0,0.0246,0.0246,0.0088,0.0088,0.0074,0.006,0.0053,0.0052,0.0036}),"")</f>
        <v>0</v>
      </c>
      <c r="V64" s="18">
        <f>iferror(if(T64="",F64,T64)*U64,"")</f>
        <v>0</v>
      </c>
      <c r="W64" s="19" t="s">
        <v>394</v>
      </c>
      <c r="AC64" s="20" t="s">
        <v>301</v>
      </c>
      <c r="AE64" s="18">
        <f>iferror(lookup(if(AD64="",F64,AD64),{0,1,10,50,100,1000,10000},{0.0,0.1,0.024,0.024,0.01,0.004,0.002}),"")</f>
        <v>0</v>
      </c>
      <c r="AF64" s="18">
        <f>iferror(if(AD64="",F64,AD64)*AE64,"")</f>
        <v>0</v>
      </c>
      <c r="AG64" s="19" t="s">
        <v>472</v>
      </c>
      <c r="AH64" s="17">
        <v>30000</v>
      </c>
      <c r="AJ64" s="18">
        <f>iferror(lookup(if(AI64="",F64,AI64),{0,1,25,50,100,5000},{0.0,0.002,0.018,0.013,0.007,0.002}),"")</f>
        <v>0</v>
      </c>
      <c r="AK64" s="18">
        <f>iferror(if(AI64="",F64,AI64)*AJ64,"")</f>
        <v>0</v>
      </c>
      <c r="AL64" s="19" t="s">
        <v>531</v>
      </c>
      <c r="AM64" s="17">
        <v>112000</v>
      </c>
      <c r="AO64" s="18">
        <f>iferror(USD_GBP*lookup(if(AN64="",F64,AN64),{0,1,100,1000,2500,5000,10000},{0.0,0.007,0.007,0.007,0.006,0.003,0.005}),"")</f>
        <v>0</v>
      </c>
      <c r="AP64" s="18">
        <f>iferror(if(AN64="",F64,AN64)*AO64,"")</f>
        <v>0</v>
      </c>
      <c r="AQ64" s="19" t="s">
        <v>567</v>
      </c>
      <c r="AR64" s="20" t="s">
        <v>301</v>
      </c>
      <c r="AT64" s="18">
        <f>iferror(USD_GBP*lookup(if(AS64="",F64,AS64),{0,1,100,1000,5000,15000,50000},{0.0,0.00964,0.00964,0.00213,0.00095,0.00089,0.00086}),"")</f>
        <v>0</v>
      </c>
      <c r="AU64" s="18">
        <f>iferror(if(AS64="",F64,AS64)*AT64,"")</f>
        <v>0</v>
      </c>
      <c r="AV64" s="19" t="s">
        <v>590</v>
      </c>
    </row>
    <row r="65" spans="1:48">
      <c r="A65" s="17" t="s">
        <v>189</v>
      </c>
      <c r="B65" s="17" t="s">
        <v>170</v>
      </c>
      <c r="D65" s="17" t="s">
        <v>122</v>
      </c>
      <c r="E65" s="17" t="s">
        <v>190</v>
      </c>
      <c r="F65" s="17">
        <f>BoardQty*17</f>
        <v>0</v>
      </c>
      <c r="G6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65" s="18">
        <f>iferror(F65*G65,"")</f>
        <v>0</v>
      </c>
      <c r="N65" s="17">
        <v>798919</v>
      </c>
      <c r="P65" s="18">
        <f>iferror(lookup(if(O65="",F65,O65),{0,1,10,100,1000,2500,5000},{0.0,0.1,0.024,0.0097,0.00436,0.00378,0.00312}),"")</f>
        <v>0</v>
      </c>
      <c r="Q65" s="18">
        <f>iferror(if(O65="",F65,O65)*P65,"")</f>
        <v>0</v>
      </c>
      <c r="R65" s="19" t="s">
        <v>341</v>
      </c>
      <c r="S65" s="17">
        <v>450398</v>
      </c>
      <c r="U65" s="18">
        <f>iferror(USD_GBP*lookup(if(T65="",F65,T65),{0,1,10,100,150,500,1000,2500,5000,25000},{0.0,0.0218,0.0218,0.0078,0.0078,0.0065,0.0052,0.0046,0.0041,0.0029}),"")</f>
        <v>0</v>
      </c>
      <c r="V65" s="18">
        <f>iferror(if(T65="",F65,T65)*U65,"")</f>
        <v>0</v>
      </c>
      <c r="W65" s="19" t="s">
        <v>396</v>
      </c>
      <c r="AC65" s="17">
        <v>153798</v>
      </c>
      <c r="AE65" s="18">
        <f>iferror(lookup(if(AD65="",F65,AD65),{0,1,10,50,100,1000,10000},{0.0,0.1,0.024,0.024,0.01,0.004,0.002}),"")</f>
        <v>0</v>
      </c>
      <c r="AF65" s="18">
        <f>iferror(if(AD65="",F65,AD65)*AE65,"")</f>
        <v>0</v>
      </c>
      <c r="AG65" s="19" t="s">
        <v>476</v>
      </c>
      <c r="AH65" s="17">
        <v>30000</v>
      </c>
      <c r="AJ65" s="18">
        <f>iferror(lookup(if(AI65="",F65,AI65),{0,1,25,50,100,250,500,1000,2500,5000},{0.0,0.002,0.04,0.026,0.018,0.014,0.011,0.008,0.006,0.002}),"")</f>
        <v>0</v>
      </c>
      <c r="AK65" s="18">
        <f>iferror(if(AI65="",F65,AI65)*AJ65,"")</f>
        <v>0</v>
      </c>
      <c r="AL65" s="19" t="s">
        <v>533</v>
      </c>
      <c r="AR65" s="17">
        <v>67700</v>
      </c>
      <c r="AT65" s="18">
        <f>iferror(USD_GBP*lookup(if(AS65="",F65,AS65),{0,1,100,1000,5000,15000,50000},{0.0,0.0278,0.0278,0.00985,0.00391,0.00321,0.00273}),"")</f>
        <v>0</v>
      </c>
      <c r="AU65" s="18">
        <f>iferror(if(AS65="",F65,AS65)*AT65,"")</f>
        <v>0</v>
      </c>
      <c r="AV65" s="19" t="s">
        <v>592</v>
      </c>
    </row>
    <row r="66" spans="1:48">
      <c r="A66" s="17" t="s">
        <v>191</v>
      </c>
      <c r="B66" s="17" t="s">
        <v>192</v>
      </c>
      <c r="D66" s="17" t="s">
        <v>122</v>
      </c>
      <c r="E66" s="17" t="s">
        <v>193</v>
      </c>
      <c r="F66" s="17">
        <f>BoardQty*9</f>
        <v>0</v>
      </c>
      <c r="G6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66" s="18">
        <f>iferror(F66*G66,"")</f>
        <v>0</v>
      </c>
      <c r="N66" s="17">
        <v>14613829</v>
      </c>
      <c r="P66" s="18">
        <f>iferror(lookup(if(O66="",F66,O66),{0,1,10,100,1000,2500,5000},{0.0,0.1,0.024,0.0097,0.00436,0.00378,0.00312}),"")</f>
        <v>0</v>
      </c>
      <c r="Q66" s="18">
        <f>iferror(if(O66="",F66,O66)*P66,"")</f>
        <v>0</v>
      </c>
      <c r="R66" s="19" t="s">
        <v>346</v>
      </c>
      <c r="S66" s="17">
        <v>1412500</v>
      </c>
      <c r="U66" s="18">
        <f>iferror(USD_GBP*lookup(if(T66="",F66,T66),{0,1,10,100,150,500,1000,2500,5000,10000,25000},{0.0,0.0321,0.0321,0.0123,0.0123,0.0089,0.0054,0.0045,0.0035,0.003,0.0031}),"")</f>
        <v>0</v>
      </c>
      <c r="V66" s="18">
        <f>iferror(if(T66="",F66,T66)*U66,"")</f>
        <v>0</v>
      </c>
      <c r="W66" s="19" t="s">
        <v>402</v>
      </c>
      <c r="AC66" s="17">
        <v>4144193</v>
      </c>
      <c r="AE66" s="18">
        <f>iferror(lookup(if(AD66="",F66,AD66),{0,1,10,50,100,1000,10000},{0.0,0.1,0.024,0.024,0.01,0.004,0.003}),"")</f>
        <v>0</v>
      </c>
      <c r="AF66" s="18">
        <f>iferror(if(AD66="",F66,AD66)*AE66,"")</f>
        <v>0</v>
      </c>
      <c r="AG66" s="19" t="s">
        <v>481</v>
      </c>
      <c r="AH66" s="17">
        <v>1405000</v>
      </c>
      <c r="AJ66" s="18">
        <f>iferror(lookup(if(AI66="",F66,AI66),{0,1,10,25,50,100,5000,10000},{0.0,0.12,0.023,0.028,0.019,0.011,0.004,0.003}),"")</f>
        <v>0</v>
      </c>
      <c r="AK66" s="18">
        <f>iferror(if(AI66="",F66,AI66)*AJ66,"")</f>
        <v>0</v>
      </c>
      <c r="AL66" s="19" t="s">
        <v>538</v>
      </c>
      <c r="AM66" s="17">
        <v>164000</v>
      </c>
      <c r="AO66" s="18">
        <f>iferror(USD_GBP*lookup(if(AN66="",F66,AN66),{0,1,5000},{0.0,0.003,0.003}),"")</f>
        <v>0</v>
      </c>
      <c r="AP66" s="18">
        <f>iferror(if(AN66="",F66,AN66)*AO66,"")</f>
        <v>0</v>
      </c>
      <c r="AQ66" s="19" t="s">
        <v>572</v>
      </c>
      <c r="AR66" s="17">
        <v>222600</v>
      </c>
      <c r="AT66" s="18">
        <f>iferror(USD_GBP*lookup(if(AS66="",F66,AS66),{0,1,100,1000,5000,15000,50000},{0.0,0.0217,0.0217,0.0049,0.00182,0.00168,0.00162}),"")</f>
        <v>0</v>
      </c>
      <c r="AU66" s="18">
        <f>iferror(if(AS66="",F66,AS66)*AT66,"")</f>
        <v>0</v>
      </c>
      <c r="AV66" s="19" t="s">
        <v>597</v>
      </c>
    </row>
    <row r="67" spans="1:48">
      <c r="A67" s="17" t="s">
        <v>194</v>
      </c>
      <c r="B67" s="17" t="s">
        <v>195</v>
      </c>
      <c r="D67" s="17" t="s">
        <v>122</v>
      </c>
      <c r="E67" s="17" t="s">
        <v>196</v>
      </c>
      <c r="F67" s="17">
        <f>BoardQty*16</f>
        <v>0</v>
      </c>
      <c r="G6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67" s="18">
        <f>iferror(F67*G67,"")</f>
        <v>0</v>
      </c>
      <c r="N67" s="17">
        <v>412189</v>
      </c>
      <c r="P67" s="18">
        <f>iferror(lookup(if(O67="",F67,O67),{0,1,10,100,1000,2500,5000},{0.0,0.1,0.024,0.0097,0.00436,0.00378,0.00312}),"")</f>
        <v>0</v>
      </c>
      <c r="Q67" s="18">
        <f>iferror(if(O67="",F67,O67)*P67,"")</f>
        <v>0</v>
      </c>
      <c r="R67" s="19" t="s">
        <v>347</v>
      </c>
      <c r="S67" s="17">
        <v>115760</v>
      </c>
      <c r="U67" s="18">
        <f>iferror(USD_GBP*lookup(if(T67="",F67,T67),{0,1,10,100,150,500,1000,2500,5000,25000},{0.0,0.0234,0.0234,0.0078,0.0078,0.0065,0.0052,0.0046,0.0041,0.0029}),"")</f>
        <v>0</v>
      </c>
      <c r="V67" s="18">
        <f>iferror(if(T67="",F67,T67)*U67,"")</f>
        <v>0</v>
      </c>
      <c r="W67" s="19" t="s">
        <v>403</v>
      </c>
      <c r="AC67" s="20" t="s">
        <v>301</v>
      </c>
      <c r="AE67" s="18">
        <f>iferror(lookup(if(AD67="",F67,AD67),{0,1,10,50,100,1000,10000},{0.0,0.1,0.024,0.024,0.01,0.004,0.002}),"")</f>
        <v>0</v>
      </c>
      <c r="AF67" s="18">
        <f>iferror(if(AD67="",F67,AD67)*AE67,"")</f>
        <v>0</v>
      </c>
      <c r="AG67" s="19" t="s">
        <v>482</v>
      </c>
      <c r="AH67" s="17">
        <v>19830</v>
      </c>
      <c r="AJ67" s="18">
        <f>iferror(lookup(if(AI67="",F67,AI67),{0,1,10,25,50,100},{0.0,0.101,0.019,0.015,0.011,0.007}),"")</f>
        <v>0</v>
      </c>
      <c r="AK67" s="18">
        <f>iferror(if(AI67="",F67,AI67)*AJ67,"")</f>
        <v>0</v>
      </c>
      <c r="AL67" s="19" t="s">
        <v>539</v>
      </c>
      <c r="AR67" s="20" t="s">
        <v>301</v>
      </c>
      <c r="AT67" s="18">
        <f>iferror(USD_GBP*lookup(if(AS67="",F67,AS67),{0,1,100,1000,5000,15000},{0.0,0.02667,0.02667,0.00961,0.00389,0.00328}),"")</f>
        <v>0</v>
      </c>
      <c r="AU67" s="18">
        <f>iferror(if(AS67="",F67,AS67)*AT67,"")</f>
        <v>0</v>
      </c>
      <c r="AV67" s="19" t="s">
        <v>598</v>
      </c>
    </row>
    <row r="68" spans="1:48">
      <c r="A68" s="17" t="s">
        <v>197</v>
      </c>
      <c r="B68" s="17" t="s">
        <v>198</v>
      </c>
      <c r="D68" s="17" t="s">
        <v>199</v>
      </c>
      <c r="F68" s="17">
        <f>BoardQty*7</f>
        <v>0</v>
      </c>
      <c r="G6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68" s="18">
        <f>iferror(F68*G68,"")</f>
        <v>0</v>
      </c>
    </row>
    <row r="69" spans="1:48">
      <c r="A69" s="17" t="s">
        <v>200</v>
      </c>
      <c r="B69" s="17" t="s">
        <v>201</v>
      </c>
      <c r="D69" s="17" t="s">
        <v>202</v>
      </c>
      <c r="E69" s="17" t="s">
        <v>201</v>
      </c>
      <c r="F69" s="17">
        <f>BoardQty*4</f>
        <v>0</v>
      </c>
      <c r="G6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69" s="18">
        <f>iferror(F69*G69,"")</f>
        <v>0</v>
      </c>
      <c r="N69" s="17">
        <v>2088</v>
      </c>
      <c r="P69" s="18">
        <f>iferror(lookup(if(O69="",F69,O69),{0,1,10,25,100,250,500,1000,2000},{0.0,3.69,3.312,3.1316,2.714,2.5748,2.31036,2.29775,2.29775}),"")</f>
        <v>0</v>
      </c>
      <c r="Q69" s="18">
        <f>iferror(if(O69="",F69,O69)*P69,"")</f>
        <v>0</v>
      </c>
      <c r="R69" s="19" t="s">
        <v>348</v>
      </c>
      <c r="AC69" s="17">
        <v>1043</v>
      </c>
      <c r="AE69" s="18">
        <f>iferror(lookup(if(AD69="",F69,AD69),{0,1,10,50,100,1000,10000},{0.0,3.69,3.32,3.14,2.72,2.02,2.02}),"")</f>
        <v>0</v>
      </c>
      <c r="AF69" s="18">
        <f>iferror(if(AD69="",F69,AD69)*AE69,"")</f>
        <v>0</v>
      </c>
      <c r="AG69" s="19" t="s">
        <v>483</v>
      </c>
    </row>
    <row r="70" spans="1:48">
      <c r="A70" s="17" t="s">
        <v>203</v>
      </c>
      <c r="B70" s="17" t="s">
        <v>204</v>
      </c>
      <c r="D70" s="17" t="s">
        <v>205</v>
      </c>
      <c r="E70" s="17" t="s">
        <v>206</v>
      </c>
      <c r="F70" s="17">
        <f>BoardQty*2</f>
        <v>0</v>
      </c>
      <c r="G7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70" s="18">
        <f>iferror(F70*G70,"")</f>
        <v>0</v>
      </c>
      <c r="N70" s="17">
        <v>1060</v>
      </c>
      <c r="P70" s="18">
        <f>iferror(lookup(if(O70="",F70,O70),{0,1,10,25,100,250,500,1000,3000},{0.0,1.55,1.385,1.3148,1.08,1.0096,0.8922,0.77525,0.77525}),"")</f>
        <v>0</v>
      </c>
      <c r="Q70" s="18">
        <f>iferror(if(O70="",F70,O70)*P70,"")</f>
        <v>0</v>
      </c>
      <c r="R70" s="19" t="s">
        <v>349</v>
      </c>
      <c r="AC70" s="17">
        <v>2082</v>
      </c>
      <c r="AE70" s="18">
        <f>iferror(lookup(if(AD70="",F70,AD70),{0,1,10,50,100,1000,10000},{0.0,1.54,1.39,1.32,1.08,0.705,0.681}),"")</f>
        <v>0</v>
      </c>
      <c r="AF70" s="18">
        <f>iferror(if(AD70="",F70,AD70)*AE70,"")</f>
        <v>0</v>
      </c>
      <c r="AG70" s="19" t="s">
        <v>484</v>
      </c>
    </row>
    <row r="71" spans="1:48">
      <c r="A71" s="17" t="s">
        <v>207</v>
      </c>
      <c r="B71" s="17" t="s">
        <v>208</v>
      </c>
      <c r="D71" s="17" t="s">
        <v>209</v>
      </c>
      <c r="E71" s="17" t="s">
        <v>210</v>
      </c>
      <c r="F71" s="17">
        <f>BoardQty*1</f>
        <v>0</v>
      </c>
      <c r="G7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71" s="18">
        <f>iferror(F71*G71,"")</f>
        <v>0</v>
      </c>
      <c r="N71" s="20" t="s">
        <v>301</v>
      </c>
      <c r="P71" s="18">
        <f>iferror(lookup(if(O71="",F71,O71),{0,1,10,25,100,250,500},{0.0,6.71,6.062,5.78,5.0189,4.79332,4.389}),"")</f>
        <v>0</v>
      </c>
      <c r="Q71" s="18">
        <f>iferror(if(O71="",F71,O71)*P71,"")</f>
        <v>0</v>
      </c>
      <c r="R71" s="19" t="s">
        <v>350</v>
      </c>
      <c r="S71" s="20" t="s">
        <v>301</v>
      </c>
      <c r="U71" s="18">
        <f>iferror(USD_GBP*lookup(if(T71="",F71,T71),{0,1,10,25,50,100,250,500},{0.0,3.71,3.15,2.58,2.55,2.53,2.5,2.47}),"")</f>
        <v>0</v>
      </c>
      <c r="V71" s="18">
        <f>iferror(if(T71="",F71,T71)*U71,"")</f>
        <v>0</v>
      </c>
      <c r="W71" s="19" t="s">
        <v>404</v>
      </c>
      <c r="X71" s="17">
        <v>22</v>
      </c>
      <c r="Z71" s="18">
        <f>iferror(lookup(if(Y71="",F71,Y71),{0,1,10,30,100,500,1000},{0.0,70.98,53.05,49.75,46.46,44.99,44.27}),"")</f>
        <v>0</v>
      </c>
      <c r="AA71" s="18">
        <f>iferror(if(Y71="",F71,Y71)*Z71,"")</f>
        <v>0</v>
      </c>
      <c r="AB71" s="19" t="s">
        <v>425</v>
      </c>
      <c r="AC71" s="17">
        <v>38</v>
      </c>
      <c r="AE71" s="18">
        <f>iferror(lookup(if(AD71="",F71,AD71),{0,1,10,50,100,1000,10000},{0.0,6.71,6.07,5.78,5.02,3.98,3.98}),"")</f>
        <v>0</v>
      </c>
      <c r="AF71" s="18">
        <f>iferror(if(AD71="",F71,AD71)*AE71,"")</f>
        <v>0</v>
      </c>
      <c r="AG71" s="19" t="s">
        <v>485</v>
      </c>
      <c r="AM71" s="17">
        <v>644</v>
      </c>
      <c r="AO71" s="18">
        <f>iferror(USD_GBP*lookup(if(AN71="",F71,AN71),{0,1,6,30,61},{0.0,5.23,4.68,4.13,3.58}),"")</f>
        <v>0</v>
      </c>
      <c r="AP71" s="18">
        <f>iferror(if(AN71="",F71,AN71)*AO71,"")</f>
        <v>0</v>
      </c>
      <c r="AQ71" s="19" t="s">
        <v>573</v>
      </c>
      <c r="AR71" s="17">
        <v>1</v>
      </c>
      <c r="AT71" s="18">
        <f>iferror(USD_GBP*lookup(if(AS71="",F71,AS71),{0,1,3,10,25,121},{0.0,5.56,4.91,4.26,3.72,3.47}),"")</f>
        <v>0</v>
      </c>
      <c r="AU71" s="18">
        <f>iferror(if(AS71="",F71,AS71)*AT71,"")</f>
        <v>0</v>
      </c>
      <c r="AV71" s="19" t="s">
        <v>599</v>
      </c>
    </row>
    <row r="72" spans="1:48">
      <c r="A72" s="17" t="s">
        <v>211</v>
      </c>
      <c r="B72" s="17" t="s">
        <v>212</v>
      </c>
      <c r="D72" s="17" t="s">
        <v>213</v>
      </c>
      <c r="E72" s="17" t="s">
        <v>214</v>
      </c>
      <c r="F72" s="17">
        <f>BoardQty*1</f>
        <v>0</v>
      </c>
      <c r="G7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72" s="18">
        <f>iferror(F72*G72,"")</f>
        <v>0</v>
      </c>
      <c r="N72" s="17">
        <v>879</v>
      </c>
      <c r="P72" s="18">
        <f>iferror(lookup(if(O72="",F72,O72),{0,1,10,25,100,250,500,1000,2000},{0.0,1.6,1.441,1.3596,1.1583,1.08756,0.95162,0.89775,0.89775}),"")</f>
        <v>0</v>
      </c>
      <c r="Q72" s="18">
        <f>iferror(if(O72="",F72,O72)*P72,"")</f>
        <v>0</v>
      </c>
      <c r="R72" s="19" t="s">
        <v>351</v>
      </c>
      <c r="AC72" s="17">
        <v>25</v>
      </c>
      <c r="AE72" s="18">
        <f>iferror(lookup(if(AD72="",F72,AD72),{0,1,10,50,100,1000,10000},{0.0,1.6,1.45,1.36,1.16,0.79,0.789}),"")</f>
        <v>0</v>
      </c>
      <c r="AF72" s="18">
        <f>iferror(if(AD72="",F72,AD72)*AE72,"")</f>
        <v>0</v>
      </c>
      <c r="AG72" s="19" t="s">
        <v>486</v>
      </c>
    </row>
    <row r="73" spans="1:48">
      <c r="A73" s="17" t="s">
        <v>215</v>
      </c>
      <c r="B73" s="17" t="s">
        <v>216</v>
      </c>
      <c r="D73" s="17" t="s">
        <v>213</v>
      </c>
      <c r="E73" s="17" t="s">
        <v>217</v>
      </c>
      <c r="F73" s="17">
        <f>BoardQty*1</f>
        <v>0</v>
      </c>
      <c r="G7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73" s="18">
        <f>iferror(F73*G73,"")</f>
        <v>0</v>
      </c>
      <c r="N73" s="17">
        <v>5765</v>
      </c>
      <c r="P73" s="18">
        <f>iferror(lookup(if(O73="",F73,O73),{0,1,10,25,100,250,500,1000},{0.0,1.69,1.513,1.4364,1.18,1.10304,0.97478,0.847}),"")</f>
        <v>0</v>
      </c>
      <c r="Q73" s="18">
        <f>iferror(if(O73="",F73,O73)*P73,"")</f>
        <v>0</v>
      </c>
      <c r="R73" s="19" t="s">
        <v>352</v>
      </c>
      <c r="S73" s="17">
        <v>1181</v>
      </c>
      <c r="U73" s="18">
        <f>iferror(USD_GBP*lookup(if(T73="",F73,T73),{0,1,10,50,100,250},{0.0,1.6,1.2,1.06,0.924,0.811}),"")</f>
        <v>0</v>
      </c>
      <c r="V73" s="18">
        <f>iferror(if(T73="",F73,T73)*U73,"")</f>
        <v>0</v>
      </c>
      <c r="W73" s="19" t="s">
        <v>405</v>
      </c>
      <c r="X73" s="17">
        <v>1788</v>
      </c>
      <c r="Z73" s="18">
        <f>iferror(lookup(if(Y73="",F73,Y73),{0,1,10,30,100,500,1000},{0.0,6.34,4.62,4.31,3.99,3.85,3.78}),"")</f>
        <v>0</v>
      </c>
      <c r="AA73" s="18">
        <f>iferror(if(Y73="",F73,Y73)*Z73,"")</f>
        <v>0</v>
      </c>
      <c r="AB73" s="19" t="s">
        <v>426</v>
      </c>
      <c r="AC73" s="17">
        <v>11977</v>
      </c>
      <c r="AE73" s="18">
        <f>iferror(lookup(if(AD73="",F73,AD73),{0,1,10,50,100,1000,10000},{0.0,1.68,1.52,1.44,1.18,0.769,0.744}),"")</f>
        <v>0</v>
      </c>
      <c r="AF73" s="18">
        <f>iferror(if(AD73="",F73,AD73)*AE73,"")</f>
        <v>0</v>
      </c>
      <c r="AG73" s="19" t="s">
        <v>487</v>
      </c>
      <c r="AH73" s="17">
        <v>2181</v>
      </c>
      <c r="AJ73" s="18">
        <f>iferror(lookup(if(AI73="",F73,AI73),{0,1,10,25,50,100,250},{0.0,2.05,1.91,1.8,1.69,1.58,1.45}),"")</f>
        <v>0</v>
      </c>
      <c r="AK73" s="18">
        <f>iferror(if(AI73="",F73,AI73)*AJ73,"")</f>
        <v>0</v>
      </c>
      <c r="AL73" s="19" t="s">
        <v>540</v>
      </c>
      <c r="AM73" s="17">
        <v>385</v>
      </c>
      <c r="AO73" s="18">
        <f>iferror(USD_GBP*lookup(if(AN73="",F73,AN73),{0,1,5,25,50,100,250},{0.0,1.244,1.244,1.206,1.18,1.148,1.12}),"")</f>
        <v>0</v>
      </c>
      <c r="AP73" s="18">
        <f>iferror(if(AN73="",F73,AN73)*AO73,"")</f>
        <v>0</v>
      </c>
      <c r="AQ73" s="19" t="s">
        <v>574</v>
      </c>
      <c r="AR73" s="17">
        <v>985</v>
      </c>
      <c r="AT73" s="18">
        <f>iferror(USD_GBP*lookup(if(AS73="",F73,AS73),{0,1,5,25,100},{0.0,0.92,0.82,0.71,0.62}),"")</f>
        <v>0</v>
      </c>
      <c r="AU73" s="18">
        <f>iferror(if(AS73="",F73,AS73)*AT73,"")</f>
        <v>0</v>
      </c>
      <c r="AV73" s="19" t="s">
        <v>600</v>
      </c>
    </row>
    <row r="74" spans="1:48">
      <c r="A74" s="17" t="s">
        <v>218</v>
      </c>
      <c r="B74" s="17" t="s">
        <v>219</v>
      </c>
      <c r="D74" s="17" t="s">
        <v>220</v>
      </c>
      <c r="E74" s="17" t="s">
        <v>221</v>
      </c>
      <c r="F74" s="17">
        <f>BoardQty*1</f>
        <v>0</v>
      </c>
      <c r="G7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74" s="18">
        <f>iferror(F74*G74,"")</f>
        <v>0</v>
      </c>
      <c r="N74" s="17">
        <v>5</v>
      </c>
      <c r="P74" s="18">
        <f>iferror(lookup(if(O74="",F74,O74),{0,1,10,25,100,250,500,1000,2000},{0.0,2.06,1.848,1.7436,1.4856,1.39496,1.2206,1.1515,1.1515}),"")</f>
        <v>0</v>
      </c>
      <c r="Q74" s="18">
        <f>iferror(if(O74="",F74,O74)*P74,"")</f>
        <v>0</v>
      </c>
      <c r="R74" s="19" t="s">
        <v>353</v>
      </c>
      <c r="S74" s="20" t="s">
        <v>301</v>
      </c>
      <c r="U74" s="18">
        <f>iferror(USD_GBP*lookup(if(T74="",F74,T74),{0,1,10,50,100,250},{0.0,1.93,1.46,1.35,1.24,1.17}),"")</f>
        <v>0</v>
      </c>
      <c r="V74" s="18">
        <f>iferror(if(T74="",F74,T74)*U74,"")</f>
        <v>0</v>
      </c>
      <c r="W74" s="19" t="s">
        <v>406</v>
      </c>
      <c r="AC74" s="17">
        <v>952</v>
      </c>
      <c r="AE74" s="18">
        <f>iferror(lookup(if(AD74="",F74,AD74),{0,1,10,50,100,1000,10000},{0.0,2.06,1.85,1.75,1.49,1.18,1.09}),"")</f>
        <v>0</v>
      </c>
      <c r="AF74" s="18">
        <f>iferror(if(AD74="",F74,AD74)*AE74,"")</f>
        <v>0</v>
      </c>
      <c r="AG74" s="19" t="s">
        <v>488</v>
      </c>
      <c r="AH74" s="20" t="s">
        <v>301</v>
      </c>
      <c r="AJ74" s="18">
        <f>iferror(lookup(if(AI74="",F74,AI74),{0,1,10,25,50,100,250},{0.0,2.79,2.6,2.45,2.3,2.14,1.98}),"")</f>
        <v>0</v>
      </c>
      <c r="AK74" s="18">
        <f>iferror(if(AI74="",F74,AI74)*AJ74,"")</f>
        <v>0</v>
      </c>
      <c r="AL74" s="19" t="s">
        <v>541</v>
      </c>
    </row>
    <row r="75" spans="1:48">
      <c r="A75" s="17" t="s">
        <v>222</v>
      </c>
      <c r="B75" s="17" t="s">
        <v>223</v>
      </c>
      <c r="D75" s="17" t="s">
        <v>224</v>
      </c>
      <c r="E75" s="17" t="s">
        <v>223</v>
      </c>
      <c r="F75" s="17">
        <f>BoardQty*1</f>
        <v>0</v>
      </c>
      <c r="G7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75" s="18">
        <f>iferror(F75*G75,"")</f>
        <v>0</v>
      </c>
      <c r="N75" s="17">
        <v>3398</v>
      </c>
      <c r="P75" s="18">
        <f>iferror(lookup(if(O75="",F75,O75),{0,1,10,25,100,250,500,1000,2500},{0.0,2.16,1.937,1.8272,1.5566,1.4616,1.2789,1.26,1.26}),"")</f>
        <v>0</v>
      </c>
      <c r="Q75" s="18">
        <f>iferror(if(O75="",F75,O75)*P75,"")</f>
        <v>0</v>
      </c>
      <c r="R75" s="19" t="s">
        <v>354</v>
      </c>
      <c r="S75" s="17">
        <v>2180</v>
      </c>
      <c r="U75" s="18">
        <f>iferror(USD_GBP*lookup(if(T75="",F75,T75),{0,1,10,50,100},{0.0,2.08,1.53,1.43,1.33}),"")</f>
        <v>0</v>
      </c>
      <c r="V75" s="18">
        <f>iferror(if(T75="",F75,T75)*U75,"")</f>
        <v>0</v>
      </c>
      <c r="W75" s="19" t="s">
        <v>407</v>
      </c>
      <c r="AC75" s="17">
        <v>1479</v>
      </c>
      <c r="AE75" s="18">
        <f>iferror(lookup(if(AD75="",F75,AD75),{0,1,10,50,100,1000,10000},{0.0,2.05,1.8,1.7,1.49,1.35,1.28}),"")</f>
        <v>0</v>
      </c>
      <c r="AF75" s="18">
        <f>iferror(if(AD75="",F75,AD75)*AE75,"")</f>
        <v>0</v>
      </c>
      <c r="AG75" s="19" t="s">
        <v>489</v>
      </c>
      <c r="AH75" s="17">
        <v>2180</v>
      </c>
      <c r="AJ75" s="18">
        <f>iferror(lookup(if(AI75="",F75,AI75),{0,1,10,25,50,100,250},{0.0,2.39,2.1,1.99,1.86,1.74,1.69}),"")</f>
        <v>0</v>
      </c>
      <c r="AK75" s="18">
        <f>iferror(if(AI75="",F75,AI75)*AJ75,"")</f>
        <v>0</v>
      </c>
      <c r="AL75" s="19" t="s">
        <v>542</v>
      </c>
    </row>
    <row r="76" spans="1:48">
      <c r="A76" s="17" t="s">
        <v>225</v>
      </c>
      <c r="B76" s="17" t="s">
        <v>226</v>
      </c>
      <c r="D76" s="17" t="s">
        <v>213</v>
      </c>
      <c r="E76" s="17" t="s">
        <v>227</v>
      </c>
      <c r="F76" s="17">
        <f>BoardQty*1</f>
        <v>0</v>
      </c>
      <c r="G7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76" s="18">
        <f>iferror(F76*G76,"")</f>
        <v>0</v>
      </c>
      <c r="N76" s="17">
        <v>483</v>
      </c>
      <c r="P76" s="18">
        <f>iferror(lookup(if(O76="",F76,O76),{0,1,10,25,100,250,500,1000},{0.0,1.69,1.513,1.4364,1.18,1.10304,0.97478,0.847}),"")</f>
        <v>0</v>
      </c>
      <c r="Q76" s="18">
        <f>iferror(if(O76="",F76,O76)*P76,"")</f>
        <v>0</v>
      </c>
      <c r="R76" s="19" t="s">
        <v>355</v>
      </c>
      <c r="S76" s="17">
        <v>848</v>
      </c>
      <c r="U76" s="18">
        <f>iferror(USD_GBP*lookup(if(T76="",F76,T76),{0,1,10,50,100,250},{0.0,1.6,1.2,1.06,0.924,0.811}),"")</f>
        <v>0</v>
      </c>
      <c r="V76" s="18">
        <f>iferror(if(T76="",F76,T76)*U76,"")</f>
        <v>0</v>
      </c>
      <c r="W76" s="19" t="s">
        <v>408</v>
      </c>
      <c r="AC76" s="17">
        <v>1451</v>
      </c>
      <c r="AE76" s="18">
        <f>iferror(lookup(if(AD76="",F76,AD76),{0,1,10,50,100,1000,10000},{0.0,1.68,1.52,1.44,1.18,0.769,0.744}),"")</f>
        <v>0</v>
      </c>
      <c r="AF76" s="18">
        <f>iferror(if(AD76="",F76,AD76)*AE76,"")</f>
        <v>0</v>
      </c>
      <c r="AG76" s="19" t="s">
        <v>490</v>
      </c>
      <c r="AH76" s="17">
        <v>848</v>
      </c>
      <c r="AJ76" s="18">
        <f>iferror(lookup(if(AI76="",F76,AI76),{0,1,10,25,50,100,250},{0.0,2.14,1.99,1.88,1.76,1.65,1.52}),"")</f>
        <v>0</v>
      </c>
      <c r="AK76" s="18">
        <f>iferror(if(AI76="",F76,AI76)*AJ76,"")</f>
        <v>0</v>
      </c>
      <c r="AL76" s="19" t="s">
        <v>543</v>
      </c>
    </row>
    <row r="77" spans="1:48">
      <c r="A77" s="17" t="s">
        <v>228</v>
      </c>
      <c r="B77" s="17" t="s">
        <v>229</v>
      </c>
      <c r="D77" s="17" t="s">
        <v>230</v>
      </c>
      <c r="E77" s="17" t="s">
        <v>231</v>
      </c>
      <c r="F77" s="17">
        <f>BoardQty*1</f>
        <v>0</v>
      </c>
      <c r="G7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77" s="18">
        <f>iferror(F77*G77,"")</f>
        <v>0</v>
      </c>
      <c r="N77" s="20" t="s">
        <v>301</v>
      </c>
      <c r="P77" s="18">
        <f>iferror(lookup(if(O77="",F77,O77),{0,1,10,25,100,250,500,1000,2500},{0.0,0.9,0.792,0.7436,0.6069,0.56372,0.47976,0.39602,0.39602}),"")</f>
        <v>0</v>
      </c>
      <c r="Q77" s="18">
        <f>iferror(if(O77="",F77,O77)*P77,"")</f>
        <v>0</v>
      </c>
      <c r="R77" s="19" t="s">
        <v>356</v>
      </c>
      <c r="S77" s="20" t="s">
        <v>301</v>
      </c>
      <c r="U77" s="18">
        <f>iferror(USD_GBP*lookup(if(T77="",F77,T77),{0,1,5,10,100,500,2500,7500,20000,37500},{0.0,0.758,0.758,0.635,0.411,0.281,0.239,0.231,0.226,0.222}),"")</f>
        <v>0</v>
      </c>
      <c r="V77" s="18">
        <f>iferror(if(T77="",F77,T77)*U77,"")</f>
        <v>0</v>
      </c>
      <c r="W77" s="19" t="s">
        <v>409</v>
      </c>
      <c r="AC77" s="17">
        <v>3639</v>
      </c>
      <c r="AE77" s="18">
        <f>iferror(lookup(if(AD77="",F77,AD77),{0,1,10,50,100,1000,10000},{0.0,0.91,0.792,0.792,0.607,0.384,0.362}),"")</f>
        <v>0</v>
      </c>
      <c r="AF77" s="18">
        <f>iferror(if(AD77="",F77,AD77)*AE77,"")</f>
        <v>0</v>
      </c>
      <c r="AG77" s="19" t="s">
        <v>491</v>
      </c>
      <c r="AH77" s="17">
        <v>15</v>
      </c>
      <c r="AJ77" s="18">
        <f>iferror(lookup(if(AI77="",F77,AI77),{0,1,5,10,100,2500,7500,20000,37500},{0.0,1.07,1.07,0.946,0.725,0.332,0.315,0.303,0.286}),"")</f>
        <v>0</v>
      </c>
      <c r="AK77" s="18">
        <f>iferror(if(AI77="",F77,AI77)*AJ77,"")</f>
        <v>0</v>
      </c>
      <c r="AL77" s="19" t="s">
        <v>544</v>
      </c>
      <c r="AM77" s="17">
        <v>1120</v>
      </c>
      <c r="AO77" s="18">
        <f>iferror(USD_GBP*lookup(if(AN77="",F77,AN77),{0,1,10,100,500,1000,2500},{0.0,0.427,0.427,0.284,0.273,0.209,0.203}),"")</f>
        <v>0</v>
      </c>
      <c r="AP77" s="18">
        <f>iferror(if(AN77="",F77,AN77)*AO77,"")</f>
        <v>0</v>
      </c>
      <c r="AQ77" s="19" t="s">
        <v>575</v>
      </c>
      <c r="AR77" s="20" t="s">
        <v>301</v>
      </c>
      <c r="AT77" s="18">
        <f>iferror(USD_GBP*lookup(if(AS77="",F77,AS77),{0,1,2500,7500},{0.0,0.1972,0.1972,0.1894}),"")</f>
        <v>0</v>
      </c>
      <c r="AU77" s="18">
        <f>iferror(if(AS77="",F77,AS77)*AT77,"")</f>
        <v>0</v>
      </c>
      <c r="AV77" s="19" t="s">
        <v>231</v>
      </c>
    </row>
    <row r="78" spans="1:48">
      <c r="A78" s="17" t="s">
        <v>232</v>
      </c>
      <c r="B78" s="17" t="s">
        <v>233</v>
      </c>
      <c r="D78" s="17" t="s">
        <v>213</v>
      </c>
      <c r="E78" s="17" t="s">
        <v>234</v>
      </c>
      <c r="F78" s="17">
        <f>BoardQty*1</f>
        <v>0</v>
      </c>
      <c r="G7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78" s="18">
        <f>iferror(F78*G78,"")</f>
        <v>0</v>
      </c>
      <c r="N78" s="17">
        <v>1629</v>
      </c>
      <c r="P78" s="18">
        <f>iferror(lookup(if(O78="",F78,O78),{0,1,10,25,100,250,500,1000},{0.0,1.69,1.513,1.4364,1.18,1.10304,0.97478,0.847}),"")</f>
        <v>0</v>
      </c>
      <c r="Q78" s="18">
        <f>iferror(if(O78="",F78,O78)*P78,"")</f>
        <v>0</v>
      </c>
      <c r="R78" s="19" t="s">
        <v>357</v>
      </c>
      <c r="AC78" s="17">
        <v>1336</v>
      </c>
      <c r="AE78" s="18">
        <f>iferror(lookup(if(AD78="",F78,AD78),{0,1,10,50,100,1000,10000},{0.0,1.68,1.52,1.44,1.18,0.769,0.744}),"")</f>
        <v>0</v>
      </c>
      <c r="AF78" s="18">
        <f>iferror(if(AD78="",F78,AD78)*AE78,"")</f>
        <v>0</v>
      </c>
      <c r="AG78" s="19" t="s">
        <v>492</v>
      </c>
    </row>
    <row r="79" spans="1:48">
      <c r="A79" s="17" t="s">
        <v>235</v>
      </c>
      <c r="B79" s="17" t="s">
        <v>236</v>
      </c>
      <c r="D79" s="17" t="s">
        <v>237</v>
      </c>
      <c r="E79" s="17" t="s">
        <v>238</v>
      </c>
      <c r="F79" s="17">
        <f>BoardQty*1</f>
        <v>0</v>
      </c>
      <c r="G7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79" s="18">
        <f>iferror(F79*G79,"")</f>
        <v>0</v>
      </c>
      <c r="N79" s="20" t="s">
        <v>301</v>
      </c>
      <c r="P79" s="18">
        <f>iferror(lookup(if(O79="",F79,O79),{0,1,3300},{0.0,0.28,0.285}),"")</f>
        <v>0</v>
      </c>
      <c r="Q79" s="18">
        <f>iferror(if(O79="",F79,O79)*P79,"")</f>
        <v>0</v>
      </c>
      <c r="R79" s="19" t="s">
        <v>358</v>
      </c>
      <c r="S79" s="20" t="s">
        <v>301</v>
      </c>
      <c r="U79" s="18">
        <f>iferror(USD_GBP*lookup(if(T79="",F79,T79),{0,1,3300},{0.0,0.222,0.222}),"")</f>
        <v>0</v>
      </c>
      <c r="V79" s="18">
        <f>iferror(if(T79="",F79,T79)*U79,"")</f>
        <v>0</v>
      </c>
      <c r="W79" s="19" t="s">
        <v>410</v>
      </c>
      <c r="AC79" s="20" t="s">
        <v>301</v>
      </c>
      <c r="AE79" s="18">
        <f>iferror(lookup(if(AD79="",F79,AD79),{0,1,10,50,100,1000,10000},{0.0,0.28,0.28,0.28,0.28,0.28,0.28}),"")</f>
        <v>0</v>
      </c>
      <c r="AF79" s="18">
        <f>iferror(if(AD79="",F79,AD79)*AE79,"")</f>
        <v>0</v>
      </c>
      <c r="AG79" s="19" t="s">
        <v>493</v>
      </c>
      <c r="AH79" s="20" t="s">
        <v>301</v>
      </c>
      <c r="AJ79" s="18">
        <f>iferror(lookup(if(AI79="",F79,AI79),{0,1,3300},{0.0,0.275,0.275}),"")</f>
        <v>0</v>
      </c>
      <c r="AK79" s="18">
        <f>iferror(if(AI79="",F79,AI79)*AJ79,"")</f>
        <v>0</v>
      </c>
      <c r="AL79" s="19" t="s">
        <v>545</v>
      </c>
    </row>
    <row r="80" spans="1:48">
      <c r="A80" s="17" t="s">
        <v>239</v>
      </c>
      <c r="B80" s="17" t="s">
        <v>240</v>
      </c>
      <c r="C80" s="17" t="s">
        <v>241</v>
      </c>
      <c r="D80" s="17" t="s">
        <v>242</v>
      </c>
      <c r="E80" s="17" t="s">
        <v>243</v>
      </c>
      <c r="F80" s="17">
        <f>BoardQty*1</f>
        <v>0</v>
      </c>
      <c r="G8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80" s="18">
        <f>iferror(F80*G80,"")</f>
        <v>0</v>
      </c>
      <c r="N80" s="20" t="s">
        <v>301</v>
      </c>
      <c r="P80" s="18">
        <f>iferror(lookup(if(O80="",F80,O80),{0,1,10,25,100,250,500,1000,4000},{0.0,0.91,0.805,0.7556,0.6168,0.57292,0.4876,0.4025,0.4025}),"")</f>
        <v>0</v>
      </c>
      <c r="Q80" s="18">
        <f>iferror(if(O80="",F80,O80)*P80,"")</f>
        <v>0</v>
      </c>
      <c r="R80" s="19" t="s">
        <v>359</v>
      </c>
      <c r="S80" s="20" t="s">
        <v>301</v>
      </c>
      <c r="U80" s="18">
        <f>iferror(USD_GBP*lookup(if(T80="",F80,T80),{0,1,10,100,150,1000,4000},{0.0,0.529,0.434,0.28,0.28,0.224,0.19}),"")</f>
        <v>0</v>
      </c>
      <c r="V80" s="18">
        <f>iferror(if(T80="",F80,T80)*U80,"")</f>
        <v>0</v>
      </c>
      <c r="W80" s="19" t="s">
        <v>411</v>
      </c>
      <c r="AC80" s="20" t="s">
        <v>301</v>
      </c>
      <c r="AE80" s="18">
        <f>iferror(lookup(if(AD80="",F80,AD80),{0,1,10,50,100,1000,10000},{0.0,0.92,0.805,0.805,0.617,0.391,0.356}),"")</f>
        <v>0</v>
      </c>
      <c r="AF80" s="18">
        <f>iferror(if(AD80="",F80,AD80)*AE80,"")</f>
        <v>0</v>
      </c>
      <c r="AG80" s="19" t="s">
        <v>494</v>
      </c>
      <c r="AH80" s="20" t="s">
        <v>301</v>
      </c>
      <c r="AJ80" s="18">
        <f>iferror(lookup(if(AI80="",F80,AI80),{0,1,10,25,50,100,250,500,1000,4000,12000,32000,60000},{0.0,1.05,0.854,0.756,0.672,0.577,0.507,0.402,0.385,0.33,0.32,0.296,0.291}),"")</f>
        <v>0</v>
      </c>
      <c r="AK80" s="18">
        <f>iferror(if(AI80="",F80,AI80)*AJ80,"")</f>
        <v>0</v>
      </c>
      <c r="AL80" s="19" t="s">
        <v>546</v>
      </c>
      <c r="AM80" s="17">
        <v>3020</v>
      </c>
      <c r="AO80" s="18">
        <f>iferror(USD_GBP*lookup(if(AN80="",F80,AN80),{0,1,5,50,100,250,500},{0.0,0.596,0.596,0.34,0.326,0.318,0.31}),"")</f>
        <v>0</v>
      </c>
      <c r="AP80" s="18">
        <f>iferror(if(AN80="",F80,AN80)*AO80,"")</f>
        <v>0</v>
      </c>
      <c r="AQ80" s="19" t="s">
        <v>576</v>
      </c>
      <c r="AR80" s="20" t="s">
        <v>301</v>
      </c>
      <c r="AT80" s="18">
        <f>iferror(USD_GBP*lookup(if(AS80="",F80,AS80),{0,1,5,25,100,500},{0.0,0.78,0.446,0.3836,0.3384,0.2875}),"")</f>
        <v>0</v>
      </c>
      <c r="AU80" s="18">
        <f>iferror(if(AS80="",F80,AS80)*AT80,"")</f>
        <v>0</v>
      </c>
      <c r="AV80" s="19" t="s">
        <v>243</v>
      </c>
    </row>
    <row r="81" spans="1:47">
      <c r="A81" s="17" t="s">
        <v>244</v>
      </c>
      <c r="B81" s="17" t="s">
        <v>245</v>
      </c>
      <c r="D81" s="17" t="s">
        <v>246</v>
      </c>
      <c r="E81" s="17" t="s">
        <v>245</v>
      </c>
      <c r="F81" s="17">
        <f>BoardQty*1</f>
        <v>0</v>
      </c>
      <c r="G8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81" s="18">
        <f>iferror(F81*G81,"")</f>
        <v>0</v>
      </c>
      <c r="N81" s="17">
        <v>3276</v>
      </c>
      <c r="P81" s="18">
        <f>iferror(lookup(if(O81="",F81,O81),{0,1,10,25,100,250,500,1000,2500},{0.0,2.04,1.829,1.7252,1.4698,1.38012,1.2076,1.13925,1.13925}),"")</f>
        <v>0</v>
      </c>
      <c r="Q81" s="18">
        <f>iferror(if(O81="",F81,O81)*P81,"")</f>
        <v>0</v>
      </c>
      <c r="R81" s="19" t="s">
        <v>360</v>
      </c>
      <c r="S81" s="20" t="s">
        <v>301</v>
      </c>
      <c r="U81" s="18">
        <f>iferror(USD_GBP*lookup(if(T81="",F81,T81),{0,1,2500},{0.0,0.611,0.611}),"")</f>
        <v>0</v>
      </c>
      <c r="V81" s="18">
        <f>iferror(if(T81="",F81,T81)*U81,"")</f>
        <v>0</v>
      </c>
      <c r="W81" s="19" t="s">
        <v>412</v>
      </c>
      <c r="X81" s="17">
        <v>34</v>
      </c>
      <c r="Z81" s="18">
        <f>iferror(lookup(if(Y81="",F81,Y81),{0,1,10,30,100,500,1000},{0.0,14.06,10.35,9.67,8.98,8.68,8.53}),"")</f>
        <v>0</v>
      </c>
      <c r="AA81" s="18">
        <f>iferror(if(Y81="",F81,Y81)*Z81,"")</f>
        <v>0</v>
      </c>
      <c r="AB81" s="19" t="s">
        <v>427</v>
      </c>
      <c r="AC81" s="17">
        <v>3936</v>
      </c>
      <c r="AE81" s="18">
        <f>iferror(lookup(if(AD81="",F81,AD81),{0,1,10,50,100,1000,10000},{0.0,2.03,1.83,1.73,1.47,1.05,1.0}),"")</f>
        <v>0</v>
      </c>
      <c r="AF81" s="18">
        <f>iferror(if(AD81="",F81,AD81)*AE81,"")</f>
        <v>0</v>
      </c>
      <c r="AG81" s="19" t="s">
        <v>495</v>
      </c>
      <c r="AH81" s="20" t="s">
        <v>301</v>
      </c>
      <c r="AJ81" s="18">
        <f>iferror(lookup(if(AI81="",F81,AI81),{0,1,2500,7500,20000},{0.0,1.24,1.24,1.16,1.1}),"")</f>
        <v>0</v>
      </c>
      <c r="AK81" s="18">
        <f>iferror(if(AI81="",F81,AI81)*AJ81,"")</f>
        <v>0</v>
      </c>
      <c r="AL81" s="19" t="s">
        <v>547</v>
      </c>
    </row>
    <row r="82" spans="1:47">
      <c r="A82" s="17" t="s">
        <v>247</v>
      </c>
      <c r="B82" s="17" t="s">
        <v>248</v>
      </c>
      <c r="D82" s="17" t="s">
        <v>246</v>
      </c>
      <c r="E82" s="17" t="s">
        <v>249</v>
      </c>
      <c r="F82" s="17">
        <f>BoardQty*2</f>
        <v>0</v>
      </c>
      <c r="G8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82" s="18">
        <f>iferror(F82*G82,"")</f>
        <v>0</v>
      </c>
      <c r="N82" s="20" t="s">
        <v>301</v>
      </c>
      <c r="P82" s="18">
        <f>iferror(lookup(if(O82="",F82,O82),{0,1,10,25,100,250,500,1000,2000},{0.0,1.43,1.282,1.2168,0.9996,0.9344,0.76056,0.7175,0.7175}),"")</f>
        <v>0</v>
      </c>
      <c r="Q82" s="18">
        <f>iferror(if(O82="",F82,O82)*P82,"")</f>
        <v>0</v>
      </c>
      <c r="R82" s="19" t="s">
        <v>361</v>
      </c>
      <c r="S82" s="20" t="s">
        <v>301</v>
      </c>
      <c r="U82" s="18">
        <f>iferror(USD_GBP*lookup(if(T82="",F82,T82),{0,1,10,50,100,250},{0.0,1.43,1.06,0.965,0.87,0.814}),"")</f>
        <v>0</v>
      </c>
      <c r="V82" s="18">
        <f>iferror(if(T82="",F82,T82)*U82,"")</f>
        <v>0</v>
      </c>
      <c r="W82" s="19" t="s">
        <v>413</v>
      </c>
      <c r="X82" s="17">
        <v>220</v>
      </c>
      <c r="Z82" s="18">
        <f>iferror(lookup(if(Y82="",F82,Y82),{0,1,10,30,100,500,1000},{0.0,7.58,5.86,5.43,4.87,4.61,4.57}),"")</f>
        <v>0</v>
      </c>
      <c r="AA82" s="18">
        <f>iferror(if(Y82="",F82,Y82)*Z82,"")</f>
        <v>0</v>
      </c>
      <c r="AB82" s="19" t="s">
        <v>428</v>
      </c>
      <c r="AC82" s="20" t="s">
        <v>301</v>
      </c>
      <c r="AE82" s="18">
        <f>iferror(lookup(if(AD82="",F82,AD82),{0,1,10,50,100,1000,10000},{0.0,1.43,1.29,1.22,1.0,0.652,0.63}),"")</f>
        <v>0</v>
      </c>
      <c r="AF82" s="18">
        <f>iferror(if(AD82="",F82,AD82)*AE82,"")</f>
        <v>0</v>
      </c>
      <c r="AG82" s="19" t="s">
        <v>496</v>
      </c>
      <c r="AH82" s="20" t="s">
        <v>301</v>
      </c>
      <c r="AJ82" s="18">
        <f>iferror(lookup(if(AI82="",F82,AI82),{0,1,10,25,50,100,250},{0.0,2.35,2.19,2.04,1.91,1.78,1.66}),"")</f>
        <v>0</v>
      </c>
      <c r="AK82" s="18">
        <f>iferror(if(AI82="",F82,AI82)*AJ82,"")</f>
        <v>0</v>
      </c>
      <c r="AL82" s="19" t="s">
        <v>548</v>
      </c>
      <c r="AM82" s="17">
        <v>112</v>
      </c>
      <c r="AO82" s="18">
        <f>iferror(USD_GBP*lookup(if(AN82="",F82,AN82),{0,1,10,50,100,250},{0.0,1.13,1.02,0.91,0.79,0.68}),"")</f>
        <v>0</v>
      </c>
      <c r="AP82" s="18">
        <f>iferror(if(AN82="",F82,AN82)*AO82,"")</f>
        <v>0</v>
      </c>
      <c r="AQ82" s="19" t="s">
        <v>577</v>
      </c>
    </row>
    <row r="83" spans="1:47">
      <c r="A83" s="17" t="s">
        <v>250</v>
      </c>
      <c r="B83" s="17" t="s">
        <v>251</v>
      </c>
      <c r="D83" s="17" t="s">
        <v>252</v>
      </c>
      <c r="E83" s="17" t="s">
        <v>253</v>
      </c>
      <c r="F83" s="17">
        <f>BoardQty*2</f>
        <v>0</v>
      </c>
      <c r="G8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83" s="18">
        <f>iferror(F83*G83,"")</f>
        <v>0</v>
      </c>
      <c r="N83" s="20" t="s">
        <v>301</v>
      </c>
      <c r="P83" s="18">
        <f>iferror(lookup(if(O83="",F83,O83),{0,1,10,25,100,250,500,1000,2000},{0.0,1.87,1.677,1.582,1.3479,1.26564,1.10744,1.04475,1.04475}),"")</f>
        <v>0</v>
      </c>
      <c r="Q83" s="18">
        <f>iferror(if(O83="",F83,O83)*P83,"")</f>
        <v>0</v>
      </c>
      <c r="R83" s="19" t="s">
        <v>362</v>
      </c>
      <c r="S83" s="20" t="s">
        <v>301</v>
      </c>
      <c r="U83" s="18">
        <f>iferror(USD_GBP*lookup(if(T83="",F83,T83),{0,1,10,50,100,250},{0.0,1.76,1.32,1.22,1.12,1.06}),"")</f>
        <v>0</v>
      </c>
      <c r="V83" s="18">
        <f>iferror(if(T83="",F83,T83)*U83,"")</f>
        <v>0</v>
      </c>
      <c r="W83" s="19" t="s">
        <v>414</v>
      </c>
      <c r="AC83" s="20" t="s">
        <v>301</v>
      </c>
      <c r="AE83" s="18">
        <f>iferror(lookup(if(AD83="",F83,AD83),{0,1,10,50,100,1000,10000},{0.0,1.86,1.68,1.59,1.35,0.919,0.918}),"")</f>
        <v>0</v>
      </c>
      <c r="AF83" s="18">
        <f>iferror(if(AD83="",F83,AD83)*AE83,"")</f>
        <v>0</v>
      </c>
      <c r="AG83" s="19" t="s">
        <v>497</v>
      </c>
      <c r="AH83" s="20" t="s">
        <v>301</v>
      </c>
      <c r="AJ83" s="18">
        <f>iferror(lookup(if(AI83="",F83,AI83),{0,1,10,25,50,100,250},{0.0,3.04,2.83,2.67,2.5,2.33,2.15}),"")</f>
        <v>0</v>
      </c>
      <c r="AK83" s="18">
        <f>iferror(if(AI83="",F83,AI83)*AJ83,"")</f>
        <v>0</v>
      </c>
      <c r="AL83" s="19" t="s">
        <v>549</v>
      </c>
    </row>
    <row r="84" spans="1:47">
      <c r="A84" s="17" t="s">
        <v>254</v>
      </c>
      <c r="B84" s="17" t="s">
        <v>255</v>
      </c>
      <c r="D84" s="17" t="s">
        <v>256</v>
      </c>
      <c r="E84" s="17" t="s">
        <v>255</v>
      </c>
      <c r="F84" s="17">
        <f>BoardQty*4</f>
        <v>0</v>
      </c>
      <c r="G8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84" s="18">
        <f>iferror(F84*G84,"")</f>
        <v>0</v>
      </c>
      <c r="N84" s="20" t="s">
        <v>301</v>
      </c>
      <c r="P84" s="18">
        <f>iferror(lookup(if(O84="",F84,O84),{0,1,10,25,100,1500},{0.0,38.06,35.51,34.0216,33.099,33.099}),"")</f>
        <v>0</v>
      </c>
      <c r="Q84" s="18">
        <f>iferror(if(O84="",F84,O84)*P84,"")</f>
        <v>0</v>
      </c>
      <c r="R84" s="19" t="s">
        <v>363</v>
      </c>
    </row>
    <row r="85" spans="1:47">
      <c r="A85" s="17" t="s">
        <v>257</v>
      </c>
      <c r="B85" s="17" t="s">
        <v>258</v>
      </c>
      <c r="D85" s="17" t="s">
        <v>259</v>
      </c>
      <c r="E85" s="17" t="s">
        <v>260</v>
      </c>
      <c r="F85" s="17">
        <f>BoardQty*4</f>
        <v>0</v>
      </c>
      <c r="G8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85" s="18">
        <f>iferror(F85*G85,"")</f>
        <v>0</v>
      </c>
      <c r="N85" s="20" t="s">
        <v>301</v>
      </c>
      <c r="P85" s="18">
        <f>iferror(lookup(if(O85="",F85,O85),{0,1,10,25,100,250,500,1000,3000},{0.0,1.58,1.416,1.3356,1.1379,1.06848,0.93492,0.882,0.882}),"")</f>
        <v>0</v>
      </c>
      <c r="Q85" s="18">
        <f>iferror(if(O85="",F85,O85)*P85,"")</f>
        <v>0</v>
      </c>
      <c r="R85" s="19" t="s">
        <v>364</v>
      </c>
      <c r="AC85" s="20" t="s">
        <v>301</v>
      </c>
      <c r="AE85" s="18">
        <f>iferror(lookup(if(AD85="",F85,AD85),{0,1,10,50,100,1000,10000},{0.0,1.57,1.42,1.34,1.14,0.776,0.775}),"")</f>
        <v>0</v>
      </c>
      <c r="AF85" s="18">
        <f>iferror(if(AD85="",F85,AD85)*AE85,"")</f>
        <v>0</v>
      </c>
      <c r="AG85" s="19" t="s">
        <v>498</v>
      </c>
    </row>
    <row r="86" spans="1:47">
      <c r="A86" s="17" t="s">
        <v>261</v>
      </c>
      <c r="B86" s="17" t="s">
        <v>262</v>
      </c>
      <c r="D86" s="17" t="s">
        <v>202</v>
      </c>
      <c r="E86" s="17" t="s">
        <v>262</v>
      </c>
      <c r="F86" s="17">
        <f>BoardQty*6</f>
        <v>0</v>
      </c>
      <c r="G8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86" s="18">
        <f>iferror(F86*G86,"")</f>
        <v>0</v>
      </c>
      <c r="N86" s="17">
        <v>1529</v>
      </c>
      <c r="P86" s="18">
        <f>iferror(lookup(if(O86="",F86,O86),{0,1,10,25,100,250,500,2000},{0.0,3.69,3.312,3.1316,2.4913,2.36604,2.29776,2.29775}),"")</f>
        <v>0</v>
      </c>
      <c r="Q86" s="18">
        <f>iferror(if(O86="",F86,O86)*P86,"")</f>
        <v>0</v>
      </c>
      <c r="R86" s="19" t="s">
        <v>365</v>
      </c>
      <c r="AC86" s="17">
        <v>693</v>
      </c>
      <c r="AE86" s="18">
        <f>iferror(lookup(if(AD86="",F86,AD86),{0,1,10,50,100,1000,10000},{0.0,3.69,3.32,3.14,2.72,2.02,2.02}),"")</f>
        <v>0</v>
      </c>
      <c r="AF86" s="18">
        <f>iferror(if(AD86="",F86,AD86)*AE86,"")</f>
        <v>0</v>
      </c>
      <c r="AG86" s="19" t="s">
        <v>499</v>
      </c>
    </row>
    <row r="87" spans="1:47">
      <c r="A87" s="17" t="s">
        <v>263</v>
      </c>
      <c r="B87" s="17" t="s">
        <v>264</v>
      </c>
      <c r="D87" s="17" t="s">
        <v>265</v>
      </c>
      <c r="E87" s="17" t="s">
        <v>266</v>
      </c>
      <c r="F87" s="17">
        <f>BoardQty*6</f>
        <v>0</v>
      </c>
      <c r="G8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87" s="18">
        <f>iferror(F87*G87,"")</f>
        <v>0</v>
      </c>
      <c r="N87" s="17">
        <v>2737</v>
      </c>
      <c r="P87" s="18">
        <f>iferror(lookup(if(O87="",F87,O87),{0,1,10,25,100,250,500,3000},{0.0,11.93,10.78,10.2784,8.9246,8.52344,7.8045,7.8045}),"")</f>
        <v>0</v>
      </c>
      <c r="Q87" s="18">
        <f>iferror(if(O87="",F87,O87)*P87,"")</f>
        <v>0</v>
      </c>
      <c r="R87" s="19" t="s">
        <v>366</v>
      </c>
      <c r="AC87" s="17">
        <v>2233</v>
      </c>
      <c r="AE87" s="18">
        <f>iferror(lookup(if(AD87="",F87,AD87),{0,1,10,50,100,1000,10000},{0.0,11.93,10.78,10.28,8.93,7.42,7.23}),"")</f>
        <v>0</v>
      </c>
      <c r="AF87" s="18">
        <f>iferror(if(AD87="",F87,AD87)*AE87,"")</f>
        <v>0</v>
      </c>
      <c r="AG87" s="19" t="s">
        <v>500</v>
      </c>
    </row>
    <row r="88" spans="1:47">
      <c r="A88" s="17" t="s">
        <v>267</v>
      </c>
      <c r="B88" s="17" t="s">
        <v>268</v>
      </c>
      <c r="D88" s="17" t="s">
        <v>269</v>
      </c>
      <c r="E88" s="17" t="s">
        <v>270</v>
      </c>
      <c r="F88" s="17">
        <f>BoardQty*2</f>
        <v>0</v>
      </c>
      <c r="G8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88" s="18">
        <f>iferror(F88*G88,"")</f>
        <v>0</v>
      </c>
      <c r="N88" s="17">
        <v>33</v>
      </c>
      <c r="P88" s="18">
        <f>iferror(lookup(if(O88="",F88,O88),{0,1,10,25,100,250},{0.0,20.68,19.076,18.2184,17.6925,17.69248}),"")</f>
        <v>0</v>
      </c>
      <c r="Q88" s="18">
        <f>iferror(if(O88="",F88,O88)*P88,"")</f>
        <v>0</v>
      </c>
      <c r="R88" s="19" t="s">
        <v>367</v>
      </c>
      <c r="AC88" s="17">
        <v>300</v>
      </c>
      <c r="AE88" s="18">
        <f>iferror(lookup(if(AD88="",F88,AD88),{0,1,10,50,100,1000,10000},{0.0,22.75,20.98,20.04,17.92,17.1,17.1}),"")</f>
        <v>0</v>
      </c>
      <c r="AF88" s="18">
        <f>iferror(if(AD88="",F88,AD88)*AE88,"")</f>
        <v>0</v>
      </c>
      <c r="AG88" s="19" t="s">
        <v>501</v>
      </c>
    </row>
    <row r="89" spans="1:47">
      <c r="A89" s="17" t="s">
        <v>271</v>
      </c>
      <c r="B89" s="17" t="s">
        <v>272</v>
      </c>
      <c r="D89" s="17" t="s">
        <v>237</v>
      </c>
      <c r="E89" s="17" t="s">
        <v>273</v>
      </c>
      <c r="F89" s="17">
        <f>BoardQty*14</f>
        <v>0</v>
      </c>
      <c r="G8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89" s="18">
        <f>iferror(F89*G89,"")</f>
        <v>0</v>
      </c>
      <c r="N89" s="17">
        <v>8804</v>
      </c>
      <c r="P89" s="18">
        <f>iferror(lookup(if(O89="",F89,O89),{0,1,10,25,100,250,500,1000,2500},{0.0,3.24,2.914,2.7548,2.3874,2.26496,2.03234,2.02125,2.02125}),"")</f>
        <v>0</v>
      </c>
      <c r="Q89" s="18">
        <f>iferror(if(O89="",F89,O89)*P89,"")</f>
        <v>0</v>
      </c>
      <c r="R89" s="19" t="s">
        <v>368</v>
      </c>
      <c r="AC89" s="20" t="s">
        <v>301</v>
      </c>
      <c r="AE89" s="18">
        <f>iferror(lookup(if(AD89="",F89,AD89),{0,1,10,50,100,1000,10000},{0.0,3.25,2.92,2.76,2.39,1.78,1.77}),"")</f>
        <v>0</v>
      </c>
      <c r="AF89" s="18">
        <f>iferror(if(AD89="",F89,AD89)*AE89,"")</f>
        <v>0</v>
      </c>
      <c r="AG89" s="19" t="s">
        <v>502</v>
      </c>
    </row>
    <row r="91" spans="1:47">
      <c r="B91" s="21" t="s">
        <v>276</v>
      </c>
      <c r="G91" s="1" t="s">
        <v>274</v>
      </c>
      <c r="H91" s="5">
        <f>SUM(INDIRECT(ADDRESS(ROW(),COLUMN(arrow_part_data)+3)),INDIRECT(ADDRESS(ROW(),COLUMN(digikey_part_data)+3)),INDIRECT(ADDRESS(ROW(),COLUMN(farnell_part_data)+3)),INDIRECT(ADDRESS(ROW(),COLUMN(mouser_part_data)+3)),INDIRECT(ADDRESS(ROW(),COLUMN(newark_part_data)+3)),INDIRECT(ADDRESS(ROW(),COLUMN(rs_part_data)+3)),INDIRECT(ADDRESS(ROW(),COLUMN(tme_part_data)+3)),INDIRECT(ADDRESS(ROW(),COLUMN(lcsc_part_data)+3)))</f>
        <v>0</v>
      </c>
      <c r="J91" s="6">
        <f>IFERROR(IF(OR(J7:J89),COUNTIFS(J7:J89,"&gt;0",L7:L89,"&lt;&gt;")&amp;" of "&amp;(ROWS(L7:L89)-COUNTBLANK(L7:L89))&amp;" parts purchased",""),"")</f>
        <v>0</v>
      </c>
      <c r="L91" s="5">
        <f>SUMIF(J7:J89,"&gt;0",L7:L89)</f>
        <v>0</v>
      </c>
      <c r="O91" s="6">
        <f>IFERROR(IF(OR(O7:O89),COUNTIFS(O7:O89,"&gt;0",Q7:Q89,"&lt;&gt;")&amp;" of "&amp;(ROWS(Q7:Q89)-COUNTBLANK(Q7:Q89))&amp;" parts purchased",""),"")</f>
        <v>0</v>
      </c>
      <c r="Q91" s="5">
        <f>SUMIF(O7:O89,"&gt;0",Q7:Q89)</f>
        <v>0</v>
      </c>
      <c r="T91" s="6">
        <f>IFERROR(IF(OR(T7:T89),COUNTIFS(T7:T89,"&gt;0",V7:V89,"&lt;&gt;")&amp;" of "&amp;(ROWS(V7:V89)-COUNTBLANK(V7:V89))&amp;" parts purchased",""),"")</f>
        <v>0</v>
      </c>
      <c r="V91" s="5">
        <f>SUMIF(T7:T89,"&gt;0",V7:V89)</f>
        <v>0</v>
      </c>
      <c r="Y91" s="6">
        <f>IFERROR(IF(OR(Y7:Y89),COUNTIFS(Y7:Y89,"&gt;0",AA7:AA89,"&lt;&gt;")&amp;" of "&amp;(ROWS(AA7:AA89)-COUNTBLANK(AA7:AA89))&amp;" parts purchased",""),"")</f>
        <v>0</v>
      </c>
      <c r="AA91" s="5">
        <f>SUMIF(Y7:Y89,"&gt;0",AA7:AA89)</f>
        <v>0</v>
      </c>
      <c r="AD91" s="6">
        <f>IFERROR(IF(OR(AD7:AD89),COUNTIFS(AD7:AD89,"&gt;0",AF7:AF89,"&lt;&gt;")&amp;" of "&amp;(ROWS(AF7:AF89)-COUNTBLANK(AF7:AF89))&amp;" parts purchased",""),"")</f>
        <v>0</v>
      </c>
      <c r="AF91" s="5">
        <f>SUMIF(AD7:AD89,"&gt;0",AF7:AF89)</f>
        <v>0</v>
      </c>
      <c r="AI91" s="6">
        <f>IFERROR(IF(OR(AI7:AI89),COUNTIFS(AI7:AI89,"&gt;0",AK7:AK89,"&lt;&gt;")&amp;" of "&amp;(ROWS(AK7:AK89)-COUNTBLANK(AK7:AK89))&amp;" parts purchased",""),"")</f>
        <v>0</v>
      </c>
      <c r="AK91" s="5">
        <f>SUMIF(AI7:AI89,"&gt;0",AK7:AK89)</f>
        <v>0</v>
      </c>
      <c r="AN91" s="6">
        <f>IFERROR(IF(OR(AN7:AN89),COUNTIFS(AN7:AN89,"&gt;0",AP7:AP89,"&lt;&gt;")&amp;" of "&amp;(ROWS(AP7:AP89)-COUNTBLANK(AP7:AP89))&amp;" parts purchased",""),"")</f>
        <v>0</v>
      </c>
      <c r="AP91" s="5">
        <f>SUMIF(AN7:AN89,"&gt;0",AP7:AP89)</f>
        <v>0</v>
      </c>
      <c r="AS91" s="6">
        <f>IFERROR(IF(OR(AS7:AS89),COUNTIFS(AS7:AS89,"&gt;0",AU7:AU89,"&lt;&gt;")&amp;" of "&amp;(ROWS(AU7:AU89)-COUNTBLANK(AU7:AU89))&amp;" parts purchased",""),"")</f>
        <v>0</v>
      </c>
      <c r="AU91" s="5">
        <f>SUMIF(AS7:AS89,"&gt;0",AU7:AU89)</f>
        <v>0</v>
      </c>
    </row>
    <row r="92" spans="1:47">
      <c r="B92" s="21" t="s">
        <v>277</v>
      </c>
      <c r="C92">
        <v>1.387799869317651</v>
      </c>
      <c r="G92" s="21" t="s">
        <v>275</v>
      </c>
      <c r="J92">
        <f t="array" ref="J92">IFERROR(CONCATENATE(INDEX(M7:M89,SMALL(IF(ISNUMBER(J7:J89),IF(J7:J89&gt;0,IF(M7:M89&lt;&gt;"",ROW(J7:J89)-MIN(ROW(J7:J89))+1))),ROW()-ROW(A$92)+1)),",",TEXT(INDEX(J7:J89,SMALL(IF(ISNUMBER(J7:J89),IF(J7:J89&gt;0,IF(M7:M89&lt;&gt;"",ROW(J7:J89)-MIN(ROW(J7:J89))+1))),ROW()-ROW(A$92)+1)),"##0"),",",SUBSTITUTE(INDEX(IF(PURCHASE_DESCRIPTION&lt;&gt;"",PURCHASE_DESCRIPTION&amp;":","")&amp;A7:A89,SMALL(IF(ISNUMBER(J7:J89),IF(J7:J89&gt;0,IF(M7:M89&lt;&gt;"",ROW(J7:J89)-MIN(ROW(J7:J89))+1))),ROW()-ROW(A$92)+1)),",",";")),"")</f>
        <v>0</v>
      </c>
      <c r="O92">
        <f t="array" ref="O92">IFERROR(CONCATENATE(TEXT(INDEX(O7:O89,SMALL(IF(ISNUMBER(O7:O89),IF(O7:O89&gt;0,IF(R7:R89&lt;&gt;"",ROW(O7:O89)-MIN(ROW(O7:O89))+1))),ROW()-ROW(A$92)+1)),"##0"),",",INDEX(R7:R89,SMALL(IF(ISNUMBER(O7:O89),IF(O7:O89&gt;0,IF(R7:R89&lt;&gt;"",ROW(O7:O89)-MIN(ROW(O7:O89))+1))),ROW()-ROW(A$92)+1)),",",SUBSTITUTE(INDEX(IF(PURCHASE_DESCRIPTION&lt;&gt;"",PURCHASE_DESCRIPTION&amp;":","")&amp;A7:A89,SMALL(IF(ISNUMBER(O7:O89),IF(O7:O89&gt;0,IF(R7:R89&lt;&gt;"",ROW(O7:O89)-MIN(ROW(O7:O89))+1))),ROW()-ROW(A$92)+1)),",",";")),"")</f>
        <v>0</v>
      </c>
      <c r="T92">
        <f t="array" ref="T92">IFERROR(CONCATENATE(INDEX(W7:W89,SMALL(IF(ISNUMBER(T7:T89),IF(T7:T89&gt;0,IF(W7:W89&lt;&gt;"",ROW(T7:T89)-MIN(ROW(T7:T89))+1))),ROW()-ROW(A$92)+1))," ",TEXT(INDEX(T7:T89,SMALL(IF(ISNUMBER(T7:T89),IF(T7:T89&gt;0,IF(W7:W89&lt;&gt;"",ROW(T7:T89)-MIN(ROW(T7:T89))+1))),ROW()-ROW(A$92)+1)),"##0")," ",SUBSTITUTE(INDEX(IF(PURCHASE_DESCRIPTION&lt;&gt;"",PURCHASE_DESCRIPTION&amp;":","")&amp;A7:A89,SMALL(IF(ISNUMBER(T7:T89),IF(T7:T89&gt;0,IF(W7:W89&lt;&gt;"",ROW(T7:T89)-MIN(ROW(T7:T89))+1))),ROW()-ROW(A$92)+1))," ",";")),"")</f>
        <v>0</v>
      </c>
      <c r="Y92" s="6">
        <f>IFERROR(IF(COUNTIFS(Y7:Y89,"&gt;0",AA7:AA89,"&lt;&gt;")&gt;0,"Quantity,Comment,Designator,Footprint,LCSC Part #(optional)",""),"")</f>
        <v>0</v>
      </c>
      <c r="AD92">
        <f t="array" ref="AD92">IFERROR(CONCATENATE(INDEX(AG7:AG89,SMALL(IF(ISNUMBER(AD7:AD89),IF(AD7:AD89&gt;0,IF(AG7:AG89&lt;&gt;"",ROW(AD7:AD89)-MIN(ROW(AD7:AD89))+1))),ROW()-ROW(A$92)+1)),"|",TEXT(INDEX(AD7:AD89,SMALL(IF(ISNUMBER(AD7:AD89),IF(AD7:AD89&gt;0,IF(AG7:AG89&lt;&gt;"",ROW(AD7:AD89)-MIN(ROW(AD7:AD89))+1))),ROW()-ROW(A$92)+1)),"##0"),"|",SUBSTITUTE(SUBSTITUTE(INDEX(IF(PURCHASE_DESCRIPTION&lt;&gt;"",PURCHASE_DESCRIPTION&amp;":","")&amp;A7:A89,SMALL(IF(ISNUMBER(AD7:AD89),IF(AD7:AD89&gt;0,IF(AG7:AG89&lt;&gt;"",ROW(AD7:AD89)-MIN(ROW(AD7:AD89))+1))),ROW()-ROW(A$92)+1)),"|",";")," ","_")),"")</f>
        <v>0</v>
      </c>
      <c r="AI92">
        <f t="array" ref="AI92">IFERROR(CONCATENATE(INDEX(AL7:AL89,SMALL(IF(ISNUMBER(AI7:AI89),IF(AI7:AI89&gt;0,IF(AL7:AL89&lt;&gt;"",ROW(AI7:AI89)-MIN(ROW(AI7:AI89))+1))),ROW()-ROW(A$92)+1)),",",TEXT(INDEX(AI7:AI89,SMALL(IF(ISNUMBER(AI7:AI89),IF(AI7:AI89&gt;0,IF(AL7:AL89&lt;&gt;"",ROW(AI7:AI89)-MIN(ROW(AI7:AI89))+1))),ROW()-ROW(A$92)+1)),"##0"),",",SUBSTITUTE(INDEX(IF(PURCHASE_DESCRIPTION&lt;&gt;"",PURCHASE_DESCRIPTION&amp;":","")&amp;A7:A89,SMALL(IF(ISNUMBER(AI7:AI89),IF(AI7:AI89&gt;0,IF(AL7:AL89&lt;&gt;"",ROW(AI7:AI89)-MIN(ROW(AI7:AI89))+1))),ROW()-ROW(A$92)+1)),",",";")),"")</f>
        <v>0</v>
      </c>
      <c r="AN92">
        <f t="array" ref="AN92">IFERROR(CONCATENATE(INDEX(AQ7:AQ89,SMALL(IF(ISNUMBER(AN7:AN89),IF(AN7:AN89&gt;0,IF(AQ7:AQ89&lt;&gt;"",ROW(AN7:AN89)-MIN(ROW(AN7:AN89))+1))),ROW()-ROW(A$92)+1))," ",TEXT(INDEX(AN7:AN89,SMALL(IF(ISNUMBER(AN7:AN89),IF(AN7:AN89&gt;0,IF(AQ7:AQ89&lt;&gt;"",ROW(AN7:AN89)-MIN(ROW(AN7:AN89))+1))),ROW()-ROW(A$92)+1)),"##0")," ",SUBSTITUTE(INDEX(IF(PURCHASE_DESCRIPTION&lt;&gt;"",PURCHASE_DESCRIPTION&amp;":","")&amp;A7:A89,SMALL(IF(ISNUMBER(AN7:AN89),IF(AN7:AN89&gt;0,IF(AQ7:AQ89&lt;&gt;"",ROW(AN7:AN89)-MIN(ROW(AN7:AN89))+1))),ROW()-ROW(A$92)+1))," ",";")),"")</f>
        <v>0</v>
      </c>
      <c r="AS92">
        <f t="array" ref="AS92">IFERROR(CONCATENATE(INDEX(AV7:AV89,SMALL(IF(ISNUMBER(AS7:AS89),IF(AS7:AS89&gt;0,IF(AV7:AV89&lt;&gt;"",ROW(AS7:AS89)-MIN(ROW(AS7:AS89))+1))),ROW()-ROW(A$92)+1))," ",TEXT(INDEX(AS7:AS89,SMALL(IF(ISNUMBER(AS7:AS89),IF(AS7:AS89&gt;0,IF(AV7:AV89&lt;&gt;"",ROW(AS7:AS89)-MIN(ROW(AS7:AS89))+1))),ROW()-ROW(A$92)+1)),"##0")," ",SUBSTITUTE(INDEX(IF(PURCHASE_DESCRIPTION&lt;&gt;"",PURCHASE_DESCRIPTION&amp;":","")&amp;A7:A89,SMALL(IF(ISNUMBER(AS7:AS89),IF(AS7:AS89&gt;0,IF(AV7:AV89&lt;&gt;"",ROW(AS7:AS89)-MIN(ROW(AS7:AS89))+1))),ROW()-ROW(A$92)+1))," ",";")),"")</f>
        <v>0</v>
      </c>
    </row>
    <row r="93" spans="1:47">
      <c r="J93">
        <f t="array" ref="J93">IFERROR(CONCATENATE(INDEX(M7:M89,SMALL(IF(ISNUMBER(J7:J89),IF(J7:J89&gt;0,IF(M7:M89&lt;&gt;"",ROW(J7:J89)-MIN(ROW(J7:J89))+1))),ROW()-ROW(A$92)+1)),",",TEXT(INDEX(J7:J89,SMALL(IF(ISNUMBER(J7:J89),IF(J7:J89&gt;0,IF(M7:M89&lt;&gt;"",ROW(J7:J89)-MIN(ROW(J7:J89))+1))),ROW()-ROW(A$92)+1)),"##0"),",",SUBSTITUTE(INDEX(IF(PURCHASE_DESCRIPTION&lt;&gt;"",PURCHASE_DESCRIPTION&amp;":","")&amp;A7:A89,SMALL(IF(ISNUMBER(J7:J89),IF(J7:J89&gt;0,IF(M7:M89&lt;&gt;"",ROW(J7:J89)-MIN(ROW(J7:J89))+1))),ROW()-ROW(A$92)+1)),",",";")),"")</f>
        <v>0</v>
      </c>
      <c r="O93">
        <f t="array" ref="O93">IFERROR(CONCATENATE(TEXT(INDEX(O7:O89,SMALL(IF(ISNUMBER(O7:O89),IF(O7:O89&gt;0,IF(R7:R89&lt;&gt;"",ROW(O7:O89)-MIN(ROW(O7:O89))+1))),ROW()-ROW(A$92)+1)),"##0"),",",INDEX(R7:R89,SMALL(IF(ISNUMBER(O7:O89),IF(O7:O89&gt;0,IF(R7:R89&lt;&gt;"",ROW(O7:O89)-MIN(ROW(O7:O89))+1))),ROW()-ROW(A$92)+1)),",",SUBSTITUTE(INDEX(IF(PURCHASE_DESCRIPTION&lt;&gt;"",PURCHASE_DESCRIPTION&amp;":","")&amp;A7:A89,SMALL(IF(ISNUMBER(O7:O89),IF(O7:O89&gt;0,IF(R7:R89&lt;&gt;"",ROW(O7:O89)-MIN(ROW(O7:O89))+1))),ROW()-ROW(A$92)+1)),",",";")),"")</f>
        <v>0</v>
      </c>
      <c r="T93">
        <f t="array" ref="T93">IFERROR(CONCATENATE(INDEX(W7:W89,SMALL(IF(ISNUMBER(T7:T89),IF(T7:T89&gt;0,IF(W7:W89&lt;&gt;"",ROW(T7:T89)-MIN(ROW(T7:T89))+1))),ROW()-ROW(A$92)+1))," ",TEXT(INDEX(T7:T89,SMALL(IF(ISNUMBER(T7:T89),IF(T7:T89&gt;0,IF(W7:W89&lt;&gt;"",ROW(T7:T89)-MIN(ROW(T7:T89))+1))),ROW()-ROW(A$92)+1)),"##0")," ",SUBSTITUTE(INDEX(IF(PURCHASE_DESCRIPTION&lt;&gt;"",PURCHASE_DESCRIPTION&amp;":","")&amp;A7:A89,SMALL(IF(ISNUMBER(T7:T89),IF(T7:T89&gt;0,IF(W7:W89&lt;&gt;"",ROW(T7:T89)-MIN(ROW(T7:T89))+1))),ROW()-ROW(A$92)+1))," ",";")),"")</f>
        <v>0</v>
      </c>
      <c r="Y93">
        <f t="array" ref="Y93">IFERROR(CONCATENATE(TEXT(INDEX(Y7:Y89,SMALL(IF(ISNUMBER(Y7:Y89),IF(Y7:Y89&gt;0,IF(AB7:AB89&lt;&gt;"",ROW(Y7:Y89)-MIN(ROW(Y7:Y89))+1))),ROW()-ROW(A$93)+1)),"##0"),",",SUBSTITUTE(INDEX(IF(PURCHASE_DESCRIPTION&lt;&gt;"",PURCHASE_DESCRIPTION&amp;":","")&amp;A7:A89,SMALL(IF(ISNUMBER(Y7:Y89),IF(Y7:Y89&gt;0,IF(AB7:AB89&lt;&gt;"",ROW(Y7:Y89)-MIN(ROW(Y7:Y89))+1))),ROW()-ROW(A$93)+1)),",",";"),",",SUBSTITUTE(INDEX(IF(PURCHASE_DESCRIPTION&lt;&gt;"",PURCHASE_DESCRIPTION&amp;":","")&amp;D7:D89,SMALL(IF(ISNUMBER(Y7:Y89),IF(Y7:Y89&gt;0,IF(AB7:AB89&lt;&gt;"",ROW(Y7:Y89)-MIN(ROW(Y7:Y89))+1))),ROW()-ROW(A$93)+1)),",",";"),",",INDEX(AB7:AB89,SMALL(IF(ISNUMBER(Y7:Y89),IF(Y7:Y89&gt;0,IF(AB7:AB89&lt;&gt;"",ROW(Y7:Y89)-MIN(ROW(Y7:Y89))+1))),ROW()-ROW(A$93)+1))),"")</f>
        <v>0</v>
      </c>
      <c r="AD93">
        <f t="array" ref="AD93">IFERROR(CONCATENATE(INDEX(AG7:AG89,SMALL(IF(ISNUMBER(AD7:AD89),IF(AD7:AD89&gt;0,IF(AG7:AG89&lt;&gt;"",ROW(AD7:AD89)-MIN(ROW(AD7:AD89))+1))),ROW()-ROW(A$92)+1)),"|",TEXT(INDEX(AD7:AD89,SMALL(IF(ISNUMBER(AD7:AD89),IF(AD7:AD89&gt;0,IF(AG7:AG89&lt;&gt;"",ROW(AD7:AD89)-MIN(ROW(AD7:AD89))+1))),ROW()-ROW(A$92)+1)),"##0"),"|",SUBSTITUTE(SUBSTITUTE(INDEX(IF(PURCHASE_DESCRIPTION&lt;&gt;"",PURCHASE_DESCRIPTION&amp;":","")&amp;A7:A89,SMALL(IF(ISNUMBER(AD7:AD89),IF(AD7:AD89&gt;0,IF(AG7:AG89&lt;&gt;"",ROW(AD7:AD89)-MIN(ROW(AD7:AD89))+1))),ROW()-ROW(A$92)+1)),"|",";")," ","_")),"")</f>
        <v>0</v>
      </c>
      <c r="AI93">
        <f t="array" ref="AI93">IFERROR(CONCATENATE(INDEX(AL7:AL89,SMALL(IF(ISNUMBER(AI7:AI89),IF(AI7:AI89&gt;0,IF(AL7:AL89&lt;&gt;"",ROW(AI7:AI89)-MIN(ROW(AI7:AI89))+1))),ROW()-ROW(A$92)+1)),",",TEXT(INDEX(AI7:AI89,SMALL(IF(ISNUMBER(AI7:AI89),IF(AI7:AI89&gt;0,IF(AL7:AL89&lt;&gt;"",ROW(AI7:AI89)-MIN(ROW(AI7:AI89))+1))),ROW()-ROW(A$92)+1)),"##0"),",",SUBSTITUTE(INDEX(IF(PURCHASE_DESCRIPTION&lt;&gt;"",PURCHASE_DESCRIPTION&amp;":","")&amp;A7:A89,SMALL(IF(ISNUMBER(AI7:AI89),IF(AI7:AI89&gt;0,IF(AL7:AL89&lt;&gt;"",ROW(AI7:AI89)-MIN(ROW(AI7:AI89))+1))),ROW()-ROW(A$92)+1)),",",";")),"")</f>
        <v>0</v>
      </c>
      <c r="AN93">
        <f t="array" ref="AN93">IFERROR(CONCATENATE(INDEX(AQ7:AQ89,SMALL(IF(ISNUMBER(AN7:AN89),IF(AN7:AN89&gt;0,IF(AQ7:AQ89&lt;&gt;"",ROW(AN7:AN89)-MIN(ROW(AN7:AN89))+1))),ROW()-ROW(A$92)+1))," ",TEXT(INDEX(AN7:AN89,SMALL(IF(ISNUMBER(AN7:AN89),IF(AN7:AN89&gt;0,IF(AQ7:AQ89&lt;&gt;"",ROW(AN7:AN89)-MIN(ROW(AN7:AN89))+1))),ROW()-ROW(A$92)+1)),"##0")," ",SUBSTITUTE(INDEX(IF(PURCHASE_DESCRIPTION&lt;&gt;"",PURCHASE_DESCRIPTION&amp;":","")&amp;A7:A89,SMALL(IF(ISNUMBER(AN7:AN89),IF(AN7:AN89&gt;0,IF(AQ7:AQ89&lt;&gt;"",ROW(AN7:AN89)-MIN(ROW(AN7:AN89))+1))),ROW()-ROW(A$92)+1))," ",";")),"")</f>
        <v>0</v>
      </c>
      <c r="AS93">
        <f t="array" ref="AS93">IFERROR(CONCATENATE(INDEX(AV7:AV89,SMALL(IF(ISNUMBER(AS7:AS89),IF(AS7:AS89&gt;0,IF(AV7:AV89&lt;&gt;"",ROW(AS7:AS89)-MIN(ROW(AS7:AS89))+1))),ROW()-ROW(A$92)+1))," ",TEXT(INDEX(AS7:AS89,SMALL(IF(ISNUMBER(AS7:AS89),IF(AS7:AS89&gt;0,IF(AV7:AV89&lt;&gt;"",ROW(AS7:AS89)-MIN(ROW(AS7:AS89))+1))),ROW()-ROW(A$92)+1)),"##0")," ",SUBSTITUTE(INDEX(IF(PURCHASE_DESCRIPTION&lt;&gt;"",PURCHASE_DESCRIPTION&amp;":","")&amp;A7:A89,SMALL(IF(ISNUMBER(AS7:AS89),IF(AS7:AS89&gt;0,IF(AV7:AV89&lt;&gt;"",ROW(AS7:AS89)-MIN(ROW(AS7:AS89))+1))),ROW()-ROW(A$92)+1))," ",";")),"")</f>
        <v>0</v>
      </c>
    </row>
    <row r="94" spans="1:47">
      <c r="A94" s="2" t="s">
        <v>601</v>
      </c>
      <c r="J94">
        <f t="array" ref="J94">IFERROR(CONCATENATE(INDEX(M7:M89,SMALL(IF(ISNUMBER(J7:J89),IF(J7:J89&gt;0,IF(M7:M89&lt;&gt;"",ROW(J7:J89)-MIN(ROW(J7:J89))+1))),ROW()-ROW(A$92)+1)),",",TEXT(INDEX(J7:J89,SMALL(IF(ISNUMBER(J7:J89),IF(J7:J89&gt;0,IF(M7:M89&lt;&gt;"",ROW(J7:J89)-MIN(ROW(J7:J89))+1))),ROW()-ROW(A$92)+1)),"##0"),",",SUBSTITUTE(INDEX(IF(PURCHASE_DESCRIPTION&lt;&gt;"",PURCHASE_DESCRIPTION&amp;":","")&amp;A7:A89,SMALL(IF(ISNUMBER(J7:J89),IF(J7:J89&gt;0,IF(M7:M89&lt;&gt;"",ROW(J7:J89)-MIN(ROW(J7:J89))+1))),ROW()-ROW(A$92)+1)),",",";")),"")</f>
        <v>0</v>
      </c>
      <c r="O94">
        <f t="array" ref="O94">IFERROR(CONCATENATE(TEXT(INDEX(O7:O89,SMALL(IF(ISNUMBER(O7:O89),IF(O7:O89&gt;0,IF(R7:R89&lt;&gt;"",ROW(O7:O89)-MIN(ROW(O7:O89))+1))),ROW()-ROW(A$92)+1)),"##0"),",",INDEX(R7:R89,SMALL(IF(ISNUMBER(O7:O89),IF(O7:O89&gt;0,IF(R7:R89&lt;&gt;"",ROW(O7:O89)-MIN(ROW(O7:O89))+1))),ROW()-ROW(A$92)+1)),",",SUBSTITUTE(INDEX(IF(PURCHASE_DESCRIPTION&lt;&gt;"",PURCHASE_DESCRIPTION&amp;":","")&amp;A7:A89,SMALL(IF(ISNUMBER(O7:O89),IF(O7:O89&gt;0,IF(R7:R89&lt;&gt;"",ROW(O7:O89)-MIN(ROW(O7:O89))+1))),ROW()-ROW(A$92)+1)),",",";")),"")</f>
        <v>0</v>
      </c>
      <c r="T94">
        <f t="array" ref="T94">IFERROR(CONCATENATE(INDEX(W7:W89,SMALL(IF(ISNUMBER(T7:T89),IF(T7:T89&gt;0,IF(W7:W89&lt;&gt;"",ROW(T7:T89)-MIN(ROW(T7:T89))+1))),ROW()-ROW(A$92)+1))," ",TEXT(INDEX(T7:T89,SMALL(IF(ISNUMBER(T7:T89),IF(T7:T89&gt;0,IF(W7:W89&lt;&gt;"",ROW(T7:T89)-MIN(ROW(T7:T89))+1))),ROW()-ROW(A$92)+1)),"##0")," ",SUBSTITUTE(INDEX(IF(PURCHASE_DESCRIPTION&lt;&gt;"",PURCHASE_DESCRIPTION&amp;":","")&amp;A7:A89,SMALL(IF(ISNUMBER(T7:T89),IF(T7:T89&gt;0,IF(W7:W89&lt;&gt;"",ROW(T7:T89)-MIN(ROW(T7:T89))+1))),ROW()-ROW(A$92)+1))," ",";")),"")</f>
        <v>0</v>
      </c>
      <c r="Y94">
        <f t="array" ref="Y94">IFERROR(CONCATENATE(TEXT(INDEX(Y7:Y89,SMALL(IF(ISNUMBER(Y7:Y89),IF(Y7:Y89&gt;0,IF(AB7:AB89&lt;&gt;"",ROW(Y7:Y89)-MIN(ROW(Y7:Y89))+1))),ROW()-ROW(A$93)+1)),"##0"),",",SUBSTITUTE(INDEX(IF(PURCHASE_DESCRIPTION&lt;&gt;"",PURCHASE_DESCRIPTION&amp;":","")&amp;A7:A89,SMALL(IF(ISNUMBER(Y7:Y89),IF(Y7:Y89&gt;0,IF(AB7:AB89&lt;&gt;"",ROW(Y7:Y89)-MIN(ROW(Y7:Y89))+1))),ROW()-ROW(A$93)+1)),",",";"),",",SUBSTITUTE(INDEX(IF(PURCHASE_DESCRIPTION&lt;&gt;"",PURCHASE_DESCRIPTION&amp;":","")&amp;D7:D89,SMALL(IF(ISNUMBER(Y7:Y89),IF(Y7:Y89&gt;0,IF(AB7:AB89&lt;&gt;"",ROW(Y7:Y89)-MIN(ROW(Y7:Y89))+1))),ROW()-ROW(A$93)+1)),",",";"),",",INDEX(AB7:AB89,SMALL(IF(ISNUMBER(Y7:Y89),IF(Y7:Y89&gt;0,IF(AB7:AB89&lt;&gt;"",ROW(Y7:Y89)-MIN(ROW(Y7:Y89))+1))),ROW()-ROW(A$93)+1))),"")</f>
        <v>0</v>
      </c>
      <c r="AD94">
        <f t="array" ref="AD94">IFERROR(CONCATENATE(INDEX(AG7:AG89,SMALL(IF(ISNUMBER(AD7:AD89),IF(AD7:AD89&gt;0,IF(AG7:AG89&lt;&gt;"",ROW(AD7:AD89)-MIN(ROW(AD7:AD89))+1))),ROW()-ROW(A$92)+1)),"|",TEXT(INDEX(AD7:AD89,SMALL(IF(ISNUMBER(AD7:AD89),IF(AD7:AD89&gt;0,IF(AG7:AG89&lt;&gt;"",ROW(AD7:AD89)-MIN(ROW(AD7:AD89))+1))),ROW()-ROW(A$92)+1)),"##0"),"|",SUBSTITUTE(SUBSTITUTE(INDEX(IF(PURCHASE_DESCRIPTION&lt;&gt;"",PURCHASE_DESCRIPTION&amp;":","")&amp;A7:A89,SMALL(IF(ISNUMBER(AD7:AD89),IF(AD7:AD89&gt;0,IF(AG7:AG89&lt;&gt;"",ROW(AD7:AD89)-MIN(ROW(AD7:AD89))+1))),ROW()-ROW(A$92)+1)),"|",";")," ","_")),"")</f>
        <v>0</v>
      </c>
      <c r="AI94">
        <f t="array" ref="AI94">IFERROR(CONCATENATE(INDEX(AL7:AL89,SMALL(IF(ISNUMBER(AI7:AI89),IF(AI7:AI89&gt;0,IF(AL7:AL89&lt;&gt;"",ROW(AI7:AI89)-MIN(ROW(AI7:AI89))+1))),ROW()-ROW(A$92)+1)),",",TEXT(INDEX(AI7:AI89,SMALL(IF(ISNUMBER(AI7:AI89),IF(AI7:AI89&gt;0,IF(AL7:AL89&lt;&gt;"",ROW(AI7:AI89)-MIN(ROW(AI7:AI89))+1))),ROW()-ROW(A$92)+1)),"##0"),",",SUBSTITUTE(INDEX(IF(PURCHASE_DESCRIPTION&lt;&gt;"",PURCHASE_DESCRIPTION&amp;":","")&amp;A7:A89,SMALL(IF(ISNUMBER(AI7:AI89),IF(AI7:AI89&gt;0,IF(AL7:AL89&lt;&gt;"",ROW(AI7:AI89)-MIN(ROW(AI7:AI89))+1))),ROW()-ROW(A$92)+1)),",",";")),"")</f>
        <v>0</v>
      </c>
      <c r="AN94">
        <f t="array" ref="AN94">IFERROR(CONCATENATE(INDEX(AQ7:AQ89,SMALL(IF(ISNUMBER(AN7:AN89),IF(AN7:AN89&gt;0,IF(AQ7:AQ89&lt;&gt;"",ROW(AN7:AN89)-MIN(ROW(AN7:AN89))+1))),ROW()-ROW(A$92)+1))," ",TEXT(INDEX(AN7:AN89,SMALL(IF(ISNUMBER(AN7:AN89),IF(AN7:AN89&gt;0,IF(AQ7:AQ89&lt;&gt;"",ROW(AN7:AN89)-MIN(ROW(AN7:AN89))+1))),ROW()-ROW(A$92)+1)),"##0")," ",SUBSTITUTE(INDEX(IF(PURCHASE_DESCRIPTION&lt;&gt;"",PURCHASE_DESCRIPTION&amp;":","")&amp;A7:A89,SMALL(IF(ISNUMBER(AN7:AN89),IF(AN7:AN89&gt;0,IF(AQ7:AQ89&lt;&gt;"",ROW(AN7:AN89)-MIN(ROW(AN7:AN89))+1))),ROW()-ROW(A$92)+1))," ",";")),"")</f>
        <v>0</v>
      </c>
      <c r="AS94">
        <f t="array" ref="AS94">IFERROR(CONCATENATE(INDEX(AV7:AV89,SMALL(IF(ISNUMBER(AS7:AS89),IF(AS7:AS89&gt;0,IF(AV7:AV89&lt;&gt;"",ROW(AS7:AS89)-MIN(ROW(AS7:AS89))+1))),ROW()-ROW(A$92)+1))," ",TEXT(INDEX(AS7:AS89,SMALL(IF(ISNUMBER(AS7:AS89),IF(AS7:AS89&gt;0,IF(AV7:AV89&lt;&gt;"",ROW(AS7:AS89)-MIN(ROW(AS7:AS89))+1))),ROW()-ROW(A$92)+1)),"##0")," ",SUBSTITUTE(INDEX(IF(PURCHASE_DESCRIPTION&lt;&gt;"",PURCHASE_DESCRIPTION&amp;":","")&amp;A7:A89,SMALL(IF(ISNUMBER(AS7:AS89),IF(AS7:AS89&gt;0,IF(AV7:AV89&lt;&gt;"",ROW(AS7:AS89)-MIN(ROW(AS7:AS89))+1))),ROW()-ROW(A$92)+1))," ",";")),"")</f>
        <v>0</v>
      </c>
    </row>
    <row r="95" spans="1:47">
      <c r="J95">
        <f t="array" ref="J95">IFERROR(CONCATENATE(INDEX(M7:M89,SMALL(IF(ISNUMBER(J7:J89),IF(J7:J89&gt;0,IF(M7:M89&lt;&gt;"",ROW(J7:J89)-MIN(ROW(J7:J89))+1))),ROW()-ROW(A$92)+1)),",",TEXT(INDEX(J7:J89,SMALL(IF(ISNUMBER(J7:J89),IF(J7:J89&gt;0,IF(M7:M89&lt;&gt;"",ROW(J7:J89)-MIN(ROW(J7:J89))+1))),ROW()-ROW(A$92)+1)),"##0"),",",SUBSTITUTE(INDEX(IF(PURCHASE_DESCRIPTION&lt;&gt;"",PURCHASE_DESCRIPTION&amp;":","")&amp;A7:A89,SMALL(IF(ISNUMBER(J7:J89),IF(J7:J89&gt;0,IF(M7:M89&lt;&gt;"",ROW(J7:J89)-MIN(ROW(J7:J89))+1))),ROW()-ROW(A$92)+1)),",",";")),"")</f>
        <v>0</v>
      </c>
      <c r="O95">
        <f t="array" ref="O95">IFERROR(CONCATENATE(TEXT(INDEX(O7:O89,SMALL(IF(ISNUMBER(O7:O89),IF(O7:O89&gt;0,IF(R7:R89&lt;&gt;"",ROW(O7:O89)-MIN(ROW(O7:O89))+1))),ROW()-ROW(A$92)+1)),"##0"),",",INDEX(R7:R89,SMALL(IF(ISNUMBER(O7:O89),IF(O7:O89&gt;0,IF(R7:R89&lt;&gt;"",ROW(O7:O89)-MIN(ROW(O7:O89))+1))),ROW()-ROW(A$92)+1)),",",SUBSTITUTE(INDEX(IF(PURCHASE_DESCRIPTION&lt;&gt;"",PURCHASE_DESCRIPTION&amp;":","")&amp;A7:A89,SMALL(IF(ISNUMBER(O7:O89),IF(O7:O89&gt;0,IF(R7:R89&lt;&gt;"",ROW(O7:O89)-MIN(ROW(O7:O89))+1))),ROW()-ROW(A$92)+1)),",",";")),"")</f>
        <v>0</v>
      </c>
      <c r="T95">
        <f t="array" ref="T95">IFERROR(CONCATENATE(INDEX(W7:W89,SMALL(IF(ISNUMBER(T7:T89),IF(T7:T89&gt;0,IF(W7:W89&lt;&gt;"",ROW(T7:T89)-MIN(ROW(T7:T89))+1))),ROW()-ROW(A$92)+1))," ",TEXT(INDEX(T7:T89,SMALL(IF(ISNUMBER(T7:T89),IF(T7:T89&gt;0,IF(W7:W89&lt;&gt;"",ROW(T7:T89)-MIN(ROW(T7:T89))+1))),ROW()-ROW(A$92)+1)),"##0")," ",SUBSTITUTE(INDEX(IF(PURCHASE_DESCRIPTION&lt;&gt;"",PURCHASE_DESCRIPTION&amp;":","")&amp;A7:A89,SMALL(IF(ISNUMBER(T7:T89),IF(T7:T89&gt;0,IF(W7:W89&lt;&gt;"",ROW(T7:T89)-MIN(ROW(T7:T89))+1))),ROW()-ROW(A$92)+1))," ",";")),"")</f>
        <v>0</v>
      </c>
      <c r="Y95">
        <f t="array" ref="Y95">IFERROR(CONCATENATE(TEXT(INDEX(Y7:Y89,SMALL(IF(ISNUMBER(Y7:Y89),IF(Y7:Y89&gt;0,IF(AB7:AB89&lt;&gt;"",ROW(Y7:Y89)-MIN(ROW(Y7:Y89))+1))),ROW()-ROW(A$93)+1)),"##0"),",",SUBSTITUTE(INDEX(IF(PURCHASE_DESCRIPTION&lt;&gt;"",PURCHASE_DESCRIPTION&amp;":","")&amp;A7:A89,SMALL(IF(ISNUMBER(Y7:Y89),IF(Y7:Y89&gt;0,IF(AB7:AB89&lt;&gt;"",ROW(Y7:Y89)-MIN(ROW(Y7:Y89))+1))),ROW()-ROW(A$93)+1)),",",";"),",",SUBSTITUTE(INDEX(IF(PURCHASE_DESCRIPTION&lt;&gt;"",PURCHASE_DESCRIPTION&amp;":","")&amp;D7:D89,SMALL(IF(ISNUMBER(Y7:Y89),IF(Y7:Y89&gt;0,IF(AB7:AB89&lt;&gt;"",ROW(Y7:Y89)-MIN(ROW(Y7:Y89))+1))),ROW()-ROW(A$93)+1)),",",";"),",",INDEX(AB7:AB89,SMALL(IF(ISNUMBER(Y7:Y89),IF(Y7:Y89&gt;0,IF(AB7:AB89&lt;&gt;"",ROW(Y7:Y89)-MIN(ROW(Y7:Y89))+1))),ROW()-ROW(A$93)+1))),"")</f>
        <v>0</v>
      </c>
      <c r="AD95">
        <f t="array" ref="AD95">IFERROR(CONCATENATE(INDEX(AG7:AG89,SMALL(IF(ISNUMBER(AD7:AD89),IF(AD7:AD89&gt;0,IF(AG7:AG89&lt;&gt;"",ROW(AD7:AD89)-MIN(ROW(AD7:AD89))+1))),ROW()-ROW(A$92)+1)),"|",TEXT(INDEX(AD7:AD89,SMALL(IF(ISNUMBER(AD7:AD89),IF(AD7:AD89&gt;0,IF(AG7:AG89&lt;&gt;"",ROW(AD7:AD89)-MIN(ROW(AD7:AD89))+1))),ROW()-ROW(A$92)+1)),"##0"),"|",SUBSTITUTE(SUBSTITUTE(INDEX(IF(PURCHASE_DESCRIPTION&lt;&gt;"",PURCHASE_DESCRIPTION&amp;":","")&amp;A7:A89,SMALL(IF(ISNUMBER(AD7:AD89),IF(AD7:AD89&gt;0,IF(AG7:AG89&lt;&gt;"",ROW(AD7:AD89)-MIN(ROW(AD7:AD89))+1))),ROW()-ROW(A$92)+1)),"|",";")," ","_")),"")</f>
        <v>0</v>
      </c>
      <c r="AI95">
        <f t="array" ref="AI95">IFERROR(CONCATENATE(INDEX(AL7:AL89,SMALL(IF(ISNUMBER(AI7:AI89),IF(AI7:AI89&gt;0,IF(AL7:AL89&lt;&gt;"",ROW(AI7:AI89)-MIN(ROW(AI7:AI89))+1))),ROW()-ROW(A$92)+1)),",",TEXT(INDEX(AI7:AI89,SMALL(IF(ISNUMBER(AI7:AI89),IF(AI7:AI89&gt;0,IF(AL7:AL89&lt;&gt;"",ROW(AI7:AI89)-MIN(ROW(AI7:AI89))+1))),ROW()-ROW(A$92)+1)),"##0"),",",SUBSTITUTE(INDEX(IF(PURCHASE_DESCRIPTION&lt;&gt;"",PURCHASE_DESCRIPTION&amp;":","")&amp;A7:A89,SMALL(IF(ISNUMBER(AI7:AI89),IF(AI7:AI89&gt;0,IF(AL7:AL89&lt;&gt;"",ROW(AI7:AI89)-MIN(ROW(AI7:AI89))+1))),ROW()-ROW(A$92)+1)),",",";")),"")</f>
        <v>0</v>
      </c>
      <c r="AN95">
        <f t="array" ref="AN95">IFERROR(CONCATENATE(INDEX(AQ7:AQ89,SMALL(IF(ISNUMBER(AN7:AN89),IF(AN7:AN89&gt;0,IF(AQ7:AQ89&lt;&gt;"",ROW(AN7:AN89)-MIN(ROW(AN7:AN89))+1))),ROW()-ROW(A$92)+1))," ",TEXT(INDEX(AN7:AN89,SMALL(IF(ISNUMBER(AN7:AN89),IF(AN7:AN89&gt;0,IF(AQ7:AQ89&lt;&gt;"",ROW(AN7:AN89)-MIN(ROW(AN7:AN89))+1))),ROW()-ROW(A$92)+1)),"##0")," ",SUBSTITUTE(INDEX(IF(PURCHASE_DESCRIPTION&lt;&gt;"",PURCHASE_DESCRIPTION&amp;":","")&amp;A7:A89,SMALL(IF(ISNUMBER(AN7:AN89),IF(AN7:AN89&gt;0,IF(AQ7:AQ89&lt;&gt;"",ROW(AN7:AN89)-MIN(ROW(AN7:AN89))+1))),ROW()-ROW(A$92)+1))," ",";")),"")</f>
        <v>0</v>
      </c>
      <c r="AS95">
        <f t="array" ref="AS95">IFERROR(CONCATENATE(INDEX(AV7:AV89,SMALL(IF(ISNUMBER(AS7:AS89),IF(AS7:AS89&gt;0,IF(AV7:AV89&lt;&gt;"",ROW(AS7:AS89)-MIN(ROW(AS7:AS89))+1))),ROW()-ROW(A$92)+1))," ",TEXT(INDEX(AS7:AS89,SMALL(IF(ISNUMBER(AS7:AS89),IF(AS7:AS89&gt;0,IF(AV7:AV89&lt;&gt;"",ROW(AS7:AS89)-MIN(ROW(AS7:AS89))+1))),ROW()-ROW(A$92)+1)),"##0")," ",SUBSTITUTE(INDEX(IF(PURCHASE_DESCRIPTION&lt;&gt;"",PURCHASE_DESCRIPTION&amp;":","")&amp;A7:A89,SMALL(IF(ISNUMBER(AS7:AS89),IF(AS7:AS89&gt;0,IF(AV7:AV89&lt;&gt;"",ROW(AS7:AS89)-MIN(ROW(AS7:AS89))+1))),ROW()-ROW(A$92)+1))," ",";")),"")</f>
        <v>0</v>
      </c>
    </row>
    <row r="96" spans="1:47">
      <c r="J96">
        <f t="array" ref="J96">IFERROR(CONCATENATE(INDEX(M7:M89,SMALL(IF(ISNUMBER(J7:J89),IF(J7:J89&gt;0,IF(M7:M89&lt;&gt;"",ROW(J7:J89)-MIN(ROW(J7:J89))+1))),ROW()-ROW(A$92)+1)),",",TEXT(INDEX(J7:J89,SMALL(IF(ISNUMBER(J7:J89),IF(J7:J89&gt;0,IF(M7:M89&lt;&gt;"",ROW(J7:J89)-MIN(ROW(J7:J89))+1))),ROW()-ROW(A$92)+1)),"##0"),",",SUBSTITUTE(INDEX(IF(PURCHASE_DESCRIPTION&lt;&gt;"",PURCHASE_DESCRIPTION&amp;":","")&amp;A7:A89,SMALL(IF(ISNUMBER(J7:J89),IF(J7:J89&gt;0,IF(M7:M89&lt;&gt;"",ROW(J7:J89)-MIN(ROW(J7:J89))+1))),ROW()-ROW(A$92)+1)),",",";")),"")</f>
        <v>0</v>
      </c>
      <c r="O96">
        <f t="array" ref="O96">IFERROR(CONCATENATE(TEXT(INDEX(O7:O89,SMALL(IF(ISNUMBER(O7:O89),IF(O7:O89&gt;0,IF(R7:R89&lt;&gt;"",ROW(O7:O89)-MIN(ROW(O7:O89))+1))),ROW()-ROW(A$92)+1)),"##0"),",",INDEX(R7:R89,SMALL(IF(ISNUMBER(O7:O89),IF(O7:O89&gt;0,IF(R7:R89&lt;&gt;"",ROW(O7:O89)-MIN(ROW(O7:O89))+1))),ROW()-ROW(A$92)+1)),",",SUBSTITUTE(INDEX(IF(PURCHASE_DESCRIPTION&lt;&gt;"",PURCHASE_DESCRIPTION&amp;":","")&amp;A7:A89,SMALL(IF(ISNUMBER(O7:O89),IF(O7:O89&gt;0,IF(R7:R89&lt;&gt;"",ROW(O7:O89)-MIN(ROW(O7:O89))+1))),ROW()-ROW(A$92)+1)),",",";")),"")</f>
        <v>0</v>
      </c>
      <c r="T96">
        <f t="array" ref="T96">IFERROR(CONCATENATE(INDEX(W7:W89,SMALL(IF(ISNUMBER(T7:T89),IF(T7:T89&gt;0,IF(W7:W89&lt;&gt;"",ROW(T7:T89)-MIN(ROW(T7:T89))+1))),ROW()-ROW(A$92)+1))," ",TEXT(INDEX(T7:T89,SMALL(IF(ISNUMBER(T7:T89),IF(T7:T89&gt;0,IF(W7:W89&lt;&gt;"",ROW(T7:T89)-MIN(ROW(T7:T89))+1))),ROW()-ROW(A$92)+1)),"##0")," ",SUBSTITUTE(INDEX(IF(PURCHASE_DESCRIPTION&lt;&gt;"",PURCHASE_DESCRIPTION&amp;":","")&amp;A7:A89,SMALL(IF(ISNUMBER(T7:T89),IF(T7:T89&gt;0,IF(W7:W89&lt;&gt;"",ROW(T7:T89)-MIN(ROW(T7:T89))+1))),ROW()-ROW(A$92)+1))," ",";")),"")</f>
        <v>0</v>
      </c>
      <c r="Y96">
        <f t="array" ref="Y96">IFERROR(CONCATENATE(TEXT(INDEX(Y7:Y89,SMALL(IF(ISNUMBER(Y7:Y89),IF(Y7:Y89&gt;0,IF(AB7:AB89&lt;&gt;"",ROW(Y7:Y89)-MIN(ROW(Y7:Y89))+1))),ROW()-ROW(A$93)+1)),"##0"),",",SUBSTITUTE(INDEX(IF(PURCHASE_DESCRIPTION&lt;&gt;"",PURCHASE_DESCRIPTION&amp;":","")&amp;A7:A89,SMALL(IF(ISNUMBER(Y7:Y89),IF(Y7:Y89&gt;0,IF(AB7:AB89&lt;&gt;"",ROW(Y7:Y89)-MIN(ROW(Y7:Y89))+1))),ROW()-ROW(A$93)+1)),",",";"),",",SUBSTITUTE(INDEX(IF(PURCHASE_DESCRIPTION&lt;&gt;"",PURCHASE_DESCRIPTION&amp;":","")&amp;D7:D89,SMALL(IF(ISNUMBER(Y7:Y89),IF(Y7:Y89&gt;0,IF(AB7:AB89&lt;&gt;"",ROW(Y7:Y89)-MIN(ROW(Y7:Y89))+1))),ROW()-ROW(A$93)+1)),",",";"),",",INDEX(AB7:AB89,SMALL(IF(ISNUMBER(Y7:Y89),IF(Y7:Y89&gt;0,IF(AB7:AB89&lt;&gt;"",ROW(Y7:Y89)-MIN(ROW(Y7:Y89))+1))),ROW()-ROW(A$93)+1))),"")</f>
        <v>0</v>
      </c>
      <c r="AD96">
        <f t="array" ref="AD96">IFERROR(CONCATENATE(INDEX(AG7:AG89,SMALL(IF(ISNUMBER(AD7:AD89),IF(AD7:AD89&gt;0,IF(AG7:AG89&lt;&gt;"",ROW(AD7:AD89)-MIN(ROW(AD7:AD89))+1))),ROW()-ROW(A$92)+1)),"|",TEXT(INDEX(AD7:AD89,SMALL(IF(ISNUMBER(AD7:AD89),IF(AD7:AD89&gt;0,IF(AG7:AG89&lt;&gt;"",ROW(AD7:AD89)-MIN(ROW(AD7:AD89))+1))),ROW()-ROW(A$92)+1)),"##0"),"|",SUBSTITUTE(SUBSTITUTE(INDEX(IF(PURCHASE_DESCRIPTION&lt;&gt;"",PURCHASE_DESCRIPTION&amp;":","")&amp;A7:A89,SMALL(IF(ISNUMBER(AD7:AD89),IF(AD7:AD89&gt;0,IF(AG7:AG89&lt;&gt;"",ROW(AD7:AD89)-MIN(ROW(AD7:AD89))+1))),ROW()-ROW(A$92)+1)),"|",";")," ","_")),"")</f>
        <v>0</v>
      </c>
      <c r="AI96">
        <f t="array" ref="AI96">IFERROR(CONCATENATE(INDEX(AL7:AL89,SMALL(IF(ISNUMBER(AI7:AI89),IF(AI7:AI89&gt;0,IF(AL7:AL89&lt;&gt;"",ROW(AI7:AI89)-MIN(ROW(AI7:AI89))+1))),ROW()-ROW(A$92)+1)),",",TEXT(INDEX(AI7:AI89,SMALL(IF(ISNUMBER(AI7:AI89),IF(AI7:AI89&gt;0,IF(AL7:AL89&lt;&gt;"",ROW(AI7:AI89)-MIN(ROW(AI7:AI89))+1))),ROW()-ROW(A$92)+1)),"##0"),",",SUBSTITUTE(INDEX(IF(PURCHASE_DESCRIPTION&lt;&gt;"",PURCHASE_DESCRIPTION&amp;":","")&amp;A7:A89,SMALL(IF(ISNUMBER(AI7:AI89),IF(AI7:AI89&gt;0,IF(AL7:AL89&lt;&gt;"",ROW(AI7:AI89)-MIN(ROW(AI7:AI89))+1))),ROW()-ROW(A$92)+1)),",",";")),"")</f>
        <v>0</v>
      </c>
      <c r="AN96">
        <f t="array" ref="AN96">IFERROR(CONCATENATE(INDEX(AQ7:AQ89,SMALL(IF(ISNUMBER(AN7:AN89),IF(AN7:AN89&gt;0,IF(AQ7:AQ89&lt;&gt;"",ROW(AN7:AN89)-MIN(ROW(AN7:AN89))+1))),ROW()-ROW(A$92)+1))," ",TEXT(INDEX(AN7:AN89,SMALL(IF(ISNUMBER(AN7:AN89),IF(AN7:AN89&gt;0,IF(AQ7:AQ89&lt;&gt;"",ROW(AN7:AN89)-MIN(ROW(AN7:AN89))+1))),ROW()-ROW(A$92)+1)),"##0")," ",SUBSTITUTE(INDEX(IF(PURCHASE_DESCRIPTION&lt;&gt;"",PURCHASE_DESCRIPTION&amp;":","")&amp;A7:A89,SMALL(IF(ISNUMBER(AN7:AN89),IF(AN7:AN89&gt;0,IF(AQ7:AQ89&lt;&gt;"",ROW(AN7:AN89)-MIN(ROW(AN7:AN89))+1))),ROW()-ROW(A$92)+1))," ",";")),"")</f>
        <v>0</v>
      </c>
      <c r="AS96">
        <f t="array" ref="AS96">IFERROR(CONCATENATE(INDEX(AV7:AV89,SMALL(IF(ISNUMBER(AS7:AS89),IF(AS7:AS89&gt;0,IF(AV7:AV89&lt;&gt;"",ROW(AS7:AS89)-MIN(ROW(AS7:AS89))+1))),ROW()-ROW(A$92)+1))," ",TEXT(INDEX(AS7:AS89,SMALL(IF(ISNUMBER(AS7:AS89),IF(AS7:AS89&gt;0,IF(AV7:AV89&lt;&gt;"",ROW(AS7:AS89)-MIN(ROW(AS7:AS89))+1))),ROW()-ROW(A$92)+1)),"##0")," ",SUBSTITUTE(INDEX(IF(PURCHASE_DESCRIPTION&lt;&gt;"",PURCHASE_DESCRIPTION&amp;":","")&amp;A7:A89,SMALL(IF(ISNUMBER(AS7:AS89),IF(AS7:AS89&gt;0,IF(AV7:AV89&lt;&gt;"",ROW(AS7:AS89)-MIN(ROW(AS7:AS89))+1))),ROW()-ROW(A$92)+1))," ",";")),"")</f>
        <v>0</v>
      </c>
    </row>
    <row r="97" spans="10:45">
      <c r="J97">
        <f t="array" ref="J97">IFERROR(CONCATENATE(INDEX(M7:M89,SMALL(IF(ISNUMBER(J7:J89),IF(J7:J89&gt;0,IF(M7:M89&lt;&gt;"",ROW(J7:J89)-MIN(ROW(J7:J89))+1))),ROW()-ROW(A$92)+1)),",",TEXT(INDEX(J7:J89,SMALL(IF(ISNUMBER(J7:J89),IF(J7:J89&gt;0,IF(M7:M89&lt;&gt;"",ROW(J7:J89)-MIN(ROW(J7:J89))+1))),ROW()-ROW(A$92)+1)),"##0"),",",SUBSTITUTE(INDEX(IF(PURCHASE_DESCRIPTION&lt;&gt;"",PURCHASE_DESCRIPTION&amp;":","")&amp;A7:A89,SMALL(IF(ISNUMBER(J7:J89),IF(J7:J89&gt;0,IF(M7:M89&lt;&gt;"",ROW(J7:J89)-MIN(ROW(J7:J89))+1))),ROW()-ROW(A$92)+1)),",",";")),"")</f>
        <v>0</v>
      </c>
      <c r="O97">
        <f t="array" ref="O97">IFERROR(CONCATENATE(TEXT(INDEX(O7:O89,SMALL(IF(ISNUMBER(O7:O89),IF(O7:O89&gt;0,IF(R7:R89&lt;&gt;"",ROW(O7:O89)-MIN(ROW(O7:O89))+1))),ROW()-ROW(A$92)+1)),"##0"),",",INDEX(R7:R89,SMALL(IF(ISNUMBER(O7:O89),IF(O7:O89&gt;0,IF(R7:R89&lt;&gt;"",ROW(O7:O89)-MIN(ROW(O7:O89))+1))),ROW()-ROW(A$92)+1)),",",SUBSTITUTE(INDEX(IF(PURCHASE_DESCRIPTION&lt;&gt;"",PURCHASE_DESCRIPTION&amp;":","")&amp;A7:A89,SMALL(IF(ISNUMBER(O7:O89),IF(O7:O89&gt;0,IF(R7:R89&lt;&gt;"",ROW(O7:O89)-MIN(ROW(O7:O89))+1))),ROW()-ROW(A$92)+1)),",",";")),"")</f>
        <v>0</v>
      </c>
      <c r="T97">
        <f t="array" ref="T97">IFERROR(CONCATENATE(INDEX(W7:W89,SMALL(IF(ISNUMBER(T7:T89),IF(T7:T89&gt;0,IF(W7:W89&lt;&gt;"",ROW(T7:T89)-MIN(ROW(T7:T89))+1))),ROW()-ROW(A$92)+1))," ",TEXT(INDEX(T7:T89,SMALL(IF(ISNUMBER(T7:T89),IF(T7:T89&gt;0,IF(W7:W89&lt;&gt;"",ROW(T7:T89)-MIN(ROW(T7:T89))+1))),ROW()-ROW(A$92)+1)),"##0")," ",SUBSTITUTE(INDEX(IF(PURCHASE_DESCRIPTION&lt;&gt;"",PURCHASE_DESCRIPTION&amp;":","")&amp;A7:A89,SMALL(IF(ISNUMBER(T7:T89),IF(T7:T89&gt;0,IF(W7:W89&lt;&gt;"",ROW(T7:T89)-MIN(ROW(T7:T89))+1))),ROW()-ROW(A$92)+1))," ",";")),"")</f>
        <v>0</v>
      </c>
      <c r="Y97">
        <f t="array" ref="Y97">IFERROR(CONCATENATE(TEXT(INDEX(Y7:Y89,SMALL(IF(ISNUMBER(Y7:Y89),IF(Y7:Y89&gt;0,IF(AB7:AB89&lt;&gt;"",ROW(Y7:Y89)-MIN(ROW(Y7:Y89))+1))),ROW()-ROW(A$93)+1)),"##0"),",",SUBSTITUTE(INDEX(IF(PURCHASE_DESCRIPTION&lt;&gt;"",PURCHASE_DESCRIPTION&amp;":","")&amp;A7:A89,SMALL(IF(ISNUMBER(Y7:Y89),IF(Y7:Y89&gt;0,IF(AB7:AB89&lt;&gt;"",ROW(Y7:Y89)-MIN(ROW(Y7:Y89))+1))),ROW()-ROW(A$93)+1)),",",";"),",",SUBSTITUTE(INDEX(IF(PURCHASE_DESCRIPTION&lt;&gt;"",PURCHASE_DESCRIPTION&amp;":","")&amp;D7:D89,SMALL(IF(ISNUMBER(Y7:Y89),IF(Y7:Y89&gt;0,IF(AB7:AB89&lt;&gt;"",ROW(Y7:Y89)-MIN(ROW(Y7:Y89))+1))),ROW()-ROW(A$93)+1)),",",";"),",",INDEX(AB7:AB89,SMALL(IF(ISNUMBER(Y7:Y89),IF(Y7:Y89&gt;0,IF(AB7:AB89&lt;&gt;"",ROW(Y7:Y89)-MIN(ROW(Y7:Y89))+1))),ROW()-ROW(A$93)+1))),"")</f>
        <v>0</v>
      </c>
      <c r="AD97">
        <f t="array" ref="AD97">IFERROR(CONCATENATE(INDEX(AG7:AG89,SMALL(IF(ISNUMBER(AD7:AD89),IF(AD7:AD89&gt;0,IF(AG7:AG89&lt;&gt;"",ROW(AD7:AD89)-MIN(ROW(AD7:AD89))+1))),ROW()-ROW(A$92)+1)),"|",TEXT(INDEX(AD7:AD89,SMALL(IF(ISNUMBER(AD7:AD89),IF(AD7:AD89&gt;0,IF(AG7:AG89&lt;&gt;"",ROW(AD7:AD89)-MIN(ROW(AD7:AD89))+1))),ROW()-ROW(A$92)+1)),"##0"),"|",SUBSTITUTE(SUBSTITUTE(INDEX(IF(PURCHASE_DESCRIPTION&lt;&gt;"",PURCHASE_DESCRIPTION&amp;":","")&amp;A7:A89,SMALL(IF(ISNUMBER(AD7:AD89),IF(AD7:AD89&gt;0,IF(AG7:AG89&lt;&gt;"",ROW(AD7:AD89)-MIN(ROW(AD7:AD89))+1))),ROW()-ROW(A$92)+1)),"|",";")," ","_")),"")</f>
        <v>0</v>
      </c>
      <c r="AI97">
        <f t="array" ref="AI97">IFERROR(CONCATENATE(INDEX(AL7:AL89,SMALL(IF(ISNUMBER(AI7:AI89),IF(AI7:AI89&gt;0,IF(AL7:AL89&lt;&gt;"",ROW(AI7:AI89)-MIN(ROW(AI7:AI89))+1))),ROW()-ROW(A$92)+1)),",",TEXT(INDEX(AI7:AI89,SMALL(IF(ISNUMBER(AI7:AI89),IF(AI7:AI89&gt;0,IF(AL7:AL89&lt;&gt;"",ROW(AI7:AI89)-MIN(ROW(AI7:AI89))+1))),ROW()-ROW(A$92)+1)),"##0"),",",SUBSTITUTE(INDEX(IF(PURCHASE_DESCRIPTION&lt;&gt;"",PURCHASE_DESCRIPTION&amp;":","")&amp;A7:A89,SMALL(IF(ISNUMBER(AI7:AI89),IF(AI7:AI89&gt;0,IF(AL7:AL89&lt;&gt;"",ROW(AI7:AI89)-MIN(ROW(AI7:AI89))+1))),ROW()-ROW(A$92)+1)),",",";")),"")</f>
        <v>0</v>
      </c>
      <c r="AN97">
        <f t="array" ref="AN97">IFERROR(CONCATENATE(INDEX(AQ7:AQ89,SMALL(IF(ISNUMBER(AN7:AN89),IF(AN7:AN89&gt;0,IF(AQ7:AQ89&lt;&gt;"",ROW(AN7:AN89)-MIN(ROW(AN7:AN89))+1))),ROW()-ROW(A$92)+1))," ",TEXT(INDEX(AN7:AN89,SMALL(IF(ISNUMBER(AN7:AN89),IF(AN7:AN89&gt;0,IF(AQ7:AQ89&lt;&gt;"",ROW(AN7:AN89)-MIN(ROW(AN7:AN89))+1))),ROW()-ROW(A$92)+1)),"##0")," ",SUBSTITUTE(INDEX(IF(PURCHASE_DESCRIPTION&lt;&gt;"",PURCHASE_DESCRIPTION&amp;":","")&amp;A7:A89,SMALL(IF(ISNUMBER(AN7:AN89),IF(AN7:AN89&gt;0,IF(AQ7:AQ89&lt;&gt;"",ROW(AN7:AN89)-MIN(ROW(AN7:AN89))+1))),ROW()-ROW(A$92)+1))," ",";")),"")</f>
        <v>0</v>
      </c>
      <c r="AS97">
        <f t="array" ref="AS97">IFERROR(CONCATENATE(INDEX(AV7:AV89,SMALL(IF(ISNUMBER(AS7:AS89),IF(AS7:AS89&gt;0,IF(AV7:AV89&lt;&gt;"",ROW(AS7:AS89)-MIN(ROW(AS7:AS89))+1))),ROW()-ROW(A$92)+1))," ",TEXT(INDEX(AS7:AS89,SMALL(IF(ISNUMBER(AS7:AS89),IF(AS7:AS89&gt;0,IF(AV7:AV89&lt;&gt;"",ROW(AS7:AS89)-MIN(ROW(AS7:AS89))+1))),ROW()-ROW(A$92)+1)),"##0")," ",SUBSTITUTE(INDEX(IF(PURCHASE_DESCRIPTION&lt;&gt;"",PURCHASE_DESCRIPTION&amp;":","")&amp;A7:A89,SMALL(IF(ISNUMBER(AS7:AS89),IF(AS7:AS89&gt;0,IF(AV7:AV89&lt;&gt;"",ROW(AS7:AS89)-MIN(ROW(AS7:AS89))+1))),ROW()-ROW(A$92)+1))," ",";")),"")</f>
        <v>0</v>
      </c>
    </row>
    <row r="98" spans="10:45">
      <c r="J98">
        <f t="array" ref="J98">IFERROR(CONCATENATE(INDEX(M7:M89,SMALL(IF(ISNUMBER(J7:J89),IF(J7:J89&gt;0,IF(M7:M89&lt;&gt;"",ROW(J7:J89)-MIN(ROW(J7:J89))+1))),ROW()-ROW(A$92)+1)),",",TEXT(INDEX(J7:J89,SMALL(IF(ISNUMBER(J7:J89),IF(J7:J89&gt;0,IF(M7:M89&lt;&gt;"",ROW(J7:J89)-MIN(ROW(J7:J89))+1))),ROW()-ROW(A$92)+1)),"##0"),",",SUBSTITUTE(INDEX(IF(PURCHASE_DESCRIPTION&lt;&gt;"",PURCHASE_DESCRIPTION&amp;":","")&amp;A7:A89,SMALL(IF(ISNUMBER(J7:J89),IF(J7:J89&gt;0,IF(M7:M89&lt;&gt;"",ROW(J7:J89)-MIN(ROW(J7:J89))+1))),ROW()-ROW(A$92)+1)),",",";")),"")</f>
        <v>0</v>
      </c>
      <c r="O98">
        <f t="array" ref="O98">IFERROR(CONCATENATE(TEXT(INDEX(O7:O89,SMALL(IF(ISNUMBER(O7:O89),IF(O7:O89&gt;0,IF(R7:R89&lt;&gt;"",ROW(O7:O89)-MIN(ROW(O7:O89))+1))),ROW()-ROW(A$92)+1)),"##0"),",",INDEX(R7:R89,SMALL(IF(ISNUMBER(O7:O89),IF(O7:O89&gt;0,IF(R7:R89&lt;&gt;"",ROW(O7:O89)-MIN(ROW(O7:O89))+1))),ROW()-ROW(A$92)+1)),",",SUBSTITUTE(INDEX(IF(PURCHASE_DESCRIPTION&lt;&gt;"",PURCHASE_DESCRIPTION&amp;":","")&amp;A7:A89,SMALL(IF(ISNUMBER(O7:O89),IF(O7:O89&gt;0,IF(R7:R89&lt;&gt;"",ROW(O7:O89)-MIN(ROW(O7:O89))+1))),ROW()-ROW(A$92)+1)),",",";")),"")</f>
        <v>0</v>
      </c>
      <c r="T98">
        <f t="array" ref="T98">IFERROR(CONCATENATE(INDEX(W7:W89,SMALL(IF(ISNUMBER(T7:T89),IF(T7:T89&gt;0,IF(W7:W89&lt;&gt;"",ROW(T7:T89)-MIN(ROW(T7:T89))+1))),ROW()-ROW(A$92)+1))," ",TEXT(INDEX(T7:T89,SMALL(IF(ISNUMBER(T7:T89),IF(T7:T89&gt;0,IF(W7:W89&lt;&gt;"",ROW(T7:T89)-MIN(ROW(T7:T89))+1))),ROW()-ROW(A$92)+1)),"##0")," ",SUBSTITUTE(INDEX(IF(PURCHASE_DESCRIPTION&lt;&gt;"",PURCHASE_DESCRIPTION&amp;":","")&amp;A7:A89,SMALL(IF(ISNUMBER(T7:T89),IF(T7:T89&gt;0,IF(W7:W89&lt;&gt;"",ROW(T7:T89)-MIN(ROW(T7:T89))+1))),ROW()-ROW(A$92)+1))," ",";")),"")</f>
        <v>0</v>
      </c>
      <c r="Y98">
        <f t="array" ref="Y98">IFERROR(CONCATENATE(TEXT(INDEX(Y7:Y89,SMALL(IF(ISNUMBER(Y7:Y89),IF(Y7:Y89&gt;0,IF(AB7:AB89&lt;&gt;"",ROW(Y7:Y89)-MIN(ROW(Y7:Y89))+1))),ROW()-ROW(A$93)+1)),"##0"),",",SUBSTITUTE(INDEX(IF(PURCHASE_DESCRIPTION&lt;&gt;"",PURCHASE_DESCRIPTION&amp;":","")&amp;A7:A89,SMALL(IF(ISNUMBER(Y7:Y89),IF(Y7:Y89&gt;0,IF(AB7:AB89&lt;&gt;"",ROW(Y7:Y89)-MIN(ROW(Y7:Y89))+1))),ROW()-ROW(A$93)+1)),",",";"),",",SUBSTITUTE(INDEX(IF(PURCHASE_DESCRIPTION&lt;&gt;"",PURCHASE_DESCRIPTION&amp;":","")&amp;D7:D89,SMALL(IF(ISNUMBER(Y7:Y89),IF(Y7:Y89&gt;0,IF(AB7:AB89&lt;&gt;"",ROW(Y7:Y89)-MIN(ROW(Y7:Y89))+1))),ROW()-ROW(A$93)+1)),",",";"),",",INDEX(AB7:AB89,SMALL(IF(ISNUMBER(Y7:Y89),IF(Y7:Y89&gt;0,IF(AB7:AB89&lt;&gt;"",ROW(Y7:Y89)-MIN(ROW(Y7:Y89))+1))),ROW()-ROW(A$93)+1))),"")</f>
        <v>0</v>
      </c>
      <c r="AD98">
        <f t="array" ref="AD98">IFERROR(CONCATENATE(INDEX(AG7:AG89,SMALL(IF(ISNUMBER(AD7:AD89),IF(AD7:AD89&gt;0,IF(AG7:AG89&lt;&gt;"",ROW(AD7:AD89)-MIN(ROW(AD7:AD89))+1))),ROW()-ROW(A$92)+1)),"|",TEXT(INDEX(AD7:AD89,SMALL(IF(ISNUMBER(AD7:AD89),IF(AD7:AD89&gt;0,IF(AG7:AG89&lt;&gt;"",ROW(AD7:AD89)-MIN(ROW(AD7:AD89))+1))),ROW()-ROW(A$92)+1)),"##0"),"|",SUBSTITUTE(SUBSTITUTE(INDEX(IF(PURCHASE_DESCRIPTION&lt;&gt;"",PURCHASE_DESCRIPTION&amp;":","")&amp;A7:A89,SMALL(IF(ISNUMBER(AD7:AD89),IF(AD7:AD89&gt;0,IF(AG7:AG89&lt;&gt;"",ROW(AD7:AD89)-MIN(ROW(AD7:AD89))+1))),ROW()-ROW(A$92)+1)),"|",";")," ","_")),"")</f>
        <v>0</v>
      </c>
      <c r="AI98">
        <f t="array" ref="AI98">IFERROR(CONCATENATE(INDEX(AL7:AL89,SMALL(IF(ISNUMBER(AI7:AI89),IF(AI7:AI89&gt;0,IF(AL7:AL89&lt;&gt;"",ROW(AI7:AI89)-MIN(ROW(AI7:AI89))+1))),ROW()-ROW(A$92)+1)),",",TEXT(INDEX(AI7:AI89,SMALL(IF(ISNUMBER(AI7:AI89),IF(AI7:AI89&gt;0,IF(AL7:AL89&lt;&gt;"",ROW(AI7:AI89)-MIN(ROW(AI7:AI89))+1))),ROW()-ROW(A$92)+1)),"##0"),",",SUBSTITUTE(INDEX(IF(PURCHASE_DESCRIPTION&lt;&gt;"",PURCHASE_DESCRIPTION&amp;":","")&amp;A7:A89,SMALL(IF(ISNUMBER(AI7:AI89),IF(AI7:AI89&gt;0,IF(AL7:AL89&lt;&gt;"",ROW(AI7:AI89)-MIN(ROW(AI7:AI89))+1))),ROW()-ROW(A$92)+1)),",",";")),"")</f>
        <v>0</v>
      </c>
      <c r="AN98">
        <f t="array" ref="AN98">IFERROR(CONCATENATE(INDEX(AQ7:AQ89,SMALL(IF(ISNUMBER(AN7:AN89),IF(AN7:AN89&gt;0,IF(AQ7:AQ89&lt;&gt;"",ROW(AN7:AN89)-MIN(ROW(AN7:AN89))+1))),ROW()-ROW(A$92)+1))," ",TEXT(INDEX(AN7:AN89,SMALL(IF(ISNUMBER(AN7:AN89),IF(AN7:AN89&gt;0,IF(AQ7:AQ89&lt;&gt;"",ROW(AN7:AN89)-MIN(ROW(AN7:AN89))+1))),ROW()-ROW(A$92)+1)),"##0")," ",SUBSTITUTE(INDEX(IF(PURCHASE_DESCRIPTION&lt;&gt;"",PURCHASE_DESCRIPTION&amp;":","")&amp;A7:A89,SMALL(IF(ISNUMBER(AN7:AN89),IF(AN7:AN89&gt;0,IF(AQ7:AQ89&lt;&gt;"",ROW(AN7:AN89)-MIN(ROW(AN7:AN89))+1))),ROW()-ROW(A$92)+1))," ",";")),"")</f>
        <v>0</v>
      </c>
      <c r="AS98">
        <f t="array" ref="AS98">IFERROR(CONCATENATE(INDEX(AV7:AV89,SMALL(IF(ISNUMBER(AS7:AS89),IF(AS7:AS89&gt;0,IF(AV7:AV89&lt;&gt;"",ROW(AS7:AS89)-MIN(ROW(AS7:AS89))+1))),ROW()-ROW(A$92)+1))," ",TEXT(INDEX(AS7:AS89,SMALL(IF(ISNUMBER(AS7:AS89),IF(AS7:AS89&gt;0,IF(AV7:AV89&lt;&gt;"",ROW(AS7:AS89)-MIN(ROW(AS7:AS89))+1))),ROW()-ROW(A$92)+1)),"##0")," ",SUBSTITUTE(INDEX(IF(PURCHASE_DESCRIPTION&lt;&gt;"",PURCHASE_DESCRIPTION&amp;":","")&amp;A7:A89,SMALL(IF(ISNUMBER(AS7:AS89),IF(AS7:AS89&gt;0,IF(AV7:AV89&lt;&gt;"",ROW(AS7:AS89)-MIN(ROW(AS7:AS89))+1))),ROW()-ROW(A$92)+1))," ",";")),"")</f>
        <v>0</v>
      </c>
    </row>
    <row r="99" spans="10:45">
      <c r="J99">
        <f t="array" ref="J99">IFERROR(CONCATENATE(INDEX(M7:M89,SMALL(IF(ISNUMBER(J7:J89),IF(J7:J89&gt;0,IF(M7:M89&lt;&gt;"",ROW(J7:J89)-MIN(ROW(J7:J89))+1))),ROW()-ROW(A$92)+1)),",",TEXT(INDEX(J7:J89,SMALL(IF(ISNUMBER(J7:J89),IF(J7:J89&gt;0,IF(M7:M89&lt;&gt;"",ROW(J7:J89)-MIN(ROW(J7:J89))+1))),ROW()-ROW(A$92)+1)),"##0"),",",SUBSTITUTE(INDEX(IF(PURCHASE_DESCRIPTION&lt;&gt;"",PURCHASE_DESCRIPTION&amp;":","")&amp;A7:A89,SMALL(IF(ISNUMBER(J7:J89),IF(J7:J89&gt;0,IF(M7:M89&lt;&gt;"",ROW(J7:J89)-MIN(ROW(J7:J89))+1))),ROW()-ROW(A$92)+1)),",",";")),"")</f>
        <v>0</v>
      </c>
      <c r="O99">
        <f t="array" ref="O99">IFERROR(CONCATENATE(TEXT(INDEX(O7:O89,SMALL(IF(ISNUMBER(O7:O89),IF(O7:O89&gt;0,IF(R7:R89&lt;&gt;"",ROW(O7:O89)-MIN(ROW(O7:O89))+1))),ROW()-ROW(A$92)+1)),"##0"),",",INDEX(R7:R89,SMALL(IF(ISNUMBER(O7:O89),IF(O7:O89&gt;0,IF(R7:R89&lt;&gt;"",ROW(O7:O89)-MIN(ROW(O7:O89))+1))),ROW()-ROW(A$92)+1)),",",SUBSTITUTE(INDEX(IF(PURCHASE_DESCRIPTION&lt;&gt;"",PURCHASE_DESCRIPTION&amp;":","")&amp;A7:A89,SMALL(IF(ISNUMBER(O7:O89),IF(O7:O89&gt;0,IF(R7:R89&lt;&gt;"",ROW(O7:O89)-MIN(ROW(O7:O89))+1))),ROW()-ROW(A$92)+1)),",",";")),"")</f>
        <v>0</v>
      </c>
      <c r="T99">
        <f t="array" ref="T99">IFERROR(CONCATENATE(INDEX(W7:W89,SMALL(IF(ISNUMBER(T7:T89),IF(T7:T89&gt;0,IF(W7:W89&lt;&gt;"",ROW(T7:T89)-MIN(ROW(T7:T89))+1))),ROW()-ROW(A$92)+1))," ",TEXT(INDEX(T7:T89,SMALL(IF(ISNUMBER(T7:T89),IF(T7:T89&gt;0,IF(W7:W89&lt;&gt;"",ROW(T7:T89)-MIN(ROW(T7:T89))+1))),ROW()-ROW(A$92)+1)),"##0")," ",SUBSTITUTE(INDEX(IF(PURCHASE_DESCRIPTION&lt;&gt;"",PURCHASE_DESCRIPTION&amp;":","")&amp;A7:A89,SMALL(IF(ISNUMBER(T7:T89),IF(T7:T89&gt;0,IF(W7:W89&lt;&gt;"",ROW(T7:T89)-MIN(ROW(T7:T89))+1))),ROW()-ROW(A$92)+1))," ",";")),"")</f>
        <v>0</v>
      </c>
      <c r="Y99">
        <f t="array" ref="Y99">IFERROR(CONCATENATE(TEXT(INDEX(Y7:Y89,SMALL(IF(ISNUMBER(Y7:Y89),IF(Y7:Y89&gt;0,IF(AB7:AB89&lt;&gt;"",ROW(Y7:Y89)-MIN(ROW(Y7:Y89))+1))),ROW()-ROW(A$93)+1)),"##0"),",",SUBSTITUTE(INDEX(IF(PURCHASE_DESCRIPTION&lt;&gt;"",PURCHASE_DESCRIPTION&amp;":","")&amp;A7:A89,SMALL(IF(ISNUMBER(Y7:Y89),IF(Y7:Y89&gt;0,IF(AB7:AB89&lt;&gt;"",ROW(Y7:Y89)-MIN(ROW(Y7:Y89))+1))),ROW()-ROW(A$93)+1)),",",";"),",",SUBSTITUTE(INDEX(IF(PURCHASE_DESCRIPTION&lt;&gt;"",PURCHASE_DESCRIPTION&amp;":","")&amp;D7:D89,SMALL(IF(ISNUMBER(Y7:Y89),IF(Y7:Y89&gt;0,IF(AB7:AB89&lt;&gt;"",ROW(Y7:Y89)-MIN(ROW(Y7:Y89))+1))),ROW()-ROW(A$93)+1)),",",";"),",",INDEX(AB7:AB89,SMALL(IF(ISNUMBER(Y7:Y89),IF(Y7:Y89&gt;0,IF(AB7:AB89&lt;&gt;"",ROW(Y7:Y89)-MIN(ROW(Y7:Y89))+1))),ROW()-ROW(A$93)+1))),"")</f>
        <v>0</v>
      </c>
      <c r="AD99">
        <f t="array" ref="AD99">IFERROR(CONCATENATE(INDEX(AG7:AG89,SMALL(IF(ISNUMBER(AD7:AD89),IF(AD7:AD89&gt;0,IF(AG7:AG89&lt;&gt;"",ROW(AD7:AD89)-MIN(ROW(AD7:AD89))+1))),ROW()-ROW(A$92)+1)),"|",TEXT(INDEX(AD7:AD89,SMALL(IF(ISNUMBER(AD7:AD89),IF(AD7:AD89&gt;0,IF(AG7:AG89&lt;&gt;"",ROW(AD7:AD89)-MIN(ROW(AD7:AD89))+1))),ROW()-ROW(A$92)+1)),"##0"),"|",SUBSTITUTE(SUBSTITUTE(INDEX(IF(PURCHASE_DESCRIPTION&lt;&gt;"",PURCHASE_DESCRIPTION&amp;":","")&amp;A7:A89,SMALL(IF(ISNUMBER(AD7:AD89),IF(AD7:AD89&gt;0,IF(AG7:AG89&lt;&gt;"",ROW(AD7:AD89)-MIN(ROW(AD7:AD89))+1))),ROW()-ROW(A$92)+1)),"|",";")," ","_")),"")</f>
        <v>0</v>
      </c>
      <c r="AI99">
        <f t="array" ref="AI99">IFERROR(CONCATENATE(INDEX(AL7:AL89,SMALL(IF(ISNUMBER(AI7:AI89),IF(AI7:AI89&gt;0,IF(AL7:AL89&lt;&gt;"",ROW(AI7:AI89)-MIN(ROW(AI7:AI89))+1))),ROW()-ROW(A$92)+1)),",",TEXT(INDEX(AI7:AI89,SMALL(IF(ISNUMBER(AI7:AI89),IF(AI7:AI89&gt;0,IF(AL7:AL89&lt;&gt;"",ROW(AI7:AI89)-MIN(ROW(AI7:AI89))+1))),ROW()-ROW(A$92)+1)),"##0"),",",SUBSTITUTE(INDEX(IF(PURCHASE_DESCRIPTION&lt;&gt;"",PURCHASE_DESCRIPTION&amp;":","")&amp;A7:A89,SMALL(IF(ISNUMBER(AI7:AI89),IF(AI7:AI89&gt;0,IF(AL7:AL89&lt;&gt;"",ROW(AI7:AI89)-MIN(ROW(AI7:AI89))+1))),ROW()-ROW(A$92)+1)),",",";")),"")</f>
        <v>0</v>
      </c>
      <c r="AN99">
        <f t="array" ref="AN99">IFERROR(CONCATENATE(INDEX(AQ7:AQ89,SMALL(IF(ISNUMBER(AN7:AN89),IF(AN7:AN89&gt;0,IF(AQ7:AQ89&lt;&gt;"",ROW(AN7:AN89)-MIN(ROW(AN7:AN89))+1))),ROW()-ROW(A$92)+1))," ",TEXT(INDEX(AN7:AN89,SMALL(IF(ISNUMBER(AN7:AN89),IF(AN7:AN89&gt;0,IF(AQ7:AQ89&lt;&gt;"",ROW(AN7:AN89)-MIN(ROW(AN7:AN89))+1))),ROW()-ROW(A$92)+1)),"##0")," ",SUBSTITUTE(INDEX(IF(PURCHASE_DESCRIPTION&lt;&gt;"",PURCHASE_DESCRIPTION&amp;":","")&amp;A7:A89,SMALL(IF(ISNUMBER(AN7:AN89),IF(AN7:AN89&gt;0,IF(AQ7:AQ89&lt;&gt;"",ROW(AN7:AN89)-MIN(ROW(AN7:AN89))+1))),ROW()-ROW(A$92)+1))," ",";")),"")</f>
        <v>0</v>
      </c>
      <c r="AS99">
        <f t="array" ref="AS99">IFERROR(CONCATENATE(INDEX(AV7:AV89,SMALL(IF(ISNUMBER(AS7:AS89),IF(AS7:AS89&gt;0,IF(AV7:AV89&lt;&gt;"",ROW(AS7:AS89)-MIN(ROW(AS7:AS89))+1))),ROW()-ROW(A$92)+1))," ",TEXT(INDEX(AS7:AS89,SMALL(IF(ISNUMBER(AS7:AS89),IF(AS7:AS89&gt;0,IF(AV7:AV89&lt;&gt;"",ROW(AS7:AS89)-MIN(ROW(AS7:AS89))+1))),ROW()-ROW(A$92)+1)),"##0")," ",SUBSTITUTE(INDEX(IF(PURCHASE_DESCRIPTION&lt;&gt;"",PURCHASE_DESCRIPTION&amp;":","")&amp;A7:A89,SMALL(IF(ISNUMBER(AS7:AS89),IF(AS7:AS89&gt;0,IF(AV7:AV89&lt;&gt;"",ROW(AS7:AS89)-MIN(ROW(AS7:AS89))+1))),ROW()-ROW(A$92)+1))," ",";")),"")</f>
        <v>0</v>
      </c>
    </row>
    <row r="100" spans="10:45">
      <c r="J100">
        <f t="array" ref="J100">IFERROR(CONCATENATE(INDEX(M7:M89,SMALL(IF(ISNUMBER(J7:J89),IF(J7:J89&gt;0,IF(M7:M89&lt;&gt;"",ROW(J7:J89)-MIN(ROW(J7:J89))+1))),ROW()-ROW(A$92)+1)),",",TEXT(INDEX(J7:J89,SMALL(IF(ISNUMBER(J7:J89),IF(J7:J89&gt;0,IF(M7:M89&lt;&gt;"",ROW(J7:J89)-MIN(ROW(J7:J89))+1))),ROW()-ROW(A$92)+1)),"##0"),",",SUBSTITUTE(INDEX(IF(PURCHASE_DESCRIPTION&lt;&gt;"",PURCHASE_DESCRIPTION&amp;":","")&amp;A7:A89,SMALL(IF(ISNUMBER(J7:J89),IF(J7:J89&gt;0,IF(M7:M89&lt;&gt;"",ROW(J7:J89)-MIN(ROW(J7:J89))+1))),ROW()-ROW(A$92)+1)),",",";")),"")</f>
        <v>0</v>
      </c>
      <c r="O100">
        <f t="array" ref="O100">IFERROR(CONCATENATE(TEXT(INDEX(O7:O89,SMALL(IF(ISNUMBER(O7:O89),IF(O7:O89&gt;0,IF(R7:R89&lt;&gt;"",ROW(O7:O89)-MIN(ROW(O7:O89))+1))),ROW()-ROW(A$92)+1)),"##0"),",",INDEX(R7:R89,SMALL(IF(ISNUMBER(O7:O89),IF(O7:O89&gt;0,IF(R7:R89&lt;&gt;"",ROW(O7:O89)-MIN(ROW(O7:O89))+1))),ROW()-ROW(A$92)+1)),",",SUBSTITUTE(INDEX(IF(PURCHASE_DESCRIPTION&lt;&gt;"",PURCHASE_DESCRIPTION&amp;":","")&amp;A7:A89,SMALL(IF(ISNUMBER(O7:O89),IF(O7:O89&gt;0,IF(R7:R89&lt;&gt;"",ROW(O7:O89)-MIN(ROW(O7:O89))+1))),ROW()-ROW(A$92)+1)),",",";")),"")</f>
        <v>0</v>
      </c>
      <c r="T100">
        <f t="array" ref="T100">IFERROR(CONCATENATE(INDEX(W7:W89,SMALL(IF(ISNUMBER(T7:T89),IF(T7:T89&gt;0,IF(W7:W89&lt;&gt;"",ROW(T7:T89)-MIN(ROW(T7:T89))+1))),ROW()-ROW(A$92)+1))," ",TEXT(INDEX(T7:T89,SMALL(IF(ISNUMBER(T7:T89),IF(T7:T89&gt;0,IF(W7:W89&lt;&gt;"",ROW(T7:T89)-MIN(ROW(T7:T89))+1))),ROW()-ROW(A$92)+1)),"##0")," ",SUBSTITUTE(INDEX(IF(PURCHASE_DESCRIPTION&lt;&gt;"",PURCHASE_DESCRIPTION&amp;":","")&amp;A7:A89,SMALL(IF(ISNUMBER(T7:T89),IF(T7:T89&gt;0,IF(W7:W89&lt;&gt;"",ROW(T7:T89)-MIN(ROW(T7:T89))+1))),ROW()-ROW(A$92)+1))," ",";")),"")</f>
        <v>0</v>
      </c>
      <c r="Y100">
        <f t="array" ref="Y100">IFERROR(CONCATENATE(TEXT(INDEX(Y7:Y89,SMALL(IF(ISNUMBER(Y7:Y89),IF(Y7:Y89&gt;0,IF(AB7:AB89&lt;&gt;"",ROW(Y7:Y89)-MIN(ROW(Y7:Y89))+1))),ROW()-ROW(A$93)+1)),"##0"),",",SUBSTITUTE(INDEX(IF(PURCHASE_DESCRIPTION&lt;&gt;"",PURCHASE_DESCRIPTION&amp;":","")&amp;A7:A89,SMALL(IF(ISNUMBER(Y7:Y89),IF(Y7:Y89&gt;0,IF(AB7:AB89&lt;&gt;"",ROW(Y7:Y89)-MIN(ROW(Y7:Y89))+1))),ROW()-ROW(A$93)+1)),",",";"),",",SUBSTITUTE(INDEX(IF(PURCHASE_DESCRIPTION&lt;&gt;"",PURCHASE_DESCRIPTION&amp;":","")&amp;D7:D89,SMALL(IF(ISNUMBER(Y7:Y89),IF(Y7:Y89&gt;0,IF(AB7:AB89&lt;&gt;"",ROW(Y7:Y89)-MIN(ROW(Y7:Y89))+1))),ROW()-ROW(A$93)+1)),",",";"),",",INDEX(AB7:AB89,SMALL(IF(ISNUMBER(Y7:Y89),IF(Y7:Y89&gt;0,IF(AB7:AB89&lt;&gt;"",ROW(Y7:Y89)-MIN(ROW(Y7:Y89))+1))),ROW()-ROW(A$93)+1))),"")</f>
        <v>0</v>
      </c>
      <c r="AD100">
        <f t="array" ref="AD100">IFERROR(CONCATENATE(INDEX(AG7:AG89,SMALL(IF(ISNUMBER(AD7:AD89),IF(AD7:AD89&gt;0,IF(AG7:AG89&lt;&gt;"",ROW(AD7:AD89)-MIN(ROW(AD7:AD89))+1))),ROW()-ROW(A$92)+1)),"|",TEXT(INDEX(AD7:AD89,SMALL(IF(ISNUMBER(AD7:AD89),IF(AD7:AD89&gt;0,IF(AG7:AG89&lt;&gt;"",ROW(AD7:AD89)-MIN(ROW(AD7:AD89))+1))),ROW()-ROW(A$92)+1)),"##0"),"|",SUBSTITUTE(SUBSTITUTE(INDEX(IF(PURCHASE_DESCRIPTION&lt;&gt;"",PURCHASE_DESCRIPTION&amp;":","")&amp;A7:A89,SMALL(IF(ISNUMBER(AD7:AD89),IF(AD7:AD89&gt;0,IF(AG7:AG89&lt;&gt;"",ROW(AD7:AD89)-MIN(ROW(AD7:AD89))+1))),ROW()-ROW(A$92)+1)),"|",";")," ","_")),"")</f>
        <v>0</v>
      </c>
      <c r="AI100">
        <f t="array" ref="AI100">IFERROR(CONCATENATE(INDEX(AL7:AL89,SMALL(IF(ISNUMBER(AI7:AI89),IF(AI7:AI89&gt;0,IF(AL7:AL89&lt;&gt;"",ROW(AI7:AI89)-MIN(ROW(AI7:AI89))+1))),ROW()-ROW(A$92)+1)),",",TEXT(INDEX(AI7:AI89,SMALL(IF(ISNUMBER(AI7:AI89),IF(AI7:AI89&gt;0,IF(AL7:AL89&lt;&gt;"",ROW(AI7:AI89)-MIN(ROW(AI7:AI89))+1))),ROW()-ROW(A$92)+1)),"##0"),",",SUBSTITUTE(INDEX(IF(PURCHASE_DESCRIPTION&lt;&gt;"",PURCHASE_DESCRIPTION&amp;":","")&amp;A7:A89,SMALL(IF(ISNUMBER(AI7:AI89),IF(AI7:AI89&gt;0,IF(AL7:AL89&lt;&gt;"",ROW(AI7:AI89)-MIN(ROW(AI7:AI89))+1))),ROW()-ROW(A$92)+1)),",",";")),"")</f>
        <v>0</v>
      </c>
      <c r="AN100">
        <f t="array" ref="AN100">IFERROR(CONCATENATE(INDEX(AQ7:AQ89,SMALL(IF(ISNUMBER(AN7:AN89),IF(AN7:AN89&gt;0,IF(AQ7:AQ89&lt;&gt;"",ROW(AN7:AN89)-MIN(ROW(AN7:AN89))+1))),ROW()-ROW(A$92)+1))," ",TEXT(INDEX(AN7:AN89,SMALL(IF(ISNUMBER(AN7:AN89),IF(AN7:AN89&gt;0,IF(AQ7:AQ89&lt;&gt;"",ROW(AN7:AN89)-MIN(ROW(AN7:AN89))+1))),ROW()-ROW(A$92)+1)),"##0")," ",SUBSTITUTE(INDEX(IF(PURCHASE_DESCRIPTION&lt;&gt;"",PURCHASE_DESCRIPTION&amp;":","")&amp;A7:A89,SMALL(IF(ISNUMBER(AN7:AN89),IF(AN7:AN89&gt;0,IF(AQ7:AQ89&lt;&gt;"",ROW(AN7:AN89)-MIN(ROW(AN7:AN89))+1))),ROW()-ROW(A$92)+1))," ",";")),"")</f>
        <v>0</v>
      </c>
      <c r="AS100">
        <f t="array" ref="AS100">IFERROR(CONCATENATE(INDEX(AV7:AV89,SMALL(IF(ISNUMBER(AS7:AS89),IF(AS7:AS89&gt;0,IF(AV7:AV89&lt;&gt;"",ROW(AS7:AS89)-MIN(ROW(AS7:AS89))+1))),ROW()-ROW(A$92)+1))," ",TEXT(INDEX(AS7:AS89,SMALL(IF(ISNUMBER(AS7:AS89),IF(AS7:AS89&gt;0,IF(AV7:AV89&lt;&gt;"",ROW(AS7:AS89)-MIN(ROW(AS7:AS89))+1))),ROW()-ROW(A$92)+1)),"##0")," ",SUBSTITUTE(INDEX(IF(PURCHASE_DESCRIPTION&lt;&gt;"",PURCHASE_DESCRIPTION&amp;":","")&amp;A7:A89,SMALL(IF(ISNUMBER(AS7:AS89),IF(AS7:AS89&gt;0,IF(AV7:AV89&lt;&gt;"",ROW(AS7:AS89)-MIN(ROW(AS7:AS89))+1))),ROW()-ROW(A$92)+1))," ",";")),"")</f>
        <v>0</v>
      </c>
    </row>
    <row r="101" spans="10:45">
      <c r="J101">
        <f t="array" ref="J101">IFERROR(CONCATENATE(INDEX(M7:M89,SMALL(IF(ISNUMBER(J7:J89),IF(J7:J89&gt;0,IF(M7:M89&lt;&gt;"",ROW(J7:J89)-MIN(ROW(J7:J89))+1))),ROW()-ROW(A$92)+1)),",",TEXT(INDEX(J7:J89,SMALL(IF(ISNUMBER(J7:J89),IF(J7:J89&gt;0,IF(M7:M89&lt;&gt;"",ROW(J7:J89)-MIN(ROW(J7:J89))+1))),ROW()-ROW(A$92)+1)),"##0"),",",SUBSTITUTE(INDEX(IF(PURCHASE_DESCRIPTION&lt;&gt;"",PURCHASE_DESCRIPTION&amp;":","")&amp;A7:A89,SMALL(IF(ISNUMBER(J7:J89),IF(J7:J89&gt;0,IF(M7:M89&lt;&gt;"",ROW(J7:J89)-MIN(ROW(J7:J89))+1))),ROW()-ROW(A$92)+1)),",",";")),"")</f>
        <v>0</v>
      </c>
      <c r="O101">
        <f t="array" ref="O101">IFERROR(CONCATENATE(TEXT(INDEX(O7:O89,SMALL(IF(ISNUMBER(O7:O89),IF(O7:O89&gt;0,IF(R7:R89&lt;&gt;"",ROW(O7:O89)-MIN(ROW(O7:O89))+1))),ROW()-ROW(A$92)+1)),"##0"),",",INDEX(R7:R89,SMALL(IF(ISNUMBER(O7:O89),IF(O7:O89&gt;0,IF(R7:R89&lt;&gt;"",ROW(O7:O89)-MIN(ROW(O7:O89))+1))),ROW()-ROW(A$92)+1)),",",SUBSTITUTE(INDEX(IF(PURCHASE_DESCRIPTION&lt;&gt;"",PURCHASE_DESCRIPTION&amp;":","")&amp;A7:A89,SMALL(IF(ISNUMBER(O7:O89),IF(O7:O89&gt;0,IF(R7:R89&lt;&gt;"",ROW(O7:O89)-MIN(ROW(O7:O89))+1))),ROW()-ROW(A$92)+1)),",",";")),"")</f>
        <v>0</v>
      </c>
      <c r="T101">
        <f t="array" ref="T101">IFERROR(CONCATENATE(INDEX(W7:W89,SMALL(IF(ISNUMBER(T7:T89),IF(T7:T89&gt;0,IF(W7:W89&lt;&gt;"",ROW(T7:T89)-MIN(ROW(T7:T89))+1))),ROW()-ROW(A$92)+1))," ",TEXT(INDEX(T7:T89,SMALL(IF(ISNUMBER(T7:T89),IF(T7:T89&gt;0,IF(W7:W89&lt;&gt;"",ROW(T7:T89)-MIN(ROW(T7:T89))+1))),ROW()-ROW(A$92)+1)),"##0")," ",SUBSTITUTE(INDEX(IF(PURCHASE_DESCRIPTION&lt;&gt;"",PURCHASE_DESCRIPTION&amp;":","")&amp;A7:A89,SMALL(IF(ISNUMBER(T7:T89),IF(T7:T89&gt;0,IF(W7:W89&lt;&gt;"",ROW(T7:T89)-MIN(ROW(T7:T89))+1))),ROW()-ROW(A$92)+1))," ",";")),"")</f>
        <v>0</v>
      </c>
      <c r="Y101">
        <f t="array" ref="Y101">IFERROR(CONCATENATE(TEXT(INDEX(Y7:Y89,SMALL(IF(ISNUMBER(Y7:Y89),IF(Y7:Y89&gt;0,IF(AB7:AB89&lt;&gt;"",ROW(Y7:Y89)-MIN(ROW(Y7:Y89))+1))),ROW()-ROW(A$93)+1)),"##0"),",",SUBSTITUTE(INDEX(IF(PURCHASE_DESCRIPTION&lt;&gt;"",PURCHASE_DESCRIPTION&amp;":","")&amp;A7:A89,SMALL(IF(ISNUMBER(Y7:Y89),IF(Y7:Y89&gt;0,IF(AB7:AB89&lt;&gt;"",ROW(Y7:Y89)-MIN(ROW(Y7:Y89))+1))),ROW()-ROW(A$93)+1)),",",";"),",",SUBSTITUTE(INDEX(IF(PURCHASE_DESCRIPTION&lt;&gt;"",PURCHASE_DESCRIPTION&amp;":","")&amp;D7:D89,SMALL(IF(ISNUMBER(Y7:Y89),IF(Y7:Y89&gt;0,IF(AB7:AB89&lt;&gt;"",ROW(Y7:Y89)-MIN(ROW(Y7:Y89))+1))),ROW()-ROW(A$93)+1)),",",";"),",",INDEX(AB7:AB89,SMALL(IF(ISNUMBER(Y7:Y89),IF(Y7:Y89&gt;0,IF(AB7:AB89&lt;&gt;"",ROW(Y7:Y89)-MIN(ROW(Y7:Y89))+1))),ROW()-ROW(A$93)+1))),"")</f>
        <v>0</v>
      </c>
      <c r="AD101">
        <f t="array" ref="AD101">IFERROR(CONCATENATE(INDEX(AG7:AG89,SMALL(IF(ISNUMBER(AD7:AD89),IF(AD7:AD89&gt;0,IF(AG7:AG89&lt;&gt;"",ROW(AD7:AD89)-MIN(ROW(AD7:AD89))+1))),ROW()-ROW(A$92)+1)),"|",TEXT(INDEX(AD7:AD89,SMALL(IF(ISNUMBER(AD7:AD89),IF(AD7:AD89&gt;0,IF(AG7:AG89&lt;&gt;"",ROW(AD7:AD89)-MIN(ROW(AD7:AD89))+1))),ROW()-ROW(A$92)+1)),"##0"),"|",SUBSTITUTE(SUBSTITUTE(INDEX(IF(PURCHASE_DESCRIPTION&lt;&gt;"",PURCHASE_DESCRIPTION&amp;":","")&amp;A7:A89,SMALL(IF(ISNUMBER(AD7:AD89),IF(AD7:AD89&gt;0,IF(AG7:AG89&lt;&gt;"",ROW(AD7:AD89)-MIN(ROW(AD7:AD89))+1))),ROW()-ROW(A$92)+1)),"|",";")," ","_")),"")</f>
        <v>0</v>
      </c>
      <c r="AI101">
        <f t="array" ref="AI101">IFERROR(CONCATENATE(INDEX(AL7:AL89,SMALL(IF(ISNUMBER(AI7:AI89),IF(AI7:AI89&gt;0,IF(AL7:AL89&lt;&gt;"",ROW(AI7:AI89)-MIN(ROW(AI7:AI89))+1))),ROW()-ROW(A$92)+1)),",",TEXT(INDEX(AI7:AI89,SMALL(IF(ISNUMBER(AI7:AI89),IF(AI7:AI89&gt;0,IF(AL7:AL89&lt;&gt;"",ROW(AI7:AI89)-MIN(ROW(AI7:AI89))+1))),ROW()-ROW(A$92)+1)),"##0"),",",SUBSTITUTE(INDEX(IF(PURCHASE_DESCRIPTION&lt;&gt;"",PURCHASE_DESCRIPTION&amp;":","")&amp;A7:A89,SMALL(IF(ISNUMBER(AI7:AI89),IF(AI7:AI89&gt;0,IF(AL7:AL89&lt;&gt;"",ROW(AI7:AI89)-MIN(ROW(AI7:AI89))+1))),ROW()-ROW(A$92)+1)),",",";")),"")</f>
        <v>0</v>
      </c>
      <c r="AN101">
        <f t="array" ref="AN101">IFERROR(CONCATENATE(INDEX(AQ7:AQ89,SMALL(IF(ISNUMBER(AN7:AN89),IF(AN7:AN89&gt;0,IF(AQ7:AQ89&lt;&gt;"",ROW(AN7:AN89)-MIN(ROW(AN7:AN89))+1))),ROW()-ROW(A$92)+1))," ",TEXT(INDEX(AN7:AN89,SMALL(IF(ISNUMBER(AN7:AN89),IF(AN7:AN89&gt;0,IF(AQ7:AQ89&lt;&gt;"",ROW(AN7:AN89)-MIN(ROW(AN7:AN89))+1))),ROW()-ROW(A$92)+1)),"##0")," ",SUBSTITUTE(INDEX(IF(PURCHASE_DESCRIPTION&lt;&gt;"",PURCHASE_DESCRIPTION&amp;":","")&amp;A7:A89,SMALL(IF(ISNUMBER(AN7:AN89),IF(AN7:AN89&gt;0,IF(AQ7:AQ89&lt;&gt;"",ROW(AN7:AN89)-MIN(ROW(AN7:AN89))+1))),ROW()-ROW(A$92)+1))," ",";")),"")</f>
        <v>0</v>
      </c>
      <c r="AS101">
        <f t="array" ref="AS101">IFERROR(CONCATENATE(INDEX(AV7:AV89,SMALL(IF(ISNUMBER(AS7:AS89),IF(AS7:AS89&gt;0,IF(AV7:AV89&lt;&gt;"",ROW(AS7:AS89)-MIN(ROW(AS7:AS89))+1))),ROW()-ROW(A$92)+1))," ",TEXT(INDEX(AS7:AS89,SMALL(IF(ISNUMBER(AS7:AS89),IF(AS7:AS89&gt;0,IF(AV7:AV89&lt;&gt;"",ROW(AS7:AS89)-MIN(ROW(AS7:AS89))+1))),ROW()-ROW(A$92)+1)),"##0")," ",SUBSTITUTE(INDEX(IF(PURCHASE_DESCRIPTION&lt;&gt;"",PURCHASE_DESCRIPTION&amp;":","")&amp;A7:A89,SMALL(IF(ISNUMBER(AS7:AS89),IF(AS7:AS89&gt;0,IF(AV7:AV89&lt;&gt;"",ROW(AS7:AS89)-MIN(ROW(AS7:AS89))+1))),ROW()-ROW(A$92)+1))," ",";")),"")</f>
        <v>0</v>
      </c>
    </row>
    <row r="102" spans="10:45">
      <c r="J102">
        <f t="array" ref="J102">IFERROR(CONCATENATE(INDEX(M7:M89,SMALL(IF(ISNUMBER(J7:J89),IF(J7:J89&gt;0,IF(M7:M89&lt;&gt;"",ROW(J7:J89)-MIN(ROW(J7:J89))+1))),ROW()-ROW(A$92)+1)),",",TEXT(INDEX(J7:J89,SMALL(IF(ISNUMBER(J7:J89),IF(J7:J89&gt;0,IF(M7:M89&lt;&gt;"",ROW(J7:J89)-MIN(ROW(J7:J89))+1))),ROW()-ROW(A$92)+1)),"##0"),",",SUBSTITUTE(INDEX(IF(PURCHASE_DESCRIPTION&lt;&gt;"",PURCHASE_DESCRIPTION&amp;":","")&amp;A7:A89,SMALL(IF(ISNUMBER(J7:J89),IF(J7:J89&gt;0,IF(M7:M89&lt;&gt;"",ROW(J7:J89)-MIN(ROW(J7:J89))+1))),ROW()-ROW(A$92)+1)),",",";")),"")</f>
        <v>0</v>
      </c>
      <c r="O102">
        <f t="array" ref="O102">IFERROR(CONCATENATE(TEXT(INDEX(O7:O89,SMALL(IF(ISNUMBER(O7:O89),IF(O7:O89&gt;0,IF(R7:R89&lt;&gt;"",ROW(O7:O89)-MIN(ROW(O7:O89))+1))),ROW()-ROW(A$92)+1)),"##0"),",",INDEX(R7:R89,SMALL(IF(ISNUMBER(O7:O89),IF(O7:O89&gt;0,IF(R7:R89&lt;&gt;"",ROW(O7:O89)-MIN(ROW(O7:O89))+1))),ROW()-ROW(A$92)+1)),",",SUBSTITUTE(INDEX(IF(PURCHASE_DESCRIPTION&lt;&gt;"",PURCHASE_DESCRIPTION&amp;":","")&amp;A7:A89,SMALL(IF(ISNUMBER(O7:O89),IF(O7:O89&gt;0,IF(R7:R89&lt;&gt;"",ROW(O7:O89)-MIN(ROW(O7:O89))+1))),ROW()-ROW(A$92)+1)),",",";")),"")</f>
        <v>0</v>
      </c>
      <c r="T102">
        <f t="array" ref="T102">IFERROR(CONCATENATE(INDEX(W7:W89,SMALL(IF(ISNUMBER(T7:T89),IF(T7:T89&gt;0,IF(W7:W89&lt;&gt;"",ROW(T7:T89)-MIN(ROW(T7:T89))+1))),ROW()-ROW(A$92)+1))," ",TEXT(INDEX(T7:T89,SMALL(IF(ISNUMBER(T7:T89),IF(T7:T89&gt;0,IF(W7:W89&lt;&gt;"",ROW(T7:T89)-MIN(ROW(T7:T89))+1))),ROW()-ROW(A$92)+1)),"##0")," ",SUBSTITUTE(INDEX(IF(PURCHASE_DESCRIPTION&lt;&gt;"",PURCHASE_DESCRIPTION&amp;":","")&amp;A7:A89,SMALL(IF(ISNUMBER(T7:T89),IF(T7:T89&gt;0,IF(W7:W89&lt;&gt;"",ROW(T7:T89)-MIN(ROW(T7:T89))+1))),ROW()-ROW(A$92)+1))," ",";")),"")</f>
        <v>0</v>
      </c>
      <c r="Y102">
        <f t="array" ref="Y102">IFERROR(CONCATENATE(TEXT(INDEX(Y7:Y89,SMALL(IF(ISNUMBER(Y7:Y89),IF(Y7:Y89&gt;0,IF(AB7:AB89&lt;&gt;"",ROW(Y7:Y89)-MIN(ROW(Y7:Y89))+1))),ROW()-ROW(A$93)+1)),"##0"),",",SUBSTITUTE(INDEX(IF(PURCHASE_DESCRIPTION&lt;&gt;"",PURCHASE_DESCRIPTION&amp;":","")&amp;A7:A89,SMALL(IF(ISNUMBER(Y7:Y89),IF(Y7:Y89&gt;0,IF(AB7:AB89&lt;&gt;"",ROW(Y7:Y89)-MIN(ROW(Y7:Y89))+1))),ROW()-ROW(A$93)+1)),",",";"),",",SUBSTITUTE(INDEX(IF(PURCHASE_DESCRIPTION&lt;&gt;"",PURCHASE_DESCRIPTION&amp;":","")&amp;D7:D89,SMALL(IF(ISNUMBER(Y7:Y89),IF(Y7:Y89&gt;0,IF(AB7:AB89&lt;&gt;"",ROW(Y7:Y89)-MIN(ROW(Y7:Y89))+1))),ROW()-ROW(A$93)+1)),",",";"),",",INDEX(AB7:AB89,SMALL(IF(ISNUMBER(Y7:Y89),IF(Y7:Y89&gt;0,IF(AB7:AB89&lt;&gt;"",ROW(Y7:Y89)-MIN(ROW(Y7:Y89))+1))),ROW()-ROW(A$93)+1))),"")</f>
        <v>0</v>
      </c>
      <c r="AD102">
        <f t="array" ref="AD102">IFERROR(CONCATENATE(INDEX(AG7:AG89,SMALL(IF(ISNUMBER(AD7:AD89),IF(AD7:AD89&gt;0,IF(AG7:AG89&lt;&gt;"",ROW(AD7:AD89)-MIN(ROW(AD7:AD89))+1))),ROW()-ROW(A$92)+1)),"|",TEXT(INDEX(AD7:AD89,SMALL(IF(ISNUMBER(AD7:AD89),IF(AD7:AD89&gt;0,IF(AG7:AG89&lt;&gt;"",ROW(AD7:AD89)-MIN(ROW(AD7:AD89))+1))),ROW()-ROW(A$92)+1)),"##0"),"|",SUBSTITUTE(SUBSTITUTE(INDEX(IF(PURCHASE_DESCRIPTION&lt;&gt;"",PURCHASE_DESCRIPTION&amp;":","")&amp;A7:A89,SMALL(IF(ISNUMBER(AD7:AD89),IF(AD7:AD89&gt;0,IF(AG7:AG89&lt;&gt;"",ROW(AD7:AD89)-MIN(ROW(AD7:AD89))+1))),ROW()-ROW(A$92)+1)),"|",";")," ","_")),"")</f>
        <v>0</v>
      </c>
      <c r="AI102">
        <f t="array" ref="AI102">IFERROR(CONCATENATE(INDEX(AL7:AL89,SMALL(IF(ISNUMBER(AI7:AI89),IF(AI7:AI89&gt;0,IF(AL7:AL89&lt;&gt;"",ROW(AI7:AI89)-MIN(ROW(AI7:AI89))+1))),ROW()-ROW(A$92)+1)),",",TEXT(INDEX(AI7:AI89,SMALL(IF(ISNUMBER(AI7:AI89),IF(AI7:AI89&gt;0,IF(AL7:AL89&lt;&gt;"",ROW(AI7:AI89)-MIN(ROW(AI7:AI89))+1))),ROW()-ROW(A$92)+1)),"##0"),",",SUBSTITUTE(INDEX(IF(PURCHASE_DESCRIPTION&lt;&gt;"",PURCHASE_DESCRIPTION&amp;":","")&amp;A7:A89,SMALL(IF(ISNUMBER(AI7:AI89),IF(AI7:AI89&gt;0,IF(AL7:AL89&lt;&gt;"",ROW(AI7:AI89)-MIN(ROW(AI7:AI89))+1))),ROW()-ROW(A$92)+1)),",",";")),"")</f>
        <v>0</v>
      </c>
      <c r="AN102">
        <f t="array" ref="AN102">IFERROR(CONCATENATE(INDEX(AQ7:AQ89,SMALL(IF(ISNUMBER(AN7:AN89),IF(AN7:AN89&gt;0,IF(AQ7:AQ89&lt;&gt;"",ROW(AN7:AN89)-MIN(ROW(AN7:AN89))+1))),ROW()-ROW(A$92)+1))," ",TEXT(INDEX(AN7:AN89,SMALL(IF(ISNUMBER(AN7:AN89),IF(AN7:AN89&gt;0,IF(AQ7:AQ89&lt;&gt;"",ROW(AN7:AN89)-MIN(ROW(AN7:AN89))+1))),ROW()-ROW(A$92)+1)),"##0")," ",SUBSTITUTE(INDEX(IF(PURCHASE_DESCRIPTION&lt;&gt;"",PURCHASE_DESCRIPTION&amp;":","")&amp;A7:A89,SMALL(IF(ISNUMBER(AN7:AN89),IF(AN7:AN89&gt;0,IF(AQ7:AQ89&lt;&gt;"",ROW(AN7:AN89)-MIN(ROW(AN7:AN89))+1))),ROW()-ROW(A$92)+1))," ",";")),"")</f>
        <v>0</v>
      </c>
      <c r="AS102">
        <f t="array" ref="AS102">IFERROR(CONCATENATE(INDEX(AV7:AV89,SMALL(IF(ISNUMBER(AS7:AS89),IF(AS7:AS89&gt;0,IF(AV7:AV89&lt;&gt;"",ROW(AS7:AS89)-MIN(ROW(AS7:AS89))+1))),ROW()-ROW(A$92)+1))," ",TEXT(INDEX(AS7:AS89,SMALL(IF(ISNUMBER(AS7:AS89),IF(AS7:AS89&gt;0,IF(AV7:AV89&lt;&gt;"",ROW(AS7:AS89)-MIN(ROW(AS7:AS89))+1))),ROW()-ROW(A$92)+1)),"##0")," ",SUBSTITUTE(INDEX(IF(PURCHASE_DESCRIPTION&lt;&gt;"",PURCHASE_DESCRIPTION&amp;":","")&amp;A7:A89,SMALL(IF(ISNUMBER(AS7:AS89),IF(AS7:AS89&gt;0,IF(AV7:AV89&lt;&gt;"",ROW(AS7:AS89)-MIN(ROW(AS7:AS89))+1))),ROW()-ROW(A$92)+1))," ",";")),"")</f>
        <v>0</v>
      </c>
    </row>
    <row r="103" spans="10:45">
      <c r="J103">
        <f t="array" ref="J103">IFERROR(CONCATENATE(INDEX(M7:M89,SMALL(IF(ISNUMBER(J7:J89),IF(J7:J89&gt;0,IF(M7:M89&lt;&gt;"",ROW(J7:J89)-MIN(ROW(J7:J89))+1))),ROW()-ROW(A$92)+1)),",",TEXT(INDEX(J7:J89,SMALL(IF(ISNUMBER(J7:J89),IF(J7:J89&gt;0,IF(M7:M89&lt;&gt;"",ROW(J7:J89)-MIN(ROW(J7:J89))+1))),ROW()-ROW(A$92)+1)),"##0"),",",SUBSTITUTE(INDEX(IF(PURCHASE_DESCRIPTION&lt;&gt;"",PURCHASE_DESCRIPTION&amp;":","")&amp;A7:A89,SMALL(IF(ISNUMBER(J7:J89),IF(J7:J89&gt;0,IF(M7:M89&lt;&gt;"",ROW(J7:J89)-MIN(ROW(J7:J89))+1))),ROW()-ROW(A$92)+1)),",",";")),"")</f>
        <v>0</v>
      </c>
      <c r="O103">
        <f t="array" ref="O103">IFERROR(CONCATENATE(TEXT(INDEX(O7:O89,SMALL(IF(ISNUMBER(O7:O89),IF(O7:O89&gt;0,IF(R7:R89&lt;&gt;"",ROW(O7:O89)-MIN(ROW(O7:O89))+1))),ROW()-ROW(A$92)+1)),"##0"),",",INDEX(R7:R89,SMALL(IF(ISNUMBER(O7:O89),IF(O7:O89&gt;0,IF(R7:R89&lt;&gt;"",ROW(O7:O89)-MIN(ROW(O7:O89))+1))),ROW()-ROW(A$92)+1)),",",SUBSTITUTE(INDEX(IF(PURCHASE_DESCRIPTION&lt;&gt;"",PURCHASE_DESCRIPTION&amp;":","")&amp;A7:A89,SMALL(IF(ISNUMBER(O7:O89),IF(O7:O89&gt;0,IF(R7:R89&lt;&gt;"",ROW(O7:O89)-MIN(ROW(O7:O89))+1))),ROW()-ROW(A$92)+1)),",",";")),"")</f>
        <v>0</v>
      </c>
      <c r="T103">
        <f t="array" ref="T103">IFERROR(CONCATENATE(INDEX(W7:W89,SMALL(IF(ISNUMBER(T7:T89),IF(T7:T89&gt;0,IF(W7:W89&lt;&gt;"",ROW(T7:T89)-MIN(ROW(T7:T89))+1))),ROW()-ROW(A$92)+1))," ",TEXT(INDEX(T7:T89,SMALL(IF(ISNUMBER(T7:T89),IF(T7:T89&gt;0,IF(W7:W89&lt;&gt;"",ROW(T7:T89)-MIN(ROW(T7:T89))+1))),ROW()-ROW(A$92)+1)),"##0")," ",SUBSTITUTE(INDEX(IF(PURCHASE_DESCRIPTION&lt;&gt;"",PURCHASE_DESCRIPTION&amp;":","")&amp;A7:A89,SMALL(IF(ISNUMBER(T7:T89),IF(T7:T89&gt;0,IF(W7:W89&lt;&gt;"",ROW(T7:T89)-MIN(ROW(T7:T89))+1))),ROW()-ROW(A$92)+1))," ",";")),"")</f>
        <v>0</v>
      </c>
      <c r="Y103">
        <f t="array" ref="Y103">IFERROR(CONCATENATE(TEXT(INDEX(Y7:Y89,SMALL(IF(ISNUMBER(Y7:Y89),IF(Y7:Y89&gt;0,IF(AB7:AB89&lt;&gt;"",ROW(Y7:Y89)-MIN(ROW(Y7:Y89))+1))),ROW()-ROW(A$93)+1)),"##0"),",",SUBSTITUTE(INDEX(IF(PURCHASE_DESCRIPTION&lt;&gt;"",PURCHASE_DESCRIPTION&amp;":","")&amp;A7:A89,SMALL(IF(ISNUMBER(Y7:Y89),IF(Y7:Y89&gt;0,IF(AB7:AB89&lt;&gt;"",ROW(Y7:Y89)-MIN(ROW(Y7:Y89))+1))),ROW()-ROW(A$93)+1)),",",";"),",",SUBSTITUTE(INDEX(IF(PURCHASE_DESCRIPTION&lt;&gt;"",PURCHASE_DESCRIPTION&amp;":","")&amp;D7:D89,SMALL(IF(ISNUMBER(Y7:Y89),IF(Y7:Y89&gt;0,IF(AB7:AB89&lt;&gt;"",ROW(Y7:Y89)-MIN(ROW(Y7:Y89))+1))),ROW()-ROW(A$93)+1)),",",";"),",",INDEX(AB7:AB89,SMALL(IF(ISNUMBER(Y7:Y89),IF(Y7:Y89&gt;0,IF(AB7:AB89&lt;&gt;"",ROW(Y7:Y89)-MIN(ROW(Y7:Y89))+1))),ROW()-ROW(A$93)+1))),"")</f>
        <v>0</v>
      </c>
      <c r="AD103">
        <f t="array" ref="AD103">IFERROR(CONCATENATE(INDEX(AG7:AG89,SMALL(IF(ISNUMBER(AD7:AD89),IF(AD7:AD89&gt;0,IF(AG7:AG89&lt;&gt;"",ROW(AD7:AD89)-MIN(ROW(AD7:AD89))+1))),ROW()-ROW(A$92)+1)),"|",TEXT(INDEX(AD7:AD89,SMALL(IF(ISNUMBER(AD7:AD89),IF(AD7:AD89&gt;0,IF(AG7:AG89&lt;&gt;"",ROW(AD7:AD89)-MIN(ROW(AD7:AD89))+1))),ROW()-ROW(A$92)+1)),"##0"),"|",SUBSTITUTE(SUBSTITUTE(INDEX(IF(PURCHASE_DESCRIPTION&lt;&gt;"",PURCHASE_DESCRIPTION&amp;":","")&amp;A7:A89,SMALL(IF(ISNUMBER(AD7:AD89),IF(AD7:AD89&gt;0,IF(AG7:AG89&lt;&gt;"",ROW(AD7:AD89)-MIN(ROW(AD7:AD89))+1))),ROW()-ROW(A$92)+1)),"|",";")," ","_")),"")</f>
        <v>0</v>
      </c>
      <c r="AI103">
        <f t="array" ref="AI103">IFERROR(CONCATENATE(INDEX(AL7:AL89,SMALL(IF(ISNUMBER(AI7:AI89),IF(AI7:AI89&gt;0,IF(AL7:AL89&lt;&gt;"",ROW(AI7:AI89)-MIN(ROW(AI7:AI89))+1))),ROW()-ROW(A$92)+1)),",",TEXT(INDEX(AI7:AI89,SMALL(IF(ISNUMBER(AI7:AI89),IF(AI7:AI89&gt;0,IF(AL7:AL89&lt;&gt;"",ROW(AI7:AI89)-MIN(ROW(AI7:AI89))+1))),ROW()-ROW(A$92)+1)),"##0"),",",SUBSTITUTE(INDEX(IF(PURCHASE_DESCRIPTION&lt;&gt;"",PURCHASE_DESCRIPTION&amp;":","")&amp;A7:A89,SMALL(IF(ISNUMBER(AI7:AI89),IF(AI7:AI89&gt;0,IF(AL7:AL89&lt;&gt;"",ROW(AI7:AI89)-MIN(ROW(AI7:AI89))+1))),ROW()-ROW(A$92)+1)),",",";")),"")</f>
        <v>0</v>
      </c>
      <c r="AN103">
        <f t="array" ref="AN103">IFERROR(CONCATENATE(INDEX(AQ7:AQ89,SMALL(IF(ISNUMBER(AN7:AN89),IF(AN7:AN89&gt;0,IF(AQ7:AQ89&lt;&gt;"",ROW(AN7:AN89)-MIN(ROW(AN7:AN89))+1))),ROW()-ROW(A$92)+1))," ",TEXT(INDEX(AN7:AN89,SMALL(IF(ISNUMBER(AN7:AN89),IF(AN7:AN89&gt;0,IF(AQ7:AQ89&lt;&gt;"",ROW(AN7:AN89)-MIN(ROW(AN7:AN89))+1))),ROW()-ROW(A$92)+1)),"##0")," ",SUBSTITUTE(INDEX(IF(PURCHASE_DESCRIPTION&lt;&gt;"",PURCHASE_DESCRIPTION&amp;":","")&amp;A7:A89,SMALL(IF(ISNUMBER(AN7:AN89),IF(AN7:AN89&gt;0,IF(AQ7:AQ89&lt;&gt;"",ROW(AN7:AN89)-MIN(ROW(AN7:AN89))+1))),ROW()-ROW(A$92)+1))," ",";")),"")</f>
        <v>0</v>
      </c>
      <c r="AS103">
        <f t="array" ref="AS103">IFERROR(CONCATENATE(INDEX(AV7:AV89,SMALL(IF(ISNUMBER(AS7:AS89),IF(AS7:AS89&gt;0,IF(AV7:AV89&lt;&gt;"",ROW(AS7:AS89)-MIN(ROW(AS7:AS89))+1))),ROW()-ROW(A$92)+1))," ",TEXT(INDEX(AS7:AS89,SMALL(IF(ISNUMBER(AS7:AS89),IF(AS7:AS89&gt;0,IF(AV7:AV89&lt;&gt;"",ROW(AS7:AS89)-MIN(ROW(AS7:AS89))+1))),ROW()-ROW(A$92)+1)),"##0")," ",SUBSTITUTE(INDEX(IF(PURCHASE_DESCRIPTION&lt;&gt;"",PURCHASE_DESCRIPTION&amp;":","")&amp;A7:A89,SMALL(IF(ISNUMBER(AS7:AS89),IF(AS7:AS89&gt;0,IF(AV7:AV89&lt;&gt;"",ROW(AS7:AS89)-MIN(ROW(AS7:AS89))+1))),ROW()-ROW(A$92)+1))," ",";")),"")</f>
        <v>0</v>
      </c>
    </row>
    <row r="104" spans="10:45">
      <c r="J104">
        <f t="array" ref="J104">IFERROR(CONCATENATE(INDEX(M7:M89,SMALL(IF(ISNUMBER(J7:J89),IF(J7:J89&gt;0,IF(M7:M89&lt;&gt;"",ROW(J7:J89)-MIN(ROW(J7:J89))+1))),ROW()-ROW(A$92)+1)),",",TEXT(INDEX(J7:J89,SMALL(IF(ISNUMBER(J7:J89),IF(J7:J89&gt;0,IF(M7:M89&lt;&gt;"",ROW(J7:J89)-MIN(ROW(J7:J89))+1))),ROW()-ROW(A$92)+1)),"##0"),",",SUBSTITUTE(INDEX(IF(PURCHASE_DESCRIPTION&lt;&gt;"",PURCHASE_DESCRIPTION&amp;":","")&amp;A7:A89,SMALL(IF(ISNUMBER(J7:J89),IF(J7:J89&gt;0,IF(M7:M89&lt;&gt;"",ROW(J7:J89)-MIN(ROW(J7:J89))+1))),ROW()-ROW(A$92)+1)),",",";")),"")</f>
        <v>0</v>
      </c>
      <c r="O104">
        <f t="array" ref="O104">IFERROR(CONCATENATE(TEXT(INDEX(O7:O89,SMALL(IF(ISNUMBER(O7:O89),IF(O7:O89&gt;0,IF(R7:R89&lt;&gt;"",ROW(O7:O89)-MIN(ROW(O7:O89))+1))),ROW()-ROW(A$92)+1)),"##0"),",",INDEX(R7:R89,SMALL(IF(ISNUMBER(O7:O89),IF(O7:O89&gt;0,IF(R7:R89&lt;&gt;"",ROW(O7:O89)-MIN(ROW(O7:O89))+1))),ROW()-ROW(A$92)+1)),",",SUBSTITUTE(INDEX(IF(PURCHASE_DESCRIPTION&lt;&gt;"",PURCHASE_DESCRIPTION&amp;":","")&amp;A7:A89,SMALL(IF(ISNUMBER(O7:O89),IF(O7:O89&gt;0,IF(R7:R89&lt;&gt;"",ROW(O7:O89)-MIN(ROW(O7:O89))+1))),ROW()-ROW(A$92)+1)),",",";")),"")</f>
        <v>0</v>
      </c>
      <c r="T104">
        <f t="array" ref="T104">IFERROR(CONCATENATE(INDEX(W7:W89,SMALL(IF(ISNUMBER(T7:T89),IF(T7:T89&gt;0,IF(W7:W89&lt;&gt;"",ROW(T7:T89)-MIN(ROW(T7:T89))+1))),ROW()-ROW(A$92)+1))," ",TEXT(INDEX(T7:T89,SMALL(IF(ISNUMBER(T7:T89),IF(T7:T89&gt;0,IF(W7:W89&lt;&gt;"",ROW(T7:T89)-MIN(ROW(T7:T89))+1))),ROW()-ROW(A$92)+1)),"##0")," ",SUBSTITUTE(INDEX(IF(PURCHASE_DESCRIPTION&lt;&gt;"",PURCHASE_DESCRIPTION&amp;":","")&amp;A7:A89,SMALL(IF(ISNUMBER(T7:T89),IF(T7:T89&gt;0,IF(W7:W89&lt;&gt;"",ROW(T7:T89)-MIN(ROW(T7:T89))+1))),ROW()-ROW(A$92)+1))," ",";")),"")</f>
        <v>0</v>
      </c>
      <c r="Y104">
        <f t="array" ref="Y104">IFERROR(CONCATENATE(TEXT(INDEX(Y7:Y89,SMALL(IF(ISNUMBER(Y7:Y89),IF(Y7:Y89&gt;0,IF(AB7:AB89&lt;&gt;"",ROW(Y7:Y89)-MIN(ROW(Y7:Y89))+1))),ROW()-ROW(A$93)+1)),"##0"),",",SUBSTITUTE(INDEX(IF(PURCHASE_DESCRIPTION&lt;&gt;"",PURCHASE_DESCRIPTION&amp;":","")&amp;A7:A89,SMALL(IF(ISNUMBER(Y7:Y89),IF(Y7:Y89&gt;0,IF(AB7:AB89&lt;&gt;"",ROW(Y7:Y89)-MIN(ROW(Y7:Y89))+1))),ROW()-ROW(A$93)+1)),",",";"),",",SUBSTITUTE(INDEX(IF(PURCHASE_DESCRIPTION&lt;&gt;"",PURCHASE_DESCRIPTION&amp;":","")&amp;D7:D89,SMALL(IF(ISNUMBER(Y7:Y89),IF(Y7:Y89&gt;0,IF(AB7:AB89&lt;&gt;"",ROW(Y7:Y89)-MIN(ROW(Y7:Y89))+1))),ROW()-ROW(A$93)+1)),",",";"),",",INDEX(AB7:AB89,SMALL(IF(ISNUMBER(Y7:Y89),IF(Y7:Y89&gt;0,IF(AB7:AB89&lt;&gt;"",ROW(Y7:Y89)-MIN(ROW(Y7:Y89))+1))),ROW()-ROW(A$93)+1))),"")</f>
        <v>0</v>
      </c>
      <c r="AD104">
        <f t="array" ref="AD104">IFERROR(CONCATENATE(INDEX(AG7:AG89,SMALL(IF(ISNUMBER(AD7:AD89),IF(AD7:AD89&gt;0,IF(AG7:AG89&lt;&gt;"",ROW(AD7:AD89)-MIN(ROW(AD7:AD89))+1))),ROW()-ROW(A$92)+1)),"|",TEXT(INDEX(AD7:AD89,SMALL(IF(ISNUMBER(AD7:AD89),IF(AD7:AD89&gt;0,IF(AG7:AG89&lt;&gt;"",ROW(AD7:AD89)-MIN(ROW(AD7:AD89))+1))),ROW()-ROW(A$92)+1)),"##0"),"|",SUBSTITUTE(SUBSTITUTE(INDEX(IF(PURCHASE_DESCRIPTION&lt;&gt;"",PURCHASE_DESCRIPTION&amp;":","")&amp;A7:A89,SMALL(IF(ISNUMBER(AD7:AD89),IF(AD7:AD89&gt;0,IF(AG7:AG89&lt;&gt;"",ROW(AD7:AD89)-MIN(ROW(AD7:AD89))+1))),ROW()-ROW(A$92)+1)),"|",";")," ","_")),"")</f>
        <v>0</v>
      </c>
      <c r="AI104">
        <f t="array" ref="AI104">IFERROR(CONCATENATE(INDEX(AL7:AL89,SMALL(IF(ISNUMBER(AI7:AI89),IF(AI7:AI89&gt;0,IF(AL7:AL89&lt;&gt;"",ROW(AI7:AI89)-MIN(ROW(AI7:AI89))+1))),ROW()-ROW(A$92)+1)),",",TEXT(INDEX(AI7:AI89,SMALL(IF(ISNUMBER(AI7:AI89),IF(AI7:AI89&gt;0,IF(AL7:AL89&lt;&gt;"",ROW(AI7:AI89)-MIN(ROW(AI7:AI89))+1))),ROW()-ROW(A$92)+1)),"##0"),",",SUBSTITUTE(INDEX(IF(PURCHASE_DESCRIPTION&lt;&gt;"",PURCHASE_DESCRIPTION&amp;":","")&amp;A7:A89,SMALL(IF(ISNUMBER(AI7:AI89),IF(AI7:AI89&gt;0,IF(AL7:AL89&lt;&gt;"",ROW(AI7:AI89)-MIN(ROW(AI7:AI89))+1))),ROW()-ROW(A$92)+1)),",",";")),"")</f>
        <v>0</v>
      </c>
      <c r="AN104">
        <f t="array" ref="AN104">IFERROR(CONCATENATE(INDEX(AQ7:AQ89,SMALL(IF(ISNUMBER(AN7:AN89),IF(AN7:AN89&gt;0,IF(AQ7:AQ89&lt;&gt;"",ROW(AN7:AN89)-MIN(ROW(AN7:AN89))+1))),ROW()-ROW(A$92)+1))," ",TEXT(INDEX(AN7:AN89,SMALL(IF(ISNUMBER(AN7:AN89),IF(AN7:AN89&gt;0,IF(AQ7:AQ89&lt;&gt;"",ROW(AN7:AN89)-MIN(ROW(AN7:AN89))+1))),ROW()-ROW(A$92)+1)),"##0")," ",SUBSTITUTE(INDEX(IF(PURCHASE_DESCRIPTION&lt;&gt;"",PURCHASE_DESCRIPTION&amp;":","")&amp;A7:A89,SMALL(IF(ISNUMBER(AN7:AN89),IF(AN7:AN89&gt;0,IF(AQ7:AQ89&lt;&gt;"",ROW(AN7:AN89)-MIN(ROW(AN7:AN89))+1))),ROW()-ROW(A$92)+1))," ",";")),"")</f>
        <v>0</v>
      </c>
      <c r="AS104">
        <f t="array" ref="AS104">IFERROR(CONCATENATE(INDEX(AV7:AV89,SMALL(IF(ISNUMBER(AS7:AS89),IF(AS7:AS89&gt;0,IF(AV7:AV89&lt;&gt;"",ROW(AS7:AS89)-MIN(ROW(AS7:AS89))+1))),ROW()-ROW(A$92)+1))," ",TEXT(INDEX(AS7:AS89,SMALL(IF(ISNUMBER(AS7:AS89),IF(AS7:AS89&gt;0,IF(AV7:AV89&lt;&gt;"",ROW(AS7:AS89)-MIN(ROW(AS7:AS89))+1))),ROW()-ROW(A$92)+1)),"##0")," ",SUBSTITUTE(INDEX(IF(PURCHASE_DESCRIPTION&lt;&gt;"",PURCHASE_DESCRIPTION&amp;":","")&amp;A7:A89,SMALL(IF(ISNUMBER(AS7:AS89),IF(AS7:AS89&gt;0,IF(AV7:AV89&lt;&gt;"",ROW(AS7:AS89)-MIN(ROW(AS7:AS89))+1))),ROW()-ROW(A$92)+1))," ",";")),"")</f>
        <v>0</v>
      </c>
    </row>
    <row r="105" spans="10:45">
      <c r="J105">
        <f t="array" ref="J105">IFERROR(CONCATENATE(INDEX(M7:M89,SMALL(IF(ISNUMBER(J7:J89),IF(J7:J89&gt;0,IF(M7:M89&lt;&gt;"",ROW(J7:J89)-MIN(ROW(J7:J89))+1))),ROW()-ROW(A$92)+1)),",",TEXT(INDEX(J7:J89,SMALL(IF(ISNUMBER(J7:J89),IF(J7:J89&gt;0,IF(M7:M89&lt;&gt;"",ROW(J7:J89)-MIN(ROW(J7:J89))+1))),ROW()-ROW(A$92)+1)),"##0"),",",SUBSTITUTE(INDEX(IF(PURCHASE_DESCRIPTION&lt;&gt;"",PURCHASE_DESCRIPTION&amp;":","")&amp;A7:A89,SMALL(IF(ISNUMBER(J7:J89),IF(J7:J89&gt;0,IF(M7:M89&lt;&gt;"",ROW(J7:J89)-MIN(ROW(J7:J89))+1))),ROW()-ROW(A$92)+1)),",",";")),"")</f>
        <v>0</v>
      </c>
      <c r="O105">
        <f t="array" ref="O105">IFERROR(CONCATENATE(TEXT(INDEX(O7:O89,SMALL(IF(ISNUMBER(O7:O89),IF(O7:O89&gt;0,IF(R7:R89&lt;&gt;"",ROW(O7:O89)-MIN(ROW(O7:O89))+1))),ROW()-ROW(A$92)+1)),"##0"),",",INDEX(R7:R89,SMALL(IF(ISNUMBER(O7:O89),IF(O7:O89&gt;0,IF(R7:R89&lt;&gt;"",ROW(O7:O89)-MIN(ROW(O7:O89))+1))),ROW()-ROW(A$92)+1)),",",SUBSTITUTE(INDEX(IF(PURCHASE_DESCRIPTION&lt;&gt;"",PURCHASE_DESCRIPTION&amp;":","")&amp;A7:A89,SMALL(IF(ISNUMBER(O7:O89),IF(O7:O89&gt;0,IF(R7:R89&lt;&gt;"",ROW(O7:O89)-MIN(ROW(O7:O89))+1))),ROW()-ROW(A$92)+1)),",",";")),"")</f>
        <v>0</v>
      </c>
      <c r="T105">
        <f t="array" ref="T105">IFERROR(CONCATENATE(INDEX(W7:W89,SMALL(IF(ISNUMBER(T7:T89),IF(T7:T89&gt;0,IF(W7:W89&lt;&gt;"",ROW(T7:T89)-MIN(ROW(T7:T89))+1))),ROW()-ROW(A$92)+1))," ",TEXT(INDEX(T7:T89,SMALL(IF(ISNUMBER(T7:T89),IF(T7:T89&gt;0,IF(W7:W89&lt;&gt;"",ROW(T7:T89)-MIN(ROW(T7:T89))+1))),ROW()-ROW(A$92)+1)),"##0")," ",SUBSTITUTE(INDEX(IF(PURCHASE_DESCRIPTION&lt;&gt;"",PURCHASE_DESCRIPTION&amp;":","")&amp;A7:A89,SMALL(IF(ISNUMBER(T7:T89),IF(T7:T89&gt;0,IF(W7:W89&lt;&gt;"",ROW(T7:T89)-MIN(ROW(T7:T89))+1))),ROW()-ROW(A$92)+1))," ",";")),"")</f>
        <v>0</v>
      </c>
      <c r="Y105">
        <f t="array" ref="Y105">IFERROR(CONCATENATE(TEXT(INDEX(Y7:Y89,SMALL(IF(ISNUMBER(Y7:Y89),IF(Y7:Y89&gt;0,IF(AB7:AB89&lt;&gt;"",ROW(Y7:Y89)-MIN(ROW(Y7:Y89))+1))),ROW()-ROW(A$93)+1)),"##0"),",",SUBSTITUTE(INDEX(IF(PURCHASE_DESCRIPTION&lt;&gt;"",PURCHASE_DESCRIPTION&amp;":","")&amp;A7:A89,SMALL(IF(ISNUMBER(Y7:Y89),IF(Y7:Y89&gt;0,IF(AB7:AB89&lt;&gt;"",ROW(Y7:Y89)-MIN(ROW(Y7:Y89))+1))),ROW()-ROW(A$93)+1)),",",";"),",",SUBSTITUTE(INDEX(IF(PURCHASE_DESCRIPTION&lt;&gt;"",PURCHASE_DESCRIPTION&amp;":","")&amp;D7:D89,SMALL(IF(ISNUMBER(Y7:Y89),IF(Y7:Y89&gt;0,IF(AB7:AB89&lt;&gt;"",ROW(Y7:Y89)-MIN(ROW(Y7:Y89))+1))),ROW()-ROW(A$93)+1)),",",";"),",",INDEX(AB7:AB89,SMALL(IF(ISNUMBER(Y7:Y89),IF(Y7:Y89&gt;0,IF(AB7:AB89&lt;&gt;"",ROW(Y7:Y89)-MIN(ROW(Y7:Y89))+1))),ROW()-ROW(A$93)+1))),"")</f>
        <v>0</v>
      </c>
      <c r="AD105">
        <f t="array" ref="AD105">IFERROR(CONCATENATE(INDEX(AG7:AG89,SMALL(IF(ISNUMBER(AD7:AD89),IF(AD7:AD89&gt;0,IF(AG7:AG89&lt;&gt;"",ROW(AD7:AD89)-MIN(ROW(AD7:AD89))+1))),ROW()-ROW(A$92)+1)),"|",TEXT(INDEX(AD7:AD89,SMALL(IF(ISNUMBER(AD7:AD89),IF(AD7:AD89&gt;0,IF(AG7:AG89&lt;&gt;"",ROW(AD7:AD89)-MIN(ROW(AD7:AD89))+1))),ROW()-ROW(A$92)+1)),"##0"),"|",SUBSTITUTE(SUBSTITUTE(INDEX(IF(PURCHASE_DESCRIPTION&lt;&gt;"",PURCHASE_DESCRIPTION&amp;":","")&amp;A7:A89,SMALL(IF(ISNUMBER(AD7:AD89),IF(AD7:AD89&gt;0,IF(AG7:AG89&lt;&gt;"",ROW(AD7:AD89)-MIN(ROW(AD7:AD89))+1))),ROW()-ROW(A$92)+1)),"|",";")," ","_")),"")</f>
        <v>0</v>
      </c>
      <c r="AI105">
        <f t="array" ref="AI105">IFERROR(CONCATENATE(INDEX(AL7:AL89,SMALL(IF(ISNUMBER(AI7:AI89),IF(AI7:AI89&gt;0,IF(AL7:AL89&lt;&gt;"",ROW(AI7:AI89)-MIN(ROW(AI7:AI89))+1))),ROW()-ROW(A$92)+1)),",",TEXT(INDEX(AI7:AI89,SMALL(IF(ISNUMBER(AI7:AI89),IF(AI7:AI89&gt;0,IF(AL7:AL89&lt;&gt;"",ROW(AI7:AI89)-MIN(ROW(AI7:AI89))+1))),ROW()-ROW(A$92)+1)),"##0"),",",SUBSTITUTE(INDEX(IF(PURCHASE_DESCRIPTION&lt;&gt;"",PURCHASE_DESCRIPTION&amp;":","")&amp;A7:A89,SMALL(IF(ISNUMBER(AI7:AI89),IF(AI7:AI89&gt;0,IF(AL7:AL89&lt;&gt;"",ROW(AI7:AI89)-MIN(ROW(AI7:AI89))+1))),ROW()-ROW(A$92)+1)),",",";")),"")</f>
        <v>0</v>
      </c>
      <c r="AN105">
        <f t="array" ref="AN105">IFERROR(CONCATENATE(INDEX(AQ7:AQ89,SMALL(IF(ISNUMBER(AN7:AN89),IF(AN7:AN89&gt;0,IF(AQ7:AQ89&lt;&gt;"",ROW(AN7:AN89)-MIN(ROW(AN7:AN89))+1))),ROW()-ROW(A$92)+1))," ",TEXT(INDEX(AN7:AN89,SMALL(IF(ISNUMBER(AN7:AN89),IF(AN7:AN89&gt;0,IF(AQ7:AQ89&lt;&gt;"",ROW(AN7:AN89)-MIN(ROW(AN7:AN89))+1))),ROW()-ROW(A$92)+1)),"##0")," ",SUBSTITUTE(INDEX(IF(PURCHASE_DESCRIPTION&lt;&gt;"",PURCHASE_DESCRIPTION&amp;":","")&amp;A7:A89,SMALL(IF(ISNUMBER(AN7:AN89),IF(AN7:AN89&gt;0,IF(AQ7:AQ89&lt;&gt;"",ROW(AN7:AN89)-MIN(ROW(AN7:AN89))+1))),ROW()-ROW(A$92)+1))," ",";")),"")</f>
        <v>0</v>
      </c>
      <c r="AS105">
        <f t="array" ref="AS105">IFERROR(CONCATENATE(INDEX(AV7:AV89,SMALL(IF(ISNUMBER(AS7:AS89),IF(AS7:AS89&gt;0,IF(AV7:AV89&lt;&gt;"",ROW(AS7:AS89)-MIN(ROW(AS7:AS89))+1))),ROW()-ROW(A$92)+1))," ",TEXT(INDEX(AS7:AS89,SMALL(IF(ISNUMBER(AS7:AS89),IF(AS7:AS89&gt;0,IF(AV7:AV89&lt;&gt;"",ROW(AS7:AS89)-MIN(ROW(AS7:AS89))+1))),ROW()-ROW(A$92)+1)),"##0")," ",SUBSTITUTE(INDEX(IF(PURCHASE_DESCRIPTION&lt;&gt;"",PURCHASE_DESCRIPTION&amp;":","")&amp;A7:A89,SMALL(IF(ISNUMBER(AS7:AS89),IF(AS7:AS89&gt;0,IF(AV7:AV89&lt;&gt;"",ROW(AS7:AS89)-MIN(ROW(AS7:AS89))+1))),ROW()-ROW(A$92)+1))," ",";")),"")</f>
        <v>0</v>
      </c>
    </row>
    <row r="106" spans="10:45">
      <c r="J106">
        <f t="array" ref="J106">IFERROR(CONCATENATE(INDEX(M7:M89,SMALL(IF(ISNUMBER(J7:J89),IF(J7:J89&gt;0,IF(M7:M89&lt;&gt;"",ROW(J7:J89)-MIN(ROW(J7:J89))+1))),ROW()-ROW(A$92)+1)),",",TEXT(INDEX(J7:J89,SMALL(IF(ISNUMBER(J7:J89),IF(J7:J89&gt;0,IF(M7:M89&lt;&gt;"",ROW(J7:J89)-MIN(ROW(J7:J89))+1))),ROW()-ROW(A$92)+1)),"##0"),",",SUBSTITUTE(INDEX(IF(PURCHASE_DESCRIPTION&lt;&gt;"",PURCHASE_DESCRIPTION&amp;":","")&amp;A7:A89,SMALL(IF(ISNUMBER(J7:J89),IF(J7:J89&gt;0,IF(M7:M89&lt;&gt;"",ROW(J7:J89)-MIN(ROW(J7:J89))+1))),ROW()-ROW(A$92)+1)),",",";")),"")</f>
        <v>0</v>
      </c>
      <c r="O106">
        <f t="array" ref="O106">IFERROR(CONCATENATE(TEXT(INDEX(O7:O89,SMALL(IF(ISNUMBER(O7:O89),IF(O7:O89&gt;0,IF(R7:R89&lt;&gt;"",ROW(O7:O89)-MIN(ROW(O7:O89))+1))),ROW()-ROW(A$92)+1)),"##0"),",",INDEX(R7:R89,SMALL(IF(ISNUMBER(O7:O89),IF(O7:O89&gt;0,IF(R7:R89&lt;&gt;"",ROW(O7:O89)-MIN(ROW(O7:O89))+1))),ROW()-ROW(A$92)+1)),",",SUBSTITUTE(INDEX(IF(PURCHASE_DESCRIPTION&lt;&gt;"",PURCHASE_DESCRIPTION&amp;":","")&amp;A7:A89,SMALL(IF(ISNUMBER(O7:O89),IF(O7:O89&gt;0,IF(R7:R89&lt;&gt;"",ROW(O7:O89)-MIN(ROW(O7:O89))+1))),ROW()-ROW(A$92)+1)),",",";")),"")</f>
        <v>0</v>
      </c>
      <c r="T106">
        <f t="array" ref="T106">IFERROR(CONCATENATE(INDEX(W7:W89,SMALL(IF(ISNUMBER(T7:T89),IF(T7:T89&gt;0,IF(W7:W89&lt;&gt;"",ROW(T7:T89)-MIN(ROW(T7:T89))+1))),ROW()-ROW(A$92)+1))," ",TEXT(INDEX(T7:T89,SMALL(IF(ISNUMBER(T7:T89),IF(T7:T89&gt;0,IF(W7:W89&lt;&gt;"",ROW(T7:T89)-MIN(ROW(T7:T89))+1))),ROW()-ROW(A$92)+1)),"##0")," ",SUBSTITUTE(INDEX(IF(PURCHASE_DESCRIPTION&lt;&gt;"",PURCHASE_DESCRIPTION&amp;":","")&amp;A7:A89,SMALL(IF(ISNUMBER(T7:T89),IF(T7:T89&gt;0,IF(W7:W89&lt;&gt;"",ROW(T7:T89)-MIN(ROW(T7:T89))+1))),ROW()-ROW(A$92)+1))," ",";")),"")</f>
        <v>0</v>
      </c>
      <c r="Y106">
        <f t="array" ref="Y106">IFERROR(CONCATENATE(TEXT(INDEX(Y7:Y89,SMALL(IF(ISNUMBER(Y7:Y89),IF(Y7:Y89&gt;0,IF(AB7:AB89&lt;&gt;"",ROW(Y7:Y89)-MIN(ROW(Y7:Y89))+1))),ROW()-ROW(A$93)+1)),"##0"),",",SUBSTITUTE(INDEX(IF(PURCHASE_DESCRIPTION&lt;&gt;"",PURCHASE_DESCRIPTION&amp;":","")&amp;A7:A89,SMALL(IF(ISNUMBER(Y7:Y89),IF(Y7:Y89&gt;0,IF(AB7:AB89&lt;&gt;"",ROW(Y7:Y89)-MIN(ROW(Y7:Y89))+1))),ROW()-ROW(A$93)+1)),",",";"),",",SUBSTITUTE(INDEX(IF(PURCHASE_DESCRIPTION&lt;&gt;"",PURCHASE_DESCRIPTION&amp;":","")&amp;D7:D89,SMALL(IF(ISNUMBER(Y7:Y89),IF(Y7:Y89&gt;0,IF(AB7:AB89&lt;&gt;"",ROW(Y7:Y89)-MIN(ROW(Y7:Y89))+1))),ROW()-ROW(A$93)+1)),",",";"),",",INDEX(AB7:AB89,SMALL(IF(ISNUMBER(Y7:Y89),IF(Y7:Y89&gt;0,IF(AB7:AB89&lt;&gt;"",ROW(Y7:Y89)-MIN(ROW(Y7:Y89))+1))),ROW()-ROW(A$93)+1))),"")</f>
        <v>0</v>
      </c>
      <c r="AD106">
        <f t="array" ref="AD106">IFERROR(CONCATENATE(INDEX(AG7:AG89,SMALL(IF(ISNUMBER(AD7:AD89),IF(AD7:AD89&gt;0,IF(AG7:AG89&lt;&gt;"",ROW(AD7:AD89)-MIN(ROW(AD7:AD89))+1))),ROW()-ROW(A$92)+1)),"|",TEXT(INDEX(AD7:AD89,SMALL(IF(ISNUMBER(AD7:AD89),IF(AD7:AD89&gt;0,IF(AG7:AG89&lt;&gt;"",ROW(AD7:AD89)-MIN(ROW(AD7:AD89))+1))),ROW()-ROW(A$92)+1)),"##0"),"|",SUBSTITUTE(SUBSTITUTE(INDEX(IF(PURCHASE_DESCRIPTION&lt;&gt;"",PURCHASE_DESCRIPTION&amp;":","")&amp;A7:A89,SMALL(IF(ISNUMBER(AD7:AD89),IF(AD7:AD89&gt;0,IF(AG7:AG89&lt;&gt;"",ROW(AD7:AD89)-MIN(ROW(AD7:AD89))+1))),ROW()-ROW(A$92)+1)),"|",";")," ","_")),"")</f>
        <v>0</v>
      </c>
      <c r="AI106">
        <f t="array" ref="AI106">IFERROR(CONCATENATE(INDEX(AL7:AL89,SMALL(IF(ISNUMBER(AI7:AI89),IF(AI7:AI89&gt;0,IF(AL7:AL89&lt;&gt;"",ROW(AI7:AI89)-MIN(ROW(AI7:AI89))+1))),ROW()-ROW(A$92)+1)),",",TEXT(INDEX(AI7:AI89,SMALL(IF(ISNUMBER(AI7:AI89),IF(AI7:AI89&gt;0,IF(AL7:AL89&lt;&gt;"",ROW(AI7:AI89)-MIN(ROW(AI7:AI89))+1))),ROW()-ROW(A$92)+1)),"##0"),",",SUBSTITUTE(INDEX(IF(PURCHASE_DESCRIPTION&lt;&gt;"",PURCHASE_DESCRIPTION&amp;":","")&amp;A7:A89,SMALL(IF(ISNUMBER(AI7:AI89),IF(AI7:AI89&gt;0,IF(AL7:AL89&lt;&gt;"",ROW(AI7:AI89)-MIN(ROW(AI7:AI89))+1))),ROW()-ROW(A$92)+1)),",",";")),"")</f>
        <v>0</v>
      </c>
      <c r="AN106">
        <f t="array" ref="AN106">IFERROR(CONCATENATE(INDEX(AQ7:AQ89,SMALL(IF(ISNUMBER(AN7:AN89),IF(AN7:AN89&gt;0,IF(AQ7:AQ89&lt;&gt;"",ROW(AN7:AN89)-MIN(ROW(AN7:AN89))+1))),ROW()-ROW(A$92)+1))," ",TEXT(INDEX(AN7:AN89,SMALL(IF(ISNUMBER(AN7:AN89),IF(AN7:AN89&gt;0,IF(AQ7:AQ89&lt;&gt;"",ROW(AN7:AN89)-MIN(ROW(AN7:AN89))+1))),ROW()-ROW(A$92)+1)),"##0")," ",SUBSTITUTE(INDEX(IF(PURCHASE_DESCRIPTION&lt;&gt;"",PURCHASE_DESCRIPTION&amp;":","")&amp;A7:A89,SMALL(IF(ISNUMBER(AN7:AN89),IF(AN7:AN89&gt;0,IF(AQ7:AQ89&lt;&gt;"",ROW(AN7:AN89)-MIN(ROW(AN7:AN89))+1))),ROW()-ROW(A$92)+1))," ",";")),"")</f>
        <v>0</v>
      </c>
      <c r="AS106">
        <f t="array" ref="AS106">IFERROR(CONCATENATE(INDEX(AV7:AV89,SMALL(IF(ISNUMBER(AS7:AS89),IF(AS7:AS89&gt;0,IF(AV7:AV89&lt;&gt;"",ROW(AS7:AS89)-MIN(ROW(AS7:AS89))+1))),ROW()-ROW(A$92)+1))," ",TEXT(INDEX(AS7:AS89,SMALL(IF(ISNUMBER(AS7:AS89),IF(AS7:AS89&gt;0,IF(AV7:AV89&lt;&gt;"",ROW(AS7:AS89)-MIN(ROW(AS7:AS89))+1))),ROW()-ROW(A$92)+1)),"##0")," ",SUBSTITUTE(INDEX(IF(PURCHASE_DESCRIPTION&lt;&gt;"",PURCHASE_DESCRIPTION&amp;":","")&amp;A7:A89,SMALL(IF(ISNUMBER(AS7:AS89),IF(AS7:AS89&gt;0,IF(AV7:AV89&lt;&gt;"",ROW(AS7:AS89)-MIN(ROW(AS7:AS89))+1))),ROW()-ROW(A$92)+1))," ",";")),"")</f>
        <v>0</v>
      </c>
    </row>
    <row r="107" spans="10:45">
      <c r="J107">
        <f t="array" ref="J107">IFERROR(CONCATENATE(INDEX(M7:M89,SMALL(IF(ISNUMBER(J7:J89),IF(J7:J89&gt;0,IF(M7:M89&lt;&gt;"",ROW(J7:J89)-MIN(ROW(J7:J89))+1))),ROW()-ROW(A$92)+1)),",",TEXT(INDEX(J7:J89,SMALL(IF(ISNUMBER(J7:J89),IF(J7:J89&gt;0,IF(M7:M89&lt;&gt;"",ROW(J7:J89)-MIN(ROW(J7:J89))+1))),ROW()-ROW(A$92)+1)),"##0"),",",SUBSTITUTE(INDEX(IF(PURCHASE_DESCRIPTION&lt;&gt;"",PURCHASE_DESCRIPTION&amp;":","")&amp;A7:A89,SMALL(IF(ISNUMBER(J7:J89),IF(J7:J89&gt;0,IF(M7:M89&lt;&gt;"",ROW(J7:J89)-MIN(ROW(J7:J89))+1))),ROW()-ROW(A$92)+1)),",",";")),"")</f>
        <v>0</v>
      </c>
      <c r="O107">
        <f t="array" ref="O107">IFERROR(CONCATENATE(TEXT(INDEX(O7:O89,SMALL(IF(ISNUMBER(O7:O89),IF(O7:O89&gt;0,IF(R7:R89&lt;&gt;"",ROW(O7:O89)-MIN(ROW(O7:O89))+1))),ROW()-ROW(A$92)+1)),"##0"),",",INDEX(R7:R89,SMALL(IF(ISNUMBER(O7:O89),IF(O7:O89&gt;0,IF(R7:R89&lt;&gt;"",ROW(O7:O89)-MIN(ROW(O7:O89))+1))),ROW()-ROW(A$92)+1)),",",SUBSTITUTE(INDEX(IF(PURCHASE_DESCRIPTION&lt;&gt;"",PURCHASE_DESCRIPTION&amp;":","")&amp;A7:A89,SMALL(IF(ISNUMBER(O7:O89),IF(O7:O89&gt;0,IF(R7:R89&lt;&gt;"",ROW(O7:O89)-MIN(ROW(O7:O89))+1))),ROW()-ROW(A$92)+1)),",",";")),"")</f>
        <v>0</v>
      </c>
      <c r="T107">
        <f t="array" ref="T107">IFERROR(CONCATENATE(INDEX(W7:W89,SMALL(IF(ISNUMBER(T7:T89),IF(T7:T89&gt;0,IF(W7:W89&lt;&gt;"",ROW(T7:T89)-MIN(ROW(T7:T89))+1))),ROW()-ROW(A$92)+1))," ",TEXT(INDEX(T7:T89,SMALL(IF(ISNUMBER(T7:T89),IF(T7:T89&gt;0,IF(W7:W89&lt;&gt;"",ROW(T7:T89)-MIN(ROW(T7:T89))+1))),ROW()-ROW(A$92)+1)),"##0")," ",SUBSTITUTE(INDEX(IF(PURCHASE_DESCRIPTION&lt;&gt;"",PURCHASE_DESCRIPTION&amp;":","")&amp;A7:A89,SMALL(IF(ISNUMBER(T7:T89),IF(T7:T89&gt;0,IF(W7:W89&lt;&gt;"",ROW(T7:T89)-MIN(ROW(T7:T89))+1))),ROW()-ROW(A$92)+1))," ",";")),"")</f>
        <v>0</v>
      </c>
      <c r="Y107">
        <f t="array" ref="Y107">IFERROR(CONCATENATE(TEXT(INDEX(Y7:Y89,SMALL(IF(ISNUMBER(Y7:Y89),IF(Y7:Y89&gt;0,IF(AB7:AB89&lt;&gt;"",ROW(Y7:Y89)-MIN(ROW(Y7:Y89))+1))),ROW()-ROW(A$93)+1)),"##0"),",",SUBSTITUTE(INDEX(IF(PURCHASE_DESCRIPTION&lt;&gt;"",PURCHASE_DESCRIPTION&amp;":","")&amp;A7:A89,SMALL(IF(ISNUMBER(Y7:Y89),IF(Y7:Y89&gt;0,IF(AB7:AB89&lt;&gt;"",ROW(Y7:Y89)-MIN(ROW(Y7:Y89))+1))),ROW()-ROW(A$93)+1)),",",";"),",",SUBSTITUTE(INDEX(IF(PURCHASE_DESCRIPTION&lt;&gt;"",PURCHASE_DESCRIPTION&amp;":","")&amp;D7:D89,SMALL(IF(ISNUMBER(Y7:Y89),IF(Y7:Y89&gt;0,IF(AB7:AB89&lt;&gt;"",ROW(Y7:Y89)-MIN(ROW(Y7:Y89))+1))),ROW()-ROW(A$93)+1)),",",";"),",",INDEX(AB7:AB89,SMALL(IF(ISNUMBER(Y7:Y89),IF(Y7:Y89&gt;0,IF(AB7:AB89&lt;&gt;"",ROW(Y7:Y89)-MIN(ROW(Y7:Y89))+1))),ROW()-ROW(A$93)+1))),"")</f>
        <v>0</v>
      </c>
      <c r="AD107">
        <f t="array" ref="AD107">IFERROR(CONCATENATE(INDEX(AG7:AG89,SMALL(IF(ISNUMBER(AD7:AD89),IF(AD7:AD89&gt;0,IF(AG7:AG89&lt;&gt;"",ROW(AD7:AD89)-MIN(ROW(AD7:AD89))+1))),ROW()-ROW(A$92)+1)),"|",TEXT(INDEX(AD7:AD89,SMALL(IF(ISNUMBER(AD7:AD89),IF(AD7:AD89&gt;0,IF(AG7:AG89&lt;&gt;"",ROW(AD7:AD89)-MIN(ROW(AD7:AD89))+1))),ROW()-ROW(A$92)+1)),"##0"),"|",SUBSTITUTE(SUBSTITUTE(INDEX(IF(PURCHASE_DESCRIPTION&lt;&gt;"",PURCHASE_DESCRIPTION&amp;":","")&amp;A7:A89,SMALL(IF(ISNUMBER(AD7:AD89),IF(AD7:AD89&gt;0,IF(AG7:AG89&lt;&gt;"",ROW(AD7:AD89)-MIN(ROW(AD7:AD89))+1))),ROW()-ROW(A$92)+1)),"|",";")," ","_")),"")</f>
        <v>0</v>
      </c>
      <c r="AI107">
        <f t="array" ref="AI107">IFERROR(CONCATENATE(INDEX(AL7:AL89,SMALL(IF(ISNUMBER(AI7:AI89),IF(AI7:AI89&gt;0,IF(AL7:AL89&lt;&gt;"",ROW(AI7:AI89)-MIN(ROW(AI7:AI89))+1))),ROW()-ROW(A$92)+1)),",",TEXT(INDEX(AI7:AI89,SMALL(IF(ISNUMBER(AI7:AI89),IF(AI7:AI89&gt;0,IF(AL7:AL89&lt;&gt;"",ROW(AI7:AI89)-MIN(ROW(AI7:AI89))+1))),ROW()-ROW(A$92)+1)),"##0"),",",SUBSTITUTE(INDEX(IF(PURCHASE_DESCRIPTION&lt;&gt;"",PURCHASE_DESCRIPTION&amp;":","")&amp;A7:A89,SMALL(IF(ISNUMBER(AI7:AI89),IF(AI7:AI89&gt;0,IF(AL7:AL89&lt;&gt;"",ROW(AI7:AI89)-MIN(ROW(AI7:AI89))+1))),ROW()-ROW(A$92)+1)),",",";")),"")</f>
        <v>0</v>
      </c>
      <c r="AN107">
        <f t="array" ref="AN107">IFERROR(CONCATENATE(INDEX(AQ7:AQ89,SMALL(IF(ISNUMBER(AN7:AN89),IF(AN7:AN89&gt;0,IF(AQ7:AQ89&lt;&gt;"",ROW(AN7:AN89)-MIN(ROW(AN7:AN89))+1))),ROW()-ROW(A$92)+1))," ",TEXT(INDEX(AN7:AN89,SMALL(IF(ISNUMBER(AN7:AN89),IF(AN7:AN89&gt;0,IF(AQ7:AQ89&lt;&gt;"",ROW(AN7:AN89)-MIN(ROW(AN7:AN89))+1))),ROW()-ROW(A$92)+1)),"##0")," ",SUBSTITUTE(INDEX(IF(PURCHASE_DESCRIPTION&lt;&gt;"",PURCHASE_DESCRIPTION&amp;":","")&amp;A7:A89,SMALL(IF(ISNUMBER(AN7:AN89),IF(AN7:AN89&gt;0,IF(AQ7:AQ89&lt;&gt;"",ROW(AN7:AN89)-MIN(ROW(AN7:AN89))+1))),ROW()-ROW(A$92)+1))," ",";")),"")</f>
        <v>0</v>
      </c>
      <c r="AS107">
        <f t="array" ref="AS107">IFERROR(CONCATENATE(INDEX(AV7:AV89,SMALL(IF(ISNUMBER(AS7:AS89),IF(AS7:AS89&gt;0,IF(AV7:AV89&lt;&gt;"",ROW(AS7:AS89)-MIN(ROW(AS7:AS89))+1))),ROW()-ROW(A$92)+1))," ",TEXT(INDEX(AS7:AS89,SMALL(IF(ISNUMBER(AS7:AS89),IF(AS7:AS89&gt;0,IF(AV7:AV89&lt;&gt;"",ROW(AS7:AS89)-MIN(ROW(AS7:AS89))+1))),ROW()-ROW(A$92)+1)),"##0")," ",SUBSTITUTE(INDEX(IF(PURCHASE_DESCRIPTION&lt;&gt;"",PURCHASE_DESCRIPTION&amp;":","")&amp;A7:A89,SMALL(IF(ISNUMBER(AS7:AS89),IF(AS7:AS89&gt;0,IF(AV7:AV89&lt;&gt;"",ROW(AS7:AS89)-MIN(ROW(AS7:AS89))+1))),ROW()-ROW(A$92)+1))," ",";")),"")</f>
        <v>0</v>
      </c>
    </row>
    <row r="108" spans="10:45">
      <c r="J108">
        <f t="array" ref="J108">IFERROR(CONCATENATE(INDEX(M7:M89,SMALL(IF(ISNUMBER(J7:J89),IF(J7:J89&gt;0,IF(M7:M89&lt;&gt;"",ROW(J7:J89)-MIN(ROW(J7:J89))+1))),ROW()-ROW(A$92)+1)),",",TEXT(INDEX(J7:J89,SMALL(IF(ISNUMBER(J7:J89),IF(J7:J89&gt;0,IF(M7:M89&lt;&gt;"",ROW(J7:J89)-MIN(ROW(J7:J89))+1))),ROW()-ROW(A$92)+1)),"##0"),",",SUBSTITUTE(INDEX(IF(PURCHASE_DESCRIPTION&lt;&gt;"",PURCHASE_DESCRIPTION&amp;":","")&amp;A7:A89,SMALL(IF(ISNUMBER(J7:J89),IF(J7:J89&gt;0,IF(M7:M89&lt;&gt;"",ROW(J7:J89)-MIN(ROW(J7:J89))+1))),ROW()-ROW(A$92)+1)),",",";")),"")</f>
        <v>0</v>
      </c>
      <c r="O108">
        <f t="array" ref="O108">IFERROR(CONCATENATE(TEXT(INDEX(O7:O89,SMALL(IF(ISNUMBER(O7:O89),IF(O7:O89&gt;0,IF(R7:R89&lt;&gt;"",ROW(O7:O89)-MIN(ROW(O7:O89))+1))),ROW()-ROW(A$92)+1)),"##0"),",",INDEX(R7:R89,SMALL(IF(ISNUMBER(O7:O89),IF(O7:O89&gt;0,IF(R7:R89&lt;&gt;"",ROW(O7:O89)-MIN(ROW(O7:O89))+1))),ROW()-ROW(A$92)+1)),",",SUBSTITUTE(INDEX(IF(PURCHASE_DESCRIPTION&lt;&gt;"",PURCHASE_DESCRIPTION&amp;":","")&amp;A7:A89,SMALL(IF(ISNUMBER(O7:O89),IF(O7:O89&gt;0,IF(R7:R89&lt;&gt;"",ROW(O7:O89)-MIN(ROW(O7:O89))+1))),ROW()-ROW(A$92)+1)),",",";")),"")</f>
        <v>0</v>
      </c>
      <c r="T108">
        <f t="array" ref="T108">IFERROR(CONCATENATE(INDEX(W7:W89,SMALL(IF(ISNUMBER(T7:T89),IF(T7:T89&gt;0,IF(W7:W89&lt;&gt;"",ROW(T7:T89)-MIN(ROW(T7:T89))+1))),ROW()-ROW(A$92)+1))," ",TEXT(INDEX(T7:T89,SMALL(IF(ISNUMBER(T7:T89),IF(T7:T89&gt;0,IF(W7:W89&lt;&gt;"",ROW(T7:T89)-MIN(ROW(T7:T89))+1))),ROW()-ROW(A$92)+1)),"##0")," ",SUBSTITUTE(INDEX(IF(PURCHASE_DESCRIPTION&lt;&gt;"",PURCHASE_DESCRIPTION&amp;":","")&amp;A7:A89,SMALL(IF(ISNUMBER(T7:T89),IF(T7:T89&gt;0,IF(W7:W89&lt;&gt;"",ROW(T7:T89)-MIN(ROW(T7:T89))+1))),ROW()-ROW(A$92)+1))," ",";")),"")</f>
        <v>0</v>
      </c>
      <c r="Y108">
        <f t="array" ref="Y108">IFERROR(CONCATENATE(TEXT(INDEX(Y7:Y89,SMALL(IF(ISNUMBER(Y7:Y89),IF(Y7:Y89&gt;0,IF(AB7:AB89&lt;&gt;"",ROW(Y7:Y89)-MIN(ROW(Y7:Y89))+1))),ROW()-ROW(A$93)+1)),"##0"),",",SUBSTITUTE(INDEX(IF(PURCHASE_DESCRIPTION&lt;&gt;"",PURCHASE_DESCRIPTION&amp;":","")&amp;A7:A89,SMALL(IF(ISNUMBER(Y7:Y89),IF(Y7:Y89&gt;0,IF(AB7:AB89&lt;&gt;"",ROW(Y7:Y89)-MIN(ROW(Y7:Y89))+1))),ROW()-ROW(A$93)+1)),",",";"),",",SUBSTITUTE(INDEX(IF(PURCHASE_DESCRIPTION&lt;&gt;"",PURCHASE_DESCRIPTION&amp;":","")&amp;D7:D89,SMALL(IF(ISNUMBER(Y7:Y89),IF(Y7:Y89&gt;0,IF(AB7:AB89&lt;&gt;"",ROW(Y7:Y89)-MIN(ROW(Y7:Y89))+1))),ROW()-ROW(A$93)+1)),",",";"),",",INDEX(AB7:AB89,SMALL(IF(ISNUMBER(Y7:Y89),IF(Y7:Y89&gt;0,IF(AB7:AB89&lt;&gt;"",ROW(Y7:Y89)-MIN(ROW(Y7:Y89))+1))),ROW()-ROW(A$93)+1))),"")</f>
        <v>0</v>
      </c>
      <c r="AD108">
        <f t="array" ref="AD108">IFERROR(CONCATENATE(INDEX(AG7:AG89,SMALL(IF(ISNUMBER(AD7:AD89),IF(AD7:AD89&gt;0,IF(AG7:AG89&lt;&gt;"",ROW(AD7:AD89)-MIN(ROW(AD7:AD89))+1))),ROW()-ROW(A$92)+1)),"|",TEXT(INDEX(AD7:AD89,SMALL(IF(ISNUMBER(AD7:AD89),IF(AD7:AD89&gt;0,IF(AG7:AG89&lt;&gt;"",ROW(AD7:AD89)-MIN(ROW(AD7:AD89))+1))),ROW()-ROW(A$92)+1)),"##0"),"|",SUBSTITUTE(SUBSTITUTE(INDEX(IF(PURCHASE_DESCRIPTION&lt;&gt;"",PURCHASE_DESCRIPTION&amp;":","")&amp;A7:A89,SMALL(IF(ISNUMBER(AD7:AD89),IF(AD7:AD89&gt;0,IF(AG7:AG89&lt;&gt;"",ROW(AD7:AD89)-MIN(ROW(AD7:AD89))+1))),ROW()-ROW(A$92)+1)),"|",";")," ","_")),"")</f>
        <v>0</v>
      </c>
      <c r="AI108">
        <f t="array" ref="AI108">IFERROR(CONCATENATE(INDEX(AL7:AL89,SMALL(IF(ISNUMBER(AI7:AI89),IF(AI7:AI89&gt;0,IF(AL7:AL89&lt;&gt;"",ROW(AI7:AI89)-MIN(ROW(AI7:AI89))+1))),ROW()-ROW(A$92)+1)),",",TEXT(INDEX(AI7:AI89,SMALL(IF(ISNUMBER(AI7:AI89),IF(AI7:AI89&gt;0,IF(AL7:AL89&lt;&gt;"",ROW(AI7:AI89)-MIN(ROW(AI7:AI89))+1))),ROW()-ROW(A$92)+1)),"##0"),",",SUBSTITUTE(INDEX(IF(PURCHASE_DESCRIPTION&lt;&gt;"",PURCHASE_DESCRIPTION&amp;":","")&amp;A7:A89,SMALL(IF(ISNUMBER(AI7:AI89),IF(AI7:AI89&gt;0,IF(AL7:AL89&lt;&gt;"",ROW(AI7:AI89)-MIN(ROW(AI7:AI89))+1))),ROW()-ROW(A$92)+1)),",",";")),"")</f>
        <v>0</v>
      </c>
      <c r="AN108">
        <f t="array" ref="AN108">IFERROR(CONCATENATE(INDEX(AQ7:AQ89,SMALL(IF(ISNUMBER(AN7:AN89),IF(AN7:AN89&gt;0,IF(AQ7:AQ89&lt;&gt;"",ROW(AN7:AN89)-MIN(ROW(AN7:AN89))+1))),ROW()-ROW(A$92)+1))," ",TEXT(INDEX(AN7:AN89,SMALL(IF(ISNUMBER(AN7:AN89),IF(AN7:AN89&gt;0,IF(AQ7:AQ89&lt;&gt;"",ROW(AN7:AN89)-MIN(ROW(AN7:AN89))+1))),ROW()-ROW(A$92)+1)),"##0")," ",SUBSTITUTE(INDEX(IF(PURCHASE_DESCRIPTION&lt;&gt;"",PURCHASE_DESCRIPTION&amp;":","")&amp;A7:A89,SMALL(IF(ISNUMBER(AN7:AN89),IF(AN7:AN89&gt;0,IF(AQ7:AQ89&lt;&gt;"",ROW(AN7:AN89)-MIN(ROW(AN7:AN89))+1))),ROW()-ROW(A$92)+1))," ",";")),"")</f>
        <v>0</v>
      </c>
      <c r="AS108">
        <f t="array" ref="AS108">IFERROR(CONCATENATE(INDEX(AV7:AV89,SMALL(IF(ISNUMBER(AS7:AS89),IF(AS7:AS89&gt;0,IF(AV7:AV89&lt;&gt;"",ROW(AS7:AS89)-MIN(ROW(AS7:AS89))+1))),ROW()-ROW(A$92)+1))," ",TEXT(INDEX(AS7:AS89,SMALL(IF(ISNUMBER(AS7:AS89),IF(AS7:AS89&gt;0,IF(AV7:AV89&lt;&gt;"",ROW(AS7:AS89)-MIN(ROW(AS7:AS89))+1))),ROW()-ROW(A$92)+1)),"##0")," ",SUBSTITUTE(INDEX(IF(PURCHASE_DESCRIPTION&lt;&gt;"",PURCHASE_DESCRIPTION&amp;":","")&amp;A7:A89,SMALL(IF(ISNUMBER(AS7:AS89),IF(AS7:AS89&gt;0,IF(AV7:AV89&lt;&gt;"",ROW(AS7:AS89)-MIN(ROW(AS7:AS89))+1))),ROW()-ROW(A$92)+1))," ",";")),"")</f>
        <v>0</v>
      </c>
    </row>
    <row r="109" spans="10:45">
      <c r="J109">
        <f t="array" ref="J109">IFERROR(CONCATENATE(INDEX(M7:M89,SMALL(IF(ISNUMBER(J7:J89),IF(J7:J89&gt;0,IF(M7:M89&lt;&gt;"",ROW(J7:J89)-MIN(ROW(J7:J89))+1))),ROW()-ROW(A$92)+1)),",",TEXT(INDEX(J7:J89,SMALL(IF(ISNUMBER(J7:J89),IF(J7:J89&gt;0,IF(M7:M89&lt;&gt;"",ROW(J7:J89)-MIN(ROW(J7:J89))+1))),ROW()-ROW(A$92)+1)),"##0"),",",SUBSTITUTE(INDEX(IF(PURCHASE_DESCRIPTION&lt;&gt;"",PURCHASE_DESCRIPTION&amp;":","")&amp;A7:A89,SMALL(IF(ISNUMBER(J7:J89),IF(J7:J89&gt;0,IF(M7:M89&lt;&gt;"",ROW(J7:J89)-MIN(ROW(J7:J89))+1))),ROW()-ROW(A$92)+1)),",",";")),"")</f>
        <v>0</v>
      </c>
      <c r="O109">
        <f t="array" ref="O109">IFERROR(CONCATENATE(TEXT(INDEX(O7:O89,SMALL(IF(ISNUMBER(O7:O89),IF(O7:O89&gt;0,IF(R7:R89&lt;&gt;"",ROW(O7:O89)-MIN(ROW(O7:O89))+1))),ROW()-ROW(A$92)+1)),"##0"),",",INDEX(R7:R89,SMALL(IF(ISNUMBER(O7:O89),IF(O7:O89&gt;0,IF(R7:R89&lt;&gt;"",ROW(O7:O89)-MIN(ROW(O7:O89))+1))),ROW()-ROW(A$92)+1)),",",SUBSTITUTE(INDEX(IF(PURCHASE_DESCRIPTION&lt;&gt;"",PURCHASE_DESCRIPTION&amp;":","")&amp;A7:A89,SMALL(IF(ISNUMBER(O7:O89),IF(O7:O89&gt;0,IF(R7:R89&lt;&gt;"",ROW(O7:O89)-MIN(ROW(O7:O89))+1))),ROW()-ROW(A$92)+1)),",",";")),"")</f>
        <v>0</v>
      </c>
      <c r="T109">
        <f t="array" ref="T109">IFERROR(CONCATENATE(INDEX(W7:W89,SMALL(IF(ISNUMBER(T7:T89),IF(T7:T89&gt;0,IF(W7:W89&lt;&gt;"",ROW(T7:T89)-MIN(ROW(T7:T89))+1))),ROW()-ROW(A$92)+1))," ",TEXT(INDEX(T7:T89,SMALL(IF(ISNUMBER(T7:T89),IF(T7:T89&gt;0,IF(W7:W89&lt;&gt;"",ROW(T7:T89)-MIN(ROW(T7:T89))+1))),ROW()-ROW(A$92)+1)),"##0")," ",SUBSTITUTE(INDEX(IF(PURCHASE_DESCRIPTION&lt;&gt;"",PURCHASE_DESCRIPTION&amp;":","")&amp;A7:A89,SMALL(IF(ISNUMBER(T7:T89),IF(T7:T89&gt;0,IF(W7:W89&lt;&gt;"",ROW(T7:T89)-MIN(ROW(T7:T89))+1))),ROW()-ROW(A$92)+1))," ",";")),"")</f>
        <v>0</v>
      </c>
      <c r="Y109">
        <f t="array" ref="Y109">IFERROR(CONCATENATE(TEXT(INDEX(Y7:Y89,SMALL(IF(ISNUMBER(Y7:Y89),IF(Y7:Y89&gt;0,IF(AB7:AB89&lt;&gt;"",ROW(Y7:Y89)-MIN(ROW(Y7:Y89))+1))),ROW()-ROW(A$93)+1)),"##0"),",",SUBSTITUTE(INDEX(IF(PURCHASE_DESCRIPTION&lt;&gt;"",PURCHASE_DESCRIPTION&amp;":","")&amp;A7:A89,SMALL(IF(ISNUMBER(Y7:Y89),IF(Y7:Y89&gt;0,IF(AB7:AB89&lt;&gt;"",ROW(Y7:Y89)-MIN(ROW(Y7:Y89))+1))),ROW()-ROW(A$93)+1)),",",";"),",",SUBSTITUTE(INDEX(IF(PURCHASE_DESCRIPTION&lt;&gt;"",PURCHASE_DESCRIPTION&amp;":","")&amp;D7:D89,SMALL(IF(ISNUMBER(Y7:Y89),IF(Y7:Y89&gt;0,IF(AB7:AB89&lt;&gt;"",ROW(Y7:Y89)-MIN(ROW(Y7:Y89))+1))),ROW()-ROW(A$93)+1)),",",";"),",",INDEX(AB7:AB89,SMALL(IF(ISNUMBER(Y7:Y89),IF(Y7:Y89&gt;0,IF(AB7:AB89&lt;&gt;"",ROW(Y7:Y89)-MIN(ROW(Y7:Y89))+1))),ROW()-ROW(A$93)+1))),"")</f>
        <v>0</v>
      </c>
      <c r="AD109">
        <f t="array" ref="AD109">IFERROR(CONCATENATE(INDEX(AG7:AG89,SMALL(IF(ISNUMBER(AD7:AD89),IF(AD7:AD89&gt;0,IF(AG7:AG89&lt;&gt;"",ROW(AD7:AD89)-MIN(ROW(AD7:AD89))+1))),ROW()-ROW(A$92)+1)),"|",TEXT(INDEX(AD7:AD89,SMALL(IF(ISNUMBER(AD7:AD89),IF(AD7:AD89&gt;0,IF(AG7:AG89&lt;&gt;"",ROW(AD7:AD89)-MIN(ROW(AD7:AD89))+1))),ROW()-ROW(A$92)+1)),"##0"),"|",SUBSTITUTE(SUBSTITUTE(INDEX(IF(PURCHASE_DESCRIPTION&lt;&gt;"",PURCHASE_DESCRIPTION&amp;":","")&amp;A7:A89,SMALL(IF(ISNUMBER(AD7:AD89),IF(AD7:AD89&gt;0,IF(AG7:AG89&lt;&gt;"",ROW(AD7:AD89)-MIN(ROW(AD7:AD89))+1))),ROW()-ROW(A$92)+1)),"|",";")," ","_")),"")</f>
        <v>0</v>
      </c>
      <c r="AI109">
        <f t="array" ref="AI109">IFERROR(CONCATENATE(INDEX(AL7:AL89,SMALL(IF(ISNUMBER(AI7:AI89),IF(AI7:AI89&gt;0,IF(AL7:AL89&lt;&gt;"",ROW(AI7:AI89)-MIN(ROW(AI7:AI89))+1))),ROW()-ROW(A$92)+1)),",",TEXT(INDEX(AI7:AI89,SMALL(IF(ISNUMBER(AI7:AI89),IF(AI7:AI89&gt;0,IF(AL7:AL89&lt;&gt;"",ROW(AI7:AI89)-MIN(ROW(AI7:AI89))+1))),ROW()-ROW(A$92)+1)),"##0"),",",SUBSTITUTE(INDEX(IF(PURCHASE_DESCRIPTION&lt;&gt;"",PURCHASE_DESCRIPTION&amp;":","")&amp;A7:A89,SMALL(IF(ISNUMBER(AI7:AI89),IF(AI7:AI89&gt;0,IF(AL7:AL89&lt;&gt;"",ROW(AI7:AI89)-MIN(ROW(AI7:AI89))+1))),ROW()-ROW(A$92)+1)),",",";")),"")</f>
        <v>0</v>
      </c>
      <c r="AN109">
        <f t="array" ref="AN109">IFERROR(CONCATENATE(INDEX(AQ7:AQ89,SMALL(IF(ISNUMBER(AN7:AN89),IF(AN7:AN89&gt;0,IF(AQ7:AQ89&lt;&gt;"",ROW(AN7:AN89)-MIN(ROW(AN7:AN89))+1))),ROW()-ROW(A$92)+1))," ",TEXT(INDEX(AN7:AN89,SMALL(IF(ISNUMBER(AN7:AN89),IF(AN7:AN89&gt;0,IF(AQ7:AQ89&lt;&gt;"",ROW(AN7:AN89)-MIN(ROW(AN7:AN89))+1))),ROW()-ROW(A$92)+1)),"##0")," ",SUBSTITUTE(INDEX(IF(PURCHASE_DESCRIPTION&lt;&gt;"",PURCHASE_DESCRIPTION&amp;":","")&amp;A7:A89,SMALL(IF(ISNUMBER(AN7:AN89),IF(AN7:AN89&gt;0,IF(AQ7:AQ89&lt;&gt;"",ROW(AN7:AN89)-MIN(ROW(AN7:AN89))+1))),ROW()-ROW(A$92)+1))," ",";")),"")</f>
        <v>0</v>
      </c>
      <c r="AS109">
        <f t="array" ref="AS109">IFERROR(CONCATENATE(INDEX(AV7:AV89,SMALL(IF(ISNUMBER(AS7:AS89),IF(AS7:AS89&gt;0,IF(AV7:AV89&lt;&gt;"",ROW(AS7:AS89)-MIN(ROW(AS7:AS89))+1))),ROW()-ROW(A$92)+1))," ",TEXT(INDEX(AS7:AS89,SMALL(IF(ISNUMBER(AS7:AS89),IF(AS7:AS89&gt;0,IF(AV7:AV89&lt;&gt;"",ROW(AS7:AS89)-MIN(ROW(AS7:AS89))+1))),ROW()-ROW(A$92)+1)),"##0")," ",SUBSTITUTE(INDEX(IF(PURCHASE_DESCRIPTION&lt;&gt;"",PURCHASE_DESCRIPTION&amp;":","")&amp;A7:A89,SMALL(IF(ISNUMBER(AS7:AS89),IF(AS7:AS89&gt;0,IF(AV7:AV89&lt;&gt;"",ROW(AS7:AS89)-MIN(ROW(AS7:AS89))+1))),ROW()-ROW(A$92)+1))," ",";")),"")</f>
        <v>0</v>
      </c>
    </row>
    <row r="110" spans="10:45">
      <c r="J110">
        <f t="array" ref="J110">IFERROR(CONCATENATE(INDEX(M7:M89,SMALL(IF(ISNUMBER(J7:J89),IF(J7:J89&gt;0,IF(M7:M89&lt;&gt;"",ROW(J7:J89)-MIN(ROW(J7:J89))+1))),ROW()-ROW(A$92)+1)),",",TEXT(INDEX(J7:J89,SMALL(IF(ISNUMBER(J7:J89),IF(J7:J89&gt;0,IF(M7:M89&lt;&gt;"",ROW(J7:J89)-MIN(ROW(J7:J89))+1))),ROW()-ROW(A$92)+1)),"##0"),",",SUBSTITUTE(INDEX(IF(PURCHASE_DESCRIPTION&lt;&gt;"",PURCHASE_DESCRIPTION&amp;":","")&amp;A7:A89,SMALL(IF(ISNUMBER(J7:J89),IF(J7:J89&gt;0,IF(M7:M89&lt;&gt;"",ROW(J7:J89)-MIN(ROW(J7:J89))+1))),ROW()-ROW(A$92)+1)),",",";")),"")</f>
        <v>0</v>
      </c>
      <c r="O110">
        <f t="array" ref="O110">IFERROR(CONCATENATE(TEXT(INDEX(O7:O89,SMALL(IF(ISNUMBER(O7:O89),IF(O7:O89&gt;0,IF(R7:R89&lt;&gt;"",ROW(O7:O89)-MIN(ROW(O7:O89))+1))),ROW()-ROW(A$92)+1)),"##0"),",",INDEX(R7:R89,SMALL(IF(ISNUMBER(O7:O89),IF(O7:O89&gt;0,IF(R7:R89&lt;&gt;"",ROW(O7:O89)-MIN(ROW(O7:O89))+1))),ROW()-ROW(A$92)+1)),",",SUBSTITUTE(INDEX(IF(PURCHASE_DESCRIPTION&lt;&gt;"",PURCHASE_DESCRIPTION&amp;":","")&amp;A7:A89,SMALL(IF(ISNUMBER(O7:O89),IF(O7:O89&gt;0,IF(R7:R89&lt;&gt;"",ROW(O7:O89)-MIN(ROW(O7:O89))+1))),ROW()-ROW(A$92)+1)),",",";")),"")</f>
        <v>0</v>
      </c>
      <c r="T110">
        <f t="array" ref="T110">IFERROR(CONCATENATE(INDEX(W7:W89,SMALL(IF(ISNUMBER(T7:T89),IF(T7:T89&gt;0,IF(W7:W89&lt;&gt;"",ROW(T7:T89)-MIN(ROW(T7:T89))+1))),ROW()-ROW(A$92)+1))," ",TEXT(INDEX(T7:T89,SMALL(IF(ISNUMBER(T7:T89),IF(T7:T89&gt;0,IF(W7:W89&lt;&gt;"",ROW(T7:T89)-MIN(ROW(T7:T89))+1))),ROW()-ROW(A$92)+1)),"##0")," ",SUBSTITUTE(INDEX(IF(PURCHASE_DESCRIPTION&lt;&gt;"",PURCHASE_DESCRIPTION&amp;":","")&amp;A7:A89,SMALL(IF(ISNUMBER(T7:T89),IF(T7:T89&gt;0,IF(W7:W89&lt;&gt;"",ROW(T7:T89)-MIN(ROW(T7:T89))+1))),ROW()-ROW(A$92)+1))," ",";")),"")</f>
        <v>0</v>
      </c>
      <c r="Y110">
        <f t="array" ref="Y110">IFERROR(CONCATENATE(TEXT(INDEX(Y7:Y89,SMALL(IF(ISNUMBER(Y7:Y89),IF(Y7:Y89&gt;0,IF(AB7:AB89&lt;&gt;"",ROW(Y7:Y89)-MIN(ROW(Y7:Y89))+1))),ROW()-ROW(A$93)+1)),"##0"),",",SUBSTITUTE(INDEX(IF(PURCHASE_DESCRIPTION&lt;&gt;"",PURCHASE_DESCRIPTION&amp;":","")&amp;A7:A89,SMALL(IF(ISNUMBER(Y7:Y89),IF(Y7:Y89&gt;0,IF(AB7:AB89&lt;&gt;"",ROW(Y7:Y89)-MIN(ROW(Y7:Y89))+1))),ROW()-ROW(A$93)+1)),",",";"),",",SUBSTITUTE(INDEX(IF(PURCHASE_DESCRIPTION&lt;&gt;"",PURCHASE_DESCRIPTION&amp;":","")&amp;D7:D89,SMALL(IF(ISNUMBER(Y7:Y89),IF(Y7:Y89&gt;0,IF(AB7:AB89&lt;&gt;"",ROW(Y7:Y89)-MIN(ROW(Y7:Y89))+1))),ROW()-ROW(A$93)+1)),",",";"),",",INDEX(AB7:AB89,SMALL(IF(ISNUMBER(Y7:Y89),IF(Y7:Y89&gt;0,IF(AB7:AB89&lt;&gt;"",ROW(Y7:Y89)-MIN(ROW(Y7:Y89))+1))),ROW()-ROW(A$93)+1))),"")</f>
        <v>0</v>
      </c>
      <c r="AD110">
        <f t="array" ref="AD110">IFERROR(CONCATENATE(INDEX(AG7:AG89,SMALL(IF(ISNUMBER(AD7:AD89),IF(AD7:AD89&gt;0,IF(AG7:AG89&lt;&gt;"",ROW(AD7:AD89)-MIN(ROW(AD7:AD89))+1))),ROW()-ROW(A$92)+1)),"|",TEXT(INDEX(AD7:AD89,SMALL(IF(ISNUMBER(AD7:AD89),IF(AD7:AD89&gt;0,IF(AG7:AG89&lt;&gt;"",ROW(AD7:AD89)-MIN(ROW(AD7:AD89))+1))),ROW()-ROW(A$92)+1)),"##0"),"|",SUBSTITUTE(SUBSTITUTE(INDEX(IF(PURCHASE_DESCRIPTION&lt;&gt;"",PURCHASE_DESCRIPTION&amp;":","")&amp;A7:A89,SMALL(IF(ISNUMBER(AD7:AD89),IF(AD7:AD89&gt;0,IF(AG7:AG89&lt;&gt;"",ROW(AD7:AD89)-MIN(ROW(AD7:AD89))+1))),ROW()-ROW(A$92)+1)),"|",";")," ","_")),"")</f>
        <v>0</v>
      </c>
      <c r="AI110">
        <f t="array" ref="AI110">IFERROR(CONCATENATE(INDEX(AL7:AL89,SMALL(IF(ISNUMBER(AI7:AI89),IF(AI7:AI89&gt;0,IF(AL7:AL89&lt;&gt;"",ROW(AI7:AI89)-MIN(ROW(AI7:AI89))+1))),ROW()-ROW(A$92)+1)),",",TEXT(INDEX(AI7:AI89,SMALL(IF(ISNUMBER(AI7:AI89),IF(AI7:AI89&gt;0,IF(AL7:AL89&lt;&gt;"",ROW(AI7:AI89)-MIN(ROW(AI7:AI89))+1))),ROW()-ROW(A$92)+1)),"##0"),",",SUBSTITUTE(INDEX(IF(PURCHASE_DESCRIPTION&lt;&gt;"",PURCHASE_DESCRIPTION&amp;":","")&amp;A7:A89,SMALL(IF(ISNUMBER(AI7:AI89),IF(AI7:AI89&gt;0,IF(AL7:AL89&lt;&gt;"",ROW(AI7:AI89)-MIN(ROW(AI7:AI89))+1))),ROW()-ROW(A$92)+1)),",",";")),"")</f>
        <v>0</v>
      </c>
      <c r="AN110">
        <f t="array" ref="AN110">IFERROR(CONCATENATE(INDEX(AQ7:AQ89,SMALL(IF(ISNUMBER(AN7:AN89),IF(AN7:AN89&gt;0,IF(AQ7:AQ89&lt;&gt;"",ROW(AN7:AN89)-MIN(ROW(AN7:AN89))+1))),ROW()-ROW(A$92)+1))," ",TEXT(INDEX(AN7:AN89,SMALL(IF(ISNUMBER(AN7:AN89),IF(AN7:AN89&gt;0,IF(AQ7:AQ89&lt;&gt;"",ROW(AN7:AN89)-MIN(ROW(AN7:AN89))+1))),ROW()-ROW(A$92)+1)),"##0")," ",SUBSTITUTE(INDEX(IF(PURCHASE_DESCRIPTION&lt;&gt;"",PURCHASE_DESCRIPTION&amp;":","")&amp;A7:A89,SMALL(IF(ISNUMBER(AN7:AN89),IF(AN7:AN89&gt;0,IF(AQ7:AQ89&lt;&gt;"",ROW(AN7:AN89)-MIN(ROW(AN7:AN89))+1))),ROW()-ROW(A$92)+1))," ",";")),"")</f>
        <v>0</v>
      </c>
      <c r="AS110">
        <f t="array" ref="AS110">IFERROR(CONCATENATE(INDEX(AV7:AV89,SMALL(IF(ISNUMBER(AS7:AS89),IF(AS7:AS89&gt;0,IF(AV7:AV89&lt;&gt;"",ROW(AS7:AS89)-MIN(ROW(AS7:AS89))+1))),ROW()-ROW(A$92)+1))," ",TEXT(INDEX(AS7:AS89,SMALL(IF(ISNUMBER(AS7:AS89),IF(AS7:AS89&gt;0,IF(AV7:AV89&lt;&gt;"",ROW(AS7:AS89)-MIN(ROW(AS7:AS89))+1))),ROW()-ROW(A$92)+1)),"##0")," ",SUBSTITUTE(INDEX(IF(PURCHASE_DESCRIPTION&lt;&gt;"",PURCHASE_DESCRIPTION&amp;":","")&amp;A7:A89,SMALL(IF(ISNUMBER(AS7:AS89),IF(AS7:AS89&gt;0,IF(AV7:AV89&lt;&gt;"",ROW(AS7:AS89)-MIN(ROW(AS7:AS89))+1))),ROW()-ROW(A$92)+1))," ",";")),"")</f>
        <v>0</v>
      </c>
    </row>
    <row r="111" spans="10:45">
      <c r="J111">
        <f t="array" ref="J111">IFERROR(CONCATENATE(INDEX(M7:M89,SMALL(IF(ISNUMBER(J7:J89),IF(J7:J89&gt;0,IF(M7:M89&lt;&gt;"",ROW(J7:J89)-MIN(ROW(J7:J89))+1))),ROW()-ROW(A$92)+1)),",",TEXT(INDEX(J7:J89,SMALL(IF(ISNUMBER(J7:J89),IF(J7:J89&gt;0,IF(M7:M89&lt;&gt;"",ROW(J7:J89)-MIN(ROW(J7:J89))+1))),ROW()-ROW(A$92)+1)),"##0"),",",SUBSTITUTE(INDEX(IF(PURCHASE_DESCRIPTION&lt;&gt;"",PURCHASE_DESCRIPTION&amp;":","")&amp;A7:A89,SMALL(IF(ISNUMBER(J7:J89),IF(J7:J89&gt;0,IF(M7:M89&lt;&gt;"",ROW(J7:J89)-MIN(ROW(J7:J89))+1))),ROW()-ROW(A$92)+1)),",",";")),"")</f>
        <v>0</v>
      </c>
      <c r="O111">
        <f t="array" ref="O111">IFERROR(CONCATENATE(TEXT(INDEX(O7:O89,SMALL(IF(ISNUMBER(O7:O89),IF(O7:O89&gt;0,IF(R7:R89&lt;&gt;"",ROW(O7:O89)-MIN(ROW(O7:O89))+1))),ROW()-ROW(A$92)+1)),"##0"),",",INDEX(R7:R89,SMALL(IF(ISNUMBER(O7:O89),IF(O7:O89&gt;0,IF(R7:R89&lt;&gt;"",ROW(O7:O89)-MIN(ROW(O7:O89))+1))),ROW()-ROW(A$92)+1)),",",SUBSTITUTE(INDEX(IF(PURCHASE_DESCRIPTION&lt;&gt;"",PURCHASE_DESCRIPTION&amp;":","")&amp;A7:A89,SMALL(IF(ISNUMBER(O7:O89),IF(O7:O89&gt;0,IF(R7:R89&lt;&gt;"",ROW(O7:O89)-MIN(ROW(O7:O89))+1))),ROW()-ROW(A$92)+1)),",",";")),"")</f>
        <v>0</v>
      </c>
      <c r="T111">
        <f t="array" ref="T111">IFERROR(CONCATENATE(INDEX(W7:W89,SMALL(IF(ISNUMBER(T7:T89),IF(T7:T89&gt;0,IF(W7:W89&lt;&gt;"",ROW(T7:T89)-MIN(ROW(T7:T89))+1))),ROW()-ROW(A$92)+1))," ",TEXT(INDEX(T7:T89,SMALL(IF(ISNUMBER(T7:T89),IF(T7:T89&gt;0,IF(W7:W89&lt;&gt;"",ROW(T7:T89)-MIN(ROW(T7:T89))+1))),ROW()-ROW(A$92)+1)),"##0")," ",SUBSTITUTE(INDEX(IF(PURCHASE_DESCRIPTION&lt;&gt;"",PURCHASE_DESCRIPTION&amp;":","")&amp;A7:A89,SMALL(IF(ISNUMBER(T7:T89),IF(T7:T89&gt;0,IF(W7:W89&lt;&gt;"",ROW(T7:T89)-MIN(ROW(T7:T89))+1))),ROW()-ROW(A$92)+1))," ",";")),"")</f>
        <v>0</v>
      </c>
      <c r="Y111">
        <f t="array" ref="Y111">IFERROR(CONCATENATE(TEXT(INDEX(Y7:Y89,SMALL(IF(ISNUMBER(Y7:Y89),IF(Y7:Y89&gt;0,IF(AB7:AB89&lt;&gt;"",ROW(Y7:Y89)-MIN(ROW(Y7:Y89))+1))),ROW()-ROW(A$93)+1)),"##0"),",",SUBSTITUTE(INDEX(IF(PURCHASE_DESCRIPTION&lt;&gt;"",PURCHASE_DESCRIPTION&amp;":","")&amp;A7:A89,SMALL(IF(ISNUMBER(Y7:Y89),IF(Y7:Y89&gt;0,IF(AB7:AB89&lt;&gt;"",ROW(Y7:Y89)-MIN(ROW(Y7:Y89))+1))),ROW()-ROW(A$93)+1)),",",";"),",",SUBSTITUTE(INDEX(IF(PURCHASE_DESCRIPTION&lt;&gt;"",PURCHASE_DESCRIPTION&amp;":","")&amp;D7:D89,SMALL(IF(ISNUMBER(Y7:Y89),IF(Y7:Y89&gt;0,IF(AB7:AB89&lt;&gt;"",ROW(Y7:Y89)-MIN(ROW(Y7:Y89))+1))),ROW()-ROW(A$93)+1)),",",";"),",",INDEX(AB7:AB89,SMALL(IF(ISNUMBER(Y7:Y89),IF(Y7:Y89&gt;0,IF(AB7:AB89&lt;&gt;"",ROW(Y7:Y89)-MIN(ROW(Y7:Y89))+1))),ROW()-ROW(A$93)+1))),"")</f>
        <v>0</v>
      </c>
      <c r="AD111">
        <f t="array" ref="AD111">IFERROR(CONCATENATE(INDEX(AG7:AG89,SMALL(IF(ISNUMBER(AD7:AD89),IF(AD7:AD89&gt;0,IF(AG7:AG89&lt;&gt;"",ROW(AD7:AD89)-MIN(ROW(AD7:AD89))+1))),ROW()-ROW(A$92)+1)),"|",TEXT(INDEX(AD7:AD89,SMALL(IF(ISNUMBER(AD7:AD89),IF(AD7:AD89&gt;0,IF(AG7:AG89&lt;&gt;"",ROW(AD7:AD89)-MIN(ROW(AD7:AD89))+1))),ROW()-ROW(A$92)+1)),"##0"),"|",SUBSTITUTE(SUBSTITUTE(INDEX(IF(PURCHASE_DESCRIPTION&lt;&gt;"",PURCHASE_DESCRIPTION&amp;":","")&amp;A7:A89,SMALL(IF(ISNUMBER(AD7:AD89),IF(AD7:AD89&gt;0,IF(AG7:AG89&lt;&gt;"",ROW(AD7:AD89)-MIN(ROW(AD7:AD89))+1))),ROW()-ROW(A$92)+1)),"|",";")," ","_")),"")</f>
        <v>0</v>
      </c>
      <c r="AI111">
        <f t="array" ref="AI111">IFERROR(CONCATENATE(INDEX(AL7:AL89,SMALL(IF(ISNUMBER(AI7:AI89),IF(AI7:AI89&gt;0,IF(AL7:AL89&lt;&gt;"",ROW(AI7:AI89)-MIN(ROW(AI7:AI89))+1))),ROW()-ROW(A$92)+1)),",",TEXT(INDEX(AI7:AI89,SMALL(IF(ISNUMBER(AI7:AI89),IF(AI7:AI89&gt;0,IF(AL7:AL89&lt;&gt;"",ROW(AI7:AI89)-MIN(ROW(AI7:AI89))+1))),ROW()-ROW(A$92)+1)),"##0"),",",SUBSTITUTE(INDEX(IF(PURCHASE_DESCRIPTION&lt;&gt;"",PURCHASE_DESCRIPTION&amp;":","")&amp;A7:A89,SMALL(IF(ISNUMBER(AI7:AI89),IF(AI7:AI89&gt;0,IF(AL7:AL89&lt;&gt;"",ROW(AI7:AI89)-MIN(ROW(AI7:AI89))+1))),ROW()-ROW(A$92)+1)),",",";")),"")</f>
        <v>0</v>
      </c>
      <c r="AN111">
        <f t="array" ref="AN111">IFERROR(CONCATENATE(INDEX(AQ7:AQ89,SMALL(IF(ISNUMBER(AN7:AN89),IF(AN7:AN89&gt;0,IF(AQ7:AQ89&lt;&gt;"",ROW(AN7:AN89)-MIN(ROW(AN7:AN89))+1))),ROW()-ROW(A$92)+1))," ",TEXT(INDEX(AN7:AN89,SMALL(IF(ISNUMBER(AN7:AN89),IF(AN7:AN89&gt;0,IF(AQ7:AQ89&lt;&gt;"",ROW(AN7:AN89)-MIN(ROW(AN7:AN89))+1))),ROW()-ROW(A$92)+1)),"##0")," ",SUBSTITUTE(INDEX(IF(PURCHASE_DESCRIPTION&lt;&gt;"",PURCHASE_DESCRIPTION&amp;":","")&amp;A7:A89,SMALL(IF(ISNUMBER(AN7:AN89),IF(AN7:AN89&gt;0,IF(AQ7:AQ89&lt;&gt;"",ROW(AN7:AN89)-MIN(ROW(AN7:AN89))+1))),ROW()-ROW(A$92)+1))," ",";")),"")</f>
        <v>0</v>
      </c>
      <c r="AS111">
        <f t="array" ref="AS111">IFERROR(CONCATENATE(INDEX(AV7:AV89,SMALL(IF(ISNUMBER(AS7:AS89),IF(AS7:AS89&gt;0,IF(AV7:AV89&lt;&gt;"",ROW(AS7:AS89)-MIN(ROW(AS7:AS89))+1))),ROW()-ROW(A$92)+1))," ",TEXT(INDEX(AS7:AS89,SMALL(IF(ISNUMBER(AS7:AS89),IF(AS7:AS89&gt;0,IF(AV7:AV89&lt;&gt;"",ROW(AS7:AS89)-MIN(ROW(AS7:AS89))+1))),ROW()-ROW(A$92)+1)),"##0")," ",SUBSTITUTE(INDEX(IF(PURCHASE_DESCRIPTION&lt;&gt;"",PURCHASE_DESCRIPTION&amp;":","")&amp;A7:A89,SMALL(IF(ISNUMBER(AS7:AS89),IF(AS7:AS89&gt;0,IF(AV7:AV89&lt;&gt;"",ROW(AS7:AS89)-MIN(ROW(AS7:AS89))+1))),ROW()-ROW(A$92)+1))," ",";")),"")</f>
        <v>0</v>
      </c>
    </row>
    <row r="112" spans="10:45">
      <c r="J112">
        <f t="array" ref="J112">IFERROR(CONCATENATE(INDEX(M7:M89,SMALL(IF(ISNUMBER(J7:J89),IF(J7:J89&gt;0,IF(M7:M89&lt;&gt;"",ROW(J7:J89)-MIN(ROW(J7:J89))+1))),ROW()-ROW(A$92)+1)),",",TEXT(INDEX(J7:J89,SMALL(IF(ISNUMBER(J7:J89),IF(J7:J89&gt;0,IF(M7:M89&lt;&gt;"",ROW(J7:J89)-MIN(ROW(J7:J89))+1))),ROW()-ROW(A$92)+1)),"##0"),",",SUBSTITUTE(INDEX(IF(PURCHASE_DESCRIPTION&lt;&gt;"",PURCHASE_DESCRIPTION&amp;":","")&amp;A7:A89,SMALL(IF(ISNUMBER(J7:J89),IF(J7:J89&gt;0,IF(M7:M89&lt;&gt;"",ROW(J7:J89)-MIN(ROW(J7:J89))+1))),ROW()-ROW(A$92)+1)),",",";")),"")</f>
        <v>0</v>
      </c>
      <c r="O112">
        <f t="array" ref="O112">IFERROR(CONCATENATE(TEXT(INDEX(O7:O89,SMALL(IF(ISNUMBER(O7:O89),IF(O7:O89&gt;0,IF(R7:R89&lt;&gt;"",ROW(O7:O89)-MIN(ROW(O7:O89))+1))),ROW()-ROW(A$92)+1)),"##0"),",",INDEX(R7:R89,SMALL(IF(ISNUMBER(O7:O89),IF(O7:O89&gt;0,IF(R7:R89&lt;&gt;"",ROW(O7:O89)-MIN(ROW(O7:O89))+1))),ROW()-ROW(A$92)+1)),",",SUBSTITUTE(INDEX(IF(PURCHASE_DESCRIPTION&lt;&gt;"",PURCHASE_DESCRIPTION&amp;":","")&amp;A7:A89,SMALL(IF(ISNUMBER(O7:O89),IF(O7:O89&gt;0,IF(R7:R89&lt;&gt;"",ROW(O7:O89)-MIN(ROW(O7:O89))+1))),ROW()-ROW(A$92)+1)),",",";")),"")</f>
        <v>0</v>
      </c>
      <c r="T112">
        <f t="array" ref="T112">IFERROR(CONCATENATE(INDEX(W7:W89,SMALL(IF(ISNUMBER(T7:T89),IF(T7:T89&gt;0,IF(W7:W89&lt;&gt;"",ROW(T7:T89)-MIN(ROW(T7:T89))+1))),ROW()-ROW(A$92)+1))," ",TEXT(INDEX(T7:T89,SMALL(IF(ISNUMBER(T7:T89),IF(T7:T89&gt;0,IF(W7:W89&lt;&gt;"",ROW(T7:T89)-MIN(ROW(T7:T89))+1))),ROW()-ROW(A$92)+1)),"##0")," ",SUBSTITUTE(INDEX(IF(PURCHASE_DESCRIPTION&lt;&gt;"",PURCHASE_DESCRIPTION&amp;":","")&amp;A7:A89,SMALL(IF(ISNUMBER(T7:T89),IF(T7:T89&gt;0,IF(W7:W89&lt;&gt;"",ROW(T7:T89)-MIN(ROW(T7:T89))+1))),ROW()-ROW(A$92)+1))," ",";")),"")</f>
        <v>0</v>
      </c>
      <c r="Y112">
        <f t="array" ref="Y112">IFERROR(CONCATENATE(TEXT(INDEX(Y7:Y89,SMALL(IF(ISNUMBER(Y7:Y89),IF(Y7:Y89&gt;0,IF(AB7:AB89&lt;&gt;"",ROW(Y7:Y89)-MIN(ROW(Y7:Y89))+1))),ROW()-ROW(A$93)+1)),"##0"),",",SUBSTITUTE(INDEX(IF(PURCHASE_DESCRIPTION&lt;&gt;"",PURCHASE_DESCRIPTION&amp;":","")&amp;A7:A89,SMALL(IF(ISNUMBER(Y7:Y89),IF(Y7:Y89&gt;0,IF(AB7:AB89&lt;&gt;"",ROW(Y7:Y89)-MIN(ROW(Y7:Y89))+1))),ROW()-ROW(A$93)+1)),",",";"),",",SUBSTITUTE(INDEX(IF(PURCHASE_DESCRIPTION&lt;&gt;"",PURCHASE_DESCRIPTION&amp;":","")&amp;D7:D89,SMALL(IF(ISNUMBER(Y7:Y89),IF(Y7:Y89&gt;0,IF(AB7:AB89&lt;&gt;"",ROW(Y7:Y89)-MIN(ROW(Y7:Y89))+1))),ROW()-ROW(A$93)+1)),",",";"),",",INDEX(AB7:AB89,SMALL(IF(ISNUMBER(Y7:Y89),IF(Y7:Y89&gt;0,IF(AB7:AB89&lt;&gt;"",ROW(Y7:Y89)-MIN(ROW(Y7:Y89))+1))),ROW()-ROW(A$93)+1))),"")</f>
        <v>0</v>
      </c>
      <c r="AD112">
        <f t="array" ref="AD112">IFERROR(CONCATENATE(INDEX(AG7:AG89,SMALL(IF(ISNUMBER(AD7:AD89),IF(AD7:AD89&gt;0,IF(AG7:AG89&lt;&gt;"",ROW(AD7:AD89)-MIN(ROW(AD7:AD89))+1))),ROW()-ROW(A$92)+1)),"|",TEXT(INDEX(AD7:AD89,SMALL(IF(ISNUMBER(AD7:AD89),IF(AD7:AD89&gt;0,IF(AG7:AG89&lt;&gt;"",ROW(AD7:AD89)-MIN(ROW(AD7:AD89))+1))),ROW()-ROW(A$92)+1)),"##0"),"|",SUBSTITUTE(SUBSTITUTE(INDEX(IF(PURCHASE_DESCRIPTION&lt;&gt;"",PURCHASE_DESCRIPTION&amp;":","")&amp;A7:A89,SMALL(IF(ISNUMBER(AD7:AD89),IF(AD7:AD89&gt;0,IF(AG7:AG89&lt;&gt;"",ROW(AD7:AD89)-MIN(ROW(AD7:AD89))+1))),ROW()-ROW(A$92)+1)),"|",";")," ","_")),"")</f>
        <v>0</v>
      </c>
      <c r="AI112">
        <f t="array" ref="AI112">IFERROR(CONCATENATE(INDEX(AL7:AL89,SMALL(IF(ISNUMBER(AI7:AI89),IF(AI7:AI89&gt;0,IF(AL7:AL89&lt;&gt;"",ROW(AI7:AI89)-MIN(ROW(AI7:AI89))+1))),ROW()-ROW(A$92)+1)),",",TEXT(INDEX(AI7:AI89,SMALL(IF(ISNUMBER(AI7:AI89),IF(AI7:AI89&gt;0,IF(AL7:AL89&lt;&gt;"",ROW(AI7:AI89)-MIN(ROW(AI7:AI89))+1))),ROW()-ROW(A$92)+1)),"##0"),",",SUBSTITUTE(INDEX(IF(PURCHASE_DESCRIPTION&lt;&gt;"",PURCHASE_DESCRIPTION&amp;":","")&amp;A7:A89,SMALL(IF(ISNUMBER(AI7:AI89),IF(AI7:AI89&gt;0,IF(AL7:AL89&lt;&gt;"",ROW(AI7:AI89)-MIN(ROW(AI7:AI89))+1))),ROW()-ROW(A$92)+1)),",",";")),"")</f>
        <v>0</v>
      </c>
      <c r="AN112">
        <f t="array" ref="AN112">IFERROR(CONCATENATE(INDEX(AQ7:AQ89,SMALL(IF(ISNUMBER(AN7:AN89),IF(AN7:AN89&gt;0,IF(AQ7:AQ89&lt;&gt;"",ROW(AN7:AN89)-MIN(ROW(AN7:AN89))+1))),ROW()-ROW(A$92)+1))," ",TEXT(INDEX(AN7:AN89,SMALL(IF(ISNUMBER(AN7:AN89),IF(AN7:AN89&gt;0,IF(AQ7:AQ89&lt;&gt;"",ROW(AN7:AN89)-MIN(ROW(AN7:AN89))+1))),ROW()-ROW(A$92)+1)),"##0")," ",SUBSTITUTE(INDEX(IF(PURCHASE_DESCRIPTION&lt;&gt;"",PURCHASE_DESCRIPTION&amp;":","")&amp;A7:A89,SMALL(IF(ISNUMBER(AN7:AN89),IF(AN7:AN89&gt;0,IF(AQ7:AQ89&lt;&gt;"",ROW(AN7:AN89)-MIN(ROW(AN7:AN89))+1))),ROW()-ROW(A$92)+1))," ",";")),"")</f>
        <v>0</v>
      </c>
      <c r="AS112">
        <f t="array" ref="AS112">IFERROR(CONCATENATE(INDEX(AV7:AV89,SMALL(IF(ISNUMBER(AS7:AS89),IF(AS7:AS89&gt;0,IF(AV7:AV89&lt;&gt;"",ROW(AS7:AS89)-MIN(ROW(AS7:AS89))+1))),ROW()-ROW(A$92)+1))," ",TEXT(INDEX(AS7:AS89,SMALL(IF(ISNUMBER(AS7:AS89),IF(AS7:AS89&gt;0,IF(AV7:AV89&lt;&gt;"",ROW(AS7:AS89)-MIN(ROW(AS7:AS89))+1))),ROW()-ROW(A$92)+1)),"##0")," ",SUBSTITUTE(INDEX(IF(PURCHASE_DESCRIPTION&lt;&gt;"",PURCHASE_DESCRIPTION&amp;":","")&amp;A7:A89,SMALL(IF(ISNUMBER(AS7:AS89),IF(AS7:AS89&gt;0,IF(AV7:AV89&lt;&gt;"",ROW(AS7:AS89)-MIN(ROW(AS7:AS89))+1))),ROW()-ROW(A$92)+1))," ",";")),"")</f>
        <v>0</v>
      </c>
    </row>
    <row r="113" spans="10:45">
      <c r="J113">
        <f t="array" ref="J113">IFERROR(CONCATENATE(INDEX(M7:M89,SMALL(IF(ISNUMBER(J7:J89),IF(J7:J89&gt;0,IF(M7:M89&lt;&gt;"",ROW(J7:J89)-MIN(ROW(J7:J89))+1))),ROW()-ROW(A$92)+1)),",",TEXT(INDEX(J7:J89,SMALL(IF(ISNUMBER(J7:J89),IF(J7:J89&gt;0,IF(M7:M89&lt;&gt;"",ROW(J7:J89)-MIN(ROW(J7:J89))+1))),ROW()-ROW(A$92)+1)),"##0"),",",SUBSTITUTE(INDEX(IF(PURCHASE_DESCRIPTION&lt;&gt;"",PURCHASE_DESCRIPTION&amp;":","")&amp;A7:A89,SMALL(IF(ISNUMBER(J7:J89),IF(J7:J89&gt;0,IF(M7:M89&lt;&gt;"",ROW(J7:J89)-MIN(ROW(J7:J89))+1))),ROW()-ROW(A$92)+1)),",",";")),"")</f>
        <v>0</v>
      </c>
      <c r="O113">
        <f t="array" ref="O113">IFERROR(CONCATENATE(TEXT(INDEX(O7:O89,SMALL(IF(ISNUMBER(O7:O89),IF(O7:O89&gt;0,IF(R7:R89&lt;&gt;"",ROW(O7:O89)-MIN(ROW(O7:O89))+1))),ROW()-ROW(A$92)+1)),"##0"),",",INDEX(R7:R89,SMALL(IF(ISNUMBER(O7:O89),IF(O7:O89&gt;0,IF(R7:R89&lt;&gt;"",ROW(O7:O89)-MIN(ROW(O7:O89))+1))),ROW()-ROW(A$92)+1)),",",SUBSTITUTE(INDEX(IF(PURCHASE_DESCRIPTION&lt;&gt;"",PURCHASE_DESCRIPTION&amp;":","")&amp;A7:A89,SMALL(IF(ISNUMBER(O7:O89),IF(O7:O89&gt;0,IF(R7:R89&lt;&gt;"",ROW(O7:O89)-MIN(ROW(O7:O89))+1))),ROW()-ROW(A$92)+1)),",",";")),"")</f>
        <v>0</v>
      </c>
      <c r="T113">
        <f t="array" ref="T113">IFERROR(CONCATENATE(INDEX(W7:W89,SMALL(IF(ISNUMBER(T7:T89),IF(T7:T89&gt;0,IF(W7:W89&lt;&gt;"",ROW(T7:T89)-MIN(ROW(T7:T89))+1))),ROW()-ROW(A$92)+1))," ",TEXT(INDEX(T7:T89,SMALL(IF(ISNUMBER(T7:T89),IF(T7:T89&gt;0,IF(W7:W89&lt;&gt;"",ROW(T7:T89)-MIN(ROW(T7:T89))+1))),ROW()-ROW(A$92)+1)),"##0")," ",SUBSTITUTE(INDEX(IF(PURCHASE_DESCRIPTION&lt;&gt;"",PURCHASE_DESCRIPTION&amp;":","")&amp;A7:A89,SMALL(IF(ISNUMBER(T7:T89),IF(T7:T89&gt;0,IF(W7:W89&lt;&gt;"",ROW(T7:T89)-MIN(ROW(T7:T89))+1))),ROW()-ROW(A$92)+1))," ",";")),"")</f>
        <v>0</v>
      </c>
      <c r="Y113">
        <f t="array" ref="Y113">IFERROR(CONCATENATE(TEXT(INDEX(Y7:Y89,SMALL(IF(ISNUMBER(Y7:Y89),IF(Y7:Y89&gt;0,IF(AB7:AB89&lt;&gt;"",ROW(Y7:Y89)-MIN(ROW(Y7:Y89))+1))),ROW()-ROW(A$93)+1)),"##0"),",",SUBSTITUTE(INDEX(IF(PURCHASE_DESCRIPTION&lt;&gt;"",PURCHASE_DESCRIPTION&amp;":","")&amp;A7:A89,SMALL(IF(ISNUMBER(Y7:Y89),IF(Y7:Y89&gt;0,IF(AB7:AB89&lt;&gt;"",ROW(Y7:Y89)-MIN(ROW(Y7:Y89))+1))),ROW()-ROW(A$93)+1)),",",";"),",",SUBSTITUTE(INDEX(IF(PURCHASE_DESCRIPTION&lt;&gt;"",PURCHASE_DESCRIPTION&amp;":","")&amp;D7:D89,SMALL(IF(ISNUMBER(Y7:Y89),IF(Y7:Y89&gt;0,IF(AB7:AB89&lt;&gt;"",ROW(Y7:Y89)-MIN(ROW(Y7:Y89))+1))),ROW()-ROW(A$93)+1)),",",";"),",",INDEX(AB7:AB89,SMALL(IF(ISNUMBER(Y7:Y89),IF(Y7:Y89&gt;0,IF(AB7:AB89&lt;&gt;"",ROW(Y7:Y89)-MIN(ROW(Y7:Y89))+1))),ROW()-ROW(A$93)+1))),"")</f>
        <v>0</v>
      </c>
      <c r="AD113">
        <f t="array" ref="AD113">IFERROR(CONCATENATE(INDEX(AG7:AG89,SMALL(IF(ISNUMBER(AD7:AD89),IF(AD7:AD89&gt;0,IF(AG7:AG89&lt;&gt;"",ROW(AD7:AD89)-MIN(ROW(AD7:AD89))+1))),ROW()-ROW(A$92)+1)),"|",TEXT(INDEX(AD7:AD89,SMALL(IF(ISNUMBER(AD7:AD89),IF(AD7:AD89&gt;0,IF(AG7:AG89&lt;&gt;"",ROW(AD7:AD89)-MIN(ROW(AD7:AD89))+1))),ROW()-ROW(A$92)+1)),"##0"),"|",SUBSTITUTE(SUBSTITUTE(INDEX(IF(PURCHASE_DESCRIPTION&lt;&gt;"",PURCHASE_DESCRIPTION&amp;":","")&amp;A7:A89,SMALL(IF(ISNUMBER(AD7:AD89),IF(AD7:AD89&gt;0,IF(AG7:AG89&lt;&gt;"",ROW(AD7:AD89)-MIN(ROW(AD7:AD89))+1))),ROW()-ROW(A$92)+1)),"|",";")," ","_")),"")</f>
        <v>0</v>
      </c>
      <c r="AI113">
        <f t="array" ref="AI113">IFERROR(CONCATENATE(INDEX(AL7:AL89,SMALL(IF(ISNUMBER(AI7:AI89),IF(AI7:AI89&gt;0,IF(AL7:AL89&lt;&gt;"",ROW(AI7:AI89)-MIN(ROW(AI7:AI89))+1))),ROW()-ROW(A$92)+1)),",",TEXT(INDEX(AI7:AI89,SMALL(IF(ISNUMBER(AI7:AI89),IF(AI7:AI89&gt;0,IF(AL7:AL89&lt;&gt;"",ROW(AI7:AI89)-MIN(ROW(AI7:AI89))+1))),ROW()-ROW(A$92)+1)),"##0"),",",SUBSTITUTE(INDEX(IF(PURCHASE_DESCRIPTION&lt;&gt;"",PURCHASE_DESCRIPTION&amp;":","")&amp;A7:A89,SMALL(IF(ISNUMBER(AI7:AI89),IF(AI7:AI89&gt;0,IF(AL7:AL89&lt;&gt;"",ROW(AI7:AI89)-MIN(ROW(AI7:AI89))+1))),ROW()-ROW(A$92)+1)),",",";")),"")</f>
        <v>0</v>
      </c>
      <c r="AN113">
        <f t="array" ref="AN113">IFERROR(CONCATENATE(INDEX(AQ7:AQ89,SMALL(IF(ISNUMBER(AN7:AN89),IF(AN7:AN89&gt;0,IF(AQ7:AQ89&lt;&gt;"",ROW(AN7:AN89)-MIN(ROW(AN7:AN89))+1))),ROW()-ROW(A$92)+1))," ",TEXT(INDEX(AN7:AN89,SMALL(IF(ISNUMBER(AN7:AN89),IF(AN7:AN89&gt;0,IF(AQ7:AQ89&lt;&gt;"",ROW(AN7:AN89)-MIN(ROW(AN7:AN89))+1))),ROW()-ROW(A$92)+1)),"##0")," ",SUBSTITUTE(INDEX(IF(PURCHASE_DESCRIPTION&lt;&gt;"",PURCHASE_DESCRIPTION&amp;":","")&amp;A7:A89,SMALL(IF(ISNUMBER(AN7:AN89),IF(AN7:AN89&gt;0,IF(AQ7:AQ89&lt;&gt;"",ROW(AN7:AN89)-MIN(ROW(AN7:AN89))+1))),ROW()-ROW(A$92)+1))," ",";")),"")</f>
        <v>0</v>
      </c>
      <c r="AS113">
        <f t="array" ref="AS113">IFERROR(CONCATENATE(INDEX(AV7:AV89,SMALL(IF(ISNUMBER(AS7:AS89),IF(AS7:AS89&gt;0,IF(AV7:AV89&lt;&gt;"",ROW(AS7:AS89)-MIN(ROW(AS7:AS89))+1))),ROW()-ROW(A$92)+1))," ",TEXT(INDEX(AS7:AS89,SMALL(IF(ISNUMBER(AS7:AS89),IF(AS7:AS89&gt;0,IF(AV7:AV89&lt;&gt;"",ROW(AS7:AS89)-MIN(ROW(AS7:AS89))+1))),ROW()-ROW(A$92)+1)),"##0")," ",SUBSTITUTE(INDEX(IF(PURCHASE_DESCRIPTION&lt;&gt;"",PURCHASE_DESCRIPTION&amp;":","")&amp;A7:A89,SMALL(IF(ISNUMBER(AS7:AS89),IF(AS7:AS89&gt;0,IF(AV7:AV89&lt;&gt;"",ROW(AS7:AS89)-MIN(ROW(AS7:AS89))+1))),ROW()-ROW(A$92)+1))," ",";")),"")</f>
        <v>0</v>
      </c>
    </row>
    <row r="114" spans="10:45">
      <c r="J114">
        <f t="array" ref="J114">IFERROR(CONCATENATE(INDEX(M7:M89,SMALL(IF(ISNUMBER(J7:J89),IF(J7:J89&gt;0,IF(M7:M89&lt;&gt;"",ROW(J7:J89)-MIN(ROW(J7:J89))+1))),ROW()-ROW(A$92)+1)),",",TEXT(INDEX(J7:J89,SMALL(IF(ISNUMBER(J7:J89),IF(J7:J89&gt;0,IF(M7:M89&lt;&gt;"",ROW(J7:J89)-MIN(ROW(J7:J89))+1))),ROW()-ROW(A$92)+1)),"##0"),",",SUBSTITUTE(INDEX(IF(PURCHASE_DESCRIPTION&lt;&gt;"",PURCHASE_DESCRIPTION&amp;":","")&amp;A7:A89,SMALL(IF(ISNUMBER(J7:J89),IF(J7:J89&gt;0,IF(M7:M89&lt;&gt;"",ROW(J7:J89)-MIN(ROW(J7:J89))+1))),ROW()-ROW(A$92)+1)),",",";")),"")</f>
        <v>0</v>
      </c>
      <c r="O114">
        <f t="array" ref="O114">IFERROR(CONCATENATE(TEXT(INDEX(O7:O89,SMALL(IF(ISNUMBER(O7:O89),IF(O7:O89&gt;0,IF(R7:R89&lt;&gt;"",ROW(O7:O89)-MIN(ROW(O7:O89))+1))),ROW()-ROW(A$92)+1)),"##0"),",",INDEX(R7:R89,SMALL(IF(ISNUMBER(O7:O89),IF(O7:O89&gt;0,IF(R7:R89&lt;&gt;"",ROW(O7:O89)-MIN(ROW(O7:O89))+1))),ROW()-ROW(A$92)+1)),",",SUBSTITUTE(INDEX(IF(PURCHASE_DESCRIPTION&lt;&gt;"",PURCHASE_DESCRIPTION&amp;":","")&amp;A7:A89,SMALL(IF(ISNUMBER(O7:O89),IF(O7:O89&gt;0,IF(R7:R89&lt;&gt;"",ROW(O7:O89)-MIN(ROW(O7:O89))+1))),ROW()-ROW(A$92)+1)),",",";")),"")</f>
        <v>0</v>
      </c>
      <c r="T114">
        <f t="array" ref="T114">IFERROR(CONCATENATE(INDEX(W7:W89,SMALL(IF(ISNUMBER(T7:T89),IF(T7:T89&gt;0,IF(W7:W89&lt;&gt;"",ROW(T7:T89)-MIN(ROW(T7:T89))+1))),ROW()-ROW(A$92)+1))," ",TEXT(INDEX(T7:T89,SMALL(IF(ISNUMBER(T7:T89),IF(T7:T89&gt;0,IF(W7:W89&lt;&gt;"",ROW(T7:T89)-MIN(ROW(T7:T89))+1))),ROW()-ROW(A$92)+1)),"##0")," ",SUBSTITUTE(INDEX(IF(PURCHASE_DESCRIPTION&lt;&gt;"",PURCHASE_DESCRIPTION&amp;":","")&amp;A7:A89,SMALL(IF(ISNUMBER(T7:T89),IF(T7:T89&gt;0,IF(W7:W89&lt;&gt;"",ROW(T7:T89)-MIN(ROW(T7:T89))+1))),ROW()-ROW(A$92)+1))," ",";")),"")</f>
        <v>0</v>
      </c>
      <c r="Y114">
        <f t="array" ref="Y114">IFERROR(CONCATENATE(TEXT(INDEX(Y7:Y89,SMALL(IF(ISNUMBER(Y7:Y89),IF(Y7:Y89&gt;0,IF(AB7:AB89&lt;&gt;"",ROW(Y7:Y89)-MIN(ROW(Y7:Y89))+1))),ROW()-ROW(A$93)+1)),"##0"),",",SUBSTITUTE(INDEX(IF(PURCHASE_DESCRIPTION&lt;&gt;"",PURCHASE_DESCRIPTION&amp;":","")&amp;A7:A89,SMALL(IF(ISNUMBER(Y7:Y89),IF(Y7:Y89&gt;0,IF(AB7:AB89&lt;&gt;"",ROW(Y7:Y89)-MIN(ROW(Y7:Y89))+1))),ROW()-ROW(A$93)+1)),",",";"),",",SUBSTITUTE(INDEX(IF(PURCHASE_DESCRIPTION&lt;&gt;"",PURCHASE_DESCRIPTION&amp;":","")&amp;D7:D89,SMALL(IF(ISNUMBER(Y7:Y89),IF(Y7:Y89&gt;0,IF(AB7:AB89&lt;&gt;"",ROW(Y7:Y89)-MIN(ROW(Y7:Y89))+1))),ROW()-ROW(A$93)+1)),",",";"),",",INDEX(AB7:AB89,SMALL(IF(ISNUMBER(Y7:Y89),IF(Y7:Y89&gt;0,IF(AB7:AB89&lt;&gt;"",ROW(Y7:Y89)-MIN(ROW(Y7:Y89))+1))),ROW()-ROW(A$93)+1))),"")</f>
        <v>0</v>
      </c>
      <c r="AD114">
        <f t="array" ref="AD114">IFERROR(CONCATENATE(INDEX(AG7:AG89,SMALL(IF(ISNUMBER(AD7:AD89),IF(AD7:AD89&gt;0,IF(AG7:AG89&lt;&gt;"",ROW(AD7:AD89)-MIN(ROW(AD7:AD89))+1))),ROW()-ROW(A$92)+1)),"|",TEXT(INDEX(AD7:AD89,SMALL(IF(ISNUMBER(AD7:AD89),IF(AD7:AD89&gt;0,IF(AG7:AG89&lt;&gt;"",ROW(AD7:AD89)-MIN(ROW(AD7:AD89))+1))),ROW()-ROW(A$92)+1)),"##0"),"|",SUBSTITUTE(SUBSTITUTE(INDEX(IF(PURCHASE_DESCRIPTION&lt;&gt;"",PURCHASE_DESCRIPTION&amp;":","")&amp;A7:A89,SMALL(IF(ISNUMBER(AD7:AD89),IF(AD7:AD89&gt;0,IF(AG7:AG89&lt;&gt;"",ROW(AD7:AD89)-MIN(ROW(AD7:AD89))+1))),ROW()-ROW(A$92)+1)),"|",";")," ","_")),"")</f>
        <v>0</v>
      </c>
      <c r="AI114">
        <f t="array" ref="AI114">IFERROR(CONCATENATE(INDEX(AL7:AL89,SMALL(IF(ISNUMBER(AI7:AI89),IF(AI7:AI89&gt;0,IF(AL7:AL89&lt;&gt;"",ROW(AI7:AI89)-MIN(ROW(AI7:AI89))+1))),ROW()-ROW(A$92)+1)),",",TEXT(INDEX(AI7:AI89,SMALL(IF(ISNUMBER(AI7:AI89),IF(AI7:AI89&gt;0,IF(AL7:AL89&lt;&gt;"",ROW(AI7:AI89)-MIN(ROW(AI7:AI89))+1))),ROW()-ROW(A$92)+1)),"##0"),",",SUBSTITUTE(INDEX(IF(PURCHASE_DESCRIPTION&lt;&gt;"",PURCHASE_DESCRIPTION&amp;":","")&amp;A7:A89,SMALL(IF(ISNUMBER(AI7:AI89),IF(AI7:AI89&gt;0,IF(AL7:AL89&lt;&gt;"",ROW(AI7:AI89)-MIN(ROW(AI7:AI89))+1))),ROW()-ROW(A$92)+1)),",",";")),"")</f>
        <v>0</v>
      </c>
      <c r="AN114">
        <f t="array" ref="AN114">IFERROR(CONCATENATE(INDEX(AQ7:AQ89,SMALL(IF(ISNUMBER(AN7:AN89),IF(AN7:AN89&gt;0,IF(AQ7:AQ89&lt;&gt;"",ROW(AN7:AN89)-MIN(ROW(AN7:AN89))+1))),ROW()-ROW(A$92)+1))," ",TEXT(INDEX(AN7:AN89,SMALL(IF(ISNUMBER(AN7:AN89),IF(AN7:AN89&gt;0,IF(AQ7:AQ89&lt;&gt;"",ROW(AN7:AN89)-MIN(ROW(AN7:AN89))+1))),ROW()-ROW(A$92)+1)),"##0")," ",SUBSTITUTE(INDEX(IF(PURCHASE_DESCRIPTION&lt;&gt;"",PURCHASE_DESCRIPTION&amp;":","")&amp;A7:A89,SMALL(IF(ISNUMBER(AN7:AN89),IF(AN7:AN89&gt;0,IF(AQ7:AQ89&lt;&gt;"",ROW(AN7:AN89)-MIN(ROW(AN7:AN89))+1))),ROW()-ROW(A$92)+1))," ",";")),"")</f>
        <v>0</v>
      </c>
      <c r="AS114">
        <f t="array" ref="AS114">IFERROR(CONCATENATE(INDEX(AV7:AV89,SMALL(IF(ISNUMBER(AS7:AS89),IF(AS7:AS89&gt;0,IF(AV7:AV89&lt;&gt;"",ROW(AS7:AS89)-MIN(ROW(AS7:AS89))+1))),ROW()-ROW(A$92)+1))," ",TEXT(INDEX(AS7:AS89,SMALL(IF(ISNUMBER(AS7:AS89),IF(AS7:AS89&gt;0,IF(AV7:AV89&lt;&gt;"",ROW(AS7:AS89)-MIN(ROW(AS7:AS89))+1))),ROW()-ROW(A$92)+1)),"##0")," ",SUBSTITUTE(INDEX(IF(PURCHASE_DESCRIPTION&lt;&gt;"",PURCHASE_DESCRIPTION&amp;":","")&amp;A7:A89,SMALL(IF(ISNUMBER(AS7:AS89),IF(AS7:AS89&gt;0,IF(AV7:AV89&lt;&gt;"",ROW(AS7:AS89)-MIN(ROW(AS7:AS89))+1))),ROW()-ROW(A$92)+1))," ",";")),"")</f>
        <v>0</v>
      </c>
    </row>
    <row r="115" spans="10:45">
      <c r="J115">
        <f t="array" ref="J115">IFERROR(CONCATENATE(INDEX(M7:M89,SMALL(IF(ISNUMBER(J7:J89),IF(J7:J89&gt;0,IF(M7:M89&lt;&gt;"",ROW(J7:J89)-MIN(ROW(J7:J89))+1))),ROW()-ROW(A$92)+1)),",",TEXT(INDEX(J7:J89,SMALL(IF(ISNUMBER(J7:J89),IF(J7:J89&gt;0,IF(M7:M89&lt;&gt;"",ROW(J7:J89)-MIN(ROW(J7:J89))+1))),ROW()-ROW(A$92)+1)),"##0"),",",SUBSTITUTE(INDEX(IF(PURCHASE_DESCRIPTION&lt;&gt;"",PURCHASE_DESCRIPTION&amp;":","")&amp;A7:A89,SMALL(IF(ISNUMBER(J7:J89),IF(J7:J89&gt;0,IF(M7:M89&lt;&gt;"",ROW(J7:J89)-MIN(ROW(J7:J89))+1))),ROW()-ROW(A$92)+1)),",",";")),"")</f>
        <v>0</v>
      </c>
      <c r="O115">
        <f t="array" ref="O115">IFERROR(CONCATENATE(TEXT(INDEX(O7:O89,SMALL(IF(ISNUMBER(O7:O89),IF(O7:O89&gt;0,IF(R7:R89&lt;&gt;"",ROW(O7:O89)-MIN(ROW(O7:O89))+1))),ROW()-ROW(A$92)+1)),"##0"),",",INDEX(R7:R89,SMALL(IF(ISNUMBER(O7:O89),IF(O7:O89&gt;0,IF(R7:R89&lt;&gt;"",ROW(O7:O89)-MIN(ROW(O7:O89))+1))),ROW()-ROW(A$92)+1)),",",SUBSTITUTE(INDEX(IF(PURCHASE_DESCRIPTION&lt;&gt;"",PURCHASE_DESCRIPTION&amp;":","")&amp;A7:A89,SMALL(IF(ISNUMBER(O7:O89),IF(O7:O89&gt;0,IF(R7:R89&lt;&gt;"",ROW(O7:O89)-MIN(ROW(O7:O89))+1))),ROW()-ROW(A$92)+1)),",",";")),"")</f>
        <v>0</v>
      </c>
      <c r="T115">
        <f t="array" ref="T115">IFERROR(CONCATENATE(INDEX(W7:W89,SMALL(IF(ISNUMBER(T7:T89),IF(T7:T89&gt;0,IF(W7:W89&lt;&gt;"",ROW(T7:T89)-MIN(ROW(T7:T89))+1))),ROW()-ROW(A$92)+1))," ",TEXT(INDEX(T7:T89,SMALL(IF(ISNUMBER(T7:T89),IF(T7:T89&gt;0,IF(W7:W89&lt;&gt;"",ROW(T7:T89)-MIN(ROW(T7:T89))+1))),ROW()-ROW(A$92)+1)),"##0")," ",SUBSTITUTE(INDEX(IF(PURCHASE_DESCRIPTION&lt;&gt;"",PURCHASE_DESCRIPTION&amp;":","")&amp;A7:A89,SMALL(IF(ISNUMBER(T7:T89),IF(T7:T89&gt;0,IF(W7:W89&lt;&gt;"",ROW(T7:T89)-MIN(ROW(T7:T89))+1))),ROW()-ROW(A$92)+1))," ",";")),"")</f>
        <v>0</v>
      </c>
      <c r="Y115">
        <f t="array" ref="Y115">IFERROR(CONCATENATE(TEXT(INDEX(Y7:Y89,SMALL(IF(ISNUMBER(Y7:Y89),IF(Y7:Y89&gt;0,IF(AB7:AB89&lt;&gt;"",ROW(Y7:Y89)-MIN(ROW(Y7:Y89))+1))),ROW()-ROW(A$93)+1)),"##0"),",",SUBSTITUTE(INDEX(IF(PURCHASE_DESCRIPTION&lt;&gt;"",PURCHASE_DESCRIPTION&amp;":","")&amp;A7:A89,SMALL(IF(ISNUMBER(Y7:Y89),IF(Y7:Y89&gt;0,IF(AB7:AB89&lt;&gt;"",ROW(Y7:Y89)-MIN(ROW(Y7:Y89))+1))),ROW()-ROW(A$93)+1)),",",";"),",",SUBSTITUTE(INDEX(IF(PURCHASE_DESCRIPTION&lt;&gt;"",PURCHASE_DESCRIPTION&amp;":","")&amp;D7:D89,SMALL(IF(ISNUMBER(Y7:Y89),IF(Y7:Y89&gt;0,IF(AB7:AB89&lt;&gt;"",ROW(Y7:Y89)-MIN(ROW(Y7:Y89))+1))),ROW()-ROW(A$93)+1)),",",";"),",",INDEX(AB7:AB89,SMALL(IF(ISNUMBER(Y7:Y89),IF(Y7:Y89&gt;0,IF(AB7:AB89&lt;&gt;"",ROW(Y7:Y89)-MIN(ROW(Y7:Y89))+1))),ROW()-ROW(A$93)+1))),"")</f>
        <v>0</v>
      </c>
      <c r="AD115">
        <f t="array" ref="AD115">IFERROR(CONCATENATE(INDEX(AG7:AG89,SMALL(IF(ISNUMBER(AD7:AD89),IF(AD7:AD89&gt;0,IF(AG7:AG89&lt;&gt;"",ROW(AD7:AD89)-MIN(ROW(AD7:AD89))+1))),ROW()-ROW(A$92)+1)),"|",TEXT(INDEX(AD7:AD89,SMALL(IF(ISNUMBER(AD7:AD89),IF(AD7:AD89&gt;0,IF(AG7:AG89&lt;&gt;"",ROW(AD7:AD89)-MIN(ROW(AD7:AD89))+1))),ROW()-ROW(A$92)+1)),"##0"),"|",SUBSTITUTE(SUBSTITUTE(INDEX(IF(PURCHASE_DESCRIPTION&lt;&gt;"",PURCHASE_DESCRIPTION&amp;":","")&amp;A7:A89,SMALL(IF(ISNUMBER(AD7:AD89),IF(AD7:AD89&gt;0,IF(AG7:AG89&lt;&gt;"",ROW(AD7:AD89)-MIN(ROW(AD7:AD89))+1))),ROW()-ROW(A$92)+1)),"|",";")," ","_")),"")</f>
        <v>0</v>
      </c>
      <c r="AI115">
        <f t="array" ref="AI115">IFERROR(CONCATENATE(INDEX(AL7:AL89,SMALL(IF(ISNUMBER(AI7:AI89),IF(AI7:AI89&gt;0,IF(AL7:AL89&lt;&gt;"",ROW(AI7:AI89)-MIN(ROW(AI7:AI89))+1))),ROW()-ROW(A$92)+1)),",",TEXT(INDEX(AI7:AI89,SMALL(IF(ISNUMBER(AI7:AI89),IF(AI7:AI89&gt;0,IF(AL7:AL89&lt;&gt;"",ROW(AI7:AI89)-MIN(ROW(AI7:AI89))+1))),ROW()-ROW(A$92)+1)),"##0"),",",SUBSTITUTE(INDEX(IF(PURCHASE_DESCRIPTION&lt;&gt;"",PURCHASE_DESCRIPTION&amp;":","")&amp;A7:A89,SMALL(IF(ISNUMBER(AI7:AI89),IF(AI7:AI89&gt;0,IF(AL7:AL89&lt;&gt;"",ROW(AI7:AI89)-MIN(ROW(AI7:AI89))+1))),ROW()-ROW(A$92)+1)),",",";")),"")</f>
        <v>0</v>
      </c>
      <c r="AN115">
        <f t="array" ref="AN115">IFERROR(CONCATENATE(INDEX(AQ7:AQ89,SMALL(IF(ISNUMBER(AN7:AN89),IF(AN7:AN89&gt;0,IF(AQ7:AQ89&lt;&gt;"",ROW(AN7:AN89)-MIN(ROW(AN7:AN89))+1))),ROW()-ROW(A$92)+1))," ",TEXT(INDEX(AN7:AN89,SMALL(IF(ISNUMBER(AN7:AN89),IF(AN7:AN89&gt;0,IF(AQ7:AQ89&lt;&gt;"",ROW(AN7:AN89)-MIN(ROW(AN7:AN89))+1))),ROW()-ROW(A$92)+1)),"##0")," ",SUBSTITUTE(INDEX(IF(PURCHASE_DESCRIPTION&lt;&gt;"",PURCHASE_DESCRIPTION&amp;":","")&amp;A7:A89,SMALL(IF(ISNUMBER(AN7:AN89),IF(AN7:AN89&gt;0,IF(AQ7:AQ89&lt;&gt;"",ROW(AN7:AN89)-MIN(ROW(AN7:AN89))+1))),ROW()-ROW(A$92)+1))," ",";")),"")</f>
        <v>0</v>
      </c>
      <c r="AS115">
        <f t="array" ref="AS115">IFERROR(CONCATENATE(INDEX(AV7:AV89,SMALL(IF(ISNUMBER(AS7:AS89),IF(AS7:AS89&gt;0,IF(AV7:AV89&lt;&gt;"",ROW(AS7:AS89)-MIN(ROW(AS7:AS89))+1))),ROW()-ROW(A$92)+1))," ",TEXT(INDEX(AS7:AS89,SMALL(IF(ISNUMBER(AS7:AS89),IF(AS7:AS89&gt;0,IF(AV7:AV89&lt;&gt;"",ROW(AS7:AS89)-MIN(ROW(AS7:AS89))+1))),ROW()-ROW(A$92)+1)),"##0")," ",SUBSTITUTE(INDEX(IF(PURCHASE_DESCRIPTION&lt;&gt;"",PURCHASE_DESCRIPTION&amp;":","")&amp;A7:A89,SMALL(IF(ISNUMBER(AS7:AS89),IF(AS7:AS89&gt;0,IF(AV7:AV89&lt;&gt;"",ROW(AS7:AS89)-MIN(ROW(AS7:AS89))+1))),ROW()-ROW(A$92)+1))," ",";")),"")</f>
        <v>0</v>
      </c>
    </row>
    <row r="116" spans="10:45">
      <c r="J116">
        <f t="array" ref="J116">IFERROR(CONCATENATE(INDEX(M7:M89,SMALL(IF(ISNUMBER(J7:J89),IF(J7:J89&gt;0,IF(M7:M89&lt;&gt;"",ROW(J7:J89)-MIN(ROW(J7:J89))+1))),ROW()-ROW(A$92)+1)),",",TEXT(INDEX(J7:J89,SMALL(IF(ISNUMBER(J7:J89),IF(J7:J89&gt;0,IF(M7:M89&lt;&gt;"",ROW(J7:J89)-MIN(ROW(J7:J89))+1))),ROW()-ROW(A$92)+1)),"##0"),",",SUBSTITUTE(INDEX(IF(PURCHASE_DESCRIPTION&lt;&gt;"",PURCHASE_DESCRIPTION&amp;":","")&amp;A7:A89,SMALL(IF(ISNUMBER(J7:J89),IF(J7:J89&gt;0,IF(M7:M89&lt;&gt;"",ROW(J7:J89)-MIN(ROW(J7:J89))+1))),ROW()-ROW(A$92)+1)),",",";")),"")</f>
        <v>0</v>
      </c>
      <c r="O116">
        <f t="array" ref="O116">IFERROR(CONCATENATE(TEXT(INDEX(O7:O89,SMALL(IF(ISNUMBER(O7:O89),IF(O7:O89&gt;0,IF(R7:R89&lt;&gt;"",ROW(O7:O89)-MIN(ROW(O7:O89))+1))),ROW()-ROW(A$92)+1)),"##0"),",",INDEX(R7:R89,SMALL(IF(ISNUMBER(O7:O89),IF(O7:O89&gt;0,IF(R7:R89&lt;&gt;"",ROW(O7:O89)-MIN(ROW(O7:O89))+1))),ROW()-ROW(A$92)+1)),",",SUBSTITUTE(INDEX(IF(PURCHASE_DESCRIPTION&lt;&gt;"",PURCHASE_DESCRIPTION&amp;":","")&amp;A7:A89,SMALL(IF(ISNUMBER(O7:O89),IF(O7:O89&gt;0,IF(R7:R89&lt;&gt;"",ROW(O7:O89)-MIN(ROW(O7:O89))+1))),ROW()-ROW(A$92)+1)),",",";")),"")</f>
        <v>0</v>
      </c>
      <c r="T116">
        <f t="array" ref="T116">IFERROR(CONCATENATE(INDEX(W7:W89,SMALL(IF(ISNUMBER(T7:T89),IF(T7:T89&gt;0,IF(W7:W89&lt;&gt;"",ROW(T7:T89)-MIN(ROW(T7:T89))+1))),ROW()-ROW(A$92)+1))," ",TEXT(INDEX(T7:T89,SMALL(IF(ISNUMBER(T7:T89),IF(T7:T89&gt;0,IF(W7:W89&lt;&gt;"",ROW(T7:T89)-MIN(ROW(T7:T89))+1))),ROW()-ROW(A$92)+1)),"##0")," ",SUBSTITUTE(INDEX(IF(PURCHASE_DESCRIPTION&lt;&gt;"",PURCHASE_DESCRIPTION&amp;":","")&amp;A7:A89,SMALL(IF(ISNUMBER(T7:T89),IF(T7:T89&gt;0,IF(W7:W89&lt;&gt;"",ROW(T7:T89)-MIN(ROW(T7:T89))+1))),ROW()-ROW(A$92)+1))," ",";")),"")</f>
        <v>0</v>
      </c>
      <c r="Y116">
        <f t="array" ref="Y116">IFERROR(CONCATENATE(TEXT(INDEX(Y7:Y89,SMALL(IF(ISNUMBER(Y7:Y89),IF(Y7:Y89&gt;0,IF(AB7:AB89&lt;&gt;"",ROW(Y7:Y89)-MIN(ROW(Y7:Y89))+1))),ROW()-ROW(A$93)+1)),"##0"),",",SUBSTITUTE(INDEX(IF(PURCHASE_DESCRIPTION&lt;&gt;"",PURCHASE_DESCRIPTION&amp;":","")&amp;A7:A89,SMALL(IF(ISNUMBER(Y7:Y89),IF(Y7:Y89&gt;0,IF(AB7:AB89&lt;&gt;"",ROW(Y7:Y89)-MIN(ROW(Y7:Y89))+1))),ROW()-ROW(A$93)+1)),",",";"),",",SUBSTITUTE(INDEX(IF(PURCHASE_DESCRIPTION&lt;&gt;"",PURCHASE_DESCRIPTION&amp;":","")&amp;D7:D89,SMALL(IF(ISNUMBER(Y7:Y89),IF(Y7:Y89&gt;0,IF(AB7:AB89&lt;&gt;"",ROW(Y7:Y89)-MIN(ROW(Y7:Y89))+1))),ROW()-ROW(A$93)+1)),",",";"),",",INDEX(AB7:AB89,SMALL(IF(ISNUMBER(Y7:Y89),IF(Y7:Y89&gt;0,IF(AB7:AB89&lt;&gt;"",ROW(Y7:Y89)-MIN(ROW(Y7:Y89))+1))),ROW()-ROW(A$93)+1))),"")</f>
        <v>0</v>
      </c>
      <c r="AD116">
        <f t="array" ref="AD116">IFERROR(CONCATENATE(INDEX(AG7:AG89,SMALL(IF(ISNUMBER(AD7:AD89),IF(AD7:AD89&gt;0,IF(AG7:AG89&lt;&gt;"",ROW(AD7:AD89)-MIN(ROW(AD7:AD89))+1))),ROW()-ROW(A$92)+1)),"|",TEXT(INDEX(AD7:AD89,SMALL(IF(ISNUMBER(AD7:AD89),IF(AD7:AD89&gt;0,IF(AG7:AG89&lt;&gt;"",ROW(AD7:AD89)-MIN(ROW(AD7:AD89))+1))),ROW()-ROW(A$92)+1)),"##0"),"|",SUBSTITUTE(SUBSTITUTE(INDEX(IF(PURCHASE_DESCRIPTION&lt;&gt;"",PURCHASE_DESCRIPTION&amp;":","")&amp;A7:A89,SMALL(IF(ISNUMBER(AD7:AD89),IF(AD7:AD89&gt;0,IF(AG7:AG89&lt;&gt;"",ROW(AD7:AD89)-MIN(ROW(AD7:AD89))+1))),ROW()-ROW(A$92)+1)),"|",";")," ","_")),"")</f>
        <v>0</v>
      </c>
      <c r="AI116">
        <f t="array" ref="AI116">IFERROR(CONCATENATE(INDEX(AL7:AL89,SMALL(IF(ISNUMBER(AI7:AI89),IF(AI7:AI89&gt;0,IF(AL7:AL89&lt;&gt;"",ROW(AI7:AI89)-MIN(ROW(AI7:AI89))+1))),ROW()-ROW(A$92)+1)),",",TEXT(INDEX(AI7:AI89,SMALL(IF(ISNUMBER(AI7:AI89),IF(AI7:AI89&gt;0,IF(AL7:AL89&lt;&gt;"",ROW(AI7:AI89)-MIN(ROW(AI7:AI89))+1))),ROW()-ROW(A$92)+1)),"##0"),",",SUBSTITUTE(INDEX(IF(PURCHASE_DESCRIPTION&lt;&gt;"",PURCHASE_DESCRIPTION&amp;":","")&amp;A7:A89,SMALL(IF(ISNUMBER(AI7:AI89),IF(AI7:AI89&gt;0,IF(AL7:AL89&lt;&gt;"",ROW(AI7:AI89)-MIN(ROW(AI7:AI89))+1))),ROW()-ROW(A$92)+1)),",",";")),"")</f>
        <v>0</v>
      </c>
      <c r="AN116">
        <f t="array" ref="AN116">IFERROR(CONCATENATE(INDEX(AQ7:AQ89,SMALL(IF(ISNUMBER(AN7:AN89),IF(AN7:AN89&gt;0,IF(AQ7:AQ89&lt;&gt;"",ROW(AN7:AN89)-MIN(ROW(AN7:AN89))+1))),ROW()-ROW(A$92)+1))," ",TEXT(INDEX(AN7:AN89,SMALL(IF(ISNUMBER(AN7:AN89),IF(AN7:AN89&gt;0,IF(AQ7:AQ89&lt;&gt;"",ROW(AN7:AN89)-MIN(ROW(AN7:AN89))+1))),ROW()-ROW(A$92)+1)),"##0")," ",SUBSTITUTE(INDEX(IF(PURCHASE_DESCRIPTION&lt;&gt;"",PURCHASE_DESCRIPTION&amp;":","")&amp;A7:A89,SMALL(IF(ISNUMBER(AN7:AN89),IF(AN7:AN89&gt;0,IF(AQ7:AQ89&lt;&gt;"",ROW(AN7:AN89)-MIN(ROW(AN7:AN89))+1))),ROW()-ROW(A$92)+1))," ",";")),"")</f>
        <v>0</v>
      </c>
      <c r="AS116">
        <f t="array" ref="AS116">IFERROR(CONCATENATE(INDEX(AV7:AV89,SMALL(IF(ISNUMBER(AS7:AS89),IF(AS7:AS89&gt;0,IF(AV7:AV89&lt;&gt;"",ROW(AS7:AS89)-MIN(ROW(AS7:AS89))+1))),ROW()-ROW(A$92)+1))," ",TEXT(INDEX(AS7:AS89,SMALL(IF(ISNUMBER(AS7:AS89),IF(AS7:AS89&gt;0,IF(AV7:AV89&lt;&gt;"",ROW(AS7:AS89)-MIN(ROW(AS7:AS89))+1))),ROW()-ROW(A$92)+1)),"##0")," ",SUBSTITUTE(INDEX(IF(PURCHASE_DESCRIPTION&lt;&gt;"",PURCHASE_DESCRIPTION&amp;":","")&amp;A7:A89,SMALL(IF(ISNUMBER(AS7:AS89),IF(AS7:AS89&gt;0,IF(AV7:AV89&lt;&gt;"",ROW(AS7:AS89)-MIN(ROW(AS7:AS89))+1))),ROW()-ROW(A$92)+1))," ",";")),"")</f>
        <v>0</v>
      </c>
    </row>
    <row r="117" spans="10:45">
      <c r="J117">
        <f t="array" ref="J117">IFERROR(CONCATENATE(INDEX(M7:M89,SMALL(IF(ISNUMBER(J7:J89),IF(J7:J89&gt;0,IF(M7:M89&lt;&gt;"",ROW(J7:J89)-MIN(ROW(J7:J89))+1))),ROW()-ROW(A$92)+1)),",",TEXT(INDEX(J7:J89,SMALL(IF(ISNUMBER(J7:J89),IF(J7:J89&gt;0,IF(M7:M89&lt;&gt;"",ROW(J7:J89)-MIN(ROW(J7:J89))+1))),ROW()-ROW(A$92)+1)),"##0"),",",SUBSTITUTE(INDEX(IF(PURCHASE_DESCRIPTION&lt;&gt;"",PURCHASE_DESCRIPTION&amp;":","")&amp;A7:A89,SMALL(IF(ISNUMBER(J7:J89),IF(J7:J89&gt;0,IF(M7:M89&lt;&gt;"",ROW(J7:J89)-MIN(ROW(J7:J89))+1))),ROW()-ROW(A$92)+1)),",",";")),"")</f>
        <v>0</v>
      </c>
      <c r="O117">
        <f t="array" ref="O117">IFERROR(CONCATENATE(TEXT(INDEX(O7:O89,SMALL(IF(ISNUMBER(O7:O89),IF(O7:O89&gt;0,IF(R7:R89&lt;&gt;"",ROW(O7:O89)-MIN(ROW(O7:O89))+1))),ROW()-ROW(A$92)+1)),"##0"),",",INDEX(R7:R89,SMALL(IF(ISNUMBER(O7:O89),IF(O7:O89&gt;0,IF(R7:R89&lt;&gt;"",ROW(O7:O89)-MIN(ROW(O7:O89))+1))),ROW()-ROW(A$92)+1)),",",SUBSTITUTE(INDEX(IF(PURCHASE_DESCRIPTION&lt;&gt;"",PURCHASE_DESCRIPTION&amp;":","")&amp;A7:A89,SMALL(IF(ISNUMBER(O7:O89),IF(O7:O89&gt;0,IF(R7:R89&lt;&gt;"",ROW(O7:O89)-MIN(ROW(O7:O89))+1))),ROW()-ROW(A$92)+1)),",",";")),"")</f>
        <v>0</v>
      </c>
      <c r="T117">
        <f t="array" ref="T117">IFERROR(CONCATENATE(INDEX(W7:W89,SMALL(IF(ISNUMBER(T7:T89),IF(T7:T89&gt;0,IF(W7:W89&lt;&gt;"",ROW(T7:T89)-MIN(ROW(T7:T89))+1))),ROW()-ROW(A$92)+1))," ",TEXT(INDEX(T7:T89,SMALL(IF(ISNUMBER(T7:T89),IF(T7:T89&gt;0,IF(W7:W89&lt;&gt;"",ROW(T7:T89)-MIN(ROW(T7:T89))+1))),ROW()-ROW(A$92)+1)),"##0")," ",SUBSTITUTE(INDEX(IF(PURCHASE_DESCRIPTION&lt;&gt;"",PURCHASE_DESCRIPTION&amp;":","")&amp;A7:A89,SMALL(IF(ISNUMBER(T7:T89),IF(T7:T89&gt;0,IF(W7:W89&lt;&gt;"",ROW(T7:T89)-MIN(ROW(T7:T89))+1))),ROW()-ROW(A$92)+1))," ",";")),"")</f>
        <v>0</v>
      </c>
      <c r="Y117">
        <f t="array" ref="Y117">IFERROR(CONCATENATE(TEXT(INDEX(Y7:Y89,SMALL(IF(ISNUMBER(Y7:Y89),IF(Y7:Y89&gt;0,IF(AB7:AB89&lt;&gt;"",ROW(Y7:Y89)-MIN(ROW(Y7:Y89))+1))),ROW()-ROW(A$93)+1)),"##0"),",",SUBSTITUTE(INDEX(IF(PURCHASE_DESCRIPTION&lt;&gt;"",PURCHASE_DESCRIPTION&amp;":","")&amp;A7:A89,SMALL(IF(ISNUMBER(Y7:Y89),IF(Y7:Y89&gt;0,IF(AB7:AB89&lt;&gt;"",ROW(Y7:Y89)-MIN(ROW(Y7:Y89))+1))),ROW()-ROW(A$93)+1)),",",";"),",",SUBSTITUTE(INDEX(IF(PURCHASE_DESCRIPTION&lt;&gt;"",PURCHASE_DESCRIPTION&amp;":","")&amp;D7:D89,SMALL(IF(ISNUMBER(Y7:Y89),IF(Y7:Y89&gt;0,IF(AB7:AB89&lt;&gt;"",ROW(Y7:Y89)-MIN(ROW(Y7:Y89))+1))),ROW()-ROW(A$93)+1)),",",";"),",",INDEX(AB7:AB89,SMALL(IF(ISNUMBER(Y7:Y89),IF(Y7:Y89&gt;0,IF(AB7:AB89&lt;&gt;"",ROW(Y7:Y89)-MIN(ROW(Y7:Y89))+1))),ROW()-ROW(A$93)+1))),"")</f>
        <v>0</v>
      </c>
      <c r="AD117">
        <f t="array" ref="AD117">IFERROR(CONCATENATE(INDEX(AG7:AG89,SMALL(IF(ISNUMBER(AD7:AD89),IF(AD7:AD89&gt;0,IF(AG7:AG89&lt;&gt;"",ROW(AD7:AD89)-MIN(ROW(AD7:AD89))+1))),ROW()-ROW(A$92)+1)),"|",TEXT(INDEX(AD7:AD89,SMALL(IF(ISNUMBER(AD7:AD89),IF(AD7:AD89&gt;0,IF(AG7:AG89&lt;&gt;"",ROW(AD7:AD89)-MIN(ROW(AD7:AD89))+1))),ROW()-ROW(A$92)+1)),"##0"),"|",SUBSTITUTE(SUBSTITUTE(INDEX(IF(PURCHASE_DESCRIPTION&lt;&gt;"",PURCHASE_DESCRIPTION&amp;":","")&amp;A7:A89,SMALL(IF(ISNUMBER(AD7:AD89),IF(AD7:AD89&gt;0,IF(AG7:AG89&lt;&gt;"",ROW(AD7:AD89)-MIN(ROW(AD7:AD89))+1))),ROW()-ROW(A$92)+1)),"|",";")," ","_")),"")</f>
        <v>0</v>
      </c>
      <c r="AI117">
        <f t="array" ref="AI117">IFERROR(CONCATENATE(INDEX(AL7:AL89,SMALL(IF(ISNUMBER(AI7:AI89),IF(AI7:AI89&gt;0,IF(AL7:AL89&lt;&gt;"",ROW(AI7:AI89)-MIN(ROW(AI7:AI89))+1))),ROW()-ROW(A$92)+1)),",",TEXT(INDEX(AI7:AI89,SMALL(IF(ISNUMBER(AI7:AI89),IF(AI7:AI89&gt;0,IF(AL7:AL89&lt;&gt;"",ROW(AI7:AI89)-MIN(ROW(AI7:AI89))+1))),ROW()-ROW(A$92)+1)),"##0"),",",SUBSTITUTE(INDEX(IF(PURCHASE_DESCRIPTION&lt;&gt;"",PURCHASE_DESCRIPTION&amp;":","")&amp;A7:A89,SMALL(IF(ISNUMBER(AI7:AI89),IF(AI7:AI89&gt;0,IF(AL7:AL89&lt;&gt;"",ROW(AI7:AI89)-MIN(ROW(AI7:AI89))+1))),ROW()-ROW(A$92)+1)),",",";")),"")</f>
        <v>0</v>
      </c>
      <c r="AN117">
        <f t="array" ref="AN117">IFERROR(CONCATENATE(INDEX(AQ7:AQ89,SMALL(IF(ISNUMBER(AN7:AN89),IF(AN7:AN89&gt;0,IF(AQ7:AQ89&lt;&gt;"",ROW(AN7:AN89)-MIN(ROW(AN7:AN89))+1))),ROW()-ROW(A$92)+1))," ",TEXT(INDEX(AN7:AN89,SMALL(IF(ISNUMBER(AN7:AN89),IF(AN7:AN89&gt;0,IF(AQ7:AQ89&lt;&gt;"",ROW(AN7:AN89)-MIN(ROW(AN7:AN89))+1))),ROW()-ROW(A$92)+1)),"##0")," ",SUBSTITUTE(INDEX(IF(PURCHASE_DESCRIPTION&lt;&gt;"",PURCHASE_DESCRIPTION&amp;":","")&amp;A7:A89,SMALL(IF(ISNUMBER(AN7:AN89),IF(AN7:AN89&gt;0,IF(AQ7:AQ89&lt;&gt;"",ROW(AN7:AN89)-MIN(ROW(AN7:AN89))+1))),ROW()-ROW(A$92)+1))," ",";")),"")</f>
        <v>0</v>
      </c>
      <c r="AS117">
        <f t="array" ref="AS117">IFERROR(CONCATENATE(INDEX(AV7:AV89,SMALL(IF(ISNUMBER(AS7:AS89),IF(AS7:AS89&gt;0,IF(AV7:AV89&lt;&gt;"",ROW(AS7:AS89)-MIN(ROW(AS7:AS89))+1))),ROW()-ROW(A$92)+1))," ",TEXT(INDEX(AS7:AS89,SMALL(IF(ISNUMBER(AS7:AS89),IF(AS7:AS89&gt;0,IF(AV7:AV89&lt;&gt;"",ROW(AS7:AS89)-MIN(ROW(AS7:AS89))+1))),ROW()-ROW(A$92)+1)),"##0")," ",SUBSTITUTE(INDEX(IF(PURCHASE_DESCRIPTION&lt;&gt;"",PURCHASE_DESCRIPTION&amp;":","")&amp;A7:A89,SMALL(IF(ISNUMBER(AS7:AS89),IF(AS7:AS89&gt;0,IF(AV7:AV89&lt;&gt;"",ROW(AS7:AS89)-MIN(ROW(AS7:AS89))+1))),ROW()-ROW(A$92)+1))," ",";")),"")</f>
        <v>0</v>
      </c>
    </row>
    <row r="118" spans="10:45">
      <c r="J118">
        <f t="array" ref="J118">IFERROR(CONCATENATE(INDEX(M7:M89,SMALL(IF(ISNUMBER(J7:J89),IF(J7:J89&gt;0,IF(M7:M89&lt;&gt;"",ROW(J7:J89)-MIN(ROW(J7:J89))+1))),ROW()-ROW(A$92)+1)),",",TEXT(INDEX(J7:J89,SMALL(IF(ISNUMBER(J7:J89),IF(J7:J89&gt;0,IF(M7:M89&lt;&gt;"",ROW(J7:J89)-MIN(ROW(J7:J89))+1))),ROW()-ROW(A$92)+1)),"##0"),",",SUBSTITUTE(INDEX(IF(PURCHASE_DESCRIPTION&lt;&gt;"",PURCHASE_DESCRIPTION&amp;":","")&amp;A7:A89,SMALL(IF(ISNUMBER(J7:J89),IF(J7:J89&gt;0,IF(M7:M89&lt;&gt;"",ROW(J7:J89)-MIN(ROW(J7:J89))+1))),ROW()-ROW(A$92)+1)),",",";")),"")</f>
        <v>0</v>
      </c>
      <c r="O118">
        <f t="array" ref="O118">IFERROR(CONCATENATE(TEXT(INDEX(O7:O89,SMALL(IF(ISNUMBER(O7:O89),IF(O7:O89&gt;0,IF(R7:R89&lt;&gt;"",ROW(O7:O89)-MIN(ROW(O7:O89))+1))),ROW()-ROW(A$92)+1)),"##0"),",",INDEX(R7:R89,SMALL(IF(ISNUMBER(O7:O89),IF(O7:O89&gt;0,IF(R7:R89&lt;&gt;"",ROW(O7:O89)-MIN(ROW(O7:O89))+1))),ROW()-ROW(A$92)+1)),",",SUBSTITUTE(INDEX(IF(PURCHASE_DESCRIPTION&lt;&gt;"",PURCHASE_DESCRIPTION&amp;":","")&amp;A7:A89,SMALL(IF(ISNUMBER(O7:O89),IF(O7:O89&gt;0,IF(R7:R89&lt;&gt;"",ROW(O7:O89)-MIN(ROW(O7:O89))+1))),ROW()-ROW(A$92)+1)),",",";")),"")</f>
        <v>0</v>
      </c>
      <c r="T118">
        <f t="array" ref="T118">IFERROR(CONCATENATE(INDEX(W7:W89,SMALL(IF(ISNUMBER(T7:T89),IF(T7:T89&gt;0,IF(W7:W89&lt;&gt;"",ROW(T7:T89)-MIN(ROW(T7:T89))+1))),ROW()-ROW(A$92)+1))," ",TEXT(INDEX(T7:T89,SMALL(IF(ISNUMBER(T7:T89),IF(T7:T89&gt;0,IF(W7:W89&lt;&gt;"",ROW(T7:T89)-MIN(ROW(T7:T89))+1))),ROW()-ROW(A$92)+1)),"##0")," ",SUBSTITUTE(INDEX(IF(PURCHASE_DESCRIPTION&lt;&gt;"",PURCHASE_DESCRIPTION&amp;":","")&amp;A7:A89,SMALL(IF(ISNUMBER(T7:T89),IF(T7:T89&gt;0,IF(W7:W89&lt;&gt;"",ROW(T7:T89)-MIN(ROW(T7:T89))+1))),ROW()-ROW(A$92)+1))," ",";")),"")</f>
        <v>0</v>
      </c>
      <c r="Y118">
        <f t="array" ref="Y118">IFERROR(CONCATENATE(TEXT(INDEX(Y7:Y89,SMALL(IF(ISNUMBER(Y7:Y89),IF(Y7:Y89&gt;0,IF(AB7:AB89&lt;&gt;"",ROW(Y7:Y89)-MIN(ROW(Y7:Y89))+1))),ROW()-ROW(A$93)+1)),"##0"),",",SUBSTITUTE(INDEX(IF(PURCHASE_DESCRIPTION&lt;&gt;"",PURCHASE_DESCRIPTION&amp;":","")&amp;A7:A89,SMALL(IF(ISNUMBER(Y7:Y89),IF(Y7:Y89&gt;0,IF(AB7:AB89&lt;&gt;"",ROW(Y7:Y89)-MIN(ROW(Y7:Y89))+1))),ROW()-ROW(A$93)+1)),",",";"),",",SUBSTITUTE(INDEX(IF(PURCHASE_DESCRIPTION&lt;&gt;"",PURCHASE_DESCRIPTION&amp;":","")&amp;D7:D89,SMALL(IF(ISNUMBER(Y7:Y89),IF(Y7:Y89&gt;0,IF(AB7:AB89&lt;&gt;"",ROW(Y7:Y89)-MIN(ROW(Y7:Y89))+1))),ROW()-ROW(A$93)+1)),",",";"),",",INDEX(AB7:AB89,SMALL(IF(ISNUMBER(Y7:Y89),IF(Y7:Y89&gt;0,IF(AB7:AB89&lt;&gt;"",ROW(Y7:Y89)-MIN(ROW(Y7:Y89))+1))),ROW()-ROW(A$93)+1))),"")</f>
        <v>0</v>
      </c>
      <c r="AD118">
        <f t="array" ref="AD118">IFERROR(CONCATENATE(INDEX(AG7:AG89,SMALL(IF(ISNUMBER(AD7:AD89),IF(AD7:AD89&gt;0,IF(AG7:AG89&lt;&gt;"",ROW(AD7:AD89)-MIN(ROW(AD7:AD89))+1))),ROW()-ROW(A$92)+1)),"|",TEXT(INDEX(AD7:AD89,SMALL(IF(ISNUMBER(AD7:AD89),IF(AD7:AD89&gt;0,IF(AG7:AG89&lt;&gt;"",ROW(AD7:AD89)-MIN(ROW(AD7:AD89))+1))),ROW()-ROW(A$92)+1)),"##0"),"|",SUBSTITUTE(SUBSTITUTE(INDEX(IF(PURCHASE_DESCRIPTION&lt;&gt;"",PURCHASE_DESCRIPTION&amp;":","")&amp;A7:A89,SMALL(IF(ISNUMBER(AD7:AD89),IF(AD7:AD89&gt;0,IF(AG7:AG89&lt;&gt;"",ROW(AD7:AD89)-MIN(ROW(AD7:AD89))+1))),ROW()-ROW(A$92)+1)),"|",";")," ","_")),"")</f>
        <v>0</v>
      </c>
      <c r="AI118">
        <f t="array" ref="AI118">IFERROR(CONCATENATE(INDEX(AL7:AL89,SMALL(IF(ISNUMBER(AI7:AI89),IF(AI7:AI89&gt;0,IF(AL7:AL89&lt;&gt;"",ROW(AI7:AI89)-MIN(ROW(AI7:AI89))+1))),ROW()-ROW(A$92)+1)),",",TEXT(INDEX(AI7:AI89,SMALL(IF(ISNUMBER(AI7:AI89),IF(AI7:AI89&gt;0,IF(AL7:AL89&lt;&gt;"",ROW(AI7:AI89)-MIN(ROW(AI7:AI89))+1))),ROW()-ROW(A$92)+1)),"##0"),",",SUBSTITUTE(INDEX(IF(PURCHASE_DESCRIPTION&lt;&gt;"",PURCHASE_DESCRIPTION&amp;":","")&amp;A7:A89,SMALL(IF(ISNUMBER(AI7:AI89),IF(AI7:AI89&gt;0,IF(AL7:AL89&lt;&gt;"",ROW(AI7:AI89)-MIN(ROW(AI7:AI89))+1))),ROW()-ROW(A$92)+1)),",",";")),"")</f>
        <v>0</v>
      </c>
      <c r="AN118">
        <f t="array" ref="AN118">IFERROR(CONCATENATE(INDEX(AQ7:AQ89,SMALL(IF(ISNUMBER(AN7:AN89),IF(AN7:AN89&gt;0,IF(AQ7:AQ89&lt;&gt;"",ROW(AN7:AN89)-MIN(ROW(AN7:AN89))+1))),ROW()-ROW(A$92)+1))," ",TEXT(INDEX(AN7:AN89,SMALL(IF(ISNUMBER(AN7:AN89),IF(AN7:AN89&gt;0,IF(AQ7:AQ89&lt;&gt;"",ROW(AN7:AN89)-MIN(ROW(AN7:AN89))+1))),ROW()-ROW(A$92)+1)),"##0")," ",SUBSTITUTE(INDEX(IF(PURCHASE_DESCRIPTION&lt;&gt;"",PURCHASE_DESCRIPTION&amp;":","")&amp;A7:A89,SMALL(IF(ISNUMBER(AN7:AN89),IF(AN7:AN89&gt;0,IF(AQ7:AQ89&lt;&gt;"",ROW(AN7:AN89)-MIN(ROW(AN7:AN89))+1))),ROW()-ROW(A$92)+1))," ",";")),"")</f>
        <v>0</v>
      </c>
      <c r="AS118">
        <f t="array" ref="AS118">IFERROR(CONCATENATE(INDEX(AV7:AV89,SMALL(IF(ISNUMBER(AS7:AS89),IF(AS7:AS89&gt;0,IF(AV7:AV89&lt;&gt;"",ROW(AS7:AS89)-MIN(ROW(AS7:AS89))+1))),ROW()-ROW(A$92)+1))," ",TEXT(INDEX(AS7:AS89,SMALL(IF(ISNUMBER(AS7:AS89),IF(AS7:AS89&gt;0,IF(AV7:AV89&lt;&gt;"",ROW(AS7:AS89)-MIN(ROW(AS7:AS89))+1))),ROW()-ROW(A$92)+1)),"##0")," ",SUBSTITUTE(INDEX(IF(PURCHASE_DESCRIPTION&lt;&gt;"",PURCHASE_DESCRIPTION&amp;":","")&amp;A7:A89,SMALL(IF(ISNUMBER(AS7:AS89),IF(AS7:AS89&gt;0,IF(AV7:AV89&lt;&gt;"",ROW(AS7:AS89)-MIN(ROW(AS7:AS89))+1))),ROW()-ROW(A$92)+1))," ",";")),"")</f>
        <v>0</v>
      </c>
    </row>
    <row r="119" spans="10:45">
      <c r="J119">
        <f t="array" ref="J119">IFERROR(CONCATENATE(INDEX(M7:M89,SMALL(IF(ISNUMBER(J7:J89),IF(J7:J89&gt;0,IF(M7:M89&lt;&gt;"",ROW(J7:J89)-MIN(ROW(J7:J89))+1))),ROW()-ROW(A$92)+1)),",",TEXT(INDEX(J7:J89,SMALL(IF(ISNUMBER(J7:J89),IF(J7:J89&gt;0,IF(M7:M89&lt;&gt;"",ROW(J7:J89)-MIN(ROW(J7:J89))+1))),ROW()-ROW(A$92)+1)),"##0"),",",SUBSTITUTE(INDEX(IF(PURCHASE_DESCRIPTION&lt;&gt;"",PURCHASE_DESCRIPTION&amp;":","")&amp;A7:A89,SMALL(IF(ISNUMBER(J7:J89),IF(J7:J89&gt;0,IF(M7:M89&lt;&gt;"",ROW(J7:J89)-MIN(ROW(J7:J89))+1))),ROW()-ROW(A$92)+1)),",",";")),"")</f>
        <v>0</v>
      </c>
      <c r="O119">
        <f t="array" ref="O119">IFERROR(CONCATENATE(TEXT(INDEX(O7:O89,SMALL(IF(ISNUMBER(O7:O89),IF(O7:O89&gt;0,IF(R7:R89&lt;&gt;"",ROW(O7:O89)-MIN(ROW(O7:O89))+1))),ROW()-ROW(A$92)+1)),"##0"),",",INDEX(R7:R89,SMALL(IF(ISNUMBER(O7:O89),IF(O7:O89&gt;0,IF(R7:R89&lt;&gt;"",ROW(O7:O89)-MIN(ROW(O7:O89))+1))),ROW()-ROW(A$92)+1)),",",SUBSTITUTE(INDEX(IF(PURCHASE_DESCRIPTION&lt;&gt;"",PURCHASE_DESCRIPTION&amp;":","")&amp;A7:A89,SMALL(IF(ISNUMBER(O7:O89),IF(O7:O89&gt;0,IF(R7:R89&lt;&gt;"",ROW(O7:O89)-MIN(ROW(O7:O89))+1))),ROW()-ROW(A$92)+1)),",",";")),"")</f>
        <v>0</v>
      </c>
      <c r="T119">
        <f t="array" ref="T119">IFERROR(CONCATENATE(INDEX(W7:W89,SMALL(IF(ISNUMBER(T7:T89),IF(T7:T89&gt;0,IF(W7:W89&lt;&gt;"",ROW(T7:T89)-MIN(ROW(T7:T89))+1))),ROW()-ROW(A$92)+1))," ",TEXT(INDEX(T7:T89,SMALL(IF(ISNUMBER(T7:T89),IF(T7:T89&gt;0,IF(W7:W89&lt;&gt;"",ROW(T7:T89)-MIN(ROW(T7:T89))+1))),ROW()-ROW(A$92)+1)),"##0")," ",SUBSTITUTE(INDEX(IF(PURCHASE_DESCRIPTION&lt;&gt;"",PURCHASE_DESCRIPTION&amp;":","")&amp;A7:A89,SMALL(IF(ISNUMBER(T7:T89),IF(T7:T89&gt;0,IF(W7:W89&lt;&gt;"",ROW(T7:T89)-MIN(ROW(T7:T89))+1))),ROW()-ROW(A$92)+1))," ",";")),"")</f>
        <v>0</v>
      </c>
      <c r="Y119">
        <f t="array" ref="Y119">IFERROR(CONCATENATE(TEXT(INDEX(Y7:Y89,SMALL(IF(ISNUMBER(Y7:Y89),IF(Y7:Y89&gt;0,IF(AB7:AB89&lt;&gt;"",ROW(Y7:Y89)-MIN(ROW(Y7:Y89))+1))),ROW()-ROW(A$93)+1)),"##0"),",",SUBSTITUTE(INDEX(IF(PURCHASE_DESCRIPTION&lt;&gt;"",PURCHASE_DESCRIPTION&amp;":","")&amp;A7:A89,SMALL(IF(ISNUMBER(Y7:Y89),IF(Y7:Y89&gt;0,IF(AB7:AB89&lt;&gt;"",ROW(Y7:Y89)-MIN(ROW(Y7:Y89))+1))),ROW()-ROW(A$93)+1)),",",";"),",",SUBSTITUTE(INDEX(IF(PURCHASE_DESCRIPTION&lt;&gt;"",PURCHASE_DESCRIPTION&amp;":","")&amp;D7:D89,SMALL(IF(ISNUMBER(Y7:Y89),IF(Y7:Y89&gt;0,IF(AB7:AB89&lt;&gt;"",ROW(Y7:Y89)-MIN(ROW(Y7:Y89))+1))),ROW()-ROW(A$93)+1)),",",";"),",",INDEX(AB7:AB89,SMALL(IF(ISNUMBER(Y7:Y89),IF(Y7:Y89&gt;0,IF(AB7:AB89&lt;&gt;"",ROW(Y7:Y89)-MIN(ROW(Y7:Y89))+1))),ROW()-ROW(A$93)+1))),"")</f>
        <v>0</v>
      </c>
      <c r="AD119">
        <f t="array" ref="AD119">IFERROR(CONCATENATE(INDEX(AG7:AG89,SMALL(IF(ISNUMBER(AD7:AD89),IF(AD7:AD89&gt;0,IF(AG7:AG89&lt;&gt;"",ROW(AD7:AD89)-MIN(ROW(AD7:AD89))+1))),ROW()-ROW(A$92)+1)),"|",TEXT(INDEX(AD7:AD89,SMALL(IF(ISNUMBER(AD7:AD89),IF(AD7:AD89&gt;0,IF(AG7:AG89&lt;&gt;"",ROW(AD7:AD89)-MIN(ROW(AD7:AD89))+1))),ROW()-ROW(A$92)+1)),"##0"),"|",SUBSTITUTE(SUBSTITUTE(INDEX(IF(PURCHASE_DESCRIPTION&lt;&gt;"",PURCHASE_DESCRIPTION&amp;":","")&amp;A7:A89,SMALL(IF(ISNUMBER(AD7:AD89),IF(AD7:AD89&gt;0,IF(AG7:AG89&lt;&gt;"",ROW(AD7:AD89)-MIN(ROW(AD7:AD89))+1))),ROW()-ROW(A$92)+1)),"|",";")," ","_")),"")</f>
        <v>0</v>
      </c>
      <c r="AI119">
        <f t="array" ref="AI119">IFERROR(CONCATENATE(INDEX(AL7:AL89,SMALL(IF(ISNUMBER(AI7:AI89),IF(AI7:AI89&gt;0,IF(AL7:AL89&lt;&gt;"",ROW(AI7:AI89)-MIN(ROW(AI7:AI89))+1))),ROW()-ROW(A$92)+1)),",",TEXT(INDEX(AI7:AI89,SMALL(IF(ISNUMBER(AI7:AI89),IF(AI7:AI89&gt;0,IF(AL7:AL89&lt;&gt;"",ROW(AI7:AI89)-MIN(ROW(AI7:AI89))+1))),ROW()-ROW(A$92)+1)),"##0"),",",SUBSTITUTE(INDEX(IF(PURCHASE_DESCRIPTION&lt;&gt;"",PURCHASE_DESCRIPTION&amp;":","")&amp;A7:A89,SMALL(IF(ISNUMBER(AI7:AI89),IF(AI7:AI89&gt;0,IF(AL7:AL89&lt;&gt;"",ROW(AI7:AI89)-MIN(ROW(AI7:AI89))+1))),ROW()-ROW(A$92)+1)),",",";")),"")</f>
        <v>0</v>
      </c>
      <c r="AN119">
        <f t="array" ref="AN119">IFERROR(CONCATENATE(INDEX(AQ7:AQ89,SMALL(IF(ISNUMBER(AN7:AN89),IF(AN7:AN89&gt;0,IF(AQ7:AQ89&lt;&gt;"",ROW(AN7:AN89)-MIN(ROW(AN7:AN89))+1))),ROW()-ROW(A$92)+1))," ",TEXT(INDEX(AN7:AN89,SMALL(IF(ISNUMBER(AN7:AN89),IF(AN7:AN89&gt;0,IF(AQ7:AQ89&lt;&gt;"",ROW(AN7:AN89)-MIN(ROW(AN7:AN89))+1))),ROW()-ROW(A$92)+1)),"##0")," ",SUBSTITUTE(INDEX(IF(PURCHASE_DESCRIPTION&lt;&gt;"",PURCHASE_DESCRIPTION&amp;":","")&amp;A7:A89,SMALL(IF(ISNUMBER(AN7:AN89),IF(AN7:AN89&gt;0,IF(AQ7:AQ89&lt;&gt;"",ROW(AN7:AN89)-MIN(ROW(AN7:AN89))+1))),ROW()-ROW(A$92)+1))," ",";")),"")</f>
        <v>0</v>
      </c>
      <c r="AS119">
        <f t="array" ref="AS119">IFERROR(CONCATENATE(INDEX(AV7:AV89,SMALL(IF(ISNUMBER(AS7:AS89),IF(AS7:AS89&gt;0,IF(AV7:AV89&lt;&gt;"",ROW(AS7:AS89)-MIN(ROW(AS7:AS89))+1))),ROW()-ROW(A$92)+1))," ",TEXT(INDEX(AS7:AS89,SMALL(IF(ISNUMBER(AS7:AS89),IF(AS7:AS89&gt;0,IF(AV7:AV89&lt;&gt;"",ROW(AS7:AS89)-MIN(ROW(AS7:AS89))+1))),ROW()-ROW(A$92)+1)),"##0")," ",SUBSTITUTE(INDEX(IF(PURCHASE_DESCRIPTION&lt;&gt;"",PURCHASE_DESCRIPTION&amp;":","")&amp;A7:A89,SMALL(IF(ISNUMBER(AS7:AS89),IF(AS7:AS89&gt;0,IF(AV7:AV89&lt;&gt;"",ROW(AS7:AS89)-MIN(ROW(AS7:AS89))+1))),ROW()-ROW(A$92)+1))," ",";")),"")</f>
        <v>0</v>
      </c>
    </row>
    <row r="120" spans="10:45">
      <c r="J120">
        <f t="array" ref="J120">IFERROR(CONCATENATE(INDEX(M7:M89,SMALL(IF(ISNUMBER(J7:J89),IF(J7:J89&gt;0,IF(M7:M89&lt;&gt;"",ROW(J7:J89)-MIN(ROW(J7:J89))+1))),ROW()-ROW(A$92)+1)),",",TEXT(INDEX(J7:J89,SMALL(IF(ISNUMBER(J7:J89),IF(J7:J89&gt;0,IF(M7:M89&lt;&gt;"",ROW(J7:J89)-MIN(ROW(J7:J89))+1))),ROW()-ROW(A$92)+1)),"##0"),",",SUBSTITUTE(INDEX(IF(PURCHASE_DESCRIPTION&lt;&gt;"",PURCHASE_DESCRIPTION&amp;":","")&amp;A7:A89,SMALL(IF(ISNUMBER(J7:J89),IF(J7:J89&gt;0,IF(M7:M89&lt;&gt;"",ROW(J7:J89)-MIN(ROW(J7:J89))+1))),ROW()-ROW(A$92)+1)),",",";")),"")</f>
        <v>0</v>
      </c>
      <c r="O120">
        <f t="array" ref="O120">IFERROR(CONCATENATE(TEXT(INDEX(O7:O89,SMALL(IF(ISNUMBER(O7:O89),IF(O7:O89&gt;0,IF(R7:R89&lt;&gt;"",ROW(O7:O89)-MIN(ROW(O7:O89))+1))),ROW()-ROW(A$92)+1)),"##0"),",",INDEX(R7:R89,SMALL(IF(ISNUMBER(O7:O89),IF(O7:O89&gt;0,IF(R7:R89&lt;&gt;"",ROW(O7:O89)-MIN(ROW(O7:O89))+1))),ROW()-ROW(A$92)+1)),",",SUBSTITUTE(INDEX(IF(PURCHASE_DESCRIPTION&lt;&gt;"",PURCHASE_DESCRIPTION&amp;":","")&amp;A7:A89,SMALL(IF(ISNUMBER(O7:O89),IF(O7:O89&gt;0,IF(R7:R89&lt;&gt;"",ROW(O7:O89)-MIN(ROW(O7:O89))+1))),ROW()-ROW(A$92)+1)),",",";")),"")</f>
        <v>0</v>
      </c>
      <c r="T120">
        <f t="array" ref="T120">IFERROR(CONCATENATE(INDEX(W7:W89,SMALL(IF(ISNUMBER(T7:T89),IF(T7:T89&gt;0,IF(W7:W89&lt;&gt;"",ROW(T7:T89)-MIN(ROW(T7:T89))+1))),ROW()-ROW(A$92)+1))," ",TEXT(INDEX(T7:T89,SMALL(IF(ISNUMBER(T7:T89),IF(T7:T89&gt;0,IF(W7:W89&lt;&gt;"",ROW(T7:T89)-MIN(ROW(T7:T89))+1))),ROW()-ROW(A$92)+1)),"##0")," ",SUBSTITUTE(INDEX(IF(PURCHASE_DESCRIPTION&lt;&gt;"",PURCHASE_DESCRIPTION&amp;":","")&amp;A7:A89,SMALL(IF(ISNUMBER(T7:T89),IF(T7:T89&gt;0,IF(W7:W89&lt;&gt;"",ROW(T7:T89)-MIN(ROW(T7:T89))+1))),ROW()-ROW(A$92)+1))," ",";")),"")</f>
        <v>0</v>
      </c>
      <c r="Y120">
        <f t="array" ref="Y120">IFERROR(CONCATENATE(TEXT(INDEX(Y7:Y89,SMALL(IF(ISNUMBER(Y7:Y89),IF(Y7:Y89&gt;0,IF(AB7:AB89&lt;&gt;"",ROW(Y7:Y89)-MIN(ROW(Y7:Y89))+1))),ROW()-ROW(A$93)+1)),"##0"),",",SUBSTITUTE(INDEX(IF(PURCHASE_DESCRIPTION&lt;&gt;"",PURCHASE_DESCRIPTION&amp;":","")&amp;A7:A89,SMALL(IF(ISNUMBER(Y7:Y89),IF(Y7:Y89&gt;0,IF(AB7:AB89&lt;&gt;"",ROW(Y7:Y89)-MIN(ROW(Y7:Y89))+1))),ROW()-ROW(A$93)+1)),",",";"),",",SUBSTITUTE(INDEX(IF(PURCHASE_DESCRIPTION&lt;&gt;"",PURCHASE_DESCRIPTION&amp;":","")&amp;D7:D89,SMALL(IF(ISNUMBER(Y7:Y89),IF(Y7:Y89&gt;0,IF(AB7:AB89&lt;&gt;"",ROW(Y7:Y89)-MIN(ROW(Y7:Y89))+1))),ROW()-ROW(A$93)+1)),",",";"),",",INDEX(AB7:AB89,SMALL(IF(ISNUMBER(Y7:Y89),IF(Y7:Y89&gt;0,IF(AB7:AB89&lt;&gt;"",ROW(Y7:Y89)-MIN(ROW(Y7:Y89))+1))),ROW()-ROW(A$93)+1))),"")</f>
        <v>0</v>
      </c>
      <c r="AD120">
        <f t="array" ref="AD120">IFERROR(CONCATENATE(INDEX(AG7:AG89,SMALL(IF(ISNUMBER(AD7:AD89),IF(AD7:AD89&gt;0,IF(AG7:AG89&lt;&gt;"",ROW(AD7:AD89)-MIN(ROW(AD7:AD89))+1))),ROW()-ROW(A$92)+1)),"|",TEXT(INDEX(AD7:AD89,SMALL(IF(ISNUMBER(AD7:AD89),IF(AD7:AD89&gt;0,IF(AG7:AG89&lt;&gt;"",ROW(AD7:AD89)-MIN(ROW(AD7:AD89))+1))),ROW()-ROW(A$92)+1)),"##0"),"|",SUBSTITUTE(SUBSTITUTE(INDEX(IF(PURCHASE_DESCRIPTION&lt;&gt;"",PURCHASE_DESCRIPTION&amp;":","")&amp;A7:A89,SMALL(IF(ISNUMBER(AD7:AD89),IF(AD7:AD89&gt;0,IF(AG7:AG89&lt;&gt;"",ROW(AD7:AD89)-MIN(ROW(AD7:AD89))+1))),ROW()-ROW(A$92)+1)),"|",";")," ","_")),"")</f>
        <v>0</v>
      </c>
      <c r="AI120">
        <f t="array" ref="AI120">IFERROR(CONCATENATE(INDEX(AL7:AL89,SMALL(IF(ISNUMBER(AI7:AI89),IF(AI7:AI89&gt;0,IF(AL7:AL89&lt;&gt;"",ROW(AI7:AI89)-MIN(ROW(AI7:AI89))+1))),ROW()-ROW(A$92)+1)),",",TEXT(INDEX(AI7:AI89,SMALL(IF(ISNUMBER(AI7:AI89),IF(AI7:AI89&gt;0,IF(AL7:AL89&lt;&gt;"",ROW(AI7:AI89)-MIN(ROW(AI7:AI89))+1))),ROW()-ROW(A$92)+1)),"##0"),",",SUBSTITUTE(INDEX(IF(PURCHASE_DESCRIPTION&lt;&gt;"",PURCHASE_DESCRIPTION&amp;":","")&amp;A7:A89,SMALL(IF(ISNUMBER(AI7:AI89),IF(AI7:AI89&gt;0,IF(AL7:AL89&lt;&gt;"",ROW(AI7:AI89)-MIN(ROW(AI7:AI89))+1))),ROW()-ROW(A$92)+1)),",",";")),"")</f>
        <v>0</v>
      </c>
      <c r="AN120">
        <f t="array" ref="AN120">IFERROR(CONCATENATE(INDEX(AQ7:AQ89,SMALL(IF(ISNUMBER(AN7:AN89),IF(AN7:AN89&gt;0,IF(AQ7:AQ89&lt;&gt;"",ROW(AN7:AN89)-MIN(ROW(AN7:AN89))+1))),ROW()-ROW(A$92)+1))," ",TEXT(INDEX(AN7:AN89,SMALL(IF(ISNUMBER(AN7:AN89),IF(AN7:AN89&gt;0,IF(AQ7:AQ89&lt;&gt;"",ROW(AN7:AN89)-MIN(ROW(AN7:AN89))+1))),ROW()-ROW(A$92)+1)),"##0")," ",SUBSTITUTE(INDEX(IF(PURCHASE_DESCRIPTION&lt;&gt;"",PURCHASE_DESCRIPTION&amp;":","")&amp;A7:A89,SMALL(IF(ISNUMBER(AN7:AN89),IF(AN7:AN89&gt;0,IF(AQ7:AQ89&lt;&gt;"",ROW(AN7:AN89)-MIN(ROW(AN7:AN89))+1))),ROW()-ROW(A$92)+1))," ",";")),"")</f>
        <v>0</v>
      </c>
      <c r="AS120">
        <f t="array" ref="AS120">IFERROR(CONCATENATE(INDEX(AV7:AV89,SMALL(IF(ISNUMBER(AS7:AS89),IF(AS7:AS89&gt;0,IF(AV7:AV89&lt;&gt;"",ROW(AS7:AS89)-MIN(ROW(AS7:AS89))+1))),ROW()-ROW(A$92)+1))," ",TEXT(INDEX(AS7:AS89,SMALL(IF(ISNUMBER(AS7:AS89),IF(AS7:AS89&gt;0,IF(AV7:AV89&lt;&gt;"",ROW(AS7:AS89)-MIN(ROW(AS7:AS89))+1))),ROW()-ROW(A$92)+1)),"##0")," ",SUBSTITUTE(INDEX(IF(PURCHASE_DESCRIPTION&lt;&gt;"",PURCHASE_DESCRIPTION&amp;":","")&amp;A7:A89,SMALL(IF(ISNUMBER(AS7:AS89),IF(AS7:AS89&gt;0,IF(AV7:AV89&lt;&gt;"",ROW(AS7:AS89)-MIN(ROW(AS7:AS89))+1))),ROW()-ROW(A$92)+1))," ",";")),"")</f>
        <v>0</v>
      </c>
    </row>
    <row r="121" spans="10:45">
      <c r="J121">
        <f t="array" ref="J121">IFERROR(CONCATENATE(INDEX(M7:M89,SMALL(IF(ISNUMBER(J7:J89),IF(J7:J89&gt;0,IF(M7:M89&lt;&gt;"",ROW(J7:J89)-MIN(ROW(J7:J89))+1))),ROW()-ROW(A$92)+1)),",",TEXT(INDEX(J7:J89,SMALL(IF(ISNUMBER(J7:J89),IF(J7:J89&gt;0,IF(M7:M89&lt;&gt;"",ROW(J7:J89)-MIN(ROW(J7:J89))+1))),ROW()-ROW(A$92)+1)),"##0"),",",SUBSTITUTE(INDEX(IF(PURCHASE_DESCRIPTION&lt;&gt;"",PURCHASE_DESCRIPTION&amp;":","")&amp;A7:A89,SMALL(IF(ISNUMBER(J7:J89),IF(J7:J89&gt;0,IF(M7:M89&lt;&gt;"",ROW(J7:J89)-MIN(ROW(J7:J89))+1))),ROW()-ROW(A$92)+1)),",",";")),"")</f>
        <v>0</v>
      </c>
      <c r="O121">
        <f t="array" ref="O121">IFERROR(CONCATENATE(TEXT(INDEX(O7:O89,SMALL(IF(ISNUMBER(O7:O89),IF(O7:O89&gt;0,IF(R7:R89&lt;&gt;"",ROW(O7:O89)-MIN(ROW(O7:O89))+1))),ROW()-ROW(A$92)+1)),"##0"),",",INDEX(R7:R89,SMALL(IF(ISNUMBER(O7:O89),IF(O7:O89&gt;0,IF(R7:R89&lt;&gt;"",ROW(O7:O89)-MIN(ROW(O7:O89))+1))),ROW()-ROW(A$92)+1)),",",SUBSTITUTE(INDEX(IF(PURCHASE_DESCRIPTION&lt;&gt;"",PURCHASE_DESCRIPTION&amp;":","")&amp;A7:A89,SMALL(IF(ISNUMBER(O7:O89),IF(O7:O89&gt;0,IF(R7:R89&lt;&gt;"",ROW(O7:O89)-MIN(ROW(O7:O89))+1))),ROW()-ROW(A$92)+1)),",",";")),"")</f>
        <v>0</v>
      </c>
      <c r="T121">
        <f t="array" ref="T121">IFERROR(CONCATENATE(INDEX(W7:W89,SMALL(IF(ISNUMBER(T7:T89),IF(T7:T89&gt;0,IF(W7:W89&lt;&gt;"",ROW(T7:T89)-MIN(ROW(T7:T89))+1))),ROW()-ROW(A$92)+1))," ",TEXT(INDEX(T7:T89,SMALL(IF(ISNUMBER(T7:T89),IF(T7:T89&gt;0,IF(W7:W89&lt;&gt;"",ROW(T7:T89)-MIN(ROW(T7:T89))+1))),ROW()-ROW(A$92)+1)),"##0")," ",SUBSTITUTE(INDEX(IF(PURCHASE_DESCRIPTION&lt;&gt;"",PURCHASE_DESCRIPTION&amp;":","")&amp;A7:A89,SMALL(IF(ISNUMBER(T7:T89),IF(T7:T89&gt;0,IF(W7:W89&lt;&gt;"",ROW(T7:T89)-MIN(ROW(T7:T89))+1))),ROW()-ROW(A$92)+1))," ",";")),"")</f>
        <v>0</v>
      </c>
      <c r="Y121">
        <f t="array" ref="Y121">IFERROR(CONCATENATE(TEXT(INDEX(Y7:Y89,SMALL(IF(ISNUMBER(Y7:Y89),IF(Y7:Y89&gt;0,IF(AB7:AB89&lt;&gt;"",ROW(Y7:Y89)-MIN(ROW(Y7:Y89))+1))),ROW()-ROW(A$93)+1)),"##0"),",",SUBSTITUTE(INDEX(IF(PURCHASE_DESCRIPTION&lt;&gt;"",PURCHASE_DESCRIPTION&amp;":","")&amp;A7:A89,SMALL(IF(ISNUMBER(Y7:Y89),IF(Y7:Y89&gt;0,IF(AB7:AB89&lt;&gt;"",ROW(Y7:Y89)-MIN(ROW(Y7:Y89))+1))),ROW()-ROW(A$93)+1)),",",";"),",",SUBSTITUTE(INDEX(IF(PURCHASE_DESCRIPTION&lt;&gt;"",PURCHASE_DESCRIPTION&amp;":","")&amp;D7:D89,SMALL(IF(ISNUMBER(Y7:Y89),IF(Y7:Y89&gt;0,IF(AB7:AB89&lt;&gt;"",ROW(Y7:Y89)-MIN(ROW(Y7:Y89))+1))),ROW()-ROW(A$93)+1)),",",";"),",",INDEX(AB7:AB89,SMALL(IF(ISNUMBER(Y7:Y89),IF(Y7:Y89&gt;0,IF(AB7:AB89&lt;&gt;"",ROW(Y7:Y89)-MIN(ROW(Y7:Y89))+1))),ROW()-ROW(A$93)+1))),"")</f>
        <v>0</v>
      </c>
      <c r="AD121">
        <f t="array" ref="AD121">IFERROR(CONCATENATE(INDEX(AG7:AG89,SMALL(IF(ISNUMBER(AD7:AD89),IF(AD7:AD89&gt;0,IF(AG7:AG89&lt;&gt;"",ROW(AD7:AD89)-MIN(ROW(AD7:AD89))+1))),ROW()-ROW(A$92)+1)),"|",TEXT(INDEX(AD7:AD89,SMALL(IF(ISNUMBER(AD7:AD89),IF(AD7:AD89&gt;0,IF(AG7:AG89&lt;&gt;"",ROW(AD7:AD89)-MIN(ROW(AD7:AD89))+1))),ROW()-ROW(A$92)+1)),"##0"),"|",SUBSTITUTE(SUBSTITUTE(INDEX(IF(PURCHASE_DESCRIPTION&lt;&gt;"",PURCHASE_DESCRIPTION&amp;":","")&amp;A7:A89,SMALL(IF(ISNUMBER(AD7:AD89),IF(AD7:AD89&gt;0,IF(AG7:AG89&lt;&gt;"",ROW(AD7:AD89)-MIN(ROW(AD7:AD89))+1))),ROW()-ROW(A$92)+1)),"|",";")," ","_")),"")</f>
        <v>0</v>
      </c>
      <c r="AI121">
        <f t="array" ref="AI121">IFERROR(CONCATENATE(INDEX(AL7:AL89,SMALL(IF(ISNUMBER(AI7:AI89),IF(AI7:AI89&gt;0,IF(AL7:AL89&lt;&gt;"",ROW(AI7:AI89)-MIN(ROW(AI7:AI89))+1))),ROW()-ROW(A$92)+1)),",",TEXT(INDEX(AI7:AI89,SMALL(IF(ISNUMBER(AI7:AI89),IF(AI7:AI89&gt;0,IF(AL7:AL89&lt;&gt;"",ROW(AI7:AI89)-MIN(ROW(AI7:AI89))+1))),ROW()-ROW(A$92)+1)),"##0"),",",SUBSTITUTE(INDEX(IF(PURCHASE_DESCRIPTION&lt;&gt;"",PURCHASE_DESCRIPTION&amp;":","")&amp;A7:A89,SMALL(IF(ISNUMBER(AI7:AI89),IF(AI7:AI89&gt;0,IF(AL7:AL89&lt;&gt;"",ROW(AI7:AI89)-MIN(ROW(AI7:AI89))+1))),ROW()-ROW(A$92)+1)),",",";")),"")</f>
        <v>0</v>
      </c>
      <c r="AN121">
        <f t="array" ref="AN121">IFERROR(CONCATENATE(INDEX(AQ7:AQ89,SMALL(IF(ISNUMBER(AN7:AN89),IF(AN7:AN89&gt;0,IF(AQ7:AQ89&lt;&gt;"",ROW(AN7:AN89)-MIN(ROW(AN7:AN89))+1))),ROW()-ROW(A$92)+1))," ",TEXT(INDEX(AN7:AN89,SMALL(IF(ISNUMBER(AN7:AN89),IF(AN7:AN89&gt;0,IF(AQ7:AQ89&lt;&gt;"",ROW(AN7:AN89)-MIN(ROW(AN7:AN89))+1))),ROW()-ROW(A$92)+1)),"##0")," ",SUBSTITUTE(INDEX(IF(PURCHASE_DESCRIPTION&lt;&gt;"",PURCHASE_DESCRIPTION&amp;":","")&amp;A7:A89,SMALL(IF(ISNUMBER(AN7:AN89),IF(AN7:AN89&gt;0,IF(AQ7:AQ89&lt;&gt;"",ROW(AN7:AN89)-MIN(ROW(AN7:AN89))+1))),ROW()-ROW(A$92)+1))," ",";")),"")</f>
        <v>0</v>
      </c>
      <c r="AS121">
        <f t="array" ref="AS121">IFERROR(CONCATENATE(INDEX(AV7:AV89,SMALL(IF(ISNUMBER(AS7:AS89),IF(AS7:AS89&gt;0,IF(AV7:AV89&lt;&gt;"",ROW(AS7:AS89)-MIN(ROW(AS7:AS89))+1))),ROW()-ROW(A$92)+1))," ",TEXT(INDEX(AS7:AS89,SMALL(IF(ISNUMBER(AS7:AS89),IF(AS7:AS89&gt;0,IF(AV7:AV89&lt;&gt;"",ROW(AS7:AS89)-MIN(ROW(AS7:AS89))+1))),ROW()-ROW(A$92)+1)),"##0")," ",SUBSTITUTE(INDEX(IF(PURCHASE_DESCRIPTION&lt;&gt;"",PURCHASE_DESCRIPTION&amp;":","")&amp;A7:A89,SMALL(IF(ISNUMBER(AS7:AS89),IF(AS7:AS89&gt;0,IF(AV7:AV89&lt;&gt;"",ROW(AS7:AS89)-MIN(ROW(AS7:AS89))+1))),ROW()-ROW(A$92)+1))," ",";")),"")</f>
        <v>0</v>
      </c>
    </row>
    <row r="122" spans="10:45">
      <c r="J122">
        <f t="array" ref="J122">IFERROR(CONCATENATE(INDEX(M7:M89,SMALL(IF(ISNUMBER(J7:J89),IF(J7:J89&gt;0,IF(M7:M89&lt;&gt;"",ROW(J7:J89)-MIN(ROW(J7:J89))+1))),ROW()-ROW(A$92)+1)),",",TEXT(INDEX(J7:J89,SMALL(IF(ISNUMBER(J7:J89),IF(J7:J89&gt;0,IF(M7:M89&lt;&gt;"",ROW(J7:J89)-MIN(ROW(J7:J89))+1))),ROW()-ROW(A$92)+1)),"##0"),",",SUBSTITUTE(INDEX(IF(PURCHASE_DESCRIPTION&lt;&gt;"",PURCHASE_DESCRIPTION&amp;":","")&amp;A7:A89,SMALL(IF(ISNUMBER(J7:J89),IF(J7:J89&gt;0,IF(M7:M89&lt;&gt;"",ROW(J7:J89)-MIN(ROW(J7:J89))+1))),ROW()-ROW(A$92)+1)),",",";")),"")</f>
        <v>0</v>
      </c>
      <c r="O122">
        <f t="array" ref="O122">IFERROR(CONCATENATE(TEXT(INDEX(O7:O89,SMALL(IF(ISNUMBER(O7:O89),IF(O7:O89&gt;0,IF(R7:R89&lt;&gt;"",ROW(O7:O89)-MIN(ROW(O7:O89))+1))),ROW()-ROW(A$92)+1)),"##0"),",",INDEX(R7:R89,SMALL(IF(ISNUMBER(O7:O89),IF(O7:O89&gt;0,IF(R7:R89&lt;&gt;"",ROW(O7:O89)-MIN(ROW(O7:O89))+1))),ROW()-ROW(A$92)+1)),",",SUBSTITUTE(INDEX(IF(PURCHASE_DESCRIPTION&lt;&gt;"",PURCHASE_DESCRIPTION&amp;":","")&amp;A7:A89,SMALL(IF(ISNUMBER(O7:O89),IF(O7:O89&gt;0,IF(R7:R89&lt;&gt;"",ROW(O7:O89)-MIN(ROW(O7:O89))+1))),ROW()-ROW(A$92)+1)),",",";")),"")</f>
        <v>0</v>
      </c>
      <c r="T122">
        <f t="array" ref="T122">IFERROR(CONCATENATE(INDEX(W7:W89,SMALL(IF(ISNUMBER(T7:T89),IF(T7:T89&gt;0,IF(W7:W89&lt;&gt;"",ROW(T7:T89)-MIN(ROW(T7:T89))+1))),ROW()-ROW(A$92)+1))," ",TEXT(INDEX(T7:T89,SMALL(IF(ISNUMBER(T7:T89),IF(T7:T89&gt;0,IF(W7:W89&lt;&gt;"",ROW(T7:T89)-MIN(ROW(T7:T89))+1))),ROW()-ROW(A$92)+1)),"##0")," ",SUBSTITUTE(INDEX(IF(PURCHASE_DESCRIPTION&lt;&gt;"",PURCHASE_DESCRIPTION&amp;":","")&amp;A7:A89,SMALL(IF(ISNUMBER(T7:T89),IF(T7:T89&gt;0,IF(W7:W89&lt;&gt;"",ROW(T7:T89)-MIN(ROW(T7:T89))+1))),ROW()-ROW(A$92)+1))," ",";")),"")</f>
        <v>0</v>
      </c>
      <c r="Y122">
        <f t="array" ref="Y122">IFERROR(CONCATENATE(TEXT(INDEX(Y7:Y89,SMALL(IF(ISNUMBER(Y7:Y89),IF(Y7:Y89&gt;0,IF(AB7:AB89&lt;&gt;"",ROW(Y7:Y89)-MIN(ROW(Y7:Y89))+1))),ROW()-ROW(A$93)+1)),"##0"),",",SUBSTITUTE(INDEX(IF(PURCHASE_DESCRIPTION&lt;&gt;"",PURCHASE_DESCRIPTION&amp;":","")&amp;A7:A89,SMALL(IF(ISNUMBER(Y7:Y89),IF(Y7:Y89&gt;0,IF(AB7:AB89&lt;&gt;"",ROW(Y7:Y89)-MIN(ROW(Y7:Y89))+1))),ROW()-ROW(A$93)+1)),",",";"),",",SUBSTITUTE(INDEX(IF(PURCHASE_DESCRIPTION&lt;&gt;"",PURCHASE_DESCRIPTION&amp;":","")&amp;D7:D89,SMALL(IF(ISNUMBER(Y7:Y89),IF(Y7:Y89&gt;0,IF(AB7:AB89&lt;&gt;"",ROW(Y7:Y89)-MIN(ROW(Y7:Y89))+1))),ROW()-ROW(A$93)+1)),",",";"),",",INDEX(AB7:AB89,SMALL(IF(ISNUMBER(Y7:Y89),IF(Y7:Y89&gt;0,IF(AB7:AB89&lt;&gt;"",ROW(Y7:Y89)-MIN(ROW(Y7:Y89))+1))),ROW()-ROW(A$93)+1))),"")</f>
        <v>0</v>
      </c>
      <c r="AD122">
        <f t="array" ref="AD122">IFERROR(CONCATENATE(INDEX(AG7:AG89,SMALL(IF(ISNUMBER(AD7:AD89),IF(AD7:AD89&gt;0,IF(AG7:AG89&lt;&gt;"",ROW(AD7:AD89)-MIN(ROW(AD7:AD89))+1))),ROW()-ROW(A$92)+1)),"|",TEXT(INDEX(AD7:AD89,SMALL(IF(ISNUMBER(AD7:AD89),IF(AD7:AD89&gt;0,IF(AG7:AG89&lt;&gt;"",ROW(AD7:AD89)-MIN(ROW(AD7:AD89))+1))),ROW()-ROW(A$92)+1)),"##0"),"|",SUBSTITUTE(SUBSTITUTE(INDEX(IF(PURCHASE_DESCRIPTION&lt;&gt;"",PURCHASE_DESCRIPTION&amp;":","")&amp;A7:A89,SMALL(IF(ISNUMBER(AD7:AD89),IF(AD7:AD89&gt;0,IF(AG7:AG89&lt;&gt;"",ROW(AD7:AD89)-MIN(ROW(AD7:AD89))+1))),ROW()-ROW(A$92)+1)),"|",";")," ","_")),"")</f>
        <v>0</v>
      </c>
      <c r="AI122">
        <f t="array" ref="AI122">IFERROR(CONCATENATE(INDEX(AL7:AL89,SMALL(IF(ISNUMBER(AI7:AI89),IF(AI7:AI89&gt;0,IF(AL7:AL89&lt;&gt;"",ROW(AI7:AI89)-MIN(ROW(AI7:AI89))+1))),ROW()-ROW(A$92)+1)),",",TEXT(INDEX(AI7:AI89,SMALL(IF(ISNUMBER(AI7:AI89),IF(AI7:AI89&gt;0,IF(AL7:AL89&lt;&gt;"",ROW(AI7:AI89)-MIN(ROW(AI7:AI89))+1))),ROW()-ROW(A$92)+1)),"##0"),",",SUBSTITUTE(INDEX(IF(PURCHASE_DESCRIPTION&lt;&gt;"",PURCHASE_DESCRIPTION&amp;":","")&amp;A7:A89,SMALL(IF(ISNUMBER(AI7:AI89),IF(AI7:AI89&gt;0,IF(AL7:AL89&lt;&gt;"",ROW(AI7:AI89)-MIN(ROW(AI7:AI89))+1))),ROW()-ROW(A$92)+1)),",",";")),"")</f>
        <v>0</v>
      </c>
      <c r="AN122">
        <f t="array" ref="AN122">IFERROR(CONCATENATE(INDEX(AQ7:AQ89,SMALL(IF(ISNUMBER(AN7:AN89),IF(AN7:AN89&gt;0,IF(AQ7:AQ89&lt;&gt;"",ROW(AN7:AN89)-MIN(ROW(AN7:AN89))+1))),ROW()-ROW(A$92)+1))," ",TEXT(INDEX(AN7:AN89,SMALL(IF(ISNUMBER(AN7:AN89),IF(AN7:AN89&gt;0,IF(AQ7:AQ89&lt;&gt;"",ROW(AN7:AN89)-MIN(ROW(AN7:AN89))+1))),ROW()-ROW(A$92)+1)),"##0")," ",SUBSTITUTE(INDEX(IF(PURCHASE_DESCRIPTION&lt;&gt;"",PURCHASE_DESCRIPTION&amp;":","")&amp;A7:A89,SMALL(IF(ISNUMBER(AN7:AN89),IF(AN7:AN89&gt;0,IF(AQ7:AQ89&lt;&gt;"",ROW(AN7:AN89)-MIN(ROW(AN7:AN89))+1))),ROW()-ROW(A$92)+1))," ",";")),"")</f>
        <v>0</v>
      </c>
      <c r="AS122">
        <f t="array" ref="AS122">IFERROR(CONCATENATE(INDEX(AV7:AV89,SMALL(IF(ISNUMBER(AS7:AS89),IF(AS7:AS89&gt;0,IF(AV7:AV89&lt;&gt;"",ROW(AS7:AS89)-MIN(ROW(AS7:AS89))+1))),ROW()-ROW(A$92)+1))," ",TEXT(INDEX(AS7:AS89,SMALL(IF(ISNUMBER(AS7:AS89),IF(AS7:AS89&gt;0,IF(AV7:AV89&lt;&gt;"",ROW(AS7:AS89)-MIN(ROW(AS7:AS89))+1))),ROW()-ROW(A$92)+1)),"##0")," ",SUBSTITUTE(INDEX(IF(PURCHASE_DESCRIPTION&lt;&gt;"",PURCHASE_DESCRIPTION&amp;":","")&amp;A7:A89,SMALL(IF(ISNUMBER(AS7:AS89),IF(AS7:AS89&gt;0,IF(AV7:AV89&lt;&gt;"",ROW(AS7:AS89)-MIN(ROW(AS7:AS89))+1))),ROW()-ROW(A$92)+1))," ",";")),"")</f>
        <v>0</v>
      </c>
    </row>
    <row r="123" spans="10:45">
      <c r="J123">
        <f t="array" ref="J123">IFERROR(CONCATENATE(INDEX(M7:M89,SMALL(IF(ISNUMBER(J7:J89),IF(J7:J89&gt;0,IF(M7:M89&lt;&gt;"",ROW(J7:J89)-MIN(ROW(J7:J89))+1))),ROW()-ROW(A$92)+1)),",",TEXT(INDEX(J7:J89,SMALL(IF(ISNUMBER(J7:J89),IF(J7:J89&gt;0,IF(M7:M89&lt;&gt;"",ROW(J7:J89)-MIN(ROW(J7:J89))+1))),ROW()-ROW(A$92)+1)),"##0"),",",SUBSTITUTE(INDEX(IF(PURCHASE_DESCRIPTION&lt;&gt;"",PURCHASE_DESCRIPTION&amp;":","")&amp;A7:A89,SMALL(IF(ISNUMBER(J7:J89),IF(J7:J89&gt;0,IF(M7:M89&lt;&gt;"",ROW(J7:J89)-MIN(ROW(J7:J89))+1))),ROW()-ROW(A$92)+1)),",",";")),"")</f>
        <v>0</v>
      </c>
      <c r="O123">
        <f t="array" ref="O123">IFERROR(CONCATENATE(TEXT(INDEX(O7:O89,SMALL(IF(ISNUMBER(O7:O89),IF(O7:O89&gt;0,IF(R7:R89&lt;&gt;"",ROW(O7:O89)-MIN(ROW(O7:O89))+1))),ROW()-ROW(A$92)+1)),"##0"),",",INDEX(R7:R89,SMALL(IF(ISNUMBER(O7:O89),IF(O7:O89&gt;0,IF(R7:R89&lt;&gt;"",ROW(O7:O89)-MIN(ROW(O7:O89))+1))),ROW()-ROW(A$92)+1)),",",SUBSTITUTE(INDEX(IF(PURCHASE_DESCRIPTION&lt;&gt;"",PURCHASE_DESCRIPTION&amp;":","")&amp;A7:A89,SMALL(IF(ISNUMBER(O7:O89),IF(O7:O89&gt;0,IF(R7:R89&lt;&gt;"",ROW(O7:O89)-MIN(ROW(O7:O89))+1))),ROW()-ROW(A$92)+1)),",",";")),"")</f>
        <v>0</v>
      </c>
      <c r="T123">
        <f t="array" ref="T123">IFERROR(CONCATENATE(INDEX(W7:W89,SMALL(IF(ISNUMBER(T7:T89),IF(T7:T89&gt;0,IF(W7:W89&lt;&gt;"",ROW(T7:T89)-MIN(ROW(T7:T89))+1))),ROW()-ROW(A$92)+1))," ",TEXT(INDEX(T7:T89,SMALL(IF(ISNUMBER(T7:T89),IF(T7:T89&gt;0,IF(W7:W89&lt;&gt;"",ROW(T7:T89)-MIN(ROW(T7:T89))+1))),ROW()-ROW(A$92)+1)),"##0")," ",SUBSTITUTE(INDEX(IF(PURCHASE_DESCRIPTION&lt;&gt;"",PURCHASE_DESCRIPTION&amp;":","")&amp;A7:A89,SMALL(IF(ISNUMBER(T7:T89),IF(T7:T89&gt;0,IF(W7:W89&lt;&gt;"",ROW(T7:T89)-MIN(ROW(T7:T89))+1))),ROW()-ROW(A$92)+1))," ",";")),"")</f>
        <v>0</v>
      </c>
      <c r="Y123">
        <f t="array" ref="Y123">IFERROR(CONCATENATE(TEXT(INDEX(Y7:Y89,SMALL(IF(ISNUMBER(Y7:Y89),IF(Y7:Y89&gt;0,IF(AB7:AB89&lt;&gt;"",ROW(Y7:Y89)-MIN(ROW(Y7:Y89))+1))),ROW()-ROW(A$93)+1)),"##0"),",",SUBSTITUTE(INDEX(IF(PURCHASE_DESCRIPTION&lt;&gt;"",PURCHASE_DESCRIPTION&amp;":","")&amp;A7:A89,SMALL(IF(ISNUMBER(Y7:Y89),IF(Y7:Y89&gt;0,IF(AB7:AB89&lt;&gt;"",ROW(Y7:Y89)-MIN(ROW(Y7:Y89))+1))),ROW()-ROW(A$93)+1)),",",";"),",",SUBSTITUTE(INDEX(IF(PURCHASE_DESCRIPTION&lt;&gt;"",PURCHASE_DESCRIPTION&amp;":","")&amp;D7:D89,SMALL(IF(ISNUMBER(Y7:Y89),IF(Y7:Y89&gt;0,IF(AB7:AB89&lt;&gt;"",ROW(Y7:Y89)-MIN(ROW(Y7:Y89))+1))),ROW()-ROW(A$93)+1)),",",";"),",",INDEX(AB7:AB89,SMALL(IF(ISNUMBER(Y7:Y89),IF(Y7:Y89&gt;0,IF(AB7:AB89&lt;&gt;"",ROW(Y7:Y89)-MIN(ROW(Y7:Y89))+1))),ROW()-ROW(A$93)+1))),"")</f>
        <v>0</v>
      </c>
      <c r="AD123">
        <f t="array" ref="AD123">IFERROR(CONCATENATE(INDEX(AG7:AG89,SMALL(IF(ISNUMBER(AD7:AD89),IF(AD7:AD89&gt;0,IF(AG7:AG89&lt;&gt;"",ROW(AD7:AD89)-MIN(ROW(AD7:AD89))+1))),ROW()-ROW(A$92)+1)),"|",TEXT(INDEX(AD7:AD89,SMALL(IF(ISNUMBER(AD7:AD89),IF(AD7:AD89&gt;0,IF(AG7:AG89&lt;&gt;"",ROW(AD7:AD89)-MIN(ROW(AD7:AD89))+1))),ROW()-ROW(A$92)+1)),"##0"),"|",SUBSTITUTE(SUBSTITUTE(INDEX(IF(PURCHASE_DESCRIPTION&lt;&gt;"",PURCHASE_DESCRIPTION&amp;":","")&amp;A7:A89,SMALL(IF(ISNUMBER(AD7:AD89),IF(AD7:AD89&gt;0,IF(AG7:AG89&lt;&gt;"",ROW(AD7:AD89)-MIN(ROW(AD7:AD89))+1))),ROW()-ROW(A$92)+1)),"|",";")," ","_")),"")</f>
        <v>0</v>
      </c>
      <c r="AI123">
        <f t="array" ref="AI123">IFERROR(CONCATENATE(INDEX(AL7:AL89,SMALL(IF(ISNUMBER(AI7:AI89),IF(AI7:AI89&gt;0,IF(AL7:AL89&lt;&gt;"",ROW(AI7:AI89)-MIN(ROW(AI7:AI89))+1))),ROW()-ROW(A$92)+1)),",",TEXT(INDEX(AI7:AI89,SMALL(IF(ISNUMBER(AI7:AI89),IF(AI7:AI89&gt;0,IF(AL7:AL89&lt;&gt;"",ROW(AI7:AI89)-MIN(ROW(AI7:AI89))+1))),ROW()-ROW(A$92)+1)),"##0"),",",SUBSTITUTE(INDEX(IF(PURCHASE_DESCRIPTION&lt;&gt;"",PURCHASE_DESCRIPTION&amp;":","")&amp;A7:A89,SMALL(IF(ISNUMBER(AI7:AI89),IF(AI7:AI89&gt;0,IF(AL7:AL89&lt;&gt;"",ROW(AI7:AI89)-MIN(ROW(AI7:AI89))+1))),ROW()-ROW(A$92)+1)),",",";")),"")</f>
        <v>0</v>
      </c>
      <c r="AN123">
        <f t="array" ref="AN123">IFERROR(CONCATENATE(INDEX(AQ7:AQ89,SMALL(IF(ISNUMBER(AN7:AN89),IF(AN7:AN89&gt;0,IF(AQ7:AQ89&lt;&gt;"",ROW(AN7:AN89)-MIN(ROW(AN7:AN89))+1))),ROW()-ROW(A$92)+1))," ",TEXT(INDEX(AN7:AN89,SMALL(IF(ISNUMBER(AN7:AN89),IF(AN7:AN89&gt;0,IF(AQ7:AQ89&lt;&gt;"",ROW(AN7:AN89)-MIN(ROW(AN7:AN89))+1))),ROW()-ROW(A$92)+1)),"##0")," ",SUBSTITUTE(INDEX(IF(PURCHASE_DESCRIPTION&lt;&gt;"",PURCHASE_DESCRIPTION&amp;":","")&amp;A7:A89,SMALL(IF(ISNUMBER(AN7:AN89),IF(AN7:AN89&gt;0,IF(AQ7:AQ89&lt;&gt;"",ROW(AN7:AN89)-MIN(ROW(AN7:AN89))+1))),ROW()-ROW(A$92)+1))," ",";")),"")</f>
        <v>0</v>
      </c>
      <c r="AS123">
        <f t="array" ref="AS123">IFERROR(CONCATENATE(INDEX(AV7:AV89,SMALL(IF(ISNUMBER(AS7:AS89),IF(AS7:AS89&gt;0,IF(AV7:AV89&lt;&gt;"",ROW(AS7:AS89)-MIN(ROW(AS7:AS89))+1))),ROW()-ROW(A$92)+1))," ",TEXT(INDEX(AS7:AS89,SMALL(IF(ISNUMBER(AS7:AS89),IF(AS7:AS89&gt;0,IF(AV7:AV89&lt;&gt;"",ROW(AS7:AS89)-MIN(ROW(AS7:AS89))+1))),ROW()-ROW(A$92)+1)),"##0")," ",SUBSTITUTE(INDEX(IF(PURCHASE_DESCRIPTION&lt;&gt;"",PURCHASE_DESCRIPTION&amp;":","")&amp;A7:A89,SMALL(IF(ISNUMBER(AS7:AS89),IF(AS7:AS89&gt;0,IF(AV7:AV89&lt;&gt;"",ROW(AS7:AS89)-MIN(ROW(AS7:AS89))+1))),ROW()-ROW(A$92)+1))," ",";")),"")</f>
        <v>0</v>
      </c>
    </row>
    <row r="124" spans="10:45">
      <c r="J124">
        <f t="array" ref="J124">IFERROR(CONCATENATE(INDEX(M7:M89,SMALL(IF(ISNUMBER(J7:J89),IF(J7:J89&gt;0,IF(M7:M89&lt;&gt;"",ROW(J7:J89)-MIN(ROW(J7:J89))+1))),ROW()-ROW(A$92)+1)),",",TEXT(INDEX(J7:J89,SMALL(IF(ISNUMBER(J7:J89),IF(J7:J89&gt;0,IF(M7:M89&lt;&gt;"",ROW(J7:J89)-MIN(ROW(J7:J89))+1))),ROW()-ROW(A$92)+1)),"##0"),",",SUBSTITUTE(INDEX(IF(PURCHASE_DESCRIPTION&lt;&gt;"",PURCHASE_DESCRIPTION&amp;":","")&amp;A7:A89,SMALL(IF(ISNUMBER(J7:J89),IF(J7:J89&gt;0,IF(M7:M89&lt;&gt;"",ROW(J7:J89)-MIN(ROW(J7:J89))+1))),ROW()-ROW(A$92)+1)),",",";")),"")</f>
        <v>0</v>
      </c>
      <c r="O124">
        <f t="array" ref="O124">IFERROR(CONCATENATE(TEXT(INDEX(O7:O89,SMALL(IF(ISNUMBER(O7:O89),IF(O7:O89&gt;0,IF(R7:R89&lt;&gt;"",ROW(O7:O89)-MIN(ROW(O7:O89))+1))),ROW()-ROW(A$92)+1)),"##0"),",",INDEX(R7:R89,SMALL(IF(ISNUMBER(O7:O89),IF(O7:O89&gt;0,IF(R7:R89&lt;&gt;"",ROW(O7:O89)-MIN(ROW(O7:O89))+1))),ROW()-ROW(A$92)+1)),",",SUBSTITUTE(INDEX(IF(PURCHASE_DESCRIPTION&lt;&gt;"",PURCHASE_DESCRIPTION&amp;":","")&amp;A7:A89,SMALL(IF(ISNUMBER(O7:O89),IF(O7:O89&gt;0,IF(R7:R89&lt;&gt;"",ROW(O7:O89)-MIN(ROW(O7:O89))+1))),ROW()-ROW(A$92)+1)),",",";")),"")</f>
        <v>0</v>
      </c>
      <c r="T124">
        <f t="array" ref="T124">IFERROR(CONCATENATE(INDEX(W7:W89,SMALL(IF(ISNUMBER(T7:T89),IF(T7:T89&gt;0,IF(W7:W89&lt;&gt;"",ROW(T7:T89)-MIN(ROW(T7:T89))+1))),ROW()-ROW(A$92)+1))," ",TEXT(INDEX(T7:T89,SMALL(IF(ISNUMBER(T7:T89),IF(T7:T89&gt;0,IF(W7:W89&lt;&gt;"",ROW(T7:T89)-MIN(ROW(T7:T89))+1))),ROW()-ROW(A$92)+1)),"##0")," ",SUBSTITUTE(INDEX(IF(PURCHASE_DESCRIPTION&lt;&gt;"",PURCHASE_DESCRIPTION&amp;":","")&amp;A7:A89,SMALL(IF(ISNUMBER(T7:T89),IF(T7:T89&gt;0,IF(W7:W89&lt;&gt;"",ROW(T7:T89)-MIN(ROW(T7:T89))+1))),ROW()-ROW(A$92)+1))," ",";")),"")</f>
        <v>0</v>
      </c>
      <c r="Y124">
        <f t="array" ref="Y124">IFERROR(CONCATENATE(TEXT(INDEX(Y7:Y89,SMALL(IF(ISNUMBER(Y7:Y89),IF(Y7:Y89&gt;0,IF(AB7:AB89&lt;&gt;"",ROW(Y7:Y89)-MIN(ROW(Y7:Y89))+1))),ROW()-ROW(A$93)+1)),"##0"),",",SUBSTITUTE(INDEX(IF(PURCHASE_DESCRIPTION&lt;&gt;"",PURCHASE_DESCRIPTION&amp;":","")&amp;A7:A89,SMALL(IF(ISNUMBER(Y7:Y89),IF(Y7:Y89&gt;0,IF(AB7:AB89&lt;&gt;"",ROW(Y7:Y89)-MIN(ROW(Y7:Y89))+1))),ROW()-ROW(A$93)+1)),",",";"),",",SUBSTITUTE(INDEX(IF(PURCHASE_DESCRIPTION&lt;&gt;"",PURCHASE_DESCRIPTION&amp;":","")&amp;D7:D89,SMALL(IF(ISNUMBER(Y7:Y89),IF(Y7:Y89&gt;0,IF(AB7:AB89&lt;&gt;"",ROW(Y7:Y89)-MIN(ROW(Y7:Y89))+1))),ROW()-ROW(A$93)+1)),",",";"),",",INDEX(AB7:AB89,SMALL(IF(ISNUMBER(Y7:Y89),IF(Y7:Y89&gt;0,IF(AB7:AB89&lt;&gt;"",ROW(Y7:Y89)-MIN(ROW(Y7:Y89))+1))),ROW()-ROW(A$93)+1))),"")</f>
        <v>0</v>
      </c>
      <c r="AD124">
        <f t="array" ref="AD124">IFERROR(CONCATENATE(INDEX(AG7:AG89,SMALL(IF(ISNUMBER(AD7:AD89),IF(AD7:AD89&gt;0,IF(AG7:AG89&lt;&gt;"",ROW(AD7:AD89)-MIN(ROW(AD7:AD89))+1))),ROW()-ROW(A$92)+1)),"|",TEXT(INDEX(AD7:AD89,SMALL(IF(ISNUMBER(AD7:AD89),IF(AD7:AD89&gt;0,IF(AG7:AG89&lt;&gt;"",ROW(AD7:AD89)-MIN(ROW(AD7:AD89))+1))),ROW()-ROW(A$92)+1)),"##0"),"|",SUBSTITUTE(SUBSTITUTE(INDEX(IF(PURCHASE_DESCRIPTION&lt;&gt;"",PURCHASE_DESCRIPTION&amp;":","")&amp;A7:A89,SMALL(IF(ISNUMBER(AD7:AD89),IF(AD7:AD89&gt;0,IF(AG7:AG89&lt;&gt;"",ROW(AD7:AD89)-MIN(ROW(AD7:AD89))+1))),ROW()-ROW(A$92)+1)),"|",";")," ","_")),"")</f>
        <v>0</v>
      </c>
      <c r="AI124">
        <f t="array" ref="AI124">IFERROR(CONCATENATE(INDEX(AL7:AL89,SMALL(IF(ISNUMBER(AI7:AI89),IF(AI7:AI89&gt;0,IF(AL7:AL89&lt;&gt;"",ROW(AI7:AI89)-MIN(ROW(AI7:AI89))+1))),ROW()-ROW(A$92)+1)),",",TEXT(INDEX(AI7:AI89,SMALL(IF(ISNUMBER(AI7:AI89),IF(AI7:AI89&gt;0,IF(AL7:AL89&lt;&gt;"",ROW(AI7:AI89)-MIN(ROW(AI7:AI89))+1))),ROW()-ROW(A$92)+1)),"##0"),",",SUBSTITUTE(INDEX(IF(PURCHASE_DESCRIPTION&lt;&gt;"",PURCHASE_DESCRIPTION&amp;":","")&amp;A7:A89,SMALL(IF(ISNUMBER(AI7:AI89),IF(AI7:AI89&gt;0,IF(AL7:AL89&lt;&gt;"",ROW(AI7:AI89)-MIN(ROW(AI7:AI89))+1))),ROW()-ROW(A$92)+1)),",",";")),"")</f>
        <v>0</v>
      </c>
      <c r="AN124">
        <f t="array" ref="AN124">IFERROR(CONCATENATE(INDEX(AQ7:AQ89,SMALL(IF(ISNUMBER(AN7:AN89),IF(AN7:AN89&gt;0,IF(AQ7:AQ89&lt;&gt;"",ROW(AN7:AN89)-MIN(ROW(AN7:AN89))+1))),ROW()-ROW(A$92)+1))," ",TEXT(INDEX(AN7:AN89,SMALL(IF(ISNUMBER(AN7:AN89),IF(AN7:AN89&gt;0,IF(AQ7:AQ89&lt;&gt;"",ROW(AN7:AN89)-MIN(ROW(AN7:AN89))+1))),ROW()-ROW(A$92)+1)),"##0")," ",SUBSTITUTE(INDEX(IF(PURCHASE_DESCRIPTION&lt;&gt;"",PURCHASE_DESCRIPTION&amp;":","")&amp;A7:A89,SMALL(IF(ISNUMBER(AN7:AN89),IF(AN7:AN89&gt;0,IF(AQ7:AQ89&lt;&gt;"",ROW(AN7:AN89)-MIN(ROW(AN7:AN89))+1))),ROW()-ROW(A$92)+1))," ",";")),"")</f>
        <v>0</v>
      </c>
      <c r="AS124">
        <f t="array" ref="AS124">IFERROR(CONCATENATE(INDEX(AV7:AV89,SMALL(IF(ISNUMBER(AS7:AS89),IF(AS7:AS89&gt;0,IF(AV7:AV89&lt;&gt;"",ROW(AS7:AS89)-MIN(ROW(AS7:AS89))+1))),ROW()-ROW(A$92)+1))," ",TEXT(INDEX(AS7:AS89,SMALL(IF(ISNUMBER(AS7:AS89),IF(AS7:AS89&gt;0,IF(AV7:AV89&lt;&gt;"",ROW(AS7:AS89)-MIN(ROW(AS7:AS89))+1))),ROW()-ROW(A$92)+1)),"##0")," ",SUBSTITUTE(INDEX(IF(PURCHASE_DESCRIPTION&lt;&gt;"",PURCHASE_DESCRIPTION&amp;":","")&amp;A7:A89,SMALL(IF(ISNUMBER(AS7:AS89),IF(AS7:AS89&gt;0,IF(AV7:AV89&lt;&gt;"",ROW(AS7:AS89)-MIN(ROW(AS7:AS89))+1))),ROW()-ROW(A$92)+1))," ",";")),"")</f>
        <v>0</v>
      </c>
    </row>
    <row r="125" spans="10:45">
      <c r="J125">
        <f t="array" ref="J125">IFERROR(CONCATENATE(INDEX(M7:M89,SMALL(IF(ISNUMBER(J7:J89),IF(J7:J89&gt;0,IF(M7:M89&lt;&gt;"",ROW(J7:J89)-MIN(ROW(J7:J89))+1))),ROW()-ROW(A$92)+1)),",",TEXT(INDEX(J7:J89,SMALL(IF(ISNUMBER(J7:J89),IF(J7:J89&gt;0,IF(M7:M89&lt;&gt;"",ROW(J7:J89)-MIN(ROW(J7:J89))+1))),ROW()-ROW(A$92)+1)),"##0"),",",SUBSTITUTE(INDEX(IF(PURCHASE_DESCRIPTION&lt;&gt;"",PURCHASE_DESCRIPTION&amp;":","")&amp;A7:A89,SMALL(IF(ISNUMBER(J7:J89),IF(J7:J89&gt;0,IF(M7:M89&lt;&gt;"",ROW(J7:J89)-MIN(ROW(J7:J89))+1))),ROW()-ROW(A$92)+1)),",",";")),"")</f>
        <v>0</v>
      </c>
      <c r="O125">
        <f t="array" ref="O125">IFERROR(CONCATENATE(TEXT(INDEX(O7:O89,SMALL(IF(ISNUMBER(O7:O89),IF(O7:O89&gt;0,IF(R7:R89&lt;&gt;"",ROW(O7:O89)-MIN(ROW(O7:O89))+1))),ROW()-ROW(A$92)+1)),"##0"),",",INDEX(R7:R89,SMALL(IF(ISNUMBER(O7:O89),IF(O7:O89&gt;0,IF(R7:R89&lt;&gt;"",ROW(O7:O89)-MIN(ROW(O7:O89))+1))),ROW()-ROW(A$92)+1)),",",SUBSTITUTE(INDEX(IF(PURCHASE_DESCRIPTION&lt;&gt;"",PURCHASE_DESCRIPTION&amp;":","")&amp;A7:A89,SMALL(IF(ISNUMBER(O7:O89),IF(O7:O89&gt;0,IF(R7:R89&lt;&gt;"",ROW(O7:O89)-MIN(ROW(O7:O89))+1))),ROW()-ROW(A$92)+1)),",",";")),"")</f>
        <v>0</v>
      </c>
      <c r="T125">
        <f t="array" ref="T125">IFERROR(CONCATENATE(INDEX(W7:W89,SMALL(IF(ISNUMBER(T7:T89),IF(T7:T89&gt;0,IF(W7:W89&lt;&gt;"",ROW(T7:T89)-MIN(ROW(T7:T89))+1))),ROW()-ROW(A$92)+1))," ",TEXT(INDEX(T7:T89,SMALL(IF(ISNUMBER(T7:T89),IF(T7:T89&gt;0,IF(W7:W89&lt;&gt;"",ROW(T7:T89)-MIN(ROW(T7:T89))+1))),ROW()-ROW(A$92)+1)),"##0")," ",SUBSTITUTE(INDEX(IF(PURCHASE_DESCRIPTION&lt;&gt;"",PURCHASE_DESCRIPTION&amp;":","")&amp;A7:A89,SMALL(IF(ISNUMBER(T7:T89),IF(T7:T89&gt;0,IF(W7:W89&lt;&gt;"",ROW(T7:T89)-MIN(ROW(T7:T89))+1))),ROW()-ROW(A$92)+1))," ",";")),"")</f>
        <v>0</v>
      </c>
      <c r="Y125">
        <f t="array" ref="Y125">IFERROR(CONCATENATE(TEXT(INDEX(Y7:Y89,SMALL(IF(ISNUMBER(Y7:Y89),IF(Y7:Y89&gt;0,IF(AB7:AB89&lt;&gt;"",ROW(Y7:Y89)-MIN(ROW(Y7:Y89))+1))),ROW()-ROW(A$93)+1)),"##0"),",",SUBSTITUTE(INDEX(IF(PURCHASE_DESCRIPTION&lt;&gt;"",PURCHASE_DESCRIPTION&amp;":","")&amp;A7:A89,SMALL(IF(ISNUMBER(Y7:Y89),IF(Y7:Y89&gt;0,IF(AB7:AB89&lt;&gt;"",ROW(Y7:Y89)-MIN(ROW(Y7:Y89))+1))),ROW()-ROW(A$93)+1)),",",";"),",",SUBSTITUTE(INDEX(IF(PURCHASE_DESCRIPTION&lt;&gt;"",PURCHASE_DESCRIPTION&amp;":","")&amp;D7:D89,SMALL(IF(ISNUMBER(Y7:Y89),IF(Y7:Y89&gt;0,IF(AB7:AB89&lt;&gt;"",ROW(Y7:Y89)-MIN(ROW(Y7:Y89))+1))),ROW()-ROW(A$93)+1)),",",";"),",",INDEX(AB7:AB89,SMALL(IF(ISNUMBER(Y7:Y89),IF(Y7:Y89&gt;0,IF(AB7:AB89&lt;&gt;"",ROW(Y7:Y89)-MIN(ROW(Y7:Y89))+1))),ROW()-ROW(A$93)+1))),"")</f>
        <v>0</v>
      </c>
      <c r="AD125">
        <f t="array" ref="AD125">IFERROR(CONCATENATE(INDEX(AG7:AG89,SMALL(IF(ISNUMBER(AD7:AD89),IF(AD7:AD89&gt;0,IF(AG7:AG89&lt;&gt;"",ROW(AD7:AD89)-MIN(ROW(AD7:AD89))+1))),ROW()-ROW(A$92)+1)),"|",TEXT(INDEX(AD7:AD89,SMALL(IF(ISNUMBER(AD7:AD89),IF(AD7:AD89&gt;0,IF(AG7:AG89&lt;&gt;"",ROW(AD7:AD89)-MIN(ROW(AD7:AD89))+1))),ROW()-ROW(A$92)+1)),"##0"),"|",SUBSTITUTE(SUBSTITUTE(INDEX(IF(PURCHASE_DESCRIPTION&lt;&gt;"",PURCHASE_DESCRIPTION&amp;":","")&amp;A7:A89,SMALL(IF(ISNUMBER(AD7:AD89),IF(AD7:AD89&gt;0,IF(AG7:AG89&lt;&gt;"",ROW(AD7:AD89)-MIN(ROW(AD7:AD89))+1))),ROW()-ROW(A$92)+1)),"|",";")," ","_")),"")</f>
        <v>0</v>
      </c>
      <c r="AI125">
        <f t="array" ref="AI125">IFERROR(CONCATENATE(INDEX(AL7:AL89,SMALL(IF(ISNUMBER(AI7:AI89),IF(AI7:AI89&gt;0,IF(AL7:AL89&lt;&gt;"",ROW(AI7:AI89)-MIN(ROW(AI7:AI89))+1))),ROW()-ROW(A$92)+1)),",",TEXT(INDEX(AI7:AI89,SMALL(IF(ISNUMBER(AI7:AI89),IF(AI7:AI89&gt;0,IF(AL7:AL89&lt;&gt;"",ROW(AI7:AI89)-MIN(ROW(AI7:AI89))+1))),ROW()-ROW(A$92)+1)),"##0"),",",SUBSTITUTE(INDEX(IF(PURCHASE_DESCRIPTION&lt;&gt;"",PURCHASE_DESCRIPTION&amp;":","")&amp;A7:A89,SMALL(IF(ISNUMBER(AI7:AI89),IF(AI7:AI89&gt;0,IF(AL7:AL89&lt;&gt;"",ROW(AI7:AI89)-MIN(ROW(AI7:AI89))+1))),ROW()-ROW(A$92)+1)),",",";")),"")</f>
        <v>0</v>
      </c>
      <c r="AN125">
        <f t="array" ref="AN125">IFERROR(CONCATENATE(INDEX(AQ7:AQ89,SMALL(IF(ISNUMBER(AN7:AN89),IF(AN7:AN89&gt;0,IF(AQ7:AQ89&lt;&gt;"",ROW(AN7:AN89)-MIN(ROW(AN7:AN89))+1))),ROW()-ROW(A$92)+1))," ",TEXT(INDEX(AN7:AN89,SMALL(IF(ISNUMBER(AN7:AN89),IF(AN7:AN89&gt;0,IF(AQ7:AQ89&lt;&gt;"",ROW(AN7:AN89)-MIN(ROW(AN7:AN89))+1))),ROW()-ROW(A$92)+1)),"##0")," ",SUBSTITUTE(INDEX(IF(PURCHASE_DESCRIPTION&lt;&gt;"",PURCHASE_DESCRIPTION&amp;":","")&amp;A7:A89,SMALL(IF(ISNUMBER(AN7:AN89),IF(AN7:AN89&gt;0,IF(AQ7:AQ89&lt;&gt;"",ROW(AN7:AN89)-MIN(ROW(AN7:AN89))+1))),ROW()-ROW(A$92)+1))," ",";")),"")</f>
        <v>0</v>
      </c>
      <c r="AS125">
        <f t="array" ref="AS125">IFERROR(CONCATENATE(INDEX(AV7:AV89,SMALL(IF(ISNUMBER(AS7:AS89),IF(AS7:AS89&gt;0,IF(AV7:AV89&lt;&gt;"",ROW(AS7:AS89)-MIN(ROW(AS7:AS89))+1))),ROW()-ROW(A$92)+1))," ",TEXT(INDEX(AS7:AS89,SMALL(IF(ISNUMBER(AS7:AS89),IF(AS7:AS89&gt;0,IF(AV7:AV89&lt;&gt;"",ROW(AS7:AS89)-MIN(ROW(AS7:AS89))+1))),ROW()-ROW(A$92)+1)),"##0")," ",SUBSTITUTE(INDEX(IF(PURCHASE_DESCRIPTION&lt;&gt;"",PURCHASE_DESCRIPTION&amp;":","")&amp;A7:A89,SMALL(IF(ISNUMBER(AS7:AS89),IF(AS7:AS89&gt;0,IF(AV7:AV89&lt;&gt;"",ROW(AS7:AS89)-MIN(ROW(AS7:AS89))+1))),ROW()-ROW(A$92)+1))," ",";")),"")</f>
        <v>0</v>
      </c>
    </row>
    <row r="126" spans="10:45">
      <c r="J126">
        <f t="array" ref="J126">IFERROR(CONCATENATE(INDEX(M7:M89,SMALL(IF(ISNUMBER(J7:J89),IF(J7:J89&gt;0,IF(M7:M89&lt;&gt;"",ROW(J7:J89)-MIN(ROW(J7:J89))+1))),ROW()-ROW(A$92)+1)),",",TEXT(INDEX(J7:J89,SMALL(IF(ISNUMBER(J7:J89),IF(J7:J89&gt;0,IF(M7:M89&lt;&gt;"",ROW(J7:J89)-MIN(ROW(J7:J89))+1))),ROW()-ROW(A$92)+1)),"##0"),",",SUBSTITUTE(INDEX(IF(PURCHASE_DESCRIPTION&lt;&gt;"",PURCHASE_DESCRIPTION&amp;":","")&amp;A7:A89,SMALL(IF(ISNUMBER(J7:J89),IF(J7:J89&gt;0,IF(M7:M89&lt;&gt;"",ROW(J7:J89)-MIN(ROW(J7:J89))+1))),ROW()-ROW(A$92)+1)),",",";")),"")</f>
        <v>0</v>
      </c>
      <c r="O126">
        <f t="array" ref="O126">IFERROR(CONCATENATE(TEXT(INDEX(O7:O89,SMALL(IF(ISNUMBER(O7:O89),IF(O7:O89&gt;0,IF(R7:R89&lt;&gt;"",ROW(O7:O89)-MIN(ROW(O7:O89))+1))),ROW()-ROW(A$92)+1)),"##0"),",",INDEX(R7:R89,SMALL(IF(ISNUMBER(O7:O89),IF(O7:O89&gt;0,IF(R7:R89&lt;&gt;"",ROW(O7:O89)-MIN(ROW(O7:O89))+1))),ROW()-ROW(A$92)+1)),",",SUBSTITUTE(INDEX(IF(PURCHASE_DESCRIPTION&lt;&gt;"",PURCHASE_DESCRIPTION&amp;":","")&amp;A7:A89,SMALL(IF(ISNUMBER(O7:O89),IF(O7:O89&gt;0,IF(R7:R89&lt;&gt;"",ROW(O7:O89)-MIN(ROW(O7:O89))+1))),ROW()-ROW(A$92)+1)),",",";")),"")</f>
        <v>0</v>
      </c>
      <c r="T126">
        <f t="array" ref="T126">IFERROR(CONCATENATE(INDEX(W7:W89,SMALL(IF(ISNUMBER(T7:T89),IF(T7:T89&gt;0,IF(W7:W89&lt;&gt;"",ROW(T7:T89)-MIN(ROW(T7:T89))+1))),ROW()-ROW(A$92)+1))," ",TEXT(INDEX(T7:T89,SMALL(IF(ISNUMBER(T7:T89),IF(T7:T89&gt;0,IF(W7:W89&lt;&gt;"",ROW(T7:T89)-MIN(ROW(T7:T89))+1))),ROW()-ROW(A$92)+1)),"##0")," ",SUBSTITUTE(INDEX(IF(PURCHASE_DESCRIPTION&lt;&gt;"",PURCHASE_DESCRIPTION&amp;":","")&amp;A7:A89,SMALL(IF(ISNUMBER(T7:T89),IF(T7:T89&gt;0,IF(W7:W89&lt;&gt;"",ROW(T7:T89)-MIN(ROW(T7:T89))+1))),ROW()-ROW(A$92)+1))," ",";")),"")</f>
        <v>0</v>
      </c>
      <c r="Y126">
        <f t="array" ref="Y126">IFERROR(CONCATENATE(TEXT(INDEX(Y7:Y89,SMALL(IF(ISNUMBER(Y7:Y89),IF(Y7:Y89&gt;0,IF(AB7:AB89&lt;&gt;"",ROW(Y7:Y89)-MIN(ROW(Y7:Y89))+1))),ROW()-ROW(A$93)+1)),"##0"),",",SUBSTITUTE(INDEX(IF(PURCHASE_DESCRIPTION&lt;&gt;"",PURCHASE_DESCRIPTION&amp;":","")&amp;A7:A89,SMALL(IF(ISNUMBER(Y7:Y89),IF(Y7:Y89&gt;0,IF(AB7:AB89&lt;&gt;"",ROW(Y7:Y89)-MIN(ROW(Y7:Y89))+1))),ROW()-ROW(A$93)+1)),",",";"),",",SUBSTITUTE(INDEX(IF(PURCHASE_DESCRIPTION&lt;&gt;"",PURCHASE_DESCRIPTION&amp;":","")&amp;D7:D89,SMALL(IF(ISNUMBER(Y7:Y89),IF(Y7:Y89&gt;0,IF(AB7:AB89&lt;&gt;"",ROW(Y7:Y89)-MIN(ROW(Y7:Y89))+1))),ROW()-ROW(A$93)+1)),",",";"),",",INDEX(AB7:AB89,SMALL(IF(ISNUMBER(Y7:Y89),IF(Y7:Y89&gt;0,IF(AB7:AB89&lt;&gt;"",ROW(Y7:Y89)-MIN(ROW(Y7:Y89))+1))),ROW()-ROW(A$93)+1))),"")</f>
        <v>0</v>
      </c>
      <c r="AD126">
        <f t="array" ref="AD126">IFERROR(CONCATENATE(INDEX(AG7:AG89,SMALL(IF(ISNUMBER(AD7:AD89),IF(AD7:AD89&gt;0,IF(AG7:AG89&lt;&gt;"",ROW(AD7:AD89)-MIN(ROW(AD7:AD89))+1))),ROW()-ROW(A$92)+1)),"|",TEXT(INDEX(AD7:AD89,SMALL(IF(ISNUMBER(AD7:AD89),IF(AD7:AD89&gt;0,IF(AG7:AG89&lt;&gt;"",ROW(AD7:AD89)-MIN(ROW(AD7:AD89))+1))),ROW()-ROW(A$92)+1)),"##0"),"|",SUBSTITUTE(SUBSTITUTE(INDEX(IF(PURCHASE_DESCRIPTION&lt;&gt;"",PURCHASE_DESCRIPTION&amp;":","")&amp;A7:A89,SMALL(IF(ISNUMBER(AD7:AD89),IF(AD7:AD89&gt;0,IF(AG7:AG89&lt;&gt;"",ROW(AD7:AD89)-MIN(ROW(AD7:AD89))+1))),ROW()-ROW(A$92)+1)),"|",";")," ","_")),"")</f>
        <v>0</v>
      </c>
      <c r="AI126">
        <f t="array" ref="AI126">IFERROR(CONCATENATE(INDEX(AL7:AL89,SMALL(IF(ISNUMBER(AI7:AI89),IF(AI7:AI89&gt;0,IF(AL7:AL89&lt;&gt;"",ROW(AI7:AI89)-MIN(ROW(AI7:AI89))+1))),ROW()-ROW(A$92)+1)),",",TEXT(INDEX(AI7:AI89,SMALL(IF(ISNUMBER(AI7:AI89),IF(AI7:AI89&gt;0,IF(AL7:AL89&lt;&gt;"",ROW(AI7:AI89)-MIN(ROW(AI7:AI89))+1))),ROW()-ROW(A$92)+1)),"##0"),",",SUBSTITUTE(INDEX(IF(PURCHASE_DESCRIPTION&lt;&gt;"",PURCHASE_DESCRIPTION&amp;":","")&amp;A7:A89,SMALL(IF(ISNUMBER(AI7:AI89),IF(AI7:AI89&gt;0,IF(AL7:AL89&lt;&gt;"",ROW(AI7:AI89)-MIN(ROW(AI7:AI89))+1))),ROW()-ROW(A$92)+1)),",",";")),"")</f>
        <v>0</v>
      </c>
      <c r="AN126">
        <f t="array" ref="AN126">IFERROR(CONCATENATE(INDEX(AQ7:AQ89,SMALL(IF(ISNUMBER(AN7:AN89),IF(AN7:AN89&gt;0,IF(AQ7:AQ89&lt;&gt;"",ROW(AN7:AN89)-MIN(ROW(AN7:AN89))+1))),ROW()-ROW(A$92)+1))," ",TEXT(INDEX(AN7:AN89,SMALL(IF(ISNUMBER(AN7:AN89),IF(AN7:AN89&gt;0,IF(AQ7:AQ89&lt;&gt;"",ROW(AN7:AN89)-MIN(ROW(AN7:AN89))+1))),ROW()-ROW(A$92)+1)),"##0")," ",SUBSTITUTE(INDEX(IF(PURCHASE_DESCRIPTION&lt;&gt;"",PURCHASE_DESCRIPTION&amp;":","")&amp;A7:A89,SMALL(IF(ISNUMBER(AN7:AN89),IF(AN7:AN89&gt;0,IF(AQ7:AQ89&lt;&gt;"",ROW(AN7:AN89)-MIN(ROW(AN7:AN89))+1))),ROW()-ROW(A$92)+1))," ",";")),"")</f>
        <v>0</v>
      </c>
      <c r="AS126">
        <f t="array" ref="AS126">IFERROR(CONCATENATE(INDEX(AV7:AV89,SMALL(IF(ISNUMBER(AS7:AS89),IF(AS7:AS89&gt;0,IF(AV7:AV89&lt;&gt;"",ROW(AS7:AS89)-MIN(ROW(AS7:AS89))+1))),ROW()-ROW(A$92)+1))," ",TEXT(INDEX(AS7:AS89,SMALL(IF(ISNUMBER(AS7:AS89),IF(AS7:AS89&gt;0,IF(AV7:AV89&lt;&gt;"",ROW(AS7:AS89)-MIN(ROW(AS7:AS89))+1))),ROW()-ROW(A$92)+1)),"##0")," ",SUBSTITUTE(INDEX(IF(PURCHASE_DESCRIPTION&lt;&gt;"",PURCHASE_DESCRIPTION&amp;":","")&amp;A7:A89,SMALL(IF(ISNUMBER(AS7:AS89),IF(AS7:AS89&gt;0,IF(AV7:AV89&lt;&gt;"",ROW(AS7:AS89)-MIN(ROW(AS7:AS89))+1))),ROW()-ROW(A$92)+1))," ",";")),"")</f>
        <v>0</v>
      </c>
    </row>
    <row r="127" spans="10:45">
      <c r="J127">
        <f t="array" ref="J127">IFERROR(CONCATENATE(INDEX(M7:M89,SMALL(IF(ISNUMBER(J7:J89),IF(J7:J89&gt;0,IF(M7:M89&lt;&gt;"",ROW(J7:J89)-MIN(ROW(J7:J89))+1))),ROW()-ROW(A$92)+1)),",",TEXT(INDEX(J7:J89,SMALL(IF(ISNUMBER(J7:J89),IF(J7:J89&gt;0,IF(M7:M89&lt;&gt;"",ROW(J7:J89)-MIN(ROW(J7:J89))+1))),ROW()-ROW(A$92)+1)),"##0"),",",SUBSTITUTE(INDEX(IF(PURCHASE_DESCRIPTION&lt;&gt;"",PURCHASE_DESCRIPTION&amp;":","")&amp;A7:A89,SMALL(IF(ISNUMBER(J7:J89),IF(J7:J89&gt;0,IF(M7:M89&lt;&gt;"",ROW(J7:J89)-MIN(ROW(J7:J89))+1))),ROW()-ROW(A$92)+1)),",",";")),"")</f>
        <v>0</v>
      </c>
      <c r="O127">
        <f t="array" ref="O127">IFERROR(CONCATENATE(TEXT(INDEX(O7:O89,SMALL(IF(ISNUMBER(O7:O89),IF(O7:O89&gt;0,IF(R7:R89&lt;&gt;"",ROW(O7:O89)-MIN(ROW(O7:O89))+1))),ROW()-ROW(A$92)+1)),"##0"),",",INDEX(R7:R89,SMALL(IF(ISNUMBER(O7:O89),IF(O7:O89&gt;0,IF(R7:R89&lt;&gt;"",ROW(O7:O89)-MIN(ROW(O7:O89))+1))),ROW()-ROW(A$92)+1)),",",SUBSTITUTE(INDEX(IF(PURCHASE_DESCRIPTION&lt;&gt;"",PURCHASE_DESCRIPTION&amp;":","")&amp;A7:A89,SMALL(IF(ISNUMBER(O7:O89),IF(O7:O89&gt;0,IF(R7:R89&lt;&gt;"",ROW(O7:O89)-MIN(ROW(O7:O89))+1))),ROW()-ROW(A$92)+1)),",",";")),"")</f>
        <v>0</v>
      </c>
      <c r="T127">
        <f t="array" ref="T127">IFERROR(CONCATENATE(INDEX(W7:W89,SMALL(IF(ISNUMBER(T7:T89),IF(T7:T89&gt;0,IF(W7:W89&lt;&gt;"",ROW(T7:T89)-MIN(ROW(T7:T89))+1))),ROW()-ROW(A$92)+1))," ",TEXT(INDEX(T7:T89,SMALL(IF(ISNUMBER(T7:T89),IF(T7:T89&gt;0,IF(W7:W89&lt;&gt;"",ROW(T7:T89)-MIN(ROW(T7:T89))+1))),ROW()-ROW(A$92)+1)),"##0")," ",SUBSTITUTE(INDEX(IF(PURCHASE_DESCRIPTION&lt;&gt;"",PURCHASE_DESCRIPTION&amp;":","")&amp;A7:A89,SMALL(IF(ISNUMBER(T7:T89),IF(T7:T89&gt;0,IF(W7:W89&lt;&gt;"",ROW(T7:T89)-MIN(ROW(T7:T89))+1))),ROW()-ROW(A$92)+1))," ",";")),"")</f>
        <v>0</v>
      </c>
      <c r="Y127">
        <f t="array" ref="Y127">IFERROR(CONCATENATE(TEXT(INDEX(Y7:Y89,SMALL(IF(ISNUMBER(Y7:Y89),IF(Y7:Y89&gt;0,IF(AB7:AB89&lt;&gt;"",ROW(Y7:Y89)-MIN(ROW(Y7:Y89))+1))),ROW()-ROW(A$93)+1)),"##0"),",",SUBSTITUTE(INDEX(IF(PURCHASE_DESCRIPTION&lt;&gt;"",PURCHASE_DESCRIPTION&amp;":","")&amp;A7:A89,SMALL(IF(ISNUMBER(Y7:Y89),IF(Y7:Y89&gt;0,IF(AB7:AB89&lt;&gt;"",ROW(Y7:Y89)-MIN(ROW(Y7:Y89))+1))),ROW()-ROW(A$93)+1)),",",";"),",",SUBSTITUTE(INDEX(IF(PURCHASE_DESCRIPTION&lt;&gt;"",PURCHASE_DESCRIPTION&amp;":","")&amp;D7:D89,SMALL(IF(ISNUMBER(Y7:Y89),IF(Y7:Y89&gt;0,IF(AB7:AB89&lt;&gt;"",ROW(Y7:Y89)-MIN(ROW(Y7:Y89))+1))),ROW()-ROW(A$93)+1)),",",";"),",",INDEX(AB7:AB89,SMALL(IF(ISNUMBER(Y7:Y89),IF(Y7:Y89&gt;0,IF(AB7:AB89&lt;&gt;"",ROW(Y7:Y89)-MIN(ROW(Y7:Y89))+1))),ROW()-ROW(A$93)+1))),"")</f>
        <v>0</v>
      </c>
      <c r="AD127">
        <f t="array" ref="AD127">IFERROR(CONCATENATE(INDEX(AG7:AG89,SMALL(IF(ISNUMBER(AD7:AD89),IF(AD7:AD89&gt;0,IF(AG7:AG89&lt;&gt;"",ROW(AD7:AD89)-MIN(ROW(AD7:AD89))+1))),ROW()-ROW(A$92)+1)),"|",TEXT(INDEX(AD7:AD89,SMALL(IF(ISNUMBER(AD7:AD89),IF(AD7:AD89&gt;0,IF(AG7:AG89&lt;&gt;"",ROW(AD7:AD89)-MIN(ROW(AD7:AD89))+1))),ROW()-ROW(A$92)+1)),"##0"),"|",SUBSTITUTE(SUBSTITUTE(INDEX(IF(PURCHASE_DESCRIPTION&lt;&gt;"",PURCHASE_DESCRIPTION&amp;":","")&amp;A7:A89,SMALL(IF(ISNUMBER(AD7:AD89),IF(AD7:AD89&gt;0,IF(AG7:AG89&lt;&gt;"",ROW(AD7:AD89)-MIN(ROW(AD7:AD89))+1))),ROW()-ROW(A$92)+1)),"|",";")," ","_")),"")</f>
        <v>0</v>
      </c>
      <c r="AI127">
        <f t="array" ref="AI127">IFERROR(CONCATENATE(INDEX(AL7:AL89,SMALL(IF(ISNUMBER(AI7:AI89),IF(AI7:AI89&gt;0,IF(AL7:AL89&lt;&gt;"",ROW(AI7:AI89)-MIN(ROW(AI7:AI89))+1))),ROW()-ROW(A$92)+1)),",",TEXT(INDEX(AI7:AI89,SMALL(IF(ISNUMBER(AI7:AI89),IF(AI7:AI89&gt;0,IF(AL7:AL89&lt;&gt;"",ROW(AI7:AI89)-MIN(ROW(AI7:AI89))+1))),ROW()-ROW(A$92)+1)),"##0"),",",SUBSTITUTE(INDEX(IF(PURCHASE_DESCRIPTION&lt;&gt;"",PURCHASE_DESCRIPTION&amp;":","")&amp;A7:A89,SMALL(IF(ISNUMBER(AI7:AI89),IF(AI7:AI89&gt;0,IF(AL7:AL89&lt;&gt;"",ROW(AI7:AI89)-MIN(ROW(AI7:AI89))+1))),ROW()-ROW(A$92)+1)),",",";")),"")</f>
        <v>0</v>
      </c>
      <c r="AN127">
        <f t="array" ref="AN127">IFERROR(CONCATENATE(INDEX(AQ7:AQ89,SMALL(IF(ISNUMBER(AN7:AN89),IF(AN7:AN89&gt;0,IF(AQ7:AQ89&lt;&gt;"",ROW(AN7:AN89)-MIN(ROW(AN7:AN89))+1))),ROW()-ROW(A$92)+1))," ",TEXT(INDEX(AN7:AN89,SMALL(IF(ISNUMBER(AN7:AN89),IF(AN7:AN89&gt;0,IF(AQ7:AQ89&lt;&gt;"",ROW(AN7:AN89)-MIN(ROW(AN7:AN89))+1))),ROW()-ROW(A$92)+1)),"##0")," ",SUBSTITUTE(INDEX(IF(PURCHASE_DESCRIPTION&lt;&gt;"",PURCHASE_DESCRIPTION&amp;":","")&amp;A7:A89,SMALL(IF(ISNUMBER(AN7:AN89),IF(AN7:AN89&gt;0,IF(AQ7:AQ89&lt;&gt;"",ROW(AN7:AN89)-MIN(ROW(AN7:AN89))+1))),ROW()-ROW(A$92)+1))," ",";")),"")</f>
        <v>0</v>
      </c>
      <c r="AS127">
        <f t="array" ref="AS127">IFERROR(CONCATENATE(INDEX(AV7:AV89,SMALL(IF(ISNUMBER(AS7:AS89),IF(AS7:AS89&gt;0,IF(AV7:AV89&lt;&gt;"",ROW(AS7:AS89)-MIN(ROW(AS7:AS89))+1))),ROW()-ROW(A$92)+1))," ",TEXT(INDEX(AS7:AS89,SMALL(IF(ISNUMBER(AS7:AS89),IF(AS7:AS89&gt;0,IF(AV7:AV89&lt;&gt;"",ROW(AS7:AS89)-MIN(ROW(AS7:AS89))+1))),ROW()-ROW(A$92)+1)),"##0")," ",SUBSTITUTE(INDEX(IF(PURCHASE_DESCRIPTION&lt;&gt;"",PURCHASE_DESCRIPTION&amp;":","")&amp;A7:A89,SMALL(IF(ISNUMBER(AS7:AS89),IF(AS7:AS89&gt;0,IF(AV7:AV89&lt;&gt;"",ROW(AS7:AS89)-MIN(ROW(AS7:AS89))+1))),ROW()-ROW(A$92)+1))," ",";")),"")</f>
        <v>0</v>
      </c>
    </row>
    <row r="128" spans="10:45">
      <c r="J128">
        <f t="array" ref="J128">IFERROR(CONCATENATE(INDEX(M7:M89,SMALL(IF(ISNUMBER(J7:J89),IF(J7:J89&gt;0,IF(M7:M89&lt;&gt;"",ROW(J7:J89)-MIN(ROW(J7:J89))+1))),ROW()-ROW(A$92)+1)),",",TEXT(INDEX(J7:J89,SMALL(IF(ISNUMBER(J7:J89),IF(J7:J89&gt;0,IF(M7:M89&lt;&gt;"",ROW(J7:J89)-MIN(ROW(J7:J89))+1))),ROW()-ROW(A$92)+1)),"##0"),",",SUBSTITUTE(INDEX(IF(PURCHASE_DESCRIPTION&lt;&gt;"",PURCHASE_DESCRIPTION&amp;":","")&amp;A7:A89,SMALL(IF(ISNUMBER(J7:J89),IF(J7:J89&gt;0,IF(M7:M89&lt;&gt;"",ROW(J7:J89)-MIN(ROW(J7:J89))+1))),ROW()-ROW(A$92)+1)),",",";")),"")</f>
        <v>0</v>
      </c>
      <c r="O128">
        <f t="array" ref="O128">IFERROR(CONCATENATE(TEXT(INDEX(O7:O89,SMALL(IF(ISNUMBER(O7:O89),IF(O7:O89&gt;0,IF(R7:R89&lt;&gt;"",ROW(O7:O89)-MIN(ROW(O7:O89))+1))),ROW()-ROW(A$92)+1)),"##0"),",",INDEX(R7:R89,SMALL(IF(ISNUMBER(O7:O89),IF(O7:O89&gt;0,IF(R7:R89&lt;&gt;"",ROW(O7:O89)-MIN(ROW(O7:O89))+1))),ROW()-ROW(A$92)+1)),",",SUBSTITUTE(INDEX(IF(PURCHASE_DESCRIPTION&lt;&gt;"",PURCHASE_DESCRIPTION&amp;":","")&amp;A7:A89,SMALL(IF(ISNUMBER(O7:O89),IF(O7:O89&gt;0,IF(R7:R89&lt;&gt;"",ROW(O7:O89)-MIN(ROW(O7:O89))+1))),ROW()-ROW(A$92)+1)),",",";")),"")</f>
        <v>0</v>
      </c>
      <c r="T128">
        <f t="array" ref="T128">IFERROR(CONCATENATE(INDEX(W7:W89,SMALL(IF(ISNUMBER(T7:T89),IF(T7:T89&gt;0,IF(W7:W89&lt;&gt;"",ROW(T7:T89)-MIN(ROW(T7:T89))+1))),ROW()-ROW(A$92)+1))," ",TEXT(INDEX(T7:T89,SMALL(IF(ISNUMBER(T7:T89),IF(T7:T89&gt;0,IF(W7:W89&lt;&gt;"",ROW(T7:T89)-MIN(ROW(T7:T89))+1))),ROW()-ROW(A$92)+1)),"##0")," ",SUBSTITUTE(INDEX(IF(PURCHASE_DESCRIPTION&lt;&gt;"",PURCHASE_DESCRIPTION&amp;":","")&amp;A7:A89,SMALL(IF(ISNUMBER(T7:T89),IF(T7:T89&gt;0,IF(W7:W89&lt;&gt;"",ROW(T7:T89)-MIN(ROW(T7:T89))+1))),ROW()-ROW(A$92)+1))," ",";")),"")</f>
        <v>0</v>
      </c>
      <c r="Y128">
        <f t="array" ref="Y128">IFERROR(CONCATENATE(TEXT(INDEX(Y7:Y89,SMALL(IF(ISNUMBER(Y7:Y89),IF(Y7:Y89&gt;0,IF(AB7:AB89&lt;&gt;"",ROW(Y7:Y89)-MIN(ROW(Y7:Y89))+1))),ROW()-ROW(A$93)+1)),"##0"),",",SUBSTITUTE(INDEX(IF(PURCHASE_DESCRIPTION&lt;&gt;"",PURCHASE_DESCRIPTION&amp;":","")&amp;A7:A89,SMALL(IF(ISNUMBER(Y7:Y89),IF(Y7:Y89&gt;0,IF(AB7:AB89&lt;&gt;"",ROW(Y7:Y89)-MIN(ROW(Y7:Y89))+1))),ROW()-ROW(A$93)+1)),",",";"),",",SUBSTITUTE(INDEX(IF(PURCHASE_DESCRIPTION&lt;&gt;"",PURCHASE_DESCRIPTION&amp;":","")&amp;D7:D89,SMALL(IF(ISNUMBER(Y7:Y89),IF(Y7:Y89&gt;0,IF(AB7:AB89&lt;&gt;"",ROW(Y7:Y89)-MIN(ROW(Y7:Y89))+1))),ROW()-ROW(A$93)+1)),",",";"),",",INDEX(AB7:AB89,SMALL(IF(ISNUMBER(Y7:Y89),IF(Y7:Y89&gt;0,IF(AB7:AB89&lt;&gt;"",ROW(Y7:Y89)-MIN(ROW(Y7:Y89))+1))),ROW()-ROW(A$93)+1))),"")</f>
        <v>0</v>
      </c>
      <c r="AD128">
        <f t="array" ref="AD128">IFERROR(CONCATENATE(INDEX(AG7:AG89,SMALL(IF(ISNUMBER(AD7:AD89),IF(AD7:AD89&gt;0,IF(AG7:AG89&lt;&gt;"",ROW(AD7:AD89)-MIN(ROW(AD7:AD89))+1))),ROW()-ROW(A$92)+1)),"|",TEXT(INDEX(AD7:AD89,SMALL(IF(ISNUMBER(AD7:AD89),IF(AD7:AD89&gt;0,IF(AG7:AG89&lt;&gt;"",ROW(AD7:AD89)-MIN(ROW(AD7:AD89))+1))),ROW()-ROW(A$92)+1)),"##0"),"|",SUBSTITUTE(SUBSTITUTE(INDEX(IF(PURCHASE_DESCRIPTION&lt;&gt;"",PURCHASE_DESCRIPTION&amp;":","")&amp;A7:A89,SMALL(IF(ISNUMBER(AD7:AD89),IF(AD7:AD89&gt;0,IF(AG7:AG89&lt;&gt;"",ROW(AD7:AD89)-MIN(ROW(AD7:AD89))+1))),ROW()-ROW(A$92)+1)),"|",";")," ","_")),"")</f>
        <v>0</v>
      </c>
      <c r="AI128">
        <f t="array" ref="AI128">IFERROR(CONCATENATE(INDEX(AL7:AL89,SMALL(IF(ISNUMBER(AI7:AI89),IF(AI7:AI89&gt;0,IF(AL7:AL89&lt;&gt;"",ROW(AI7:AI89)-MIN(ROW(AI7:AI89))+1))),ROW()-ROW(A$92)+1)),",",TEXT(INDEX(AI7:AI89,SMALL(IF(ISNUMBER(AI7:AI89),IF(AI7:AI89&gt;0,IF(AL7:AL89&lt;&gt;"",ROW(AI7:AI89)-MIN(ROW(AI7:AI89))+1))),ROW()-ROW(A$92)+1)),"##0"),",",SUBSTITUTE(INDEX(IF(PURCHASE_DESCRIPTION&lt;&gt;"",PURCHASE_DESCRIPTION&amp;":","")&amp;A7:A89,SMALL(IF(ISNUMBER(AI7:AI89),IF(AI7:AI89&gt;0,IF(AL7:AL89&lt;&gt;"",ROW(AI7:AI89)-MIN(ROW(AI7:AI89))+1))),ROW()-ROW(A$92)+1)),",",";")),"")</f>
        <v>0</v>
      </c>
      <c r="AN128">
        <f t="array" ref="AN128">IFERROR(CONCATENATE(INDEX(AQ7:AQ89,SMALL(IF(ISNUMBER(AN7:AN89),IF(AN7:AN89&gt;0,IF(AQ7:AQ89&lt;&gt;"",ROW(AN7:AN89)-MIN(ROW(AN7:AN89))+1))),ROW()-ROW(A$92)+1))," ",TEXT(INDEX(AN7:AN89,SMALL(IF(ISNUMBER(AN7:AN89),IF(AN7:AN89&gt;0,IF(AQ7:AQ89&lt;&gt;"",ROW(AN7:AN89)-MIN(ROW(AN7:AN89))+1))),ROW()-ROW(A$92)+1)),"##0")," ",SUBSTITUTE(INDEX(IF(PURCHASE_DESCRIPTION&lt;&gt;"",PURCHASE_DESCRIPTION&amp;":","")&amp;A7:A89,SMALL(IF(ISNUMBER(AN7:AN89),IF(AN7:AN89&gt;0,IF(AQ7:AQ89&lt;&gt;"",ROW(AN7:AN89)-MIN(ROW(AN7:AN89))+1))),ROW()-ROW(A$92)+1))," ",";")),"")</f>
        <v>0</v>
      </c>
      <c r="AS128">
        <f t="array" ref="AS128">IFERROR(CONCATENATE(INDEX(AV7:AV89,SMALL(IF(ISNUMBER(AS7:AS89),IF(AS7:AS89&gt;0,IF(AV7:AV89&lt;&gt;"",ROW(AS7:AS89)-MIN(ROW(AS7:AS89))+1))),ROW()-ROW(A$92)+1))," ",TEXT(INDEX(AS7:AS89,SMALL(IF(ISNUMBER(AS7:AS89),IF(AS7:AS89&gt;0,IF(AV7:AV89&lt;&gt;"",ROW(AS7:AS89)-MIN(ROW(AS7:AS89))+1))),ROW()-ROW(A$92)+1)),"##0")," ",SUBSTITUTE(INDEX(IF(PURCHASE_DESCRIPTION&lt;&gt;"",PURCHASE_DESCRIPTION&amp;":","")&amp;A7:A89,SMALL(IF(ISNUMBER(AS7:AS89),IF(AS7:AS89&gt;0,IF(AV7:AV89&lt;&gt;"",ROW(AS7:AS89)-MIN(ROW(AS7:AS89))+1))),ROW()-ROW(A$92)+1))," ",";")),"")</f>
        <v>0</v>
      </c>
    </row>
    <row r="129" spans="10:45">
      <c r="J129">
        <f t="array" ref="J129">IFERROR(CONCATENATE(INDEX(M7:M89,SMALL(IF(ISNUMBER(J7:J89),IF(J7:J89&gt;0,IF(M7:M89&lt;&gt;"",ROW(J7:J89)-MIN(ROW(J7:J89))+1))),ROW()-ROW(A$92)+1)),",",TEXT(INDEX(J7:J89,SMALL(IF(ISNUMBER(J7:J89),IF(J7:J89&gt;0,IF(M7:M89&lt;&gt;"",ROW(J7:J89)-MIN(ROW(J7:J89))+1))),ROW()-ROW(A$92)+1)),"##0"),",",SUBSTITUTE(INDEX(IF(PURCHASE_DESCRIPTION&lt;&gt;"",PURCHASE_DESCRIPTION&amp;":","")&amp;A7:A89,SMALL(IF(ISNUMBER(J7:J89),IF(J7:J89&gt;0,IF(M7:M89&lt;&gt;"",ROW(J7:J89)-MIN(ROW(J7:J89))+1))),ROW()-ROW(A$92)+1)),",",";")),"")</f>
        <v>0</v>
      </c>
      <c r="O129">
        <f t="array" ref="O129">IFERROR(CONCATENATE(TEXT(INDEX(O7:O89,SMALL(IF(ISNUMBER(O7:O89),IF(O7:O89&gt;0,IF(R7:R89&lt;&gt;"",ROW(O7:O89)-MIN(ROW(O7:O89))+1))),ROW()-ROW(A$92)+1)),"##0"),",",INDEX(R7:R89,SMALL(IF(ISNUMBER(O7:O89),IF(O7:O89&gt;0,IF(R7:R89&lt;&gt;"",ROW(O7:O89)-MIN(ROW(O7:O89))+1))),ROW()-ROW(A$92)+1)),",",SUBSTITUTE(INDEX(IF(PURCHASE_DESCRIPTION&lt;&gt;"",PURCHASE_DESCRIPTION&amp;":","")&amp;A7:A89,SMALL(IF(ISNUMBER(O7:O89),IF(O7:O89&gt;0,IF(R7:R89&lt;&gt;"",ROW(O7:O89)-MIN(ROW(O7:O89))+1))),ROW()-ROW(A$92)+1)),",",";")),"")</f>
        <v>0</v>
      </c>
      <c r="T129">
        <f t="array" ref="T129">IFERROR(CONCATENATE(INDEX(W7:W89,SMALL(IF(ISNUMBER(T7:T89),IF(T7:T89&gt;0,IF(W7:W89&lt;&gt;"",ROW(T7:T89)-MIN(ROW(T7:T89))+1))),ROW()-ROW(A$92)+1))," ",TEXT(INDEX(T7:T89,SMALL(IF(ISNUMBER(T7:T89),IF(T7:T89&gt;0,IF(W7:W89&lt;&gt;"",ROW(T7:T89)-MIN(ROW(T7:T89))+1))),ROW()-ROW(A$92)+1)),"##0")," ",SUBSTITUTE(INDEX(IF(PURCHASE_DESCRIPTION&lt;&gt;"",PURCHASE_DESCRIPTION&amp;":","")&amp;A7:A89,SMALL(IF(ISNUMBER(T7:T89),IF(T7:T89&gt;0,IF(W7:W89&lt;&gt;"",ROW(T7:T89)-MIN(ROW(T7:T89))+1))),ROW()-ROW(A$92)+1))," ",";")),"")</f>
        <v>0</v>
      </c>
      <c r="Y129">
        <f t="array" ref="Y129">IFERROR(CONCATENATE(TEXT(INDEX(Y7:Y89,SMALL(IF(ISNUMBER(Y7:Y89),IF(Y7:Y89&gt;0,IF(AB7:AB89&lt;&gt;"",ROW(Y7:Y89)-MIN(ROW(Y7:Y89))+1))),ROW()-ROW(A$93)+1)),"##0"),",",SUBSTITUTE(INDEX(IF(PURCHASE_DESCRIPTION&lt;&gt;"",PURCHASE_DESCRIPTION&amp;":","")&amp;A7:A89,SMALL(IF(ISNUMBER(Y7:Y89),IF(Y7:Y89&gt;0,IF(AB7:AB89&lt;&gt;"",ROW(Y7:Y89)-MIN(ROW(Y7:Y89))+1))),ROW()-ROW(A$93)+1)),",",";"),",",SUBSTITUTE(INDEX(IF(PURCHASE_DESCRIPTION&lt;&gt;"",PURCHASE_DESCRIPTION&amp;":","")&amp;D7:D89,SMALL(IF(ISNUMBER(Y7:Y89),IF(Y7:Y89&gt;0,IF(AB7:AB89&lt;&gt;"",ROW(Y7:Y89)-MIN(ROW(Y7:Y89))+1))),ROW()-ROW(A$93)+1)),",",";"),",",INDEX(AB7:AB89,SMALL(IF(ISNUMBER(Y7:Y89),IF(Y7:Y89&gt;0,IF(AB7:AB89&lt;&gt;"",ROW(Y7:Y89)-MIN(ROW(Y7:Y89))+1))),ROW()-ROW(A$93)+1))),"")</f>
        <v>0</v>
      </c>
      <c r="AD129">
        <f t="array" ref="AD129">IFERROR(CONCATENATE(INDEX(AG7:AG89,SMALL(IF(ISNUMBER(AD7:AD89),IF(AD7:AD89&gt;0,IF(AG7:AG89&lt;&gt;"",ROW(AD7:AD89)-MIN(ROW(AD7:AD89))+1))),ROW()-ROW(A$92)+1)),"|",TEXT(INDEX(AD7:AD89,SMALL(IF(ISNUMBER(AD7:AD89),IF(AD7:AD89&gt;0,IF(AG7:AG89&lt;&gt;"",ROW(AD7:AD89)-MIN(ROW(AD7:AD89))+1))),ROW()-ROW(A$92)+1)),"##0"),"|",SUBSTITUTE(SUBSTITUTE(INDEX(IF(PURCHASE_DESCRIPTION&lt;&gt;"",PURCHASE_DESCRIPTION&amp;":","")&amp;A7:A89,SMALL(IF(ISNUMBER(AD7:AD89),IF(AD7:AD89&gt;0,IF(AG7:AG89&lt;&gt;"",ROW(AD7:AD89)-MIN(ROW(AD7:AD89))+1))),ROW()-ROW(A$92)+1)),"|",";")," ","_")),"")</f>
        <v>0</v>
      </c>
      <c r="AI129">
        <f t="array" ref="AI129">IFERROR(CONCATENATE(INDEX(AL7:AL89,SMALL(IF(ISNUMBER(AI7:AI89),IF(AI7:AI89&gt;0,IF(AL7:AL89&lt;&gt;"",ROW(AI7:AI89)-MIN(ROW(AI7:AI89))+1))),ROW()-ROW(A$92)+1)),",",TEXT(INDEX(AI7:AI89,SMALL(IF(ISNUMBER(AI7:AI89),IF(AI7:AI89&gt;0,IF(AL7:AL89&lt;&gt;"",ROW(AI7:AI89)-MIN(ROW(AI7:AI89))+1))),ROW()-ROW(A$92)+1)),"##0"),",",SUBSTITUTE(INDEX(IF(PURCHASE_DESCRIPTION&lt;&gt;"",PURCHASE_DESCRIPTION&amp;":","")&amp;A7:A89,SMALL(IF(ISNUMBER(AI7:AI89),IF(AI7:AI89&gt;0,IF(AL7:AL89&lt;&gt;"",ROW(AI7:AI89)-MIN(ROW(AI7:AI89))+1))),ROW()-ROW(A$92)+1)),",",";")),"")</f>
        <v>0</v>
      </c>
      <c r="AN129">
        <f t="array" ref="AN129">IFERROR(CONCATENATE(INDEX(AQ7:AQ89,SMALL(IF(ISNUMBER(AN7:AN89),IF(AN7:AN89&gt;0,IF(AQ7:AQ89&lt;&gt;"",ROW(AN7:AN89)-MIN(ROW(AN7:AN89))+1))),ROW()-ROW(A$92)+1))," ",TEXT(INDEX(AN7:AN89,SMALL(IF(ISNUMBER(AN7:AN89),IF(AN7:AN89&gt;0,IF(AQ7:AQ89&lt;&gt;"",ROW(AN7:AN89)-MIN(ROW(AN7:AN89))+1))),ROW()-ROW(A$92)+1)),"##0")," ",SUBSTITUTE(INDEX(IF(PURCHASE_DESCRIPTION&lt;&gt;"",PURCHASE_DESCRIPTION&amp;":","")&amp;A7:A89,SMALL(IF(ISNUMBER(AN7:AN89),IF(AN7:AN89&gt;0,IF(AQ7:AQ89&lt;&gt;"",ROW(AN7:AN89)-MIN(ROW(AN7:AN89))+1))),ROW()-ROW(A$92)+1))," ",";")),"")</f>
        <v>0</v>
      </c>
      <c r="AS129">
        <f t="array" ref="AS129">IFERROR(CONCATENATE(INDEX(AV7:AV89,SMALL(IF(ISNUMBER(AS7:AS89),IF(AS7:AS89&gt;0,IF(AV7:AV89&lt;&gt;"",ROW(AS7:AS89)-MIN(ROW(AS7:AS89))+1))),ROW()-ROW(A$92)+1))," ",TEXT(INDEX(AS7:AS89,SMALL(IF(ISNUMBER(AS7:AS89),IF(AS7:AS89&gt;0,IF(AV7:AV89&lt;&gt;"",ROW(AS7:AS89)-MIN(ROW(AS7:AS89))+1))),ROW()-ROW(A$92)+1)),"##0")," ",SUBSTITUTE(INDEX(IF(PURCHASE_DESCRIPTION&lt;&gt;"",PURCHASE_DESCRIPTION&amp;":","")&amp;A7:A89,SMALL(IF(ISNUMBER(AS7:AS89),IF(AS7:AS89&gt;0,IF(AV7:AV89&lt;&gt;"",ROW(AS7:AS89)-MIN(ROW(AS7:AS89))+1))),ROW()-ROW(A$92)+1))," ",";")),"")</f>
        <v>0</v>
      </c>
    </row>
    <row r="130" spans="10:45">
      <c r="J130">
        <f t="array" ref="J130">IFERROR(CONCATENATE(INDEX(M7:M89,SMALL(IF(ISNUMBER(J7:J89),IF(J7:J89&gt;0,IF(M7:M89&lt;&gt;"",ROW(J7:J89)-MIN(ROW(J7:J89))+1))),ROW()-ROW(A$92)+1)),",",TEXT(INDEX(J7:J89,SMALL(IF(ISNUMBER(J7:J89),IF(J7:J89&gt;0,IF(M7:M89&lt;&gt;"",ROW(J7:J89)-MIN(ROW(J7:J89))+1))),ROW()-ROW(A$92)+1)),"##0"),",",SUBSTITUTE(INDEX(IF(PURCHASE_DESCRIPTION&lt;&gt;"",PURCHASE_DESCRIPTION&amp;":","")&amp;A7:A89,SMALL(IF(ISNUMBER(J7:J89),IF(J7:J89&gt;0,IF(M7:M89&lt;&gt;"",ROW(J7:J89)-MIN(ROW(J7:J89))+1))),ROW()-ROW(A$92)+1)),",",";")),"")</f>
        <v>0</v>
      </c>
      <c r="O130">
        <f t="array" ref="O130">IFERROR(CONCATENATE(TEXT(INDEX(O7:O89,SMALL(IF(ISNUMBER(O7:O89),IF(O7:O89&gt;0,IF(R7:R89&lt;&gt;"",ROW(O7:O89)-MIN(ROW(O7:O89))+1))),ROW()-ROW(A$92)+1)),"##0"),",",INDEX(R7:R89,SMALL(IF(ISNUMBER(O7:O89),IF(O7:O89&gt;0,IF(R7:R89&lt;&gt;"",ROW(O7:O89)-MIN(ROW(O7:O89))+1))),ROW()-ROW(A$92)+1)),",",SUBSTITUTE(INDEX(IF(PURCHASE_DESCRIPTION&lt;&gt;"",PURCHASE_DESCRIPTION&amp;":","")&amp;A7:A89,SMALL(IF(ISNUMBER(O7:O89),IF(O7:O89&gt;0,IF(R7:R89&lt;&gt;"",ROW(O7:O89)-MIN(ROW(O7:O89))+1))),ROW()-ROW(A$92)+1)),",",";")),"")</f>
        <v>0</v>
      </c>
      <c r="T130">
        <f t="array" ref="T130">IFERROR(CONCATENATE(INDEX(W7:W89,SMALL(IF(ISNUMBER(T7:T89),IF(T7:T89&gt;0,IF(W7:W89&lt;&gt;"",ROW(T7:T89)-MIN(ROW(T7:T89))+1))),ROW()-ROW(A$92)+1))," ",TEXT(INDEX(T7:T89,SMALL(IF(ISNUMBER(T7:T89),IF(T7:T89&gt;0,IF(W7:W89&lt;&gt;"",ROW(T7:T89)-MIN(ROW(T7:T89))+1))),ROW()-ROW(A$92)+1)),"##0")," ",SUBSTITUTE(INDEX(IF(PURCHASE_DESCRIPTION&lt;&gt;"",PURCHASE_DESCRIPTION&amp;":","")&amp;A7:A89,SMALL(IF(ISNUMBER(T7:T89),IF(T7:T89&gt;0,IF(W7:W89&lt;&gt;"",ROW(T7:T89)-MIN(ROW(T7:T89))+1))),ROW()-ROW(A$92)+1))," ",";")),"")</f>
        <v>0</v>
      </c>
      <c r="Y130">
        <f t="array" ref="Y130">IFERROR(CONCATENATE(TEXT(INDEX(Y7:Y89,SMALL(IF(ISNUMBER(Y7:Y89),IF(Y7:Y89&gt;0,IF(AB7:AB89&lt;&gt;"",ROW(Y7:Y89)-MIN(ROW(Y7:Y89))+1))),ROW()-ROW(A$93)+1)),"##0"),",",SUBSTITUTE(INDEX(IF(PURCHASE_DESCRIPTION&lt;&gt;"",PURCHASE_DESCRIPTION&amp;":","")&amp;A7:A89,SMALL(IF(ISNUMBER(Y7:Y89),IF(Y7:Y89&gt;0,IF(AB7:AB89&lt;&gt;"",ROW(Y7:Y89)-MIN(ROW(Y7:Y89))+1))),ROW()-ROW(A$93)+1)),",",";"),",",SUBSTITUTE(INDEX(IF(PURCHASE_DESCRIPTION&lt;&gt;"",PURCHASE_DESCRIPTION&amp;":","")&amp;D7:D89,SMALL(IF(ISNUMBER(Y7:Y89),IF(Y7:Y89&gt;0,IF(AB7:AB89&lt;&gt;"",ROW(Y7:Y89)-MIN(ROW(Y7:Y89))+1))),ROW()-ROW(A$93)+1)),",",";"),",",INDEX(AB7:AB89,SMALL(IF(ISNUMBER(Y7:Y89),IF(Y7:Y89&gt;0,IF(AB7:AB89&lt;&gt;"",ROW(Y7:Y89)-MIN(ROW(Y7:Y89))+1))),ROW()-ROW(A$93)+1))),"")</f>
        <v>0</v>
      </c>
      <c r="AD130">
        <f t="array" ref="AD130">IFERROR(CONCATENATE(INDEX(AG7:AG89,SMALL(IF(ISNUMBER(AD7:AD89),IF(AD7:AD89&gt;0,IF(AG7:AG89&lt;&gt;"",ROW(AD7:AD89)-MIN(ROW(AD7:AD89))+1))),ROW()-ROW(A$92)+1)),"|",TEXT(INDEX(AD7:AD89,SMALL(IF(ISNUMBER(AD7:AD89),IF(AD7:AD89&gt;0,IF(AG7:AG89&lt;&gt;"",ROW(AD7:AD89)-MIN(ROW(AD7:AD89))+1))),ROW()-ROW(A$92)+1)),"##0"),"|",SUBSTITUTE(SUBSTITUTE(INDEX(IF(PURCHASE_DESCRIPTION&lt;&gt;"",PURCHASE_DESCRIPTION&amp;":","")&amp;A7:A89,SMALL(IF(ISNUMBER(AD7:AD89),IF(AD7:AD89&gt;0,IF(AG7:AG89&lt;&gt;"",ROW(AD7:AD89)-MIN(ROW(AD7:AD89))+1))),ROW()-ROW(A$92)+1)),"|",";")," ","_")),"")</f>
        <v>0</v>
      </c>
      <c r="AI130">
        <f t="array" ref="AI130">IFERROR(CONCATENATE(INDEX(AL7:AL89,SMALL(IF(ISNUMBER(AI7:AI89),IF(AI7:AI89&gt;0,IF(AL7:AL89&lt;&gt;"",ROW(AI7:AI89)-MIN(ROW(AI7:AI89))+1))),ROW()-ROW(A$92)+1)),",",TEXT(INDEX(AI7:AI89,SMALL(IF(ISNUMBER(AI7:AI89),IF(AI7:AI89&gt;0,IF(AL7:AL89&lt;&gt;"",ROW(AI7:AI89)-MIN(ROW(AI7:AI89))+1))),ROW()-ROW(A$92)+1)),"##0"),",",SUBSTITUTE(INDEX(IF(PURCHASE_DESCRIPTION&lt;&gt;"",PURCHASE_DESCRIPTION&amp;":","")&amp;A7:A89,SMALL(IF(ISNUMBER(AI7:AI89),IF(AI7:AI89&gt;0,IF(AL7:AL89&lt;&gt;"",ROW(AI7:AI89)-MIN(ROW(AI7:AI89))+1))),ROW()-ROW(A$92)+1)),",",";")),"")</f>
        <v>0</v>
      </c>
      <c r="AN130">
        <f t="array" ref="AN130">IFERROR(CONCATENATE(INDEX(AQ7:AQ89,SMALL(IF(ISNUMBER(AN7:AN89),IF(AN7:AN89&gt;0,IF(AQ7:AQ89&lt;&gt;"",ROW(AN7:AN89)-MIN(ROW(AN7:AN89))+1))),ROW()-ROW(A$92)+1))," ",TEXT(INDEX(AN7:AN89,SMALL(IF(ISNUMBER(AN7:AN89),IF(AN7:AN89&gt;0,IF(AQ7:AQ89&lt;&gt;"",ROW(AN7:AN89)-MIN(ROW(AN7:AN89))+1))),ROW()-ROW(A$92)+1)),"##0")," ",SUBSTITUTE(INDEX(IF(PURCHASE_DESCRIPTION&lt;&gt;"",PURCHASE_DESCRIPTION&amp;":","")&amp;A7:A89,SMALL(IF(ISNUMBER(AN7:AN89),IF(AN7:AN89&gt;0,IF(AQ7:AQ89&lt;&gt;"",ROW(AN7:AN89)-MIN(ROW(AN7:AN89))+1))),ROW()-ROW(A$92)+1))," ",";")),"")</f>
        <v>0</v>
      </c>
      <c r="AS130">
        <f t="array" ref="AS130">IFERROR(CONCATENATE(INDEX(AV7:AV89,SMALL(IF(ISNUMBER(AS7:AS89),IF(AS7:AS89&gt;0,IF(AV7:AV89&lt;&gt;"",ROW(AS7:AS89)-MIN(ROW(AS7:AS89))+1))),ROW()-ROW(A$92)+1))," ",TEXT(INDEX(AS7:AS89,SMALL(IF(ISNUMBER(AS7:AS89),IF(AS7:AS89&gt;0,IF(AV7:AV89&lt;&gt;"",ROW(AS7:AS89)-MIN(ROW(AS7:AS89))+1))),ROW()-ROW(A$92)+1)),"##0")," ",SUBSTITUTE(INDEX(IF(PURCHASE_DESCRIPTION&lt;&gt;"",PURCHASE_DESCRIPTION&amp;":","")&amp;A7:A89,SMALL(IF(ISNUMBER(AS7:AS89),IF(AS7:AS89&gt;0,IF(AV7:AV89&lt;&gt;"",ROW(AS7:AS89)-MIN(ROW(AS7:AS89))+1))),ROW()-ROW(A$92)+1))," ",";")),"")</f>
        <v>0</v>
      </c>
    </row>
    <row r="131" spans="10:45">
      <c r="J131">
        <f t="array" ref="J131">IFERROR(CONCATENATE(INDEX(M7:M89,SMALL(IF(ISNUMBER(J7:J89),IF(J7:J89&gt;0,IF(M7:M89&lt;&gt;"",ROW(J7:J89)-MIN(ROW(J7:J89))+1))),ROW()-ROW(A$92)+1)),",",TEXT(INDEX(J7:J89,SMALL(IF(ISNUMBER(J7:J89),IF(J7:J89&gt;0,IF(M7:M89&lt;&gt;"",ROW(J7:J89)-MIN(ROW(J7:J89))+1))),ROW()-ROW(A$92)+1)),"##0"),",",SUBSTITUTE(INDEX(IF(PURCHASE_DESCRIPTION&lt;&gt;"",PURCHASE_DESCRIPTION&amp;":","")&amp;A7:A89,SMALL(IF(ISNUMBER(J7:J89),IF(J7:J89&gt;0,IF(M7:M89&lt;&gt;"",ROW(J7:J89)-MIN(ROW(J7:J89))+1))),ROW()-ROW(A$92)+1)),",",";")),"")</f>
        <v>0</v>
      </c>
      <c r="O131">
        <f t="array" ref="O131">IFERROR(CONCATENATE(TEXT(INDEX(O7:O89,SMALL(IF(ISNUMBER(O7:O89),IF(O7:O89&gt;0,IF(R7:R89&lt;&gt;"",ROW(O7:O89)-MIN(ROW(O7:O89))+1))),ROW()-ROW(A$92)+1)),"##0"),",",INDEX(R7:R89,SMALL(IF(ISNUMBER(O7:O89),IF(O7:O89&gt;0,IF(R7:R89&lt;&gt;"",ROW(O7:O89)-MIN(ROW(O7:O89))+1))),ROW()-ROW(A$92)+1)),",",SUBSTITUTE(INDEX(IF(PURCHASE_DESCRIPTION&lt;&gt;"",PURCHASE_DESCRIPTION&amp;":","")&amp;A7:A89,SMALL(IF(ISNUMBER(O7:O89),IF(O7:O89&gt;0,IF(R7:R89&lt;&gt;"",ROW(O7:O89)-MIN(ROW(O7:O89))+1))),ROW()-ROW(A$92)+1)),",",";")),"")</f>
        <v>0</v>
      </c>
      <c r="T131">
        <f t="array" ref="T131">IFERROR(CONCATENATE(INDEX(W7:W89,SMALL(IF(ISNUMBER(T7:T89),IF(T7:T89&gt;0,IF(W7:W89&lt;&gt;"",ROW(T7:T89)-MIN(ROW(T7:T89))+1))),ROW()-ROW(A$92)+1))," ",TEXT(INDEX(T7:T89,SMALL(IF(ISNUMBER(T7:T89),IF(T7:T89&gt;0,IF(W7:W89&lt;&gt;"",ROW(T7:T89)-MIN(ROW(T7:T89))+1))),ROW()-ROW(A$92)+1)),"##0")," ",SUBSTITUTE(INDEX(IF(PURCHASE_DESCRIPTION&lt;&gt;"",PURCHASE_DESCRIPTION&amp;":","")&amp;A7:A89,SMALL(IF(ISNUMBER(T7:T89),IF(T7:T89&gt;0,IF(W7:W89&lt;&gt;"",ROW(T7:T89)-MIN(ROW(T7:T89))+1))),ROW()-ROW(A$92)+1))," ",";")),"")</f>
        <v>0</v>
      </c>
      <c r="Y131">
        <f t="array" ref="Y131">IFERROR(CONCATENATE(TEXT(INDEX(Y7:Y89,SMALL(IF(ISNUMBER(Y7:Y89),IF(Y7:Y89&gt;0,IF(AB7:AB89&lt;&gt;"",ROW(Y7:Y89)-MIN(ROW(Y7:Y89))+1))),ROW()-ROW(A$93)+1)),"##0"),",",SUBSTITUTE(INDEX(IF(PURCHASE_DESCRIPTION&lt;&gt;"",PURCHASE_DESCRIPTION&amp;":","")&amp;A7:A89,SMALL(IF(ISNUMBER(Y7:Y89),IF(Y7:Y89&gt;0,IF(AB7:AB89&lt;&gt;"",ROW(Y7:Y89)-MIN(ROW(Y7:Y89))+1))),ROW()-ROW(A$93)+1)),",",";"),",",SUBSTITUTE(INDEX(IF(PURCHASE_DESCRIPTION&lt;&gt;"",PURCHASE_DESCRIPTION&amp;":","")&amp;D7:D89,SMALL(IF(ISNUMBER(Y7:Y89),IF(Y7:Y89&gt;0,IF(AB7:AB89&lt;&gt;"",ROW(Y7:Y89)-MIN(ROW(Y7:Y89))+1))),ROW()-ROW(A$93)+1)),",",";"),",",INDEX(AB7:AB89,SMALL(IF(ISNUMBER(Y7:Y89),IF(Y7:Y89&gt;0,IF(AB7:AB89&lt;&gt;"",ROW(Y7:Y89)-MIN(ROW(Y7:Y89))+1))),ROW()-ROW(A$93)+1))),"")</f>
        <v>0</v>
      </c>
      <c r="AD131">
        <f t="array" ref="AD131">IFERROR(CONCATENATE(INDEX(AG7:AG89,SMALL(IF(ISNUMBER(AD7:AD89),IF(AD7:AD89&gt;0,IF(AG7:AG89&lt;&gt;"",ROW(AD7:AD89)-MIN(ROW(AD7:AD89))+1))),ROW()-ROW(A$92)+1)),"|",TEXT(INDEX(AD7:AD89,SMALL(IF(ISNUMBER(AD7:AD89),IF(AD7:AD89&gt;0,IF(AG7:AG89&lt;&gt;"",ROW(AD7:AD89)-MIN(ROW(AD7:AD89))+1))),ROW()-ROW(A$92)+1)),"##0"),"|",SUBSTITUTE(SUBSTITUTE(INDEX(IF(PURCHASE_DESCRIPTION&lt;&gt;"",PURCHASE_DESCRIPTION&amp;":","")&amp;A7:A89,SMALL(IF(ISNUMBER(AD7:AD89),IF(AD7:AD89&gt;0,IF(AG7:AG89&lt;&gt;"",ROW(AD7:AD89)-MIN(ROW(AD7:AD89))+1))),ROW()-ROW(A$92)+1)),"|",";")," ","_")),"")</f>
        <v>0</v>
      </c>
      <c r="AI131">
        <f t="array" ref="AI131">IFERROR(CONCATENATE(INDEX(AL7:AL89,SMALL(IF(ISNUMBER(AI7:AI89),IF(AI7:AI89&gt;0,IF(AL7:AL89&lt;&gt;"",ROW(AI7:AI89)-MIN(ROW(AI7:AI89))+1))),ROW()-ROW(A$92)+1)),",",TEXT(INDEX(AI7:AI89,SMALL(IF(ISNUMBER(AI7:AI89),IF(AI7:AI89&gt;0,IF(AL7:AL89&lt;&gt;"",ROW(AI7:AI89)-MIN(ROW(AI7:AI89))+1))),ROW()-ROW(A$92)+1)),"##0"),",",SUBSTITUTE(INDEX(IF(PURCHASE_DESCRIPTION&lt;&gt;"",PURCHASE_DESCRIPTION&amp;":","")&amp;A7:A89,SMALL(IF(ISNUMBER(AI7:AI89),IF(AI7:AI89&gt;0,IF(AL7:AL89&lt;&gt;"",ROW(AI7:AI89)-MIN(ROW(AI7:AI89))+1))),ROW()-ROW(A$92)+1)),",",";")),"")</f>
        <v>0</v>
      </c>
      <c r="AN131">
        <f t="array" ref="AN131">IFERROR(CONCATENATE(INDEX(AQ7:AQ89,SMALL(IF(ISNUMBER(AN7:AN89),IF(AN7:AN89&gt;0,IF(AQ7:AQ89&lt;&gt;"",ROW(AN7:AN89)-MIN(ROW(AN7:AN89))+1))),ROW()-ROW(A$92)+1))," ",TEXT(INDEX(AN7:AN89,SMALL(IF(ISNUMBER(AN7:AN89),IF(AN7:AN89&gt;0,IF(AQ7:AQ89&lt;&gt;"",ROW(AN7:AN89)-MIN(ROW(AN7:AN89))+1))),ROW()-ROW(A$92)+1)),"##0")," ",SUBSTITUTE(INDEX(IF(PURCHASE_DESCRIPTION&lt;&gt;"",PURCHASE_DESCRIPTION&amp;":","")&amp;A7:A89,SMALL(IF(ISNUMBER(AN7:AN89),IF(AN7:AN89&gt;0,IF(AQ7:AQ89&lt;&gt;"",ROW(AN7:AN89)-MIN(ROW(AN7:AN89))+1))),ROW()-ROW(A$92)+1))," ",";")),"")</f>
        <v>0</v>
      </c>
      <c r="AS131">
        <f t="array" ref="AS131">IFERROR(CONCATENATE(INDEX(AV7:AV89,SMALL(IF(ISNUMBER(AS7:AS89),IF(AS7:AS89&gt;0,IF(AV7:AV89&lt;&gt;"",ROW(AS7:AS89)-MIN(ROW(AS7:AS89))+1))),ROW()-ROW(A$92)+1))," ",TEXT(INDEX(AS7:AS89,SMALL(IF(ISNUMBER(AS7:AS89),IF(AS7:AS89&gt;0,IF(AV7:AV89&lt;&gt;"",ROW(AS7:AS89)-MIN(ROW(AS7:AS89))+1))),ROW()-ROW(A$92)+1)),"##0")," ",SUBSTITUTE(INDEX(IF(PURCHASE_DESCRIPTION&lt;&gt;"",PURCHASE_DESCRIPTION&amp;":","")&amp;A7:A89,SMALL(IF(ISNUMBER(AS7:AS89),IF(AS7:AS89&gt;0,IF(AV7:AV89&lt;&gt;"",ROW(AS7:AS89)-MIN(ROW(AS7:AS89))+1))),ROW()-ROW(A$92)+1))," ",";")),"")</f>
        <v>0</v>
      </c>
    </row>
    <row r="132" spans="10:45">
      <c r="J132">
        <f t="array" ref="J132">IFERROR(CONCATENATE(INDEX(M7:M89,SMALL(IF(ISNUMBER(J7:J89),IF(J7:J89&gt;0,IF(M7:M89&lt;&gt;"",ROW(J7:J89)-MIN(ROW(J7:J89))+1))),ROW()-ROW(A$92)+1)),",",TEXT(INDEX(J7:J89,SMALL(IF(ISNUMBER(J7:J89),IF(J7:J89&gt;0,IF(M7:M89&lt;&gt;"",ROW(J7:J89)-MIN(ROW(J7:J89))+1))),ROW()-ROW(A$92)+1)),"##0"),",",SUBSTITUTE(INDEX(IF(PURCHASE_DESCRIPTION&lt;&gt;"",PURCHASE_DESCRIPTION&amp;":","")&amp;A7:A89,SMALL(IF(ISNUMBER(J7:J89),IF(J7:J89&gt;0,IF(M7:M89&lt;&gt;"",ROW(J7:J89)-MIN(ROW(J7:J89))+1))),ROW()-ROW(A$92)+1)),",",";")),"")</f>
        <v>0</v>
      </c>
      <c r="O132">
        <f t="array" ref="O132">IFERROR(CONCATENATE(TEXT(INDEX(O7:O89,SMALL(IF(ISNUMBER(O7:O89),IF(O7:O89&gt;0,IF(R7:R89&lt;&gt;"",ROW(O7:O89)-MIN(ROW(O7:O89))+1))),ROW()-ROW(A$92)+1)),"##0"),",",INDEX(R7:R89,SMALL(IF(ISNUMBER(O7:O89),IF(O7:O89&gt;0,IF(R7:R89&lt;&gt;"",ROW(O7:O89)-MIN(ROW(O7:O89))+1))),ROW()-ROW(A$92)+1)),",",SUBSTITUTE(INDEX(IF(PURCHASE_DESCRIPTION&lt;&gt;"",PURCHASE_DESCRIPTION&amp;":","")&amp;A7:A89,SMALL(IF(ISNUMBER(O7:O89),IF(O7:O89&gt;0,IF(R7:R89&lt;&gt;"",ROW(O7:O89)-MIN(ROW(O7:O89))+1))),ROW()-ROW(A$92)+1)),",",";")),"")</f>
        <v>0</v>
      </c>
      <c r="T132">
        <f t="array" ref="T132">IFERROR(CONCATENATE(INDEX(W7:W89,SMALL(IF(ISNUMBER(T7:T89),IF(T7:T89&gt;0,IF(W7:W89&lt;&gt;"",ROW(T7:T89)-MIN(ROW(T7:T89))+1))),ROW()-ROW(A$92)+1))," ",TEXT(INDEX(T7:T89,SMALL(IF(ISNUMBER(T7:T89),IF(T7:T89&gt;0,IF(W7:W89&lt;&gt;"",ROW(T7:T89)-MIN(ROW(T7:T89))+1))),ROW()-ROW(A$92)+1)),"##0")," ",SUBSTITUTE(INDEX(IF(PURCHASE_DESCRIPTION&lt;&gt;"",PURCHASE_DESCRIPTION&amp;":","")&amp;A7:A89,SMALL(IF(ISNUMBER(T7:T89),IF(T7:T89&gt;0,IF(W7:W89&lt;&gt;"",ROW(T7:T89)-MIN(ROW(T7:T89))+1))),ROW()-ROW(A$92)+1))," ",";")),"")</f>
        <v>0</v>
      </c>
      <c r="Y132">
        <f t="array" ref="Y132">IFERROR(CONCATENATE(TEXT(INDEX(Y7:Y89,SMALL(IF(ISNUMBER(Y7:Y89),IF(Y7:Y89&gt;0,IF(AB7:AB89&lt;&gt;"",ROW(Y7:Y89)-MIN(ROW(Y7:Y89))+1))),ROW()-ROW(A$93)+1)),"##0"),",",SUBSTITUTE(INDEX(IF(PURCHASE_DESCRIPTION&lt;&gt;"",PURCHASE_DESCRIPTION&amp;":","")&amp;A7:A89,SMALL(IF(ISNUMBER(Y7:Y89),IF(Y7:Y89&gt;0,IF(AB7:AB89&lt;&gt;"",ROW(Y7:Y89)-MIN(ROW(Y7:Y89))+1))),ROW()-ROW(A$93)+1)),",",";"),",",SUBSTITUTE(INDEX(IF(PURCHASE_DESCRIPTION&lt;&gt;"",PURCHASE_DESCRIPTION&amp;":","")&amp;D7:D89,SMALL(IF(ISNUMBER(Y7:Y89),IF(Y7:Y89&gt;0,IF(AB7:AB89&lt;&gt;"",ROW(Y7:Y89)-MIN(ROW(Y7:Y89))+1))),ROW()-ROW(A$93)+1)),",",";"),",",INDEX(AB7:AB89,SMALL(IF(ISNUMBER(Y7:Y89),IF(Y7:Y89&gt;0,IF(AB7:AB89&lt;&gt;"",ROW(Y7:Y89)-MIN(ROW(Y7:Y89))+1))),ROW()-ROW(A$93)+1))),"")</f>
        <v>0</v>
      </c>
      <c r="AD132">
        <f t="array" ref="AD132">IFERROR(CONCATENATE(INDEX(AG7:AG89,SMALL(IF(ISNUMBER(AD7:AD89),IF(AD7:AD89&gt;0,IF(AG7:AG89&lt;&gt;"",ROW(AD7:AD89)-MIN(ROW(AD7:AD89))+1))),ROW()-ROW(A$92)+1)),"|",TEXT(INDEX(AD7:AD89,SMALL(IF(ISNUMBER(AD7:AD89),IF(AD7:AD89&gt;0,IF(AG7:AG89&lt;&gt;"",ROW(AD7:AD89)-MIN(ROW(AD7:AD89))+1))),ROW()-ROW(A$92)+1)),"##0"),"|",SUBSTITUTE(SUBSTITUTE(INDEX(IF(PURCHASE_DESCRIPTION&lt;&gt;"",PURCHASE_DESCRIPTION&amp;":","")&amp;A7:A89,SMALL(IF(ISNUMBER(AD7:AD89),IF(AD7:AD89&gt;0,IF(AG7:AG89&lt;&gt;"",ROW(AD7:AD89)-MIN(ROW(AD7:AD89))+1))),ROW()-ROW(A$92)+1)),"|",";")," ","_")),"")</f>
        <v>0</v>
      </c>
      <c r="AI132">
        <f t="array" ref="AI132">IFERROR(CONCATENATE(INDEX(AL7:AL89,SMALL(IF(ISNUMBER(AI7:AI89),IF(AI7:AI89&gt;0,IF(AL7:AL89&lt;&gt;"",ROW(AI7:AI89)-MIN(ROW(AI7:AI89))+1))),ROW()-ROW(A$92)+1)),",",TEXT(INDEX(AI7:AI89,SMALL(IF(ISNUMBER(AI7:AI89),IF(AI7:AI89&gt;0,IF(AL7:AL89&lt;&gt;"",ROW(AI7:AI89)-MIN(ROW(AI7:AI89))+1))),ROW()-ROW(A$92)+1)),"##0"),",",SUBSTITUTE(INDEX(IF(PURCHASE_DESCRIPTION&lt;&gt;"",PURCHASE_DESCRIPTION&amp;":","")&amp;A7:A89,SMALL(IF(ISNUMBER(AI7:AI89),IF(AI7:AI89&gt;0,IF(AL7:AL89&lt;&gt;"",ROW(AI7:AI89)-MIN(ROW(AI7:AI89))+1))),ROW()-ROW(A$92)+1)),",",";")),"")</f>
        <v>0</v>
      </c>
      <c r="AN132">
        <f t="array" ref="AN132">IFERROR(CONCATENATE(INDEX(AQ7:AQ89,SMALL(IF(ISNUMBER(AN7:AN89),IF(AN7:AN89&gt;0,IF(AQ7:AQ89&lt;&gt;"",ROW(AN7:AN89)-MIN(ROW(AN7:AN89))+1))),ROW()-ROW(A$92)+1))," ",TEXT(INDEX(AN7:AN89,SMALL(IF(ISNUMBER(AN7:AN89),IF(AN7:AN89&gt;0,IF(AQ7:AQ89&lt;&gt;"",ROW(AN7:AN89)-MIN(ROW(AN7:AN89))+1))),ROW()-ROW(A$92)+1)),"##0")," ",SUBSTITUTE(INDEX(IF(PURCHASE_DESCRIPTION&lt;&gt;"",PURCHASE_DESCRIPTION&amp;":","")&amp;A7:A89,SMALL(IF(ISNUMBER(AN7:AN89),IF(AN7:AN89&gt;0,IF(AQ7:AQ89&lt;&gt;"",ROW(AN7:AN89)-MIN(ROW(AN7:AN89))+1))),ROW()-ROW(A$92)+1))," ",";")),"")</f>
        <v>0</v>
      </c>
      <c r="AS132">
        <f t="array" ref="AS132">IFERROR(CONCATENATE(INDEX(AV7:AV89,SMALL(IF(ISNUMBER(AS7:AS89),IF(AS7:AS89&gt;0,IF(AV7:AV89&lt;&gt;"",ROW(AS7:AS89)-MIN(ROW(AS7:AS89))+1))),ROW()-ROW(A$92)+1))," ",TEXT(INDEX(AS7:AS89,SMALL(IF(ISNUMBER(AS7:AS89),IF(AS7:AS89&gt;0,IF(AV7:AV89&lt;&gt;"",ROW(AS7:AS89)-MIN(ROW(AS7:AS89))+1))),ROW()-ROW(A$92)+1)),"##0")," ",SUBSTITUTE(INDEX(IF(PURCHASE_DESCRIPTION&lt;&gt;"",PURCHASE_DESCRIPTION&amp;":","")&amp;A7:A89,SMALL(IF(ISNUMBER(AS7:AS89),IF(AS7:AS89&gt;0,IF(AV7:AV89&lt;&gt;"",ROW(AS7:AS89)-MIN(ROW(AS7:AS89))+1))),ROW()-ROW(A$92)+1))," ",";")),"")</f>
        <v>0</v>
      </c>
    </row>
    <row r="133" spans="10:45">
      <c r="J133">
        <f t="array" ref="J133">IFERROR(CONCATENATE(INDEX(M7:M89,SMALL(IF(ISNUMBER(J7:J89),IF(J7:J89&gt;0,IF(M7:M89&lt;&gt;"",ROW(J7:J89)-MIN(ROW(J7:J89))+1))),ROW()-ROW(A$92)+1)),",",TEXT(INDEX(J7:J89,SMALL(IF(ISNUMBER(J7:J89),IF(J7:J89&gt;0,IF(M7:M89&lt;&gt;"",ROW(J7:J89)-MIN(ROW(J7:J89))+1))),ROW()-ROW(A$92)+1)),"##0"),",",SUBSTITUTE(INDEX(IF(PURCHASE_DESCRIPTION&lt;&gt;"",PURCHASE_DESCRIPTION&amp;":","")&amp;A7:A89,SMALL(IF(ISNUMBER(J7:J89),IF(J7:J89&gt;0,IF(M7:M89&lt;&gt;"",ROW(J7:J89)-MIN(ROW(J7:J89))+1))),ROW()-ROW(A$92)+1)),",",";")),"")</f>
        <v>0</v>
      </c>
      <c r="O133">
        <f t="array" ref="O133">IFERROR(CONCATENATE(TEXT(INDEX(O7:O89,SMALL(IF(ISNUMBER(O7:O89),IF(O7:O89&gt;0,IF(R7:R89&lt;&gt;"",ROW(O7:O89)-MIN(ROW(O7:O89))+1))),ROW()-ROW(A$92)+1)),"##0"),",",INDEX(R7:R89,SMALL(IF(ISNUMBER(O7:O89),IF(O7:O89&gt;0,IF(R7:R89&lt;&gt;"",ROW(O7:O89)-MIN(ROW(O7:O89))+1))),ROW()-ROW(A$92)+1)),",",SUBSTITUTE(INDEX(IF(PURCHASE_DESCRIPTION&lt;&gt;"",PURCHASE_DESCRIPTION&amp;":","")&amp;A7:A89,SMALL(IF(ISNUMBER(O7:O89),IF(O7:O89&gt;0,IF(R7:R89&lt;&gt;"",ROW(O7:O89)-MIN(ROW(O7:O89))+1))),ROW()-ROW(A$92)+1)),",",";")),"")</f>
        <v>0</v>
      </c>
      <c r="T133">
        <f t="array" ref="T133">IFERROR(CONCATENATE(INDEX(W7:W89,SMALL(IF(ISNUMBER(T7:T89),IF(T7:T89&gt;0,IF(W7:W89&lt;&gt;"",ROW(T7:T89)-MIN(ROW(T7:T89))+1))),ROW()-ROW(A$92)+1))," ",TEXT(INDEX(T7:T89,SMALL(IF(ISNUMBER(T7:T89),IF(T7:T89&gt;0,IF(W7:W89&lt;&gt;"",ROW(T7:T89)-MIN(ROW(T7:T89))+1))),ROW()-ROW(A$92)+1)),"##0")," ",SUBSTITUTE(INDEX(IF(PURCHASE_DESCRIPTION&lt;&gt;"",PURCHASE_DESCRIPTION&amp;":","")&amp;A7:A89,SMALL(IF(ISNUMBER(T7:T89),IF(T7:T89&gt;0,IF(W7:W89&lt;&gt;"",ROW(T7:T89)-MIN(ROW(T7:T89))+1))),ROW()-ROW(A$92)+1))," ",";")),"")</f>
        <v>0</v>
      </c>
      <c r="Y133">
        <f t="array" ref="Y133">IFERROR(CONCATENATE(TEXT(INDEX(Y7:Y89,SMALL(IF(ISNUMBER(Y7:Y89),IF(Y7:Y89&gt;0,IF(AB7:AB89&lt;&gt;"",ROW(Y7:Y89)-MIN(ROW(Y7:Y89))+1))),ROW()-ROW(A$93)+1)),"##0"),",",SUBSTITUTE(INDEX(IF(PURCHASE_DESCRIPTION&lt;&gt;"",PURCHASE_DESCRIPTION&amp;":","")&amp;A7:A89,SMALL(IF(ISNUMBER(Y7:Y89),IF(Y7:Y89&gt;0,IF(AB7:AB89&lt;&gt;"",ROW(Y7:Y89)-MIN(ROW(Y7:Y89))+1))),ROW()-ROW(A$93)+1)),",",";"),",",SUBSTITUTE(INDEX(IF(PURCHASE_DESCRIPTION&lt;&gt;"",PURCHASE_DESCRIPTION&amp;":","")&amp;D7:D89,SMALL(IF(ISNUMBER(Y7:Y89),IF(Y7:Y89&gt;0,IF(AB7:AB89&lt;&gt;"",ROW(Y7:Y89)-MIN(ROW(Y7:Y89))+1))),ROW()-ROW(A$93)+1)),",",";"),",",INDEX(AB7:AB89,SMALL(IF(ISNUMBER(Y7:Y89),IF(Y7:Y89&gt;0,IF(AB7:AB89&lt;&gt;"",ROW(Y7:Y89)-MIN(ROW(Y7:Y89))+1))),ROW()-ROW(A$93)+1))),"")</f>
        <v>0</v>
      </c>
      <c r="AD133">
        <f t="array" ref="AD133">IFERROR(CONCATENATE(INDEX(AG7:AG89,SMALL(IF(ISNUMBER(AD7:AD89),IF(AD7:AD89&gt;0,IF(AG7:AG89&lt;&gt;"",ROW(AD7:AD89)-MIN(ROW(AD7:AD89))+1))),ROW()-ROW(A$92)+1)),"|",TEXT(INDEX(AD7:AD89,SMALL(IF(ISNUMBER(AD7:AD89),IF(AD7:AD89&gt;0,IF(AG7:AG89&lt;&gt;"",ROW(AD7:AD89)-MIN(ROW(AD7:AD89))+1))),ROW()-ROW(A$92)+1)),"##0"),"|",SUBSTITUTE(SUBSTITUTE(INDEX(IF(PURCHASE_DESCRIPTION&lt;&gt;"",PURCHASE_DESCRIPTION&amp;":","")&amp;A7:A89,SMALL(IF(ISNUMBER(AD7:AD89),IF(AD7:AD89&gt;0,IF(AG7:AG89&lt;&gt;"",ROW(AD7:AD89)-MIN(ROW(AD7:AD89))+1))),ROW()-ROW(A$92)+1)),"|",";")," ","_")),"")</f>
        <v>0</v>
      </c>
      <c r="AI133">
        <f t="array" ref="AI133">IFERROR(CONCATENATE(INDEX(AL7:AL89,SMALL(IF(ISNUMBER(AI7:AI89),IF(AI7:AI89&gt;0,IF(AL7:AL89&lt;&gt;"",ROW(AI7:AI89)-MIN(ROW(AI7:AI89))+1))),ROW()-ROW(A$92)+1)),",",TEXT(INDEX(AI7:AI89,SMALL(IF(ISNUMBER(AI7:AI89),IF(AI7:AI89&gt;0,IF(AL7:AL89&lt;&gt;"",ROW(AI7:AI89)-MIN(ROW(AI7:AI89))+1))),ROW()-ROW(A$92)+1)),"##0"),",",SUBSTITUTE(INDEX(IF(PURCHASE_DESCRIPTION&lt;&gt;"",PURCHASE_DESCRIPTION&amp;":","")&amp;A7:A89,SMALL(IF(ISNUMBER(AI7:AI89),IF(AI7:AI89&gt;0,IF(AL7:AL89&lt;&gt;"",ROW(AI7:AI89)-MIN(ROW(AI7:AI89))+1))),ROW()-ROW(A$92)+1)),",",";")),"")</f>
        <v>0</v>
      </c>
      <c r="AN133">
        <f t="array" ref="AN133">IFERROR(CONCATENATE(INDEX(AQ7:AQ89,SMALL(IF(ISNUMBER(AN7:AN89),IF(AN7:AN89&gt;0,IF(AQ7:AQ89&lt;&gt;"",ROW(AN7:AN89)-MIN(ROW(AN7:AN89))+1))),ROW()-ROW(A$92)+1))," ",TEXT(INDEX(AN7:AN89,SMALL(IF(ISNUMBER(AN7:AN89),IF(AN7:AN89&gt;0,IF(AQ7:AQ89&lt;&gt;"",ROW(AN7:AN89)-MIN(ROW(AN7:AN89))+1))),ROW()-ROW(A$92)+1)),"##0")," ",SUBSTITUTE(INDEX(IF(PURCHASE_DESCRIPTION&lt;&gt;"",PURCHASE_DESCRIPTION&amp;":","")&amp;A7:A89,SMALL(IF(ISNUMBER(AN7:AN89),IF(AN7:AN89&gt;0,IF(AQ7:AQ89&lt;&gt;"",ROW(AN7:AN89)-MIN(ROW(AN7:AN89))+1))),ROW()-ROW(A$92)+1))," ",";")),"")</f>
        <v>0</v>
      </c>
      <c r="AS133">
        <f t="array" ref="AS133">IFERROR(CONCATENATE(INDEX(AV7:AV89,SMALL(IF(ISNUMBER(AS7:AS89),IF(AS7:AS89&gt;0,IF(AV7:AV89&lt;&gt;"",ROW(AS7:AS89)-MIN(ROW(AS7:AS89))+1))),ROW()-ROW(A$92)+1))," ",TEXT(INDEX(AS7:AS89,SMALL(IF(ISNUMBER(AS7:AS89),IF(AS7:AS89&gt;0,IF(AV7:AV89&lt;&gt;"",ROW(AS7:AS89)-MIN(ROW(AS7:AS89))+1))),ROW()-ROW(A$92)+1)),"##0")," ",SUBSTITUTE(INDEX(IF(PURCHASE_DESCRIPTION&lt;&gt;"",PURCHASE_DESCRIPTION&amp;":","")&amp;A7:A89,SMALL(IF(ISNUMBER(AS7:AS89),IF(AS7:AS89&gt;0,IF(AV7:AV89&lt;&gt;"",ROW(AS7:AS89)-MIN(ROW(AS7:AS89))+1))),ROW()-ROW(A$92)+1))," ",";")),"")</f>
        <v>0</v>
      </c>
    </row>
    <row r="134" spans="10:45">
      <c r="J134">
        <f t="array" ref="J134">IFERROR(CONCATENATE(INDEX(M7:M89,SMALL(IF(ISNUMBER(J7:J89),IF(J7:J89&gt;0,IF(M7:M89&lt;&gt;"",ROW(J7:J89)-MIN(ROW(J7:J89))+1))),ROW()-ROW(A$92)+1)),",",TEXT(INDEX(J7:J89,SMALL(IF(ISNUMBER(J7:J89),IF(J7:J89&gt;0,IF(M7:M89&lt;&gt;"",ROW(J7:J89)-MIN(ROW(J7:J89))+1))),ROW()-ROW(A$92)+1)),"##0"),",",SUBSTITUTE(INDEX(IF(PURCHASE_DESCRIPTION&lt;&gt;"",PURCHASE_DESCRIPTION&amp;":","")&amp;A7:A89,SMALL(IF(ISNUMBER(J7:J89),IF(J7:J89&gt;0,IF(M7:M89&lt;&gt;"",ROW(J7:J89)-MIN(ROW(J7:J89))+1))),ROW()-ROW(A$92)+1)),",",";")),"")</f>
        <v>0</v>
      </c>
      <c r="O134">
        <f t="array" ref="O134">IFERROR(CONCATENATE(TEXT(INDEX(O7:O89,SMALL(IF(ISNUMBER(O7:O89),IF(O7:O89&gt;0,IF(R7:R89&lt;&gt;"",ROW(O7:O89)-MIN(ROW(O7:O89))+1))),ROW()-ROW(A$92)+1)),"##0"),",",INDEX(R7:R89,SMALL(IF(ISNUMBER(O7:O89),IF(O7:O89&gt;0,IF(R7:R89&lt;&gt;"",ROW(O7:O89)-MIN(ROW(O7:O89))+1))),ROW()-ROW(A$92)+1)),",",SUBSTITUTE(INDEX(IF(PURCHASE_DESCRIPTION&lt;&gt;"",PURCHASE_DESCRIPTION&amp;":","")&amp;A7:A89,SMALL(IF(ISNUMBER(O7:O89),IF(O7:O89&gt;0,IF(R7:R89&lt;&gt;"",ROW(O7:O89)-MIN(ROW(O7:O89))+1))),ROW()-ROW(A$92)+1)),",",";")),"")</f>
        <v>0</v>
      </c>
      <c r="T134">
        <f t="array" ref="T134">IFERROR(CONCATENATE(INDEX(W7:W89,SMALL(IF(ISNUMBER(T7:T89),IF(T7:T89&gt;0,IF(W7:W89&lt;&gt;"",ROW(T7:T89)-MIN(ROW(T7:T89))+1))),ROW()-ROW(A$92)+1))," ",TEXT(INDEX(T7:T89,SMALL(IF(ISNUMBER(T7:T89),IF(T7:T89&gt;0,IF(W7:W89&lt;&gt;"",ROW(T7:T89)-MIN(ROW(T7:T89))+1))),ROW()-ROW(A$92)+1)),"##0")," ",SUBSTITUTE(INDEX(IF(PURCHASE_DESCRIPTION&lt;&gt;"",PURCHASE_DESCRIPTION&amp;":","")&amp;A7:A89,SMALL(IF(ISNUMBER(T7:T89),IF(T7:T89&gt;0,IF(W7:W89&lt;&gt;"",ROW(T7:T89)-MIN(ROW(T7:T89))+1))),ROW()-ROW(A$92)+1))," ",";")),"")</f>
        <v>0</v>
      </c>
      <c r="Y134">
        <f t="array" ref="Y134">IFERROR(CONCATENATE(TEXT(INDEX(Y7:Y89,SMALL(IF(ISNUMBER(Y7:Y89),IF(Y7:Y89&gt;0,IF(AB7:AB89&lt;&gt;"",ROW(Y7:Y89)-MIN(ROW(Y7:Y89))+1))),ROW()-ROW(A$93)+1)),"##0"),",",SUBSTITUTE(INDEX(IF(PURCHASE_DESCRIPTION&lt;&gt;"",PURCHASE_DESCRIPTION&amp;":","")&amp;A7:A89,SMALL(IF(ISNUMBER(Y7:Y89),IF(Y7:Y89&gt;0,IF(AB7:AB89&lt;&gt;"",ROW(Y7:Y89)-MIN(ROW(Y7:Y89))+1))),ROW()-ROW(A$93)+1)),",",";"),",",SUBSTITUTE(INDEX(IF(PURCHASE_DESCRIPTION&lt;&gt;"",PURCHASE_DESCRIPTION&amp;":","")&amp;D7:D89,SMALL(IF(ISNUMBER(Y7:Y89),IF(Y7:Y89&gt;0,IF(AB7:AB89&lt;&gt;"",ROW(Y7:Y89)-MIN(ROW(Y7:Y89))+1))),ROW()-ROW(A$93)+1)),",",";"),",",INDEX(AB7:AB89,SMALL(IF(ISNUMBER(Y7:Y89),IF(Y7:Y89&gt;0,IF(AB7:AB89&lt;&gt;"",ROW(Y7:Y89)-MIN(ROW(Y7:Y89))+1))),ROW()-ROW(A$93)+1))),"")</f>
        <v>0</v>
      </c>
      <c r="AD134">
        <f t="array" ref="AD134">IFERROR(CONCATENATE(INDEX(AG7:AG89,SMALL(IF(ISNUMBER(AD7:AD89),IF(AD7:AD89&gt;0,IF(AG7:AG89&lt;&gt;"",ROW(AD7:AD89)-MIN(ROW(AD7:AD89))+1))),ROW()-ROW(A$92)+1)),"|",TEXT(INDEX(AD7:AD89,SMALL(IF(ISNUMBER(AD7:AD89),IF(AD7:AD89&gt;0,IF(AG7:AG89&lt;&gt;"",ROW(AD7:AD89)-MIN(ROW(AD7:AD89))+1))),ROW()-ROW(A$92)+1)),"##0"),"|",SUBSTITUTE(SUBSTITUTE(INDEX(IF(PURCHASE_DESCRIPTION&lt;&gt;"",PURCHASE_DESCRIPTION&amp;":","")&amp;A7:A89,SMALL(IF(ISNUMBER(AD7:AD89),IF(AD7:AD89&gt;0,IF(AG7:AG89&lt;&gt;"",ROW(AD7:AD89)-MIN(ROW(AD7:AD89))+1))),ROW()-ROW(A$92)+1)),"|",";")," ","_")),"")</f>
        <v>0</v>
      </c>
      <c r="AI134">
        <f t="array" ref="AI134">IFERROR(CONCATENATE(INDEX(AL7:AL89,SMALL(IF(ISNUMBER(AI7:AI89),IF(AI7:AI89&gt;0,IF(AL7:AL89&lt;&gt;"",ROW(AI7:AI89)-MIN(ROW(AI7:AI89))+1))),ROW()-ROW(A$92)+1)),",",TEXT(INDEX(AI7:AI89,SMALL(IF(ISNUMBER(AI7:AI89),IF(AI7:AI89&gt;0,IF(AL7:AL89&lt;&gt;"",ROW(AI7:AI89)-MIN(ROW(AI7:AI89))+1))),ROW()-ROW(A$92)+1)),"##0"),",",SUBSTITUTE(INDEX(IF(PURCHASE_DESCRIPTION&lt;&gt;"",PURCHASE_DESCRIPTION&amp;":","")&amp;A7:A89,SMALL(IF(ISNUMBER(AI7:AI89),IF(AI7:AI89&gt;0,IF(AL7:AL89&lt;&gt;"",ROW(AI7:AI89)-MIN(ROW(AI7:AI89))+1))),ROW()-ROW(A$92)+1)),",",";")),"")</f>
        <v>0</v>
      </c>
      <c r="AN134">
        <f t="array" ref="AN134">IFERROR(CONCATENATE(INDEX(AQ7:AQ89,SMALL(IF(ISNUMBER(AN7:AN89),IF(AN7:AN89&gt;0,IF(AQ7:AQ89&lt;&gt;"",ROW(AN7:AN89)-MIN(ROW(AN7:AN89))+1))),ROW()-ROW(A$92)+1))," ",TEXT(INDEX(AN7:AN89,SMALL(IF(ISNUMBER(AN7:AN89),IF(AN7:AN89&gt;0,IF(AQ7:AQ89&lt;&gt;"",ROW(AN7:AN89)-MIN(ROW(AN7:AN89))+1))),ROW()-ROW(A$92)+1)),"##0")," ",SUBSTITUTE(INDEX(IF(PURCHASE_DESCRIPTION&lt;&gt;"",PURCHASE_DESCRIPTION&amp;":","")&amp;A7:A89,SMALL(IF(ISNUMBER(AN7:AN89),IF(AN7:AN89&gt;0,IF(AQ7:AQ89&lt;&gt;"",ROW(AN7:AN89)-MIN(ROW(AN7:AN89))+1))),ROW()-ROW(A$92)+1))," ",";")),"")</f>
        <v>0</v>
      </c>
      <c r="AS134">
        <f t="array" ref="AS134">IFERROR(CONCATENATE(INDEX(AV7:AV89,SMALL(IF(ISNUMBER(AS7:AS89),IF(AS7:AS89&gt;0,IF(AV7:AV89&lt;&gt;"",ROW(AS7:AS89)-MIN(ROW(AS7:AS89))+1))),ROW()-ROW(A$92)+1))," ",TEXT(INDEX(AS7:AS89,SMALL(IF(ISNUMBER(AS7:AS89),IF(AS7:AS89&gt;0,IF(AV7:AV89&lt;&gt;"",ROW(AS7:AS89)-MIN(ROW(AS7:AS89))+1))),ROW()-ROW(A$92)+1)),"##0")," ",SUBSTITUTE(INDEX(IF(PURCHASE_DESCRIPTION&lt;&gt;"",PURCHASE_DESCRIPTION&amp;":","")&amp;A7:A89,SMALL(IF(ISNUMBER(AS7:AS89),IF(AS7:AS89&gt;0,IF(AV7:AV89&lt;&gt;"",ROW(AS7:AS89)-MIN(ROW(AS7:AS89))+1))),ROW()-ROW(A$92)+1))," ",";")),"")</f>
        <v>0</v>
      </c>
    </row>
    <row r="135" spans="10:45">
      <c r="J135">
        <f t="array" ref="J135">IFERROR(CONCATENATE(INDEX(M7:M89,SMALL(IF(ISNUMBER(J7:J89),IF(J7:J89&gt;0,IF(M7:M89&lt;&gt;"",ROW(J7:J89)-MIN(ROW(J7:J89))+1))),ROW()-ROW(A$92)+1)),",",TEXT(INDEX(J7:J89,SMALL(IF(ISNUMBER(J7:J89),IF(J7:J89&gt;0,IF(M7:M89&lt;&gt;"",ROW(J7:J89)-MIN(ROW(J7:J89))+1))),ROW()-ROW(A$92)+1)),"##0"),",",SUBSTITUTE(INDEX(IF(PURCHASE_DESCRIPTION&lt;&gt;"",PURCHASE_DESCRIPTION&amp;":","")&amp;A7:A89,SMALL(IF(ISNUMBER(J7:J89),IF(J7:J89&gt;0,IF(M7:M89&lt;&gt;"",ROW(J7:J89)-MIN(ROW(J7:J89))+1))),ROW()-ROW(A$92)+1)),",",";")),"")</f>
        <v>0</v>
      </c>
      <c r="O135">
        <f t="array" ref="O135">IFERROR(CONCATENATE(TEXT(INDEX(O7:O89,SMALL(IF(ISNUMBER(O7:O89),IF(O7:O89&gt;0,IF(R7:R89&lt;&gt;"",ROW(O7:O89)-MIN(ROW(O7:O89))+1))),ROW()-ROW(A$92)+1)),"##0"),",",INDEX(R7:R89,SMALL(IF(ISNUMBER(O7:O89),IF(O7:O89&gt;0,IF(R7:R89&lt;&gt;"",ROW(O7:O89)-MIN(ROW(O7:O89))+1))),ROW()-ROW(A$92)+1)),",",SUBSTITUTE(INDEX(IF(PURCHASE_DESCRIPTION&lt;&gt;"",PURCHASE_DESCRIPTION&amp;":","")&amp;A7:A89,SMALL(IF(ISNUMBER(O7:O89),IF(O7:O89&gt;0,IF(R7:R89&lt;&gt;"",ROW(O7:O89)-MIN(ROW(O7:O89))+1))),ROW()-ROW(A$92)+1)),",",";")),"")</f>
        <v>0</v>
      </c>
      <c r="T135">
        <f t="array" ref="T135">IFERROR(CONCATENATE(INDEX(W7:W89,SMALL(IF(ISNUMBER(T7:T89),IF(T7:T89&gt;0,IF(W7:W89&lt;&gt;"",ROW(T7:T89)-MIN(ROW(T7:T89))+1))),ROW()-ROW(A$92)+1))," ",TEXT(INDEX(T7:T89,SMALL(IF(ISNUMBER(T7:T89),IF(T7:T89&gt;0,IF(W7:W89&lt;&gt;"",ROW(T7:T89)-MIN(ROW(T7:T89))+1))),ROW()-ROW(A$92)+1)),"##0")," ",SUBSTITUTE(INDEX(IF(PURCHASE_DESCRIPTION&lt;&gt;"",PURCHASE_DESCRIPTION&amp;":","")&amp;A7:A89,SMALL(IF(ISNUMBER(T7:T89),IF(T7:T89&gt;0,IF(W7:W89&lt;&gt;"",ROW(T7:T89)-MIN(ROW(T7:T89))+1))),ROW()-ROW(A$92)+1))," ",";")),"")</f>
        <v>0</v>
      </c>
      <c r="Y135">
        <f t="array" ref="Y135">IFERROR(CONCATENATE(TEXT(INDEX(Y7:Y89,SMALL(IF(ISNUMBER(Y7:Y89),IF(Y7:Y89&gt;0,IF(AB7:AB89&lt;&gt;"",ROW(Y7:Y89)-MIN(ROW(Y7:Y89))+1))),ROW()-ROW(A$93)+1)),"##0"),",",SUBSTITUTE(INDEX(IF(PURCHASE_DESCRIPTION&lt;&gt;"",PURCHASE_DESCRIPTION&amp;":","")&amp;A7:A89,SMALL(IF(ISNUMBER(Y7:Y89),IF(Y7:Y89&gt;0,IF(AB7:AB89&lt;&gt;"",ROW(Y7:Y89)-MIN(ROW(Y7:Y89))+1))),ROW()-ROW(A$93)+1)),",",";"),",",SUBSTITUTE(INDEX(IF(PURCHASE_DESCRIPTION&lt;&gt;"",PURCHASE_DESCRIPTION&amp;":","")&amp;D7:D89,SMALL(IF(ISNUMBER(Y7:Y89),IF(Y7:Y89&gt;0,IF(AB7:AB89&lt;&gt;"",ROW(Y7:Y89)-MIN(ROW(Y7:Y89))+1))),ROW()-ROW(A$93)+1)),",",";"),",",INDEX(AB7:AB89,SMALL(IF(ISNUMBER(Y7:Y89),IF(Y7:Y89&gt;0,IF(AB7:AB89&lt;&gt;"",ROW(Y7:Y89)-MIN(ROW(Y7:Y89))+1))),ROW()-ROW(A$93)+1))),"")</f>
        <v>0</v>
      </c>
      <c r="AD135">
        <f t="array" ref="AD135">IFERROR(CONCATENATE(INDEX(AG7:AG89,SMALL(IF(ISNUMBER(AD7:AD89),IF(AD7:AD89&gt;0,IF(AG7:AG89&lt;&gt;"",ROW(AD7:AD89)-MIN(ROW(AD7:AD89))+1))),ROW()-ROW(A$92)+1)),"|",TEXT(INDEX(AD7:AD89,SMALL(IF(ISNUMBER(AD7:AD89),IF(AD7:AD89&gt;0,IF(AG7:AG89&lt;&gt;"",ROW(AD7:AD89)-MIN(ROW(AD7:AD89))+1))),ROW()-ROW(A$92)+1)),"##0"),"|",SUBSTITUTE(SUBSTITUTE(INDEX(IF(PURCHASE_DESCRIPTION&lt;&gt;"",PURCHASE_DESCRIPTION&amp;":","")&amp;A7:A89,SMALL(IF(ISNUMBER(AD7:AD89),IF(AD7:AD89&gt;0,IF(AG7:AG89&lt;&gt;"",ROW(AD7:AD89)-MIN(ROW(AD7:AD89))+1))),ROW()-ROW(A$92)+1)),"|",";")," ","_")),"")</f>
        <v>0</v>
      </c>
      <c r="AI135">
        <f t="array" ref="AI135">IFERROR(CONCATENATE(INDEX(AL7:AL89,SMALL(IF(ISNUMBER(AI7:AI89),IF(AI7:AI89&gt;0,IF(AL7:AL89&lt;&gt;"",ROW(AI7:AI89)-MIN(ROW(AI7:AI89))+1))),ROW()-ROW(A$92)+1)),",",TEXT(INDEX(AI7:AI89,SMALL(IF(ISNUMBER(AI7:AI89),IF(AI7:AI89&gt;0,IF(AL7:AL89&lt;&gt;"",ROW(AI7:AI89)-MIN(ROW(AI7:AI89))+1))),ROW()-ROW(A$92)+1)),"##0"),",",SUBSTITUTE(INDEX(IF(PURCHASE_DESCRIPTION&lt;&gt;"",PURCHASE_DESCRIPTION&amp;":","")&amp;A7:A89,SMALL(IF(ISNUMBER(AI7:AI89),IF(AI7:AI89&gt;0,IF(AL7:AL89&lt;&gt;"",ROW(AI7:AI89)-MIN(ROW(AI7:AI89))+1))),ROW()-ROW(A$92)+1)),",",";")),"")</f>
        <v>0</v>
      </c>
      <c r="AN135">
        <f t="array" ref="AN135">IFERROR(CONCATENATE(INDEX(AQ7:AQ89,SMALL(IF(ISNUMBER(AN7:AN89),IF(AN7:AN89&gt;0,IF(AQ7:AQ89&lt;&gt;"",ROW(AN7:AN89)-MIN(ROW(AN7:AN89))+1))),ROW()-ROW(A$92)+1))," ",TEXT(INDEX(AN7:AN89,SMALL(IF(ISNUMBER(AN7:AN89),IF(AN7:AN89&gt;0,IF(AQ7:AQ89&lt;&gt;"",ROW(AN7:AN89)-MIN(ROW(AN7:AN89))+1))),ROW()-ROW(A$92)+1)),"##0")," ",SUBSTITUTE(INDEX(IF(PURCHASE_DESCRIPTION&lt;&gt;"",PURCHASE_DESCRIPTION&amp;":","")&amp;A7:A89,SMALL(IF(ISNUMBER(AN7:AN89),IF(AN7:AN89&gt;0,IF(AQ7:AQ89&lt;&gt;"",ROW(AN7:AN89)-MIN(ROW(AN7:AN89))+1))),ROW()-ROW(A$92)+1))," ",";")),"")</f>
        <v>0</v>
      </c>
      <c r="AS135">
        <f t="array" ref="AS135">IFERROR(CONCATENATE(INDEX(AV7:AV89,SMALL(IF(ISNUMBER(AS7:AS89),IF(AS7:AS89&gt;0,IF(AV7:AV89&lt;&gt;"",ROW(AS7:AS89)-MIN(ROW(AS7:AS89))+1))),ROW()-ROW(A$92)+1))," ",TEXT(INDEX(AS7:AS89,SMALL(IF(ISNUMBER(AS7:AS89),IF(AS7:AS89&gt;0,IF(AV7:AV89&lt;&gt;"",ROW(AS7:AS89)-MIN(ROW(AS7:AS89))+1))),ROW()-ROW(A$92)+1)),"##0")," ",SUBSTITUTE(INDEX(IF(PURCHASE_DESCRIPTION&lt;&gt;"",PURCHASE_DESCRIPTION&amp;":","")&amp;A7:A89,SMALL(IF(ISNUMBER(AS7:AS89),IF(AS7:AS89&gt;0,IF(AV7:AV89&lt;&gt;"",ROW(AS7:AS89)-MIN(ROW(AS7:AS89))+1))),ROW()-ROW(A$92)+1))," ",";")),"")</f>
        <v>0</v>
      </c>
    </row>
    <row r="136" spans="10:45">
      <c r="J136">
        <f t="array" ref="J136">IFERROR(CONCATENATE(INDEX(M7:M89,SMALL(IF(ISNUMBER(J7:J89),IF(J7:J89&gt;0,IF(M7:M89&lt;&gt;"",ROW(J7:J89)-MIN(ROW(J7:J89))+1))),ROW()-ROW(A$92)+1)),",",TEXT(INDEX(J7:J89,SMALL(IF(ISNUMBER(J7:J89),IF(J7:J89&gt;0,IF(M7:M89&lt;&gt;"",ROW(J7:J89)-MIN(ROW(J7:J89))+1))),ROW()-ROW(A$92)+1)),"##0"),",",SUBSTITUTE(INDEX(IF(PURCHASE_DESCRIPTION&lt;&gt;"",PURCHASE_DESCRIPTION&amp;":","")&amp;A7:A89,SMALL(IF(ISNUMBER(J7:J89),IF(J7:J89&gt;0,IF(M7:M89&lt;&gt;"",ROW(J7:J89)-MIN(ROW(J7:J89))+1))),ROW()-ROW(A$92)+1)),",",";")),"")</f>
        <v>0</v>
      </c>
      <c r="O136">
        <f t="array" ref="O136">IFERROR(CONCATENATE(TEXT(INDEX(O7:O89,SMALL(IF(ISNUMBER(O7:O89),IF(O7:O89&gt;0,IF(R7:R89&lt;&gt;"",ROW(O7:O89)-MIN(ROW(O7:O89))+1))),ROW()-ROW(A$92)+1)),"##0"),",",INDEX(R7:R89,SMALL(IF(ISNUMBER(O7:O89),IF(O7:O89&gt;0,IF(R7:R89&lt;&gt;"",ROW(O7:O89)-MIN(ROW(O7:O89))+1))),ROW()-ROW(A$92)+1)),",",SUBSTITUTE(INDEX(IF(PURCHASE_DESCRIPTION&lt;&gt;"",PURCHASE_DESCRIPTION&amp;":","")&amp;A7:A89,SMALL(IF(ISNUMBER(O7:O89),IF(O7:O89&gt;0,IF(R7:R89&lt;&gt;"",ROW(O7:O89)-MIN(ROW(O7:O89))+1))),ROW()-ROW(A$92)+1)),",",";")),"")</f>
        <v>0</v>
      </c>
      <c r="T136">
        <f t="array" ref="T136">IFERROR(CONCATENATE(INDEX(W7:W89,SMALL(IF(ISNUMBER(T7:T89),IF(T7:T89&gt;0,IF(W7:W89&lt;&gt;"",ROW(T7:T89)-MIN(ROW(T7:T89))+1))),ROW()-ROW(A$92)+1))," ",TEXT(INDEX(T7:T89,SMALL(IF(ISNUMBER(T7:T89),IF(T7:T89&gt;0,IF(W7:W89&lt;&gt;"",ROW(T7:T89)-MIN(ROW(T7:T89))+1))),ROW()-ROW(A$92)+1)),"##0")," ",SUBSTITUTE(INDEX(IF(PURCHASE_DESCRIPTION&lt;&gt;"",PURCHASE_DESCRIPTION&amp;":","")&amp;A7:A89,SMALL(IF(ISNUMBER(T7:T89),IF(T7:T89&gt;0,IF(W7:W89&lt;&gt;"",ROW(T7:T89)-MIN(ROW(T7:T89))+1))),ROW()-ROW(A$92)+1))," ",";")),"")</f>
        <v>0</v>
      </c>
      <c r="Y136">
        <f t="array" ref="Y136">IFERROR(CONCATENATE(TEXT(INDEX(Y7:Y89,SMALL(IF(ISNUMBER(Y7:Y89),IF(Y7:Y89&gt;0,IF(AB7:AB89&lt;&gt;"",ROW(Y7:Y89)-MIN(ROW(Y7:Y89))+1))),ROW()-ROW(A$93)+1)),"##0"),",",SUBSTITUTE(INDEX(IF(PURCHASE_DESCRIPTION&lt;&gt;"",PURCHASE_DESCRIPTION&amp;":","")&amp;A7:A89,SMALL(IF(ISNUMBER(Y7:Y89),IF(Y7:Y89&gt;0,IF(AB7:AB89&lt;&gt;"",ROW(Y7:Y89)-MIN(ROW(Y7:Y89))+1))),ROW()-ROW(A$93)+1)),",",";"),",",SUBSTITUTE(INDEX(IF(PURCHASE_DESCRIPTION&lt;&gt;"",PURCHASE_DESCRIPTION&amp;":","")&amp;D7:D89,SMALL(IF(ISNUMBER(Y7:Y89),IF(Y7:Y89&gt;0,IF(AB7:AB89&lt;&gt;"",ROW(Y7:Y89)-MIN(ROW(Y7:Y89))+1))),ROW()-ROW(A$93)+1)),",",";"),",",INDEX(AB7:AB89,SMALL(IF(ISNUMBER(Y7:Y89),IF(Y7:Y89&gt;0,IF(AB7:AB89&lt;&gt;"",ROW(Y7:Y89)-MIN(ROW(Y7:Y89))+1))),ROW()-ROW(A$93)+1))),"")</f>
        <v>0</v>
      </c>
      <c r="AD136">
        <f t="array" ref="AD136">IFERROR(CONCATENATE(INDEX(AG7:AG89,SMALL(IF(ISNUMBER(AD7:AD89),IF(AD7:AD89&gt;0,IF(AG7:AG89&lt;&gt;"",ROW(AD7:AD89)-MIN(ROW(AD7:AD89))+1))),ROW()-ROW(A$92)+1)),"|",TEXT(INDEX(AD7:AD89,SMALL(IF(ISNUMBER(AD7:AD89),IF(AD7:AD89&gt;0,IF(AG7:AG89&lt;&gt;"",ROW(AD7:AD89)-MIN(ROW(AD7:AD89))+1))),ROW()-ROW(A$92)+1)),"##0"),"|",SUBSTITUTE(SUBSTITUTE(INDEX(IF(PURCHASE_DESCRIPTION&lt;&gt;"",PURCHASE_DESCRIPTION&amp;":","")&amp;A7:A89,SMALL(IF(ISNUMBER(AD7:AD89),IF(AD7:AD89&gt;0,IF(AG7:AG89&lt;&gt;"",ROW(AD7:AD89)-MIN(ROW(AD7:AD89))+1))),ROW()-ROW(A$92)+1)),"|",";")," ","_")),"")</f>
        <v>0</v>
      </c>
      <c r="AI136">
        <f t="array" ref="AI136">IFERROR(CONCATENATE(INDEX(AL7:AL89,SMALL(IF(ISNUMBER(AI7:AI89),IF(AI7:AI89&gt;0,IF(AL7:AL89&lt;&gt;"",ROW(AI7:AI89)-MIN(ROW(AI7:AI89))+1))),ROW()-ROW(A$92)+1)),",",TEXT(INDEX(AI7:AI89,SMALL(IF(ISNUMBER(AI7:AI89),IF(AI7:AI89&gt;0,IF(AL7:AL89&lt;&gt;"",ROW(AI7:AI89)-MIN(ROW(AI7:AI89))+1))),ROW()-ROW(A$92)+1)),"##0"),",",SUBSTITUTE(INDEX(IF(PURCHASE_DESCRIPTION&lt;&gt;"",PURCHASE_DESCRIPTION&amp;":","")&amp;A7:A89,SMALL(IF(ISNUMBER(AI7:AI89),IF(AI7:AI89&gt;0,IF(AL7:AL89&lt;&gt;"",ROW(AI7:AI89)-MIN(ROW(AI7:AI89))+1))),ROW()-ROW(A$92)+1)),",",";")),"")</f>
        <v>0</v>
      </c>
      <c r="AN136">
        <f t="array" ref="AN136">IFERROR(CONCATENATE(INDEX(AQ7:AQ89,SMALL(IF(ISNUMBER(AN7:AN89),IF(AN7:AN89&gt;0,IF(AQ7:AQ89&lt;&gt;"",ROW(AN7:AN89)-MIN(ROW(AN7:AN89))+1))),ROW()-ROW(A$92)+1))," ",TEXT(INDEX(AN7:AN89,SMALL(IF(ISNUMBER(AN7:AN89),IF(AN7:AN89&gt;0,IF(AQ7:AQ89&lt;&gt;"",ROW(AN7:AN89)-MIN(ROW(AN7:AN89))+1))),ROW()-ROW(A$92)+1)),"##0")," ",SUBSTITUTE(INDEX(IF(PURCHASE_DESCRIPTION&lt;&gt;"",PURCHASE_DESCRIPTION&amp;":","")&amp;A7:A89,SMALL(IF(ISNUMBER(AN7:AN89),IF(AN7:AN89&gt;0,IF(AQ7:AQ89&lt;&gt;"",ROW(AN7:AN89)-MIN(ROW(AN7:AN89))+1))),ROW()-ROW(A$92)+1))," ",";")),"")</f>
        <v>0</v>
      </c>
      <c r="AS136">
        <f t="array" ref="AS136">IFERROR(CONCATENATE(INDEX(AV7:AV89,SMALL(IF(ISNUMBER(AS7:AS89),IF(AS7:AS89&gt;0,IF(AV7:AV89&lt;&gt;"",ROW(AS7:AS89)-MIN(ROW(AS7:AS89))+1))),ROW()-ROW(A$92)+1))," ",TEXT(INDEX(AS7:AS89,SMALL(IF(ISNUMBER(AS7:AS89),IF(AS7:AS89&gt;0,IF(AV7:AV89&lt;&gt;"",ROW(AS7:AS89)-MIN(ROW(AS7:AS89))+1))),ROW()-ROW(A$92)+1)),"##0")," ",SUBSTITUTE(INDEX(IF(PURCHASE_DESCRIPTION&lt;&gt;"",PURCHASE_DESCRIPTION&amp;":","")&amp;A7:A89,SMALL(IF(ISNUMBER(AS7:AS89),IF(AS7:AS89&gt;0,IF(AV7:AV89&lt;&gt;"",ROW(AS7:AS89)-MIN(ROW(AS7:AS89))+1))),ROW()-ROW(A$92)+1))," ",";")),"")</f>
        <v>0</v>
      </c>
    </row>
    <row r="137" spans="10:45">
      <c r="J137">
        <f t="array" ref="J137">IFERROR(CONCATENATE(INDEX(M7:M89,SMALL(IF(ISNUMBER(J7:J89),IF(J7:J89&gt;0,IF(M7:M89&lt;&gt;"",ROW(J7:J89)-MIN(ROW(J7:J89))+1))),ROW()-ROW(A$92)+1)),",",TEXT(INDEX(J7:J89,SMALL(IF(ISNUMBER(J7:J89),IF(J7:J89&gt;0,IF(M7:M89&lt;&gt;"",ROW(J7:J89)-MIN(ROW(J7:J89))+1))),ROW()-ROW(A$92)+1)),"##0"),",",SUBSTITUTE(INDEX(IF(PURCHASE_DESCRIPTION&lt;&gt;"",PURCHASE_DESCRIPTION&amp;":","")&amp;A7:A89,SMALL(IF(ISNUMBER(J7:J89),IF(J7:J89&gt;0,IF(M7:M89&lt;&gt;"",ROW(J7:J89)-MIN(ROW(J7:J89))+1))),ROW()-ROW(A$92)+1)),",",";")),"")</f>
        <v>0</v>
      </c>
      <c r="O137">
        <f t="array" ref="O137">IFERROR(CONCATENATE(TEXT(INDEX(O7:O89,SMALL(IF(ISNUMBER(O7:O89),IF(O7:O89&gt;0,IF(R7:R89&lt;&gt;"",ROW(O7:O89)-MIN(ROW(O7:O89))+1))),ROW()-ROW(A$92)+1)),"##0"),",",INDEX(R7:R89,SMALL(IF(ISNUMBER(O7:O89),IF(O7:O89&gt;0,IF(R7:R89&lt;&gt;"",ROW(O7:O89)-MIN(ROW(O7:O89))+1))),ROW()-ROW(A$92)+1)),",",SUBSTITUTE(INDEX(IF(PURCHASE_DESCRIPTION&lt;&gt;"",PURCHASE_DESCRIPTION&amp;":","")&amp;A7:A89,SMALL(IF(ISNUMBER(O7:O89),IF(O7:O89&gt;0,IF(R7:R89&lt;&gt;"",ROW(O7:O89)-MIN(ROW(O7:O89))+1))),ROW()-ROW(A$92)+1)),",",";")),"")</f>
        <v>0</v>
      </c>
      <c r="T137">
        <f t="array" ref="T137">IFERROR(CONCATENATE(INDEX(W7:W89,SMALL(IF(ISNUMBER(T7:T89),IF(T7:T89&gt;0,IF(W7:W89&lt;&gt;"",ROW(T7:T89)-MIN(ROW(T7:T89))+1))),ROW()-ROW(A$92)+1))," ",TEXT(INDEX(T7:T89,SMALL(IF(ISNUMBER(T7:T89),IF(T7:T89&gt;0,IF(W7:W89&lt;&gt;"",ROW(T7:T89)-MIN(ROW(T7:T89))+1))),ROW()-ROW(A$92)+1)),"##0")," ",SUBSTITUTE(INDEX(IF(PURCHASE_DESCRIPTION&lt;&gt;"",PURCHASE_DESCRIPTION&amp;":","")&amp;A7:A89,SMALL(IF(ISNUMBER(T7:T89),IF(T7:T89&gt;0,IF(W7:W89&lt;&gt;"",ROW(T7:T89)-MIN(ROW(T7:T89))+1))),ROW()-ROW(A$92)+1))," ",";")),"")</f>
        <v>0</v>
      </c>
      <c r="Y137">
        <f t="array" ref="Y137">IFERROR(CONCATENATE(TEXT(INDEX(Y7:Y89,SMALL(IF(ISNUMBER(Y7:Y89),IF(Y7:Y89&gt;0,IF(AB7:AB89&lt;&gt;"",ROW(Y7:Y89)-MIN(ROW(Y7:Y89))+1))),ROW()-ROW(A$93)+1)),"##0"),",",SUBSTITUTE(INDEX(IF(PURCHASE_DESCRIPTION&lt;&gt;"",PURCHASE_DESCRIPTION&amp;":","")&amp;A7:A89,SMALL(IF(ISNUMBER(Y7:Y89),IF(Y7:Y89&gt;0,IF(AB7:AB89&lt;&gt;"",ROW(Y7:Y89)-MIN(ROW(Y7:Y89))+1))),ROW()-ROW(A$93)+1)),",",";"),",",SUBSTITUTE(INDEX(IF(PURCHASE_DESCRIPTION&lt;&gt;"",PURCHASE_DESCRIPTION&amp;":","")&amp;D7:D89,SMALL(IF(ISNUMBER(Y7:Y89),IF(Y7:Y89&gt;0,IF(AB7:AB89&lt;&gt;"",ROW(Y7:Y89)-MIN(ROW(Y7:Y89))+1))),ROW()-ROW(A$93)+1)),",",";"),",",INDEX(AB7:AB89,SMALL(IF(ISNUMBER(Y7:Y89),IF(Y7:Y89&gt;0,IF(AB7:AB89&lt;&gt;"",ROW(Y7:Y89)-MIN(ROW(Y7:Y89))+1))),ROW()-ROW(A$93)+1))),"")</f>
        <v>0</v>
      </c>
      <c r="AD137">
        <f t="array" ref="AD137">IFERROR(CONCATENATE(INDEX(AG7:AG89,SMALL(IF(ISNUMBER(AD7:AD89),IF(AD7:AD89&gt;0,IF(AG7:AG89&lt;&gt;"",ROW(AD7:AD89)-MIN(ROW(AD7:AD89))+1))),ROW()-ROW(A$92)+1)),"|",TEXT(INDEX(AD7:AD89,SMALL(IF(ISNUMBER(AD7:AD89),IF(AD7:AD89&gt;0,IF(AG7:AG89&lt;&gt;"",ROW(AD7:AD89)-MIN(ROW(AD7:AD89))+1))),ROW()-ROW(A$92)+1)),"##0"),"|",SUBSTITUTE(SUBSTITUTE(INDEX(IF(PURCHASE_DESCRIPTION&lt;&gt;"",PURCHASE_DESCRIPTION&amp;":","")&amp;A7:A89,SMALL(IF(ISNUMBER(AD7:AD89),IF(AD7:AD89&gt;0,IF(AG7:AG89&lt;&gt;"",ROW(AD7:AD89)-MIN(ROW(AD7:AD89))+1))),ROW()-ROW(A$92)+1)),"|",";")," ","_")),"")</f>
        <v>0</v>
      </c>
      <c r="AI137">
        <f t="array" ref="AI137">IFERROR(CONCATENATE(INDEX(AL7:AL89,SMALL(IF(ISNUMBER(AI7:AI89),IF(AI7:AI89&gt;0,IF(AL7:AL89&lt;&gt;"",ROW(AI7:AI89)-MIN(ROW(AI7:AI89))+1))),ROW()-ROW(A$92)+1)),",",TEXT(INDEX(AI7:AI89,SMALL(IF(ISNUMBER(AI7:AI89),IF(AI7:AI89&gt;0,IF(AL7:AL89&lt;&gt;"",ROW(AI7:AI89)-MIN(ROW(AI7:AI89))+1))),ROW()-ROW(A$92)+1)),"##0"),",",SUBSTITUTE(INDEX(IF(PURCHASE_DESCRIPTION&lt;&gt;"",PURCHASE_DESCRIPTION&amp;":","")&amp;A7:A89,SMALL(IF(ISNUMBER(AI7:AI89),IF(AI7:AI89&gt;0,IF(AL7:AL89&lt;&gt;"",ROW(AI7:AI89)-MIN(ROW(AI7:AI89))+1))),ROW()-ROW(A$92)+1)),",",";")),"")</f>
        <v>0</v>
      </c>
      <c r="AN137">
        <f t="array" ref="AN137">IFERROR(CONCATENATE(INDEX(AQ7:AQ89,SMALL(IF(ISNUMBER(AN7:AN89),IF(AN7:AN89&gt;0,IF(AQ7:AQ89&lt;&gt;"",ROW(AN7:AN89)-MIN(ROW(AN7:AN89))+1))),ROW()-ROW(A$92)+1))," ",TEXT(INDEX(AN7:AN89,SMALL(IF(ISNUMBER(AN7:AN89),IF(AN7:AN89&gt;0,IF(AQ7:AQ89&lt;&gt;"",ROW(AN7:AN89)-MIN(ROW(AN7:AN89))+1))),ROW()-ROW(A$92)+1)),"##0")," ",SUBSTITUTE(INDEX(IF(PURCHASE_DESCRIPTION&lt;&gt;"",PURCHASE_DESCRIPTION&amp;":","")&amp;A7:A89,SMALL(IF(ISNUMBER(AN7:AN89),IF(AN7:AN89&gt;0,IF(AQ7:AQ89&lt;&gt;"",ROW(AN7:AN89)-MIN(ROW(AN7:AN89))+1))),ROW()-ROW(A$92)+1))," ",";")),"")</f>
        <v>0</v>
      </c>
      <c r="AS137">
        <f t="array" ref="AS137">IFERROR(CONCATENATE(INDEX(AV7:AV89,SMALL(IF(ISNUMBER(AS7:AS89),IF(AS7:AS89&gt;0,IF(AV7:AV89&lt;&gt;"",ROW(AS7:AS89)-MIN(ROW(AS7:AS89))+1))),ROW()-ROW(A$92)+1))," ",TEXT(INDEX(AS7:AS89,SMALL(IF(ISNUMBER(AS7:AS89),IF(AS7:AS89&gt;0,IF(AV7:AV89&lt;&gt;"",ROW(AS7:AS89)-MIN(ROW(AS7:AS89))+1))),ROW()-ROW(A$92)+1)),"##0")," ",SUBSTITUTE(INDEX(IF(PURCHASE_DESCRIPTION&lt;&gt;"",PURCHASE_DESCRIPTION&amp;":","")&amp;A7:A89,SMALL(IF(ISNUMBER(AS7:AS89),IF(AS7:AS89&gt;0,IF(AV7:AV89&lt;&gt;"",ROW(AS7:AS89)-MIN(ROW(AS7:AS89))+1))),ROW()-ROW(A$92)+1))," ",";")),"")</f>
        <v>0</v>
      </c>
    </row>
    <row r="138" spans="10:45">
      <c r="J138">
        <f t="array" ref="J138">IFERROR(CONCATENATE(INDEX(M7:M89,SMALL(IF(ISNUMBER(J7:J89),IF(J7:J89&gt;0,IF(M7:M89&lt;&gt;"",ROW(J7:J89)-MIN(ROW(J7:J89))+1))),ROW()-ROW(A$92)+1)),",",TEXT(INDEX(J7:J89,SMALL(IF(ISNUMBER(J7:J89),IF(J7:J89&gt;0,IF(M7:M89&lt;&gt;"",ROW(J7:J89)-MIN(ROW(J7:J89))+1))),ROW()-ROW(A$92)+1)),"##0"),",",SUBSTITUTE(INDEX(IF(PURCHASE_DESCRIPTION&lt;&gt;"",PURCHASE_DESCRIPTION&amp;":","")&amp;A7:A89,SMALL(IF(ISNUMBER(J7:J89),IF(J7:J89&gt;0,IF(M7:M89&lt;&gt;"",ROW(J7:J89)-MIN(ROW(J7:J89))+1))),ROW()-ROW(A$92)+1)),",",";")),"")</f>
        <v>0</v>
      </c>
      <c r="O138">
        <f t="array" ref="O138">IFERROR(CONCATENATE(TEXT(INDEX(O7:O89,SMALL(IF(ISNUMBER(O7:O89),IF(O7:O89&gt;0,IF(R7:R89&lt;&gt;"",ROW(O7:O89)-MIN(ROW(O7:O89))+1))),ROW()-ROW(A$92)+1)),"##0"),",",INDEX(R7:R89,SMALL(IF(ISNUMBER(O7:O89),IF(O7:O89&gt;0,IF(R7:R89&lt;&gt;"",ROW(O7:O89)-MIN(ROW(O7:O89))+1))),ROW()-ROW(A$92)+1)),",",SUBSTITUTE(INDEX(IF(PURCHASE_DESCRIPTION&lt;&gt;"",PURCHASE_DESCRIPTION&amp;":","")&amp;A7:A89,SMALL(IF(ISNUMBER(O7:O89),IF(O7:O89&gt;0,IF(R7:R89&lt;&gt;"",ROW(O7:O89)-MIN(ROW(O7:O89))+1))),ROW()-ROW(A$92)+1)),",",";")),"")</f>
        <v>0</v>
      </c>
      <c r="T138">
        <f t="array" ref="T138">IFERROR(CONCATENATE(INDEX(W7:W89,SMALL(IF(ISNUMBER(T7:T89),IF(T7:T89&gt;0,IF(W7:W89&lt;&gt;"",ROW(T7:T89)-MIN(ROW(T7:T89))+1))),ROW()-ROW(A$92)+1))," ",TEXT(INDEX(T7:T89,SMALL(IF(ISNUMBER(T7:T89),IF(T7:T89&gt;0,IF(W7:W89&lt;&gt;"",ROW(T7:T89)-MIN(ROW(T7:T89))+1))),ROW()-ROW(A$92)+1)),"##0")," ",SUBSTITUTE(INDEX(IF(PURCHASE_DESCRIPTION&lt;&gt;"",PURCHASE_DESCRIPTION&amp;":","")&amp;A7:A89,SMALL(IF(ISNUMBER(T7:T89),IF(T7:T89&gt;0,IF(W7:W89&lt;&gt;"",ROW(T7:T89)-MIN(ROW(T7:T89))+1))),ROW()-ROW(A$92)+1))," ",";")),"")</f>
        <v>0</v>
      </c>
      <c r="Y138">
        <f t="array" ref="Y138">IFERROR(CONCATENATE(TEXT(INDEX(Y7:Y89,SMALL(IF(ISNUMBER(Y7:Y89),IF(Y7:Y89&gt;0,IF(AB7:AB89&lt;&gt;"",ROW(Y7:Y89)-MIN(ROW(Y7:Y89))+1))),ROW()-ROW(A$93)+1)),"##0"),",",SUBSTITUTE(INDEX(IF(PURCHASE_DESCRIPTION&lt;&gt;"",PURCHASE_DESCRIPTION&amp;":","")&amp;A7:A89,SMALL(IF(ISNUMBER(Y7:Y89),IF(Y7:Y89&gt;0,IF(AB7:AB89&lt;&gt;"",ROW(Y7:Y89)-MIN(ROW(Y7:Y89))+1))),ROW()-ROW(A$93)+1)),",",";"),",",SUBSTITUTE(INDEX(IF(PURCHASE_DESCRIPTION&lt;&gt;"",PURCHASE_DESCRIPTION&amp;":","")&amp;D7:D89,SMALL(IF(ISNUMBER(Y7:Y89),IF(Y7:Y89&gt;0,IF(AB7:AB89&lt;&gt;"",ROW(Y7:Y89)-MIN(ROW(Y7:Y89))+1))),ROW()-ROW(A$93)+1)),",",";"),",",INDEX(AB7:AB89,SMALL(IF(ISNUMBER(Y7:Y89),IF(Y7:Y89&gt;0,IF(AB7:AB89&lt;&gt;"",ROW(Y7:Y89)-MIN(ROW(Y7:Y89))+1))),ROW()-ROW(A$93)+1))),"")</f>
        <v>0</v>
      </c>
      <c r="AD138">
        <f t="array" ref="AD138">IFERROR(CONCATENATE(INDEX(AG7:AG89,SMALL(IF(ISNUMBER(AD7:AD89),IF(AD7:AD89&gt;0,IF(AG7:AG89&lt;&gt;"",ROW(AD7:AD89)-MIN(ROW(AD7:AD89))+1))),ROW()-ROW(A$92)+1)),"|",TEXT(INDEX(AD7:AD89,SMALL(IF(ISNUMBER(AD7:AD89),IF(AD7:AD89&gt;0,IF(AG7:AG89&lt;&gt;"",ROW(AD7:AD89)-MIN(ROW(AD7:AD89))+1))),ROW()-ROW(A$92)+1)),"##0"),"|",SUBSTITUTE(SUBSTITUTE(INDEX(IF(PURCHASE_DESCRIPTION&lt;&gt;"",PURCHASE_DESCRIPTION&amp;":","")&amp;A7:A89,SMALL(IF(ISNUMBER(AD7:AD89),IF(AD7:AD89&gt;0,IF(AG7:AG89&lt;&gt;"",ROW(AD7:AD89)-MIN(ROW(AD7:AD89))+1))),ROW()-ROW(A$92)+1)),"|",";")," ","_")),"")</f>
        <v>0</v>
      </c>
      <c r="AI138">
        <f t="array" ref="AI138">IFERROR(CONCATENATE(INDEX(AL7:AL89,SMALL(IF(ISNUMBER(AI7:AI89),IF(AI7:AI89&gt;0,IF(AL7:AL89&lt;&gt;"",ROW(AI7:AI89)-MIN(ROW(AI7:AI89))+1))),ROW()-ROW(A$92)+1)),",",TEXT(INDEX(AI7:AI89,SMALL(IF(ISNUMBER(AI7:AI89),IF(AI7:AI89&gt;0,IF(AL7:AL89&lt;&gt;"",ROW(AI7:AI89)-MIN(ROW(AI7:AI89))+1))),ROW()-ROW(A$92)+1)),"##0"),",",SUBSTITUTE(INDEX(IF(PURCHASE_DESCRIPTION&lt;&gt;"",PURCHASE_DESCRIPTION&amp;":","")&amp;A7:A89,SMALL(IF(ISNUMBER(AI7:AI89),IF(AI7:AI89&gt;0,IF(AL7:AL89&lt;&gt;"",ROW(AI7:AI89)-MIN(ROW(AI7:AI89))+1))),ROW()-ROW(A$92)+1)),",",";")),"")</f>
        <v>0</v>
      </c>
      <c r="AN138">
        <f t="array" ref="AN138">IFERROR(CONCATENATE(INDEX(AQ7:AQ89,SMALL(IF(ISNUMBER(AN7:AN89),IF(AN7:AN89&gt;0,IF(AQ7:AQ89&lt;&gt;"",ROW(AN7:AN89)-MIN(ROW(AN7:AN89))+1))),ROW()-ROW(A$92)+1))," ",TEXT(INDEX(AN7:AN89,SMALL(IF(ISNUMBER(AN7:AN89),IF(AN7:AN89&gt;0,IF(AQ7:AQ89&lt;&gt;"",ROW(AN7:AN89)-MIN(ROW(AN7:AN89))+1))),ROW()-ROW(A$92)+1)),"##0")," ",SUBSTITUTE(INDEX(IF(PURCHASE_DESCRIPTION&lt;&gt;"",PURCHASE_DESCRIPTION&amp;":","")&amp;A7:A89,SMALL(IF(ISNUMBER(AN7:AN89),IF(AN7:AN89&gt;0,IF(AQ7:AQ89&lt;&gt;"",ROW(AN7:AN89)-MIN(ROW(AN7:AN89))+1))),ROW()-ROW(A$92)+1))," ",";")),"")</f>
        <v>0</v>
      </c>
      <c r="AS138">
        <f t="array" ref="AS138">IFERROR(CONCATENATE(INDEX(AV7:AV89,SMALL(IF(ISNUMBER(AS7:AS89),IF(AS7:AS89&gt;0,IF(AV7:AV89&lt;&gt;"",ROW(AS7:AS89)-MIN(ROW(AS7:AS89))+1))),ROW()-ROW(A$92)+1))," ",TEXT(INDEX(AS7:AS89,SMALL(IF(ISNUMBER(AS7:AS89),IF(AS7:AS89&gt;0,IF(AV7:AV89&lt;&gt;"",ROW(AS7:AS89)-MIN(ROW(AS7:AS89))+1))),ROW()-ROW(A$92)+1)),"##0")," ",SUBSTITUTE(INDEX(IF(PURCHASE_DESCRIPTION&lt;&gt;"",PURCHASE_DESCRIPTION&amp;":","")&amp;A7:A89,SMALL(IF(ISNUMBER(AS7:AS89),IF(AS7:AS89&gt;0,IF(AV7:AV89&lt;&gt;"",ROW(AS7:AS89)-MIN(ROW(AS7:AS89))+1))),ROW()-ROW(A$92)+1))," ",";")),"")</f>
        <v>0</v>
      </c>
    </row>
    <row r="139" spans="10:45">
      <c r="J139">
        <f t="array" ref="J139">IFERROR(CONCATENATE(INDEX(M7:M89,SMALL(IF(ISNUMBER(J7:J89),IF(J7:J89&gt;0,IF(M7:M89&lt;&gt;"",ROW(J7:J89)-MIN(ROW(J7:J89))+1))),ROW()-ROW(A$92)+1)),",",TEXT(INDEX(J7:J89,SMALL(IF(ISNUMBER(J7:J89),IF(J7:J89&gt;0,IF(M7:M89&lt;&gt;"",ROW(J7:J89)-MIN(ROW(J7:J89))+1))),ROW()-ROW(A$92)+1)),"##0"),",",SUBSTITUTE(INDEX(IF(PURCHASE_DESCRIPTION&lt;&gt;"",PURCHASE_DESCRIPTION&amp;":","")&amp;A7:A89,SMALL(IF(ISNUMBER(J7:J89),IF(J7:J89&gt;0,IF(M7:M89&lt;&gt;"",ROW(J7:J89)-MIN(ROW(J7:J89))+1))),ROW()-ROW(A$92)+1)),",",";")),"")</f>
        <v>0</v>
      </c>
      <c r="O139">
        <f t="array" ref="O139">IFERROR(CONCATENATE(TEXT(INDEX(O7:O89,SMALL(IF(ISNUMBER(O7:O89),IF(O7:O89&gt;0,IF(R7:R89&lt;&gt;"",ROW(O7:O89)-MIN(ROW(O7:O89))+1))),ROW()-ROW(A$92)+1)),"##0"),",",INDEX(R7:R89,SMALL(IF(ISNUMBER(O7:O89),IF(O7:O89&gt;0,IF(R7:R89&lt;&gt;"",ROW(O7:O89)-MIN(ROW(O7:O89))+1))),ROW()-ROW(A$92)+1)),",",SUBSTITUTE(INDEX(IF(PURCHASE_DESCRIPTION&lt;&gt;"",PURCHASE_DESCRIPTION&amp;":","")&amp;A7:A89,SMALL(IF(ISNUMBER(O7:O89),IF(O7:O89&gt;0,IF(R7:R89&lt;&gt;"",ROW(O7:O89)-MIN(ROW(O7:O89))+1))),ROW()-ROW(A$92)+1)),",",";")),"")</f>
        <v>0</v>
      </c>
      <c r="T139">
        <f t="array" ref="T139">IFERROR(CONCATENATE(INDEX(W7:W89,SMALL(IF(ISNUMBER(T7:T89),IF(T7:T89&gt;0,IF(W7:W89&lt;&gt;"",ROW(T7:T89)-MIN(ROW(T7:T89))+1))),ROW()-ROW(A$92)+1))," ",TEXT(INDEX(T7:T89,SMALL(IF(ISNUMBER(T7:T89),IF(T7:T89&gt;0,IF(W7:W89&lt;&gt;"",ROW(T7:T89)-MIN(ROW(T7:T89))+1))),ROW()-ROW(A$92)+1)),"##0")," ",SUBSTITUTE(INDEX(IF(PURCHASE_DESCRIPTION&lt;&gt;"",PURCHASE_DESCRIPTION&amp;":","")&amp;A7:A89,SMALL(IF(ISNUMBER(T7:T89),IF(T7:T89&gt;0,IF(W7:W89&lt;&gt;"",ROW(T7:T89)-MIN(ROW(T7:T89))+1))),ROW()-ROW(A$92)+1))," ",";")),"")</f>
        <v>0</v>
      </c>
      <c r="Y139">
        <f t="array" ref="Y139">IFERROR(CONCATENATE(TEXT(INDEX(Y7:Y89,SMALL(IF(ISNUMBER(Y7:Y89),IF(Y7:Y89&gt;0,IF(AB7:AB89&lt;&gt;"",ROW(Y7:Y89)-MIN(ROW(Y7:Y89))+1))),ROW()-ROW(A$93)+1)),"##0"),",",SUBSTITUTE(INDEX(IF(PURCHASE_DESCRIPTION&lt;&gt;"",PURCHASE_DESCRIPTION&amp;":","")&amp;A7:A89,SMALL(IF(ISNUMBER(Y7:Y89),IF(Y7:Y89&gt;0,IF(AB7:AB89&lt;&gt;"",ROW(Y7:Y89)-MIN(ROW(Y7:Y89))+1))),ROW()-ROW(A$93)+1)),",",";"),",",SUBSTITUTE(INDEX(IF(PURCHASE_DESCRIPTION&lt;&gt;"",PURCHASE_DESCRIPTION&amp;":","")&amp;D7:D89,SMALL(IF(ISNUMBER(Y7:Y89),IF(Y7:Y89&gt;0,IF(AB7:AB89&lt;&gt;"",ROW(Y7:Y89)-MIN(ROW(Y7:Y89))+1))),ROW()-ROW(A$93)+1)),",",";"),",",INDEX(AB7:AB89,SMALL(IF(ISNUMBER(Y7:Y89),IF(Y7:Y89&gt;0,IF(AB7:AB89&lt;&gt;"",ROW(Y7:Y89)-MIN(ROW(Y7:Y89))+1))),ROW()-ROW(A$93)+1))),"")</f>
        <v>0</v>
      </c>
      <c r="AD139">
        <f t="array" ref="AD139">IFERROR(CONCATENATE(INDEX(AG7:AG89,SMALL(IF(ISNUMBER(AD7:AD89),IF(AD7:AD89&gt;0,IF(AG7:AG89&lt;&gt;"",ROW(AD7:AD89)-MIN(ROW(AD7:AD89))+1))),ROW()-ROW(A$92)+1)),"|",TEXT(INDEX(AD7:AD89,SMALL(IF(ISNUMBER(AD7:AD89),IF(AD7:AD89&gt;0,IF(AG7:AG89&lt;&gt;"",ROW(AD7:AD89)-MIN(ROW(AD7:AD89))+1))),ROW()-ROW(A$92)+1)),"##0"),"|",SUBSTITUTE(SUBSTITUTE(INDEX(IF(PURCHASE_DESCRIPTION&lt;&gt;"",PURCHASE_DESCRIPTION&amp;":","")&amp;A7:A89,SMALL(IF(ISNUMBER(AD7:AD89),IF(AD7:AD89&gt;0,IF(AG7:AG89&lt;&gt;"",ROW(AD7:AD89)-MIN(ROW(AD7:AD89))+1))),ROW()-ROW(A$92)+1)),"|",";")," ","_")),"")</f>
        <v>0</v>
      </c>
      <c r="AI139">
        <f t="array" ref="AI139">IFERROR(CONCATENATE(INDEX(AL7:AL89,SMALL(IF(ISNUMBER(AI7:AI89),IF(AI7:AI89&gt;0,IF(AL7:AL89&lt;&gt;"",ROW(AI7:AI89)-MIN(ROW(AI7:AI89))+1))),ROW()-ROW(A$92)+1)),",",TEXT(INDEX(AI7:AI89,SMALL(IF(ISNUMBER(AI7:AI89),IF(AI7:AI89&gt;0,IF(AL7:AL89&lt;&gt;"",ROW(AI7:AI89)-MIN(ROW(AI7:AI89))+1))),ROW()-ROW(A$92)+1)),"##0"),",",SUBSTITUTE(INDEX(IF(PURCHASE_DESCRIPTION&lt;&gt;"",PURCHASE_DESCRIPTION&amp;":","")&amp;A7:A89,SMALL(IF(ISNUMBER(AI7:AI89),IF(AI7:AI89&gt;0,IF(AL7:AL89&lt;&gt;"",ROW(AI7:AI89)-MIN(ROW(AI7:AI89))+1))),ROW()-ROW(A$92)+1)),",",";")),"")</f>
        <v>0</v>
      </c>
      <c r="AN139">
        <f t="array" ref="AN139">IFERROR(CONCATENATE(INDEX(AQ7:AQ89,SMALL(IF(ISNUMBER(AN7:AN89),IF(AN7:AN89&gt;0,IF(AQ7:AQ89&lt;&gt;"",ROW(AN7:AN89)-MIN(ROW(AN7:AN89))+1))),ROW()-ROW(A$92)+1))," ",TEXT(INDEX(AN7:AN89,SMALL(IF(ISNUMBER(AN7:AN89),IF(AN7:AN89&gt;0,IF(AQ7:AQ89&lt;&gt;"",ROW(AN7:AN89)-MIN(ROW(AN7:AN89))+1))),ROW()-ROW(A$92)+1)),"##0")," ",SUBSTITUTE(INDEX(IF(PURCHASE_DESCRIPTION&lt;&gt;"",PURCHASE_DESCRIPTION&amp;":","")&amp;A7:A89,SMALL(IF(ISNUMBER(AN7:AN89),IF(AN7:AN89&gt;0,IF(AQ7:AQ89&lt;&gt;"",ROW(AN7:AN89)-MIN(ROW(AN7:AN89))+1))),ROW()-ROW(A$92)+1))," ",";")),"")</f>
        <v>0</v>
      </c>
      <c r="AS139">
        <f t="array" ref="AS139">IFERROR(CONCATENATE(INDEX(AV7:AV89,SMALL(IF(ISNUMBER(AS7:AS89),IF(AS7:AS89&gt;0,IF(AV7:AV89&lt;&gt;"",ROW(AS7:AS89)-MIN(ROW(AS7:AS89))+1))),ROW()-ROW(A$92)+1))," ",TEXT(INDEX(AS7:AS89,SMALL(IF(ISNUMBER(AS7:AS89),IF(AS7:AS89&gt;0,IF(AV7:AV89&lt;&gt;"",ROW(AS7:AS89)-MIN(ROW(AS7:AS89))+1))),ROW()-ROW(A$92)+1)),"##0")," ",SUBSTITUTE(INDEX(IF(PURCHASE_DESCRIPTION&lt;&gt;"",PURCHASE_DESCRIPTION&amp;":","")&amp;A7:A89,SMALL(IF(ISNUMBER(AS7:AS89),IF(AS7:AS89&gt;0,IF(AV7:AV89&lt;&gt;"",ROW(AS7:AS89)-MIN(ROW(AS7:AS89))+1))),ROW()-ROW(A$92)+1))," ",";")),"")</f>
        <v>0</v>
      </c>
    </row>
    <row r="140" spans="10:45">
      <c r="J140">
        <f t="array" ref="J140">IFERROR(CONCATENATE(INDEX(M7:M89,SMALL(IF(ISNUMBER(J7:J89),IF(J7:J89&gt;0,IF(M7:M89&lt;&gt;"",ROW(J7:J89)-MIN(ROW(J7:J89))+1))),ROW()-ROW(A$92)+1)),",",TEXT(INDEX(J7:J89,SMALL(IF(ISNUMBER(J7:J89),IF(J7:J89&gt;0,IF(M7:M89&lt;&gt;"",ROW(J7:J89)-MIN(ROW(J7:J89))+1))),ROW()-ROW(A$92)+1)),"##0"),",",SUBSTITUTE(INDEX(IF(PURCHASE_DESCRIPTION&lt;&gt;"",PURCHASE_DESCRIPTION&amp;":","")&amp;A7:A89,SMALL(IF(ISNUMBER(J7:J89),IF(J7:J89&gt;0,IF(M7:M89&lt;&gt;"",ROW(J7:J89)-MIN(ROW(J7:J89))+1))),ROW()-ROW(A$92)+1)),",",";")),"")</f>
        <v>0</v>
      </c>
      <c r="O140">
        <f t="array" ref="O140">IFERROR(CONCATENATE(TEXT(INDEX(O7:O89,SMALL(IF(ISNUMBER(O7:O89),IF(O7:O89&gt;0,IF(R7:R89&lt;&gt;"",ROW(O7:O89)-MIN(ROW(O7:O89))+1))),ROW()-ROW(A$92)+1)),"##0"),",",INDEX(R7:R89,SMALL(IF(ISNUMBER(O7:O89),IF(O7:O89&gt;0,IF(R7:R89&lt;&gt;"",ROW(O7:O89)-MIN(ROW(O7:O89))+1))),ROW()-ROW(A$92)+1)),",",SUBSTITUTE(INDEX(IF(PURCHASE_DESCRIPTION&lt;&gt;"",PURCHASE_DESCRIPTION&amp;":","")&amp;A7:A89,SMALL(IF(ISNUMBER(O7:O89),IF(O7:O89&gt;0,IF(R7:R89&lt;&gt;"",ROW(O7:O89)-MIN(ROW(O7:O89))+1))),ROW()-ROW(A$92)+1)),",",";")),"")</f>
        <v>0</v>
      </c>
      <c r="T140">
        <f t="array" ref="T140">IFERROR(CONCATENATE(INDEX(W7:W89,SMALL(IF(ISNUMBER(T7:T89),IF(T7:T89&gt;0,IF(W7:W89&lt;&gt;"",ROW(T7:T89)-MIN(ROW(T7:T89))+1))),ROW()-ROW(A$92)+1))," ",TEXT(INDEX(T7:T89,SMALL(IF(ISNUMBER(T7:T89),IF(T7:T89&gt;0,IF(W7:W89&lt;&gt;"",ROW(T7:T89)-MIN(ROW(T7:T89))+1))),ROW()-ROW(A$92)+1)),"##0")," ",SUBSTITUTE(INDEX(IF(PURCHASE_DESCRIPTION&lt;&gt;"",PURCHASE_DESCRIPTION&amp;":","")&amp;A7:A89,SMALL(IF(ISNUMBER(T7:T89),IF(T7:T89&gt;0,IF(W7:W89&lt;&gt;"",ROW(T7:T89)-MIN(ROW(T7:T89))+1))),ROW()-ROW(A$92)+1))," ",";")),"")</f>
        <v>0</v>
      </c>
      <c r="Y140">
        <f t="array" ref="Y140">IFERROR(CONCATENATE(TEXT(INDEX(Y7:Y89,SMALL(IF(ISNUMBER(Y7:Y89),IF(Y7:Y89&gt;0,IF(AB7:AB89&lt;&gt;"",ROW(Y7:Y89)-MIN(ROW(Y7:Y89))+1))),ROW()-ROW(A$93)+1)),"##0"),",",SUBSTITUTE(INDEX(IF(PURCHASE_DESCRIPTION&lt;&gt;"",PURCHASE_DESCRIPTION&amp;":","")&amp;A7:A89,SMALL(IF(ISNUMBER(Y7:Y89),IF(Y7:Y89&gt;0,IF(AB7:AB89&lt;&gt;"",ROW(Y7:Y89)-MIN(ROW(Y7:Y89))+1))),ROW()-ROW(A$93)+1)),",",";"),",",SUBSTITUTE(INDEX(IF(PURCHASE_DESCRIPTION&lt;&gt;"",PURCHASE_DESCRIPTION&amp;":","")&amp;D7:D89,SMALL(IF(ISNUMBER(Y7:Y89),IF(Y7:Y89&gt;0,IF(AB7:AB89&lt;&gt;"",ROW(Y7:Y89)-MIN(ROW(Y7:Y89))+1))),ROW()-ROW(A$93)+1)),",",";"),",",INDEX(AB7:AB89,SMALL(IF(ISNUMBER(Y7:Y89),IF(Y7:Y89&gt;0,IF(AB7:AB89&lt;&gt;"",ROW(Y7:Y89)-MIN(ROW(Y7:Y89))+1))),ROW()-ROW(A$93)+1))),"")</f>
        <v>0</v>
      </c>
      <c r="AD140">
        <f t="array" ref="AD140">IFERROR(CONCATENATE(INDEX(AG7:AG89,SMALL(IF(ISNUMBER(AD7:AD89),IF(AD7:AD89&gt;0,IF(AG7:AG89&lt;&gt;"",ROW(AD7:AD89)-MIN(ROW(AD7:AD89))+1))),ROW()-ROW(A$92)+1)),"|",TEXT(INDEX(AD7:AD89,SMALL(IF(ISNUMBER(AD7:AD89),IF(AD7:AD89&gt;0,IF(AG7:AG89&lt;&gt;"",ROW(AD7:AD89)-MIN(ROW(AD7:AD89))+1))),ROW()-ROW(A$92)+1)),"##0"),"|",SUBSTITUTE(SUBSTITUTE(INDEX(IF(PURCHASE_DESCRIPTION&lt;&gt;"",PURCHASE_DESCRIPTION&amp;":","")&amp;A7:A89,SMALL(IF(ISNUMBER(AD7:AD89),IF(AD7:AD89&gt;0,IF(AG7:AG89&lt;&gt;"",ROW(AD7:AD89)-MIN(ROW(AD7:AD89))+1))),ROW()-ROW(A$92)+1)),"|",";")," ","_")),"")</f>
        <v>0</v>
      </c>
      <c r="AI140">
        <f t="array" ref="AI140">IFERROR(CONCATENATE(INDEX(AL7:AL89,SMALL(IF(ISNUMBER(AI7:AI89),IF(AI7:AI89&gt;0,IF(AL7:AL89&lt;&gt;"",ROW(AI7:AI89)-MIN(ROW(AI7:AI89))+1))),ROW()-ROW(A$92)+1)),",",TEXT(INDEX(AI7:AI89,SMALL(IF(ISNUMBER(AI7:AI89),IF(AI7:AI89&gt;0,IF(AL7:AL89&lt;&gt;"",ROW(AI7:AI89)-MIN(ROW(AI7:AI89))+1))),ROW()-ROW(A$92)+1)),"##0"),",",SUBSTITUTE(INDEX(IF(PURCHASE_DESCRIPTION&lt;&gt;"",PURCHASE_DESCRIPTION&amp;":","")&amp;A7:A89,SMALL(IF(ISNUMBER(AI7:AI89),IF(AI7:AI89&gt;0,IF(AL7:AL89&lt;&gt;"",ROW(AI7:AI89)-MIN(ROW(AI7:AI89))+1))),ROW()-ROW(A$92)+1)),",",";")),"")</f>
        <v>0</v>
      </c>
      <c r="AN140">
        <f t="array" ref="AN140">IFERROR(CONCATENATE(INDEX(AQ7:AQ89,SMALL(IF(ISNUMBER(AN7:AN89),IF(AN7:AN89&gt;0,IF(AQ7:AQ89&lt;&gt;"",ROW(AN7:AN89)-MIN(ROW(AN7:AN89))+1))),ROW()-ROW(A$92)+1))," ",TEXT(INDEX(AN7:AN89,SMALL(IF(ISNUMBER(AN7:AN89),IF(AN7:AN89&gt;0,IF(AQ7:AQ89&lt;&gt;"",ROW(AN7:AN89)-MIN(ROW(AN7:AN89))+1))),ROW()-ROW(A$92)+1)),"##0")," ",SUBSTITUTE(INDEX(IF(PURCHASE_DESCRIPTION&lt;&gt;"",PURCHASE_DESCRIPTION&amp;":","")&amp;A7:A89,SMALL(IF(ISNUMBER(AN7:AN89),IF(AN7:AN89&gt;0,IF(AQ7:AQ89&lt;&gt;"",ROW(AN7:AN89)-MIN(ROW(AN7:AN89))+1))),ROW()-ROW(A$92)+1))," ",";")),"")</f>
        <v>0</v>
      </c>
      <c r="AS140">
        <f t="array" ref="AS140">IFERROR(CONCATENATE(INDEX(AV7:AV89,SMALL(IF(ISNUMBER(AS7:AS89),IF(AS7:AS89&gt;0,IF(AV7:AV89&lt;&gt;"",ROW(AS7:AS89)-MIN(ROW(AS7:AS89))+1))),ROW()-ROW(A$92)+1))," ",TEXT(INDEX(AS7:AS89,SMALL(IF(ISNUMBER(AS7:AS89),IF(AS7:AS89&gt;0,IF(AV7:AV89&lt;&gt;"",ROW(AS7:AS89)-MIN(ROW(AS7:AS89))+1))),ROW()-ROW(A$92)+1)),"##0")," ",SUBSTITUTE(INDEX(IF(PURCHASE_DESCRIPTION&lt;&gt;"",PURCHASE_DESCRIPTION&amp;":","")&amp;A7:A89,SMALL(IF(ISNUMBER(AS7:AS89),IF(AS7:AS89&gt;0,IF(AV7:AV89&lt;&gt;"",ROW(AS7:AS89)-MIN(ROW(AS7:AS89))+1))),ROW()-ROW(A$92)+1))," ",";")),"")</f>
        <v>0</v>
      </c>
    </row>
    <row r="141" spans="10:45">
      <c r="J141">
        <f t="array" ref="J141">IFERROR(CONCATENATE(INDEX(M7:M89,SMALL(IF(ISNUMBER(J7:J89),IF(J7:J89&gt;0,IF(M7:M89&lt;&gt;"",ROW(J7:J89)-MIN(ROW(J7:J89))+1))),ROW()-ROW(A$92)+1)),",",TEXT(INDEX(J7:J89,SMALL(IF(ISNUMBER(J7:J89),IF(J7:J89&gt;0,IF(M7:M89&lt;&gt;"",ROW(J7:J89)-MIN(ROW(J7:J89))+1))),ROW()-ROW(A$92)+1)),"##0"),",",SUBSTITUTE(INDEX(IF(PURCHASE_DESCRIPTION&lt;&gt;"",PURCHASE_DESCRIPTION&amp;":","")&amp;A7:A89,SMALL(IF(ISNUMBER(J7:J89),IF(J7:J89&gt;0,IF(M7:M89&lt;&gt;"",ROW(J7:J89)-MIN(ROW(J7:J89))+1))),ROW()-ROW(A$92)+1)),",",";")),"")</f>
        <v>0</v>
      </c>
      <c r="O141">
        <f t="array" ref="O141">IFERROR(CONCATENATE(TEXT(INDEX(O7:O89,SMALL(IF(ISNUMBER(O7:O89),IF(O7:O89&gt;0,IF(R7:R89&lt;&gt;"",ROW(O7:O89)-MIN(ROW(O7:O89))+1))),ROW()-ROW(A$92)+1)),"##0"),",",INDEX(R7:R89,SMALL(IF(ISNUMBER(O7:O89),IF(O7:O89&gt;0,IF(R7:R89&lt;&gt;"",ROW(O7:O89)-MIN(ROW(O7:O89))+1))),ROW()-ROW(A$92)+1)),",",SUBSTITUTE(INDEX(IF(PURCHASE_DESCRIPTION&lt;&gt;"",PURCHASE_DESCRIPTION&amp;":","")&amp;A7:A89,SMALL(IF(ISNUMBER(O7:O89),IF(O7:O89&gt;0,IF(R7:R89&lt;&gt;"",ROW(O7:O89)-MIN(ROW(O7:O89))+1))),ROW()-ROW(A$92)+1)),",",";")),"")</f>
        <v>0</v>
      </c>
      <c r="T141">
        <f t="array" ref="T141">IFERROR(CONCATENATE(INDEX(W7:W89,SMALL(IF(ISNUMBER(T7:T89),IF(T7:T89&gt;0,IF(W7:W89&lt;&gt;"",ROW(T7:T89)-MIN(ROW(T7:T89))+1))),ROW()-ROW(A$92)+1))," ",TEXT(INDEX(T7:T89,SMALL(IF(ISNUMBER(T7:T89),IF(T7:T89&gt;0,IF(W7:W89&lt;&gt;"",ROW(T7:T89)-MIN(ROW(T7:T89))+1))),ROW()-ROW(A$92)+1)),"##0")," ",SUBSTITUTE(INDEX(IF(PURCHASE_DESCRIPTION&lt;&gt;"",PURCHASE_DESCRIPTION&amp;":","")&amp;A7:A89,SMALL(IF(ISNUMBER(T7:T89),IF(T7:T89&gt;0,IF(W7:W89&lt;&gt;"",ROW(T7:T89)-MIN(ROW(T7:T89))+1))),ROW()-ROW(A$92)+1))," ",";")),"")</f>
        <v>0</v>
      </c>
      <c r="Y141">
        <f t="array" ref="Y141">IFERROR(CONCATENATE(TEXT(INDEX(Y7:Y89,SMALL(IF(ISNUMBER(Y7:Y89),IF(Y7:Y89&gt;0,IF(AB7:AB89&lt;&gt;"",ROW(Y7:Y89)-MIN(ROW(Y7:Y89))+1))),ROW()-ROW(A$93)+1)),"##0"),",",SUBSTITUTE(INDEX(IF(PURCHASE_DESCRIPTION&lt;&gt;"",PURCHASE_DESCRIPTION&amp;":","")&amp;A7:A89,SMALL(IF(ISNUMBER(Y7:Y89),IF(Y7:Y89&gt;0,IF(AB7:AB89&lt;&gt;"",ROW(Y7:Y89)-MIN(ROW(Y7:Y89))+1))),ROW()-ROW(A$93)+1)),",",";"),",",SUBSTITUTE(INDEX(IF(PURCHASE_DESCRIPTION&lt;&gt;"",PURCHASE_DESCRIPTION&amp;":","")&amp;D7:D89,SMALL(IF(ISNUMBER(Y7:Y89),IF(Y7:Y89&gt;0,IF(AB7:AB89&lt;&gt;"",ROW(Y7:Y89)-MIN(ROW(Y7:Y89))+1))),ROW()-ROW(A$93)+1)),",",";"),",",INDEX(AB7:AB89,SMALL(IF(ISNUMBER(Y7:Y89),IF(Y7:Y89&gt;0,IF(AB7:AB89&lt;&gt;"",ROW(Y7:Y89)-MIN(ROW(Y7:Y89))+1))),ROW()-ROW(A$93)+1))),"")</f>
        <v>0</v>
      </c>
      <c r="AD141">
        <f t="array" ref="AD141">IFERROR(CONCATENATE(INDEX(AG7:AG89,SMALL(IF(ISNUMBER(AD7:AD89),IF(AD7:AD89&gt;0,IF(AG7:AG89&lt;&gt;"",ROW(AD7:AD89)-MIN(ROW(AD7:AD89))+1))),ROW()-ROW(A$92)+1)),"|",TEXT(INDEX(AD7:AD89,SMALL(IF(ISNUMBER(AD7:AD89),IF(AD7:AD89&gt;0,IF(AG7:AG89&lt;&gt;"",ROW(AD7:AD89)-MIN(ROW(AD7:AD89))+1))),ROW()-ROW(A$92)+1)),"##0"),"|",SUBSTITUTE(SUBSTITUTE(INDEX(IF(PURCHASE_DESCRIPTION&lt;&gt;"",PURCHASE_DESCRIPTION&amp;":","")&amp;A7:A89,SMALL(IF(ISNUMBER(AD7:AD89),IF(AD7:AD89&gt;0,IF(AG7:AG89&lt;&gt;"",ROW(AD7:AD89)-MIN(ROW(AD7:AD89))+1))),ROW()-ROW(A$92)+1)),"|",";")," ","_")),"")</f>
        <v>0</v>
      </c>
      <c r="AI141">
        <f t="array" ref="AI141">IFERROR(CONCATENATE(INDEX(AL7:AL89,SMALL(IF(ISNUMBER(AI7:AI89),IF(AI7:AI89&gt;0,IF(AL7:AL89&lt;&gt;"",ROW(AI7:AI89)-MIN(ROW(AI7:AI89))+1))),ROW()-ROW(A$92)+1)),",",TEXT(INDEX(AI7:AI89,SMALL(IF(ISNUMBER(AI7:AI89),IF(AI7:AI89&gt;0,IF(AL7:AL89&lt;&gt;"",ROW(AI7:AI89)-MIN(ROW(AI7:AI89))+1))),ROW()-ROW(A$92)+1)),"##0"),",",SUBSTITUTE(INDEX(IF(PURCHASE_DESCRIPTION&lt;&gt;"",PURCHASE_DESCRIPTION&amp;":","")&amp;A7:A89,SMALL(IF(ISNUMBER(AI7:AI89),IF(AI7:AI89&gt;0,IF(AL7:AL89&lt;&gt;"",ROW(AI7:AI89)-MIN(ROW(AI7:AI89))+1))),ROW()-ROW(A$92)+1)),",",";")),"")</f>
        <v>0</v>
      </c>
      <c r="AN141">
        <f t="array" ref="AN141">IFERROR(CONCATENATE(INDEX(AQ7:AQ89,SMALL(IF(ISNUMBER(AN7:AN89),IF(AN7:AN89&gt;0,IF(AQ7:AQ89&lt;&gt;"",ROW(AN7:AN89)-MIN(ROW(AN7:AN89))+1))),ROW()-ROW(A$92)+1))," ",TEXT(INDEX(AN7:AN89,SMALL(IF(ISNUMBER(AN7:AN89),IF(AN7:AN89&gt;0,IF(AQ7:AQ89&lt;&gt;"",ROW(AN7:AN89)-MIN(ROW(AN7:AN89))+1))),ROW()-ROW(A$92)+1)),"##0")," ",SUBSTITUTE(INDEX(IF(PURCHASE_DESCRIPTION&lt;&gt;"",PURCHASE_DESCRIPTION&amp;":","")&amp;A7:A89,SMALL(IF(ISNUMBER(AN7:AN89),IF(AN7:AN89&gt;0,IF(AQ7:AQ89&lt;&gt;"",ROW(AN7:AN89)-MIN(ROW(AN7:AN89))+1))),ROW()-ROW(A$92)+1))," ",";")),"")</f>
        <v>0</v>
      </c>
      <c r="AS141">
        <f t="array" ref="AS141">IFERROR(CONCATENATE(INDEX(AV7:AV89,SMALL(IF(ISNUMBER(AS7:AS89),IF(AS7:AS89&gt;0,IF(AV7:AV89&lt;&gt;"",ROW(AS7:AS89)-MIN(ROW(AS7:AS89))+1))),ROW()-ROW(A$92)+1))," ",TEXT(INDEX(AS7:AS89,SMALL(IF(ISNUMBER(AS7:AS89),IF(AS7:AS89&gt;0,IF(AV7:AV89&lt;&gt;"",ROW(AS7:AS89)-MIN(ROW(AS7:AS89))+1))),ROW()-ROW(A$92)+1)),"##0")," ",SUBSTITUTE(INDEX(IF(PURCHASE_DESCRIPTION&lt;&gt;"",PURCHASE_DESCRIPTION&amp;":","")&amp;A7:A89,SMALL(IF(ISNUMBER(AS7:AS89),IF(AS7:AS89&gt;0,IF(AV7:AV89&lt;&gt;"",ROW(AS7:AS89)-MIN(ROW(AS7:AS89))+1))),ROW()-ROW(A$92)+1))," ",";")),"")</f>
        <v>0</v>
      </c>
    </row>
    <row r="142" spans="10:45">
      <c r="J142">
        <f t="array" ref="J142">IFERROR(CONCATENATE(INDEX(M7:M89,SMALL(IF(ISNUMBER(J7:J89),IF(J7:J89&gt;0,IF(M7:M89&lt;&gt;"",ROW(J7:J89)-MIN(ROW(J7:J89))+1))),ROW()-ROW(A$92)+1)),",",TEXT(INDEX(J7:J89,SMALL(IF(ISNUMBER(J7:J89),IF(J7:J89&gt;0,IF(M7:M89&lt;&gt;"",ROW(J7:J89)-MIN(ROW(J7:J89))+1))),ROW()-ROW(A$92)+1)),"##0"),",",SUBSTITUTE(INDEX(IF(PURCHASE_DESCRIPTION&lt;&gt;"",PURCHASE_DESCRIPTION&amp;":","")&amp;A7:A89,SMALL(IF(ISNUMBER(J7:J89),IF(J7:J89&gt;0,IF(M7:M89&lt;&gt;"",ROW(J7:J89)-MIN(ROW(J7:J89))+1))),ROW()-ROW(A$92)+1)),",",";")),"")</f>
        <v>0</v>
      </c>
      <c r="O142">
        <f t="array" ref="O142">IFERROR(CONCATENATE(TEXT(INDEX(O7:O89,SMALL(IF(ISNUMBER(O7:O89),IF(O7:O89&gt;0,IF(R7:R89&lt;&gt;"",ROW(O7:O89)-MIN(ROW(O7:O89))+1))),ROW()-ROW(A$92)+1)),"##0"),",",INDEX(R7:R89,SMALL(IF(ISNUMBER(O7:O89),IF(O7:O89&gt;0,IF(R7:R89&lt;&gt;"",ROW(O7:O89)-MIN(ROW(O7:O89))+1))),ROW()-ROW(A$92)+1)),",",SUBSTITUTE(INDEX(IF(PURCHASE_DESCRIPTION&lt;&gt;"",PURCHASE_DESCRIPTION&amp;":","")&amp;A7:A89,SMALL(IF(ISNUMBER(O7:O89),IF(O7:O89&gt;0,IF(R7:R89&lt;&gt;"",ROW(O7:O89)-MIN(ROW(O7:O89))+1))),ROW()-ROW(A$92)+1)),",",";")),"")</f>
        <v>0</v>
      </c>
      <c r="T142">
        <f t="array" ref="T142">IFERROR(CONCATENATE(INDEX(W7:W89,SMALL(IF(ISNUMBER(T7:T89),IF(T7:T89&gt;0,IF(W7:W89&lt;&gt;"",ROW(T7:T89)-MIN(ROW(T7:T89))+1))),ROW()-ROW(A$92)+1))," ",TEXT(INDEX(T7:T89,SMALL(IF(ISNUMBER(T7:T89),IF(T7:T89&gt;0,IF(W7:W89&lt;&gt;"",ROW(T7:T89)-MIN(ROW(T7:T89))+1))),ROW()-ROW(A$92)+1)),"##0")," ",SUBSTITUTE(INDEX(IF(PURCHASE_DESCRIPTION&lt;&gt;"",PURCHASE_DESCRIPTION&amp;":","")&amp;A7:A89,SMALL(IF(ISNUMBER(T7:T89),IF(T7:T89&gt;0,IF(W7:W89&lt;&gt;"",ROW(T7:T89)-MIN(ROW(T7:T89))+1))),ROW()-ROW(A$92)+1))," ",";")),"")</f>
        <v>0</v>
      </c>
      <c r="Y142">
        <f t="array" ref="Y142">IFERROR(CONCATENATE(TEXT(INDEX(Y7:Y89,SMALL(IF(ISNUMBER(Y7:Y89),IF(Y7:Y89&gt;0,IF(AB7:AB89&lt;&gt;"",ROW(Y7:Y89)-MIN(ROW(Y7:Y89))+1))),ROW()-ROW(A$93)+1)),"##0"),",",SUBSTITUTE(INDEX(IF(PURCHASE_DESCRIPTION&lt;&gt;"",PURCHASE_DESCRIPTION&amp;":","")&amp;A7:A89,SMALL(IF(ISNUMBER(Y7:Y89),IF(Y7:Y89&gt;0,IF(AB7:AB89&lt;&gt;"",ROW(Y7:Y89)-MIN(ROW(Y7:Y89))+1))),ROW()-ROW(A$93)+1)),",",";"),",",SUBSTITUTE(INDEX(IF(PURCHASE_DESCRIPTION&lt;&gt;"",PURCHASE_DESCRIPTION&amp;":","")&amp;D7:D89,SMALL(IF(ISNUMBER(Y7:Y89),IF(Y7:Y89&gt;0,IF(AB7:AB89&lt;&gt;"",ROW(Y7:Y89)-MIN(ROW(Y7:Y89))+1))),ROW()-ROW(A$93)+1)),",",";"),",",INDEX(AB7:AB89,SMALL(IF(ISNUMBER(Y7:Y89),IF(Y7:Y89&gt;0,IF(AB7:AB89&lt;&gt;"",ROW(Y7:Y89)-MIN(ROW(Y7:Y89))+1))),ROW()-ROW(A$93)+1))),"")</f>
        <v>0</v>
      </c>
      <c r="AD142">
        <f t="array" ref="AD142">IFERROR(CONCATENATE(INDEX(AG7:AG89,SMALL(IF(ISNUMBER(AD7:AD89),IF(AD7:AD89&gt;0,IF(AG7:AG89&lt;&gt;"",ROW(AD7:AD89)-MIN(ROW(AD7:AD89))+1))),ROW()-ROW(A$92)+1)),"|",TEXT(INDEX(AD7:AD89,SMALL(IF(ISNUMBER(AD7:AD89),IF(AD7:AD89&gt;0,IF(AG7:AG89&lt;&gt;"",ROW(AD7:AD89)-MIN(ROW(AD7:AD89))+1))),ROW()-ROW(A$92)+1)),"##0"),"|",SUBSTITUTE(SUBSTITUTE(INDEX(IF(PURCHASE_DESCRIPTION&lt;&gt;"",PURCHASE_DESCRIPTION&amp;":","")&amp;A7:A89,SMALL(IF(ISNUMBER(AD7:AD89),IF(AD7:AD89&gt;0,IF(AG7:AG89&lt;&gt;"",ROW(AD7:AD89)-MIN(ROW(AD7:AD89))+1))),ROW()-ROW(A$92)+1)),"|",";")," ","_")),"")</f>
        <v>0</v>
      </c>
      <c r="AI142">
        <f t="array" ref="AI142">IFERROR(CONCATENATE(INDEX(AL7:AL89,SMALL(IF(ISNUMBER(AI7:AI89),IF(AI7:AI89&gt;0,IF(AL7:AL89&lt;&gt;"",ROW(AI7:AI89)-MIN(ROW(AI7:AI89))+1))),ROW()-ROW(A$92)+1)),",",TEXT(INDEX(AI7:AI89,SMALL(IF(ISNUMBER(AI7:AI89),IF(AI7:AI89&gt;0,IF(AL7:AL89&lt;&gt;"",ROW(AI7:AI89)-MIN(ROW(AI7:AI89))+1))),ROW()-ROW(A$92)+1)),"##0"),",",SUBSTITUTE(INDEX(IF(PURCHASE_DESCRIPTION&lt;&gt;"",PURCHASE_DESCRIPTION&amp;":","")&amp;A7:A89,SMALL(IF(ISNUMBER(AI7:AI89),IF(AI7:AI89&gt;0,IF(AL7:AL89&lt;&gt;"",ROW(AI7:AI89)-MIN(ROW(AI7:AI89))+1))),ROW()-ROW(A$92)+1)),",",";")),"")</f>
        <v>0</v>
      </c>
      <c r="AN142">
        <f t="array" ref="AN142">IFERROR(CONCATENATE(INDEX(AQ7:AQ89,SMALL(IF(ISNUMBER(AN7:AN89),IF(AN7:AN89&gt;0,IF(AQ7:AQ89&lt;&gt;"",ROW(AN7:AN89)-MIN(ROW(AN7:AN89))+1))),ROW()-ROW(A$92)+1))," ",TEXT(INDEX(AN7:AN89,SMALL(IF(ISNUMBER(AN7:AN89),IF(AN7:AN89&gt;0,IF(AQ7:AQ89&lt;&gt;"",ROW(AN7:AN89)-MIN(ROW(AN7:AN89))+1))),ROW()-ROW(A$92)+1)),"##0")," ",SUBSTITUTE(INDEX(IF(PURCHASE_DESCRIPTION&lt;&gt;"",PURCHASE_DESCRIPTION&amp;":","")&amp;A7:A89,SMALL(IF(ISNUMBER(AN7:AN89),IF(AN7:AN89&gt;0,IF(AQ7:AQ89&lt;&gt;"",ROW(AN7:AN89)-MIN(ROW(AN7:AN89))+1))),ROW()-ROW(A$92)+1))," ",";")),"")</f>
        <v>0</v>
      </c>
      <c r="AS142">
        <f t="array" ref="AS142">IFERROR(CONCATENATE(INDEX(AV7:AV89,SMALL(IF(ISNUMBER(AS7:AS89),IF(AS7:AS89&gt;0,IF(AV7:AV89&lt;&gt;"",ROW(AS7:AS89)-MIN(ROW(AS7:AS89))+1))),ROW()-ROW(A$92)+1))," ",TEXT(INDEX(AS7:AS89,SMALL(IF(ISNUMBER(AS7:AS89),IF(AS7:AS89&gt;0,IF(AV7:AV89&lt;&gt;"",ROW(AS7:AS89)-MIN(ROW(AS7:AS89))+1))),ROW()-ROW(A$92)+1)),"##0")," ",SUBSTITUTE(INDEX(IF(PURCHASE_DESCRIPTION&lt;&gt;"",PURCHASE_DESCRIPTION&amp;":","")&amp;A7:A89,SMALL(IF(ISNUMBER(AS7:AS89),IF(AS7:AS89&gt;0,IF(AV7:AV89&lt;&gt;"",ROW(AS7:AS89)-MIN(ROW(AS7:AS89))+1))),ROW()-ROW(A$92)+1))," ",";")),"")</f>
        <v>0</v>
      </c>
    </row>
    <row r="143" spans="10:45">
      <c r="J143">
        <f t="array" ref="J143">IFERROR(CONCATENATE(INDEX(M7:M89,SMALL(IF(ISNUMBER(J7:J89),IF(J7:J89&gt;0,IF(M7:M89&lt;&gt;"",ROW(J7:J89)-MIN(ROW(J7:J89))+1))),ROW()-ROW(A$92)+1)),",",TEXT(INDEX(J7:J89,SMALL(IF(ISNUMBER(J7:J89),IF(J7:J89&gt;0,IF(M7:M89&lt;&gt;"",ROW(J7:J89)-MIN(ROW(J7:J89))+1))),ROW()-ROW(A$92)+1)),"##0"),",",SUBSTITUTE(INDEX(IF(PURCHASE_DESCRIPTION&lt;&gt;"",PURCHASE_DESCRIPTION&amp;":","")&amp;A7:A89,SMALL(IF(ISNUMBER(J7:J89),IF(J7:J89&gt;0,IF(M7:M89&lt;&gt;"",ROW(J7:J89)-MIN(ROW(J7:J89))+1))),ROW()-ROW(A$92)+1)),",",";")),"")</f>
        <v>0</v>
      </c>
      <c r="O143">
        <f t="array" ref="O143">IFERROR(CONCATENATE(TEXT(INDEX(O7:O89,SMALL(IF(ISNUMBER(O7:O89),IF(O7:O89&gt;0,IF(R7:R89&lt;&gt;"",ROW(O7:O89)-MIN(ROW(O7:O89))+1))),ROW()-ROW(A$92)+1)),"##0"),",",INDEX(R7:R89,SMALL(IF(ISNUMBER(O7:O89),IF(O7:O89&gt;0,IF(R7:R89&lt;&gt;"",ROW(O7:O89)-MIN(ROW(O7:O89))+1))),ROW()-ROW(A$92)+1)),",",SUBSTITUTE(INDEX(IF(PURCHASE_DESCRIPTION&lt;&gt;"",PURCHASE_DESCRIPTION&amp;":","")&amp;A7:A89,SMALL(IF(ISNUMBER(O7:O89),IF(O7:O89&gt;0,IF(R7:R89&lt;&gt;"",ROW(O7:O89)-MIN(ROW(O7:O89))+1))),ROW()-ROW(A$92)+1)),",",";")),"")</f>
        <v>0</v>
      </c>
      <c r="T143">
        <f t="array" ref="T143">IFERROR(CONCATENATE(INDEX(W7:W89,SMALL(IF(ISNUMBER(T7:T89),IF(T7:T89&gt;0,IF(W7:W89&lt;&gt;"",ROW(T7:T89)-MIN(ROW(T7:T89))+1))),ROW()-ROW(A$92)+1))," ",TEXT(INDEX(T7:T89,SMALL(IF(ISNUMBER(T7:T89),IF(T7:T89&gt;0,IF(W7:W89&lt;&gt;"",ROW(T7:T89)-MIN(ROW(T7:T89))+1))),ROW()-ROW(A$92)+1)),"##0")," ",SUBSTITUTE(INDEX(IF(PURCHASE_DESCRIPTION&lt;&gt;"",PURCHASE_DESCRIPTION&amp;":","")&amp;A7:A89,SMALL(IF(ISNUMBER(T7:T89),IF(T7:T89&gt;0,IF(W7:W89&lt;&gt;"",ROW(T7:T89)-MIN(ROW(T7:T89))+1))),ROW()-ROW(A$92)+1))," ",";")),"")</f>
        <v>0</v>
      </c>
      <c r="Y143">
        <f t="array" ref="Y143">IFERROR(CONCATENATE(TEXT(INDEX(Y7:Y89,SMALL(IF(ISNUMBER(Y7:Y89),IF(Y7:Y89&gt;0,IF(AB7:AB89&lt;&gt;"",ROW(Y7:Y89)-MIN(ROW(Y7:Y89))+1))),ROW()-ROW(A$93)+1)),"##0"),",",SUBSTITUTE(INDEX(IF(PURCHASE_DESCRIPTION&lt;&gt;"",PURCHASE_DESCRIPTION&amp;":","")&amp;A7:A89,SMALL(IF(ISNUMBER(Y7:Y89),IF(Y7:Y89&gt;0,IF(AB7:AB89&lt;&gt;"",ROW(Y7:Y89)-MIN(ROW(Y7:Y89))+1))),ROW()-ROW(A$93)+1)),",",";"),",",SUBSTITUTE(INDEX(IF(PURCHASE_DESCRIPTION&lt;&gt;"",PURCHASE_DESCRIPTION&amp;":","")&amp;D7:D89,SMALL(IF(ISNUMBER(Y7:Y89),IF(Y7:Y89&gt;0,IF(AB7:AB89&lt;&gt;"",ROW(Y7:Y89)-MIN(ROW(Y7:Y89))+1))),ROW()-ROW(A$93)+1)),",",";"),",",INDEX(AB7:AB89,SMALL(IF(ISNUMBER(Y7:Y89),IF(Y7:Y89&gt;0,IF(AB7:AB89&lt;&gt;"",ROW(Y7:Y89)-MIN(ROW(Y7:Y89))+1))),ROW()-ROW(A$93)+1))),"")</f>
        <v>0</v>
      </c>
      <c r="AD143">
        <f t="array" ref="AD143">IFERROR(CONCATENATE(INDEX(AG7:AG89,SMALL(IF(ISNUMBER(AD7:AD89),IF(AD7:AD89&gt;0,IF(AG7:AG89&lt;&gt;"",ROW(AD7:AD89)-MIN(ROW(AD7:AD89))+1))),ROW()-ROW(A$92)+1)),"|",TEXT(INDEX(AD7:AD89,SMALL(IF(ISNUMBER(AD7:AD89),IF(AD7:AD89&gt;0,IF(AG7:AG89&lt;&gt;"",ROW(AD7:AD89)-MIN(ROW(AD7:AD89))+1))),ROW()-ROW(A$92)+1)),"##0"),"|",SUBSTITUTE(SUBSTITUTE(INDEX(IF(PURCHASE_DESCRIPTION&lt;&gt;"",PURCHASE_DESCRIPTION&amp;":","")&amp;A7:A89,SMALL(IF(ISNUMBER(AD7:AD89),IF(AD7:AD89&gt;0,IF(AG7:AG89&lt;&gt;"",ROW(AD7:AD89)-MIN(ROW(AD7:AD89))+1))),ROW()-ROW(A$92)+1)),"|",";")," ","_")),"")</f>
        <v>0</v>
      </c>
      <c r="AI143">
        <f t="array" ref="AI143">IFERROR(CONCATENATE(INDEX(AL7:AL89,SMALL(IF(ISNUMBER(AI7:AI89),IF(AI7:AI89&gt;0,IF(AL7:AL89&lt;&gt;"",ROW(AI7:AI89)-MIN(ROW(AI7:AI89))+1))),ROW()-ROW(A$92)+1)),",",TEXT(INDEX(AI7:AI89,SMALL(IF(ISNUMBER(AI7:AI89),IF(AI7:AI89&gt;0,IF(AL7:AL89&lt;&gt;"",ROW(AI7:AI89)-MIN(ROW(AI7:AI89))+1))),ROW()-ROW(A$92)+1)),"##0"),",",SUBSTITUTE(INDEX(IF(PURCHASE_DESCRIPTION&lt;&gt;"",PURCHASE_DESCRIPTION&amp;":","")&amp;A7:A89,SMALL(IF(ISNUMBER(AI7:AI89),IF(AI7:AI89&gt;0,IF(AL7:AL89&lt;&gt;"",ROW(AI7:AI89)-MIN(ROW(AI7:AI89))+1))),ROW()-ROW(A$92)+1)),",",";")),"")</f>
        <v>0</v>
      </c>
      <c r="AN143">
        <f t="array" ref="AN143">IFERROR(CONCATENATE(INDEX(AQ7:AQ89,SMALL(IF(ISNUMBER(AN7:AN89),IF(AN7:AN89&gt;0,IF(AQ7:AQ89&lt;&gt;"",ROW(AN7:AN89)-MIN(ROW(AN7:AN89))+1))),ROW()-ROW(A$92)+1))," ",TEXT(INDEX(AN7:AN89,SMALL(IF(ISNUMBER(AN7:AN89),IF(AN7:AN89&gt;0,IF(AQ7:AQ89&lt;&gt;"",ROW(AN7:AN89)-MIN(ROW(AN7:AN89))+1))),ROW()-ROW(A$92)+1)),"##0")," ",SUBSTITUTE(INDEX(IF(PURCHASE_DESCRIPTION&lt;&gt;"",PURCHASE_DESCRIPTION&amp;":","")&amp;A7:A89,SMALL(IF(ISNUMBER(AN7:AN89),IF(AN7:AN89&gt;0,IF(AQ7:AQ89&lt;&gt;"",ROW(AN7:AN89)-MIN(ROW(AN7:AN89))+1))),ROW()-ROW(A$92)+1))," ",";")),"")</f>
        <v>0</v>
      </c>
      <c r="AS143">
        <f t="array" ref="AS143">IFERROR(CONCATENATE(INDEX(AV7:AV89,SMALL(IF(ISNUMBER(AS7:AS89),IF(AS7:AS89&gt;0,IF(AV7:AV89&lt;&gt;"",ROW(AS7:AS89)-MIN(ROW(AS7:AS89))+1))),ROW()-ROW(A$92)+1))," ",TEXT(INDEX(AS7:AS89,SMALL(IF(ISNUMBER(AS7:AS89),IF(AS7:AS89&gt;0,IF(AV7:AV89&lt;&gt;"",ROW(AS7:AS89)-MIN(ROW(AS7:AS89))+1))),ROW()-ROW(A$92)+1)),"##0")," ",SUBSTITUTE(INDEX(IF(PURCHASE_DESCRIPTION&lt;&gt;"",PURCHASE_DESCRIPTION&amp;":","")&amp;A7:A89,SMALL(IF(ISNUMBER(AS7:AS89),IF(AS7:AS89&gt;0,IF(AV7:AV89&lt;&gt;"",ROW(AS7:AS89)-MIN(ROW(AS7:AS89))+1))),ROW()-ROW(A$92)+1))," ",";")),"")</f>
        <v>0</v>
      </c>
    </row>
    <row r="144" spans="10:45">
      <c r="J144">
        <f t="array" ref="J144">IFERROR(CONCATENATE(INDEX(M7:M89,SMALL(IF(ISNUMBER(J7:J89),IF(J7:J89&gt;0,IF(M7:M89&lt;&gt;"",ROW(J7:J89)-MIN(ROW(J7:J89))+1))),ROW()-ROW(A$92)+1)),",",TEXT(INDEX(J7:J89,SMALL(IF(ISNUMBER(J7:J89),IF(J7:J89&gt;0,IF(M7:M89&lt;&gt;"",ROW(J7:J89)-MIN(ROW(J7:J89))+1))),ROW()-ROW(A$92)+1)),"##0"),",",SUBSTITUTE(INDEX(IF(PURCHASE_DESCRIPTION&lt;&gt;"",PURCHASE_DESCRIPTION&amp;":","")&amp;A7:A89,SMALL(IF(ISNUMBER(J7:J89),IF(J7:J89&gt;0,IF(M7:M89&lt;&gt;"",ROW(J7:J89)-MIN(ROW(J7:J89))+1))),ROW()-ROW(A$92)+1)),",",";")),"")</f>
        <v>0</v>
      </c>
      <c r="O144">
        <f t="array" ref="O144">IFERROR(CONCATENATE(TEXT(INDEX(O7:O89,SMALL(IF(ISNUMBER(O7:O89),IF(O7:O89&gt;0,IF(R7:R89&lt;&gt;"",ROW(O7:O89)-MIN(ROW(O7:O89))+1))),ROW()-ROW(A$92)+1)),"##0"),",",INDEX(R7:R89,SMALL(IF(ISNUMBER(O7:O89),IF(O7:O89&gt;0,IF(R7:R89&lt;&gt;"",ROW(O7:O89)-MIN(ROW(O7:O89))+1))),ROW()-ROW(A$92)+1)),",",SUBSTITUTE(INDEX(IF(PURCHASE_DESCRIPTION&lt;&gt;"",PURCHASE_DESCRIPTION&amp;":","")&amp;A7:A89,SMALL(IF(ISNUMBER(O7:O89),IF(O7:O89&gt;0,IF(R7:R89&lt;&gt;"",ROW(O7:O89)-MIN(ROW(O7:O89))+1))),ROW()-ROW(A$92)+1)),",",";")),"")</f>
        <v>0</v>
      </c>
      <c r="T144">
        <f t="array" ref="T144">IFERROR(CONCATENATE(INDEX(W7:W89,SMALL(IF(ISNUMBER(T7:T89),IF(T7:T89&gt;0,IF(W7:W89&lt;&gt;"",ROW(T7:T89)-MIN(ROW(T7:T89))+1))),ROW()-ROW(A$92)+1))," ",TEXT(INDEX(T7:T89,SMALL(IF(ISNUMBER(T7:T89),IF(T7:T89&gt;0,IF(W7:W89&lt;&gt;"",ROW(T7:T89)-MIN(ROW(T7:T89))+1))),ROW()-ROW(A$92)+1)),"##0")," ",SUBSTITUTE(INDEX(IF(PURCHASE_DESCRIPTION&lt;&gt;"",PURCHASE_DESCRIPTION&amp;":","")&amp;A7:A89,SMALL(IF(ISNUMBER(T7:T89),IF(T7:T89&gt;0,IF(W7:W89&lt;&gt;"",ROW(T7:T89)-MIN(ROW(T7:T89))+1))),ROW()-ROW(A$92)+1))," ",";")),"")</f>
        <v>0</v>
      </c>
      <c r="Y144">
        <f t="array" ref="Y144">IFERROR(CONCATENATE(TEXT(INDEX(Y7:Y89,SMALL(IF(ISNUMBER(Y7:Y89),IF(Y7:Y89&gt;0,IF(AB7:AB89&lt;&gt;"",ROW(Y7:Y89)-MIN(ROW(Y7:Y89))+1))),ROW()-ROW(A$93)+1)),"##0"),",",SUBSTITUTE(INDEX(IF(PURCHASE_DESCRIPTION&lt;&gt;"",PURCHASE_DESCRIPTION&amp;":","")&amp;A7:A89,SMALL(IF(ISNUMBER(Y7:Y89),IF(Y7:Y89&gt;0,IF(AB7:AB89&lt;&gt;"",ROW(Y7:Y89)-MIN(ROW(Y7:Y89))+1))),ROW()-ROW(A$93)+1)),",",";"),",",SUBSTITUTE(INDEX(IF(PURCHASE_DESCRIPTION&lt;&gt;"",PURCHASE_DESCRIPTION&amp;":","")&amp;D7:D89,SMALL(IF(ISNUMBER(Y7:Y89),IF(Y7:Y89&gt;0,IF(AB7:AB89&lt;&gt;"",ROW(Y7:Y89)-MIN(ROW(Y7:Y89))+1))),ROW()-ROW(A$93)+1)),",",";"),",",INDEX(AB7:AB89,SMALL(IF(ISNUMBER(Y7:Y89),IF(Y7:Y89&gt;0,IF(AB7:AB89&lt;&gt;"",ROW(Y7:Y89)-MIN(ROW(Y7:Y89))+1))),ROW()-ROW(A$93)+1))),"")</f>
        <v>0</v>
      </c>
      <c r="AD144">
        <f t="array" ref="AD144">IFERROR(CONCATENATE(INDEX(AG7:AG89,SMALL(IF(ISNUMBER(AD7:AD89),IF(AD7:AD89&gt;0,IF(AG7:AG89&lt;&gt;"",ROW(AD7:AD89)-MIN(ROW(AD7:AD89))+1))),ROW()-ROW(A$92)+1)),"|",TEXT(INDEX(AD7:AD89,SMALL(IF(ISNUMBER(AD7:AD89),IF(AD7:AD89&gt;0,IF(AG7:AG89&lt;&gt;"",ROW(AD7:AD89)-MIN(ROW(AD7:AD89))+1))),ROW()-ROW(A$92)+1)),"##0"),"|",SUBSTITUTE(SUBSTITUTE(INDEX(IF(PURCHASE_DESCRIPTION&lt;&gt;"",PURCHASE_DESCRIPTION&amp;":","")&amp;A7:A89,SMALL(IF(ISNUMBER(AD7:AD89),IF(AD7:AD89&gt;0,IF(AG7:AG89&lt;&gt;"",ROW(AD7:AD89)-MIN(ROW(AD7:AD89))+1))),ROW()-ROW(A$92)+1)),"|",";")," ","_")),"")</f>
        <v>0</v>
      </c>
      <c r="AI144">
        <f t="array" ref="AI144">IFERROR(CONCATENATE(INDEX(AL7:AL89,SMALL(IF(ISNUMBER(AI7:AI89),IF(AI7:AI89&gt;0,IF(AL7:AL89&lt;&gt;"",ROW(AI7:AI89)-MIN(ROW(AI7:AI89))+1))),ROW()-ROW(A$92)+1)),",",TEXT(INDEX(AI7:AI89,SMALL(IF(ISNUMBER(AI7:AI89),IF(AI7:AI89&gt;0,IF(AL7:AL89&lt;&gt;"",ROW(AI7:AI89)-MIN(ROW(AI7:AI89))+1))),ROW()-ROW(A$92)+1)),"##0"),",",SUBSTITUTE(INDEX(IF(PURCHASE_DESCRIPTION&lt;&gt;"",PURCHASE_DESCRIPTION&amp;":","")&amp;A7:A89,SMALL(IF(ISNUMBER(AI7:AI89),IF(AI7:AI89&gt;0,IF(AL7:AL89&lt;&gt;"",ROW(AI7:AI89)-MIN(ROW(AI7:AI89))+1))),ROW()-ROW(A$92)+1)),",",";")),"")</f>
        <v>0</v>
      </c>
      <c r="AN144">
        <f t="array" ref="AN144">IFERROR(CONCATENATE(INDEX(AQ7:AQ89,SMALL(IF(ISNUMBER(AN7:AN89),IF(AN7:AN89&gt;0,IF(AQ7:AQ89&lt;&gt;"",ROW(AN7:AN89)-MIN(ROW(AN7:AN89))+1))),ROW()-ROW(A$92)+1))," ",TEXT(INDEX(AN7:AN89,SMALL(IF(ISNUMBER(AN7:AN89),IF(AN7:AN89&gt;0,IF(AQ7:AQ89&lt;&gt;"",ROW(AN7:AN89)-MIN(ROW(AN7:AN89))+1))),ROW()-ROW(A$92)+1)),"##0")," ",SUBSTITUTE(INDEX(IF(PURCHASE_DESCRIPTION&lt;&gt;"",PURCHASE_DESCRIPTION&amp;":","")&amp;A7:A89,SMALL(IF(ISNUMBER(AN7:AN89),IF(AN7:AN89&gt;0,IF(AQ7:AQ89&lt;&gt;"",ROW(AN7:AN89)-MIN(ROW(AN7:AN89))+1))),ROW()-ROW(A$92)+1))," ",";")),"")</f>
        <v>0</v>
      </c>
      <c r="AS144">
        <f t="array" ref="AS144">IFERROR(CONCATENATE(INDEX(AV7:AV89,SMALL(IF(ISNUMBER(AS7:AS89),IF(AS7:AS89&gt;0,IF(AV7:AV89&lt;&gt;"",ROW(AS7:AS89)-MIN(ROW(AS7:AS89))+1))),ROW()-ROW(A$92)+1))," ",TEXT(INDEX(AS7:AS89,SMALL(IF(ISNUMBER(AS7:AS89),IF(AS7:AS89&gt;0,IF(AV7:AV89&lt;&gt;"",ROW(AS7:AS89)-MIN(ROW(AS7:AS89))+1))),ROW()-ROW(A$92)+1)),"##0")," ",SUBSTITUTE(INDEX(IF(PURCHASE_DESCRIPTION&lt;&gt;"",PURCHASE_DESCRIPTION&amp;":","")&amp;A7:A89,SMALL(IF(ISNUMBER(AS7:AS89),IF(AS7:AS89&gt;0,IF(AV7:AV89&lt;&gt;"",ROW(AS7:AS89)-MIN(ROW(AS7:AS89))+1))),ROW()-ROW(A$92)+1))," ",";")),"")</f>
        <v>0</v>
      </c>
    </row>
    <row r="145" spans="10:45">
      <c r="J145">
        <f t="array" ref="J145">IFERROR(CONCATENATE(INDEX(M7:M89,SMALL(IF(ISNUMBER(J7:J89),IF(J7:J89&gt;0,IF(M7:M89&lt;&gt;"",ROW(J7:J89)-MIN(ROW(J7:J89))+1))),ROW()-ROW(A$92)+1)),",",TEXT(INDEX(J7:J89,SMALL(IF(ISNUMBER(J7:J89),IF(J7:J89&gt;0,IF(M7:M89&lt;&gt;"",ROW(J7:J89)-MIN(ROW(J7:J89))+1))),ROW()-ROW(A$92)+1)),"##0"),",",SUBSTITUTE(INDEX(IF(PURCHASE_DESCRIPTION&lt;&gt;"",PURCHASE_DESCRIPTION&amp;":","")&amp;A7:A89,SMALL(IF(ISNUMBER(J7:J89),IF(J7:J89&gt;0,IF(M7:M89&lt;&gt;"",ROW(J7:J89)-MIN(ROW(J7:J89))+1))),ROW()-ROW(A$92)+1)),",",";")),"")</f>
        <v>0</v>
      </c>
      <c r="O145">
        <f t="array" ref="O145">IFERROR(CONCATENATE(TEXT(INDEX(O7:O89,SMALL(IF(ISNUMBER(O7:O89),IF(O7:O89&gt;0,IF(R7:R89&lt;&gt;"",ROW(O7:O89)-MIN(ROW(O7:O89))+1))),ROW()-ROW(A$92)+1)),"##0"),",",INDEX(R7:R89,SMALL(IF(ISNUMBER(O7:O89),IF(O7:O89&gt;0,IF(R7:R89&lt;&gt;"",ROW(O7:O89)-MIN(ROW(O7:O89))+1))),ROW()-ROW(A$92)+1)),",",SUBSTITUTE(INDEX(IF(PURCHASE_DESCRIPTION&lt;&gt;"",PURCHASE_DESCRIPTION&amp;":","")&amp;A7:A89,SMALL(IF(ISNUMBER(O7:O89),IF(O7:O89&gt;0,IF(R7:R89&lt;&gt;"",ROW(O7:O89)-MIN(ROW(O7:O89))+1))),ROW()-ROW(A$92)+1)),",",";")),"")</f>
        <v>0</v>
      </c>
      <c r="T145">
        <f t="array" ref="T145">IFERROR(CONCATENATE(INDEX(W7:W89,SMALL(IF(ISNUMBER(T7:T89),IF(T7:T89&gt;0,IF(W7:W89&lt;&gt;"",ROW(T7:T89)-MIN(ROW(T7:T89))+1))),ROW()-ROW(A$92)+1))," ",TEXT(INDEX(T7:T89,SMALL(IF(ISNUMBER(T7:T89),IF(T7:T89&gt;0,IF(W7:W89&lt;&gt;"",ROW(T7:T89)-MIN(ROW(T7:T89))+1))),ROW()-ROW(A$92)+1)),"##0")," ",SUBSTITUTE(INDEX(IF(PURCHASE_DESCRIPTION&lt;&gt;"",PURCHASE_DESCRIPTION&amp;":","")&amp;A7:A89,SMALL(IF(ISNUMBER(T7:T89),IF(T7:T89&gt;0,IF(W7:W89&lt;&gt;"",ROW(T7:T89)-MIN(ROW(T7:T89))+1))),ROW()-ROW(A$92)+1))," ",";")),"")</f>
        <v>0</v>
      </c>
      <c r="Y145">
        <f t="array" ref="Y145">IFERROR(CONCATENATE(TEXT(INDEX(Y7:Y89,SMALL(IF(ISNUMBER(Y7:Y89),IF(Y7:Y89&gt;0,IF(AB7:AB89&lt;&gt;"",ROW(Y7:Y89)-MIN(ROW(Y7:Y89))+1))),ROW()-ROW(A$93)+1)),"##0"),",",SUBSTITUTE(INDEX(IF(PURCHASE_DESCRIPTION&lt;&gt;"",PURCHASE_DESCRIPTION&amp;":","")&amp;A7:A89,SMALL(IF(ISNUMBER(Y7:Y89),IF(Y7:Y89&gt;0,IF(AB7:AB89&lt;&gt;"",ROW(Y7:Y89)-MIN(ROW(Y7:Y89))+1))),ROW()-ROW(A$93)+1)),",",";"),",",SUBSTITUTE(INDEX(IF(PURCHASE_DESCRIPTION&lt;&gt;"",PURCHASE_DESCRIPTION&amp;":","")&amp;D7:D89,SMALL(IF(ISNUMBER(Y7:Y89),IF(Y7:Y89&gt;0,IF(AB7:AB89&lt;&gt;"",ROW(Y7:Y89)-MIN(ROW(Y7:Y89))+1))),ROW()-ROW(A$93)+1)),",",";"),",",INDEX(AB7:AB89,SMALL(IF(ISNUMBER(Y7:Y89),IF(Y7:Y89&gt;0,IF(AB7:AB89&lt;&gt;"",ROW(Y7:Y89)-MIN(ROW(Y7:Y89))+1))),ROW()-ROW(A$93)+1))),"")</f>
        <v>0</v>
      </c>
      <c r="AD145">
        <f t="array" ref="AD145">IFERROR(CONCATENATE(INDEX(AG7:AG89,SMALL(IF(ISNUMBER(AD7:AD89),IF(AD7:AD89&gt;0,IF(AG7:AG89&lt;&gt;"",ROW(AD7:AD89)-MIN(ROW(AD7:AD89))+1))),ROW()-ROW(A$92)+1)),"|",TEXT(INDEX(AD7:AD89,SMALL(IF(ISNUMBER(AD7:AD89),IF(AD7:AD89&gt;0,IF(AG7:AG89&lt;&gt;"",ROW(AD7:AD89)-MIN(ROW(AD7:AD89))+1))),ROW()-ROW(A$92)+1)),"##0"),"|",SUBSTITUTE(SUBSTITUTE(INDEX(IF(PURCHASE_DESCRIPTION&lt;&gt;"",PURCHASE_DESCRIPTION&amp;":","")&amp;A7:A89,SMALL(IF(ISNUMBER(AD7:AD89),IF(AD7:AD89&gt;0,IF(AG7:AG89&lt;&gt;"",ROW(AD7:AD89)-MIN(ROW(AD7:AD89))+1))),ROW()-ROW(A$92)+1)),"|",";")," ","_")),"")</f>
        <v>0</v>
      </c>
      <c r="AI145">
        <f t="array" ref="AI145">IFERROR(CONCATENATE(INDEX(AL7:AL89,SMALL(IF(ISNUMBER(AI7:AI89),IF(AI7:AI89&gt;0,IF(AL7:AL89&lt;&gt;"",ROW(AI7:AI89)-MIN(ROW(AI7:AI89))+1))),ROW()-ROW(A$92)+1)),",",TEXT(INDEX(AI7:AI89,SMALL(IF(ISNUMBER(AI7:AI89),IF(AI7:AI89&gt;0,IF(AL7:AL89&lt;&gt;"",ROW(AI7:AI89)-MIN(ROW(AI7:AI89))+1))),ROW()-ROW(A$92)+1)),"##0"),",",SUBSTITUTE(INDEX(IF(PURCHASE_DESCRIPTION&lt;&gt;"",PURCHASE_DESCRIPTION&amp;":","")&amp;A7:A89,SMALL(IF(ISNUMBER(AI7:AI89),IF(AI7:AI89&gt;0,IF(AL7:AL89&lt;&gt;"",ROW(AI7:AI89)-MIN(ROW(AI7:AI89))+1))),ROW()-ROW(A$92)+1)),",",";")),"")</f>
        <v>0</v>
      </c>
      <c r="AN145">
        <f t="array" ref="AN145">IFERROR(CONCATENATE(INDEX(AQ7:AQ89,SMALL(IF(ISNUMBER(AN7:AN89),IF(AN7:AN89&gt;0,IF(AQ7:AQ89&lt;&gt;"",ROW(AN7:AN89)-MIN(ROW(AN7:AN89))+1))),ROW()-ROW(A$92)+1))," ",TEXT(INDEX(AN7:AN89,SMALL(IF(ISNUMBER(AN7:AN89),IF(AN7:AN89&gt;0,IF(AQ7:AQ89&lt;&gt;"",ROW(AN7:AN89)-MIN(ROW(AN7:AN89))+1))),ROW()-ROW(A$92)+1)),"##0")," ",SUBSTITUTE(INDEX(IF(PURCHASE_DESCRIPTION&lt;&gt;"",PURCHASE_DESCRIPTION&amp;":","")&amp;A7:A89,SMALL(IF(ISNUMBER(AN7:AN89),IF(AN7:AN89&gt;0,IF(AQ7:AQ89&lt;&gt;"",ROW(AN7:AN89)-MIN(ROW(AN7:AN89))+1))),ROW()-ROW(A$92)+1))," ",";")),"")</f>
        <v>0</v>
      </c>
      <c r="AS145">
        <f t="array" ref="AS145">IFERROR(CONCATENATE(INDEX(AV7:AV89,SMALL(IF(ISNUMBER(AS7:AS89),IF(AS7:AS89&gt;0,IF(AV7:AV89&lt;&gt;"",ROW(AS7:AS89)-MIN(ROW(AS7:AS89))+1))),ROW()-ROW(A$92)+1))," ",TEXT(INDEX(AS7:AS89,SMALL(IF(ISNUMBER(AS7:AS89),IF(AS7:AS89&gt;0,IF(AV7:AV89&lt;&gt;"",ROW(AS7:AS89)-MIN(ROW(AS7:AS89))+1))),ROW()-ROW(A$92)+1)),"##0")," ",SUBSTITUTE(INDEX(IF(PURCHASE_DESCRIPTION&lt;&gt;"",PURCHASE_DESCRIPTION&amp;":","")&amp;A7:A89,SMALL(IF(ISNUMBER(AS7:AS89),IF(AS7:AS89&gt;0,IF(AV7:AV89&lt;&gt;"",ROW(AS7:AS89)-MIN(ROW(AS7:AS89))+1))),ROW()-ROW(A$92)+1))," ",";")),"")</f>
        <v>0</v>
      </c>
    </row>
    <row r="146" spans="10:45">
      <c r="J146">
        <f t="array" ref="J146">IFERROR(CONCATENATE(INDEX(M7:M89,SMALL(IF(ISNUMBER(J7:J89),IF(J7:J89&gt;0,IF(M7:M89&lt;&gt;"",ROW(J7:J89)-MIN(ROW(J7:J89))+1))),ROW()-ROW(A$92)+1)),",",TEXT(INDEX(J7:J89,SMALL(IF(ISNUMBER(J7:J89),IF(J7:J89&gt;0,IF(M7:M89&lt;&gt;"",ROW(J7:J89)-MIN(ROW(J7:J89))+1))),ROW()-ROW(A$92)+1)),"##0"),",",SUBSTITUTE(INDEX(IF(PURCHASE_DESCRIPTION&lt;&gt;"",PURCHASE_DESCRIPTION&amp;":","")&amp;A7:A89,SMALL(IF(ISNUMBER(J7:J89),IF(J7:J89&gt;0,IF(M7:M89&lt;&gt;"",ROW(J7:J89)-MIN(ROW(J7:J89))+1))),ROW()-ROW(A$92)+1)),",",";")),"")</f>
        <v>0</v>
      </c>
      <c r="O146">
        <f t="array" ref="O146">IFERROR(CONCATENATE(TEXT(INDEX(O7:O89,SMALL(IF(ISNUMBER(O7:O89),IF(O7:O89&gt;0,IF(R7:R89&lt;&gt;"",ROW(O7:O89)-MIN(ROW(O7:O89))+1))),ROW()-ROW(A$92)+1)),"##0"),",",INDEX(R7:R89,SMALL(IF(ISNUMBER(O7:O89),IF(O7:O89&gt;0,IF(R7:R89&lt;&gt;"",ROW(O7:O89)-MIN(ROW(O7:O89))+1))),ROW()-ROW(A$92)+1)),",",SUBSTITUTE(INDEX(IF(PURCHASE_DESCRIPTION&lt;&gt;"",PURCHASE_DESCRIPTION&amp;":","")&amp;A7:A89,SMALL(IF(ISNUMBER(O7:O89),IF(O7:O89&gt;0,IF(R7:R89&lt;&gt;"",ROW(O7:O89)-MIN(ROW(O7:O89))+1))),ROW()-ROW(A$92)+1)),",",";")),"")</f>
        <v>0</v>
      </c>
      <c r="T146">
        <f t="array" ref="T146">IFERROR(CONCATENATE(INDEX(W7:W89,SMALL(IF(ISNUMBER(T7:T89),IF(T7:T89&gt;0,IF(W7:W89&lt;&gt;"",ROW(T7:T89)-MIN(ROW(T7:T89))+1))),ROW()-ROW(A$92)+1))," ",TEXT(INDEX(T7:T89,SMALL(IF(ISNUMBER(T7:T89),IF(T7:T89&gt;0,IF(W7:W89&lt;&gt;"",ROW(T7:T89)-MIN(ROW(T7:T89))+1))),ROW()-ROW(A$92)+1)),"##0")," ",SUBSTITUTE(INDEX(IF(PURCHASE_DESCRIPTION&lt;&gt;"",PURCHASE_DESCRIPTION&amp;":","")&amp;A7:A89,SMALL(IF(ISNUMBER(T7:T89),IF(T7:T89&gt;0,IF(W7:W89&lt;&gt;"",ROW(T7:T89)-MIN(ROW(T7:T89))+1))),ROW()-ROW(A$92)+1))," ",";")),"")</f>
        <v>0</v>
      </c>
      <c r="Y146">
        <f t="array" ref="Y146">IFERROR(CONCATENATE(TEXT(INDEX(Y7:Y89,SMALL(IF(ISNUMBER(Y7:Y89),IF(Y7:Y89&gt;0,IF(AB7:AB89&lt;&gt;"",ROW(Y7:Y89)-MIN(ROW(Y7:Y89))+1))),ROW()-ROW(A$93)+1)),"##0"),",",SUBSTITUTE(INDEX(IF(PURCHASE_DESCRIPTION&lt;&gt;"",PURCHASE_DESCRIPTION&amp;":","")&amp;A7:A89,SMALL(IF(ISNUMBER(Y7:Y89),IF(Y7:Y89&gt;0,IF(AB7:AB89&lt;&gt;"",ROW(Y7:Y89)-MIN(ROW(Y7:Y89))+1))),ROW()-ROW(A$93)+1)),",",";"),",",SUBSTITUTE(INDEX(IF(PURCHASE_DESCRIPTION&lt;&gt;"",PURCHASE_DESCRIPTION&amp;":","")&amp;D7:D89,SMALL(IF(ISNUMBER(Y7:Y89),IF(Y7:Y89&gt;0,IF(AB7:AB89&lt;&gt;"",ROW(Y7:Y89)-MIN(ROW(Y7:Y89))+1))),ROW()-ROW(A$93)+1)),",",";"),",",INDEX(AB7:AB89,SMALL(IF(ISNUMBER(Y7:Y89),IF(Y7:Y89&gt;0,IF(AB7:AB89&lt;&gt;"",ROW(Y7:Y89)-MIN(ROW(Y7:Y89))+1))),ROW()-ROW(A$93)+1))),"")</f>
        <v>0</v>
      </c>
      <c r="AD146">
        <f t="array" ref="AD146">IFERROR(CONCATENATE(INDEX(AG7:AG89,SMALL(IF(ISNUMBER(AD7:AD89),IF(AD7:AD89&gt;0,IF(AG7:AG89&lt;&gt;"",ROW(AD7:AD89)-MIN(ROW(AD7:AD89))+1))),ROW()-ROW(A$92)+1)),"|",TEXT(INDEX(AD7:AD89,SMALL(IF(ISNUMBER(AD7:AD89),IF(AD7:AD89&gt;0,IF(AG7:AG89&lt;&gt;"",ROW(AD7:AD89)-MIN(ROW(AD7:AD89))+1))),ROW()-ROW(A$92)+1)),"##0"),"|",SUBSTITUTE(SUBSTITUTE(INDEX(IF(PURCHASE_DESCRIPTION&lt;&gt;"",PURCHASE_DESCRIPTION&amp;":","")&amp;A7:A89,SMALL(IF(ISNUMBER(AD7:AD89),IF(AD7:AD89&gt;0,IF(AG7:AG89&lt;&gt;"",ROW(AD7:AD89)-MIN(ROW(AD7:AD89))+1))),ROW()-ROW(A$92)+1)),"|",";")," ","_")),"")</f>
        <v>0</v>
      </c>
      <c r="AI146">
        <f t="array" ref="AI146">IFERROR(CONCATENATE(INDEX(AL7:AL89,SMALL(IF(ISNUMBER(AI7:AI89),IF(AI7:AI89&gt;0,IF(AL7:AL89&lt;&gt;"",ROW(AI7:AI89)-MIN(ROW(AI7:AI89))+1))),ROW()-ROW(A$92)+1)),",",TEXT(INDEX(AI7:AI89,SMALL(IF(ISNUMBER(AI7:AI89),IF(AI7:AI89&gt;0,IF(AL7:AL89&lt;&gt;"",ROW(AI7:AI89)-MIN(ROW(AI7:AI89))+1))),ROW()-ROW(A$92)+1)),"##0"),",",SUBSTITUTE(INDEX(IF(PURCHASE_DESCRIPTION&lt;&gt;"",PURCHASE_DESCRIPTION&amp;":","")&amp;A7:A89,SMALL(IF(ISNUMBER(AI7:AI89),IF(AI7:AI89&gt;0,IF(AL7:AL89&lt;&gt;"",ROW(AI7:AI89)-MIN(ROW(AI7:AI89))+1))),ROW()-ROW(A$92)+1)),",",";")),"")</f>
        <v>0</v>
      </c>
      <c r="AN146">
        <f t="array" ref="AN146">IFERROR(CONCATENATE(INDEX(AQ7:AQ89,SMALL(IF(ISNUMBER(AN7:AN89),IF(AN7:AN89&gt;0,IF(AQ7:AQ89&lt;&gt;"",ROW(AN7:AN89)-MIN(ROW(AN7:AN89))+1))),ROW()-ROW(A$92)+1))," ",TEXT(INDEX(AN7:AN89,SMALL(IF(ISNUMBER(AN7:AN89),IF(AN7:AN89&gt;0,IF(AQ7:AQ89&lt;&gt;"",ROW(AN7:AN89)-MIN(ROW(AN7:AN89))+1))),ROW()-ROW(A$92)+1)),"##0")," ",SUBSTITUTE(INDEX(IF(PURCHASE_DESCRIPTION&lt;&gt;"",PURCHASE_DESCRIPTION&amp;":","")&amp;A7:A89,SMALL(IF(ISNUMBER(AN7:AN89),IF(AN7:AN89&gt;0,IF(AQ7:AQ89&lt;&gt;"",ROW(AN7:AN89)-MIN(ROW(AN7:AN89))+1))),ROW()-ROW(A$92)+1))," ",";")),"")</f>
        <v>0</v>
      </c>
      <c r="AS146">
        <f t="array" ref="AS146">IFERROR(CONCATENATE(INDEX(AV7:AV89,SMALL(IF(ISNUMBER(AS7:AS89),IF(AS7:AS89&gt;0,IF(AV7:AV89&lt;&gt;"",ROW(AS7:AS89)-MIN(ROW(AS7:AS89))+1))),ROW()-ROW(A$92)+1))," ",TEXT(INDEX(AS7:AS89,SMALL(IF(ISNUMBER(AS7:AS89),IF(AS7:AS89&gt;0,IF(AV7:AV89&lt;&gt;"",ROW(AS7:AS89)-MIN(ROW(AS7:AS89))+1))),ROW()-ROW(A$92)+1)),"##0")," ",SUBSTITUTE(INDEX(IF(PURCHASE_DESCRIPTION&lt;&gt;"",PURCHASE_DESCRIPTION&amp;":","")&amp;A7:A89,SMALL(IF(ISNUMBER(AS7:AS89),IF(AS7:AS89&gt;0,IF(AV7:AV89&lt;&gt;"",ROW(AS7:AS89)-MIN(ROW(AS7:AS89))+1))),ROW()-ROW(A$92)+1))," ",";")),"")</f>
        <v>0</v>
      </c>
    </row>
    <row r="147" spans="10:45">
      <c r="J147">
        <f t="array" ref="J147">IFERROR(CONCATENATE(INDEX(M7:M89,SMALL(IF(ISNUMBER(J7:J89),IF(J7:J89&gt;0,IF(M7:M89&lt;&gt;"",ROW(J7:J89)-MIN(ROW(J7:J89))+1))),ROW()-ROW(A$92)+1)),",",TEXT(INDEX(J7:J89,SMALL(IF(ISNUMBER(J7:J89),IF(J7:J89&gt;0,IF(M7:M89&lt;&gt;"",ROW(J7:J89)-MIN(ROW(J7:J89))+1))),ROW()-ROW(A$92)+1)),"##0"),",",SUBSTITUTE(INDEX(IF(PURCHASE_DESCRIPTION&lt;&gt;"",PURCHASE_DESCRIPTION&amp;":","")&amp;A7:A89,SMALL(IF(ISNUMBER(J7:J89),IF(J7:J89&gt;0,IF(M7:M89&lt;&gt;"",ROW(J7:J89)-MIN(ROW(J7:J89))+1))),ROW()-ROW(A$92)+1)),",",";")),"")</f>
        <v>0</v>
      </c>
      <c r="O147">
        <f t="array" ref="O147">IFERROR(CONCATENATE(TEXT(INDEX(O7:O89,SMALL(IF(ISNUMBER(O7:O89),IF(O7:O89&gt;0,IF(R7:R89&lt;&gt;"",ROW(O7:O89)-MIN(ROW(O7:O89))+1))),ROW()-ROW(A$92)+1)),"##0"),",",INDEX(R7:R89,SMALL(IF(ISNUMBER(O7:O89),IF(O7:O89&gt;0,IF(R7:R89&lt;&gt;"",ROW(O7:O89)-MIN(ROW(O7:O89))+1))),ROW()-ROW(A$92)+1)),",",SUBSTITUTE(INDEX(IF(PURCHASE_DESCRIPTION&lt;&gt;"",PURCHASE_DESCRIPTION&amp;":","")&amp;A7:A89,SMALL(IF(ISNUMBER(O7:O89),IF(O7:O89&gt;0,IF(R7:R89&lt;&gt;"",ROW(O7:O89)-MIN(ROW(O7:O89))+1))),ROW()-ROW(A$92)+1)),",",";")),"")</f>
        <v>0</v>
      </c>
      <c r="T147">
        <f t="array" ref="T147">IFERROR(CONCATENATE(INDEX(W7:W89,SMALL(IF(ISNUMBER(T7:T89),IF(T7:T89&gt;0,IF(W7:W89&lt;&gt;"",ROW(T7:T89)-MIN(ROW(T7:T89))+1))),ROW()-ROW(A$92)+1))," ",TEXT(INDEX(T7:T89,SMALL(IF(ISNUMBER(T7:T89),IF(T7:T89&gt;0,IF(W7:W89&lt;&gt;"",ROW(T7:T89)-MIN(ROW(T7:T89))+1))),ROW()-ROW(A$92)+1)),"##0")," ",SUBSTITUTE(INDEX(IF(PURCHASE_DESCRIPTION&lt;&gt;"",PURCHASE_DESCRIPTION&amp;":","")&amp;A7:A89,SMALL(IF(ISNUMBER(T7:T89),IF(T7:T89&gt;0,IF(W7:W89&lt;&gt;"",ROW(T7:T89)-MIN(ROW(T7:T89))+1))),ROW()-ROW(A$92)+1))," ",";")),"")</f>
        <v>0</v>
      </c>
      <c r="Y147">
        <f t="array" ref="Y147">IFERROR(CONCATENATE(TEXT(INDEX(Y7:Y89,SMALL(IF(ISNUMBER(Y7:Y89),IF(Y7:Y89&gt;0,IF(AB7:AB89&lt;&gt;"",ROW(Y7:Y89)-MIN(ROW(Y7:Y89))+1))),ROW()-ROW(A$93)+1)),"##0"),",",SUBSTITUTE(INDEX(IF(PURCHASE_DESCRIPTION&lt;&gt;"",PURCHASE_DESCRIPTION&amp;":","")&amp;A7:A89,SMALL(IF(ISNUMBER(Y7:Y89),IF(Y7:Y89&gt;0,IF(AB7:AB89&lt;&gt;"",ROW(Y7:Y89)-MIN(ROW(Y7:Y89))+1))),ROW()-ROW(A$93)+1)),",",";"),",",SUBSTITUTE(INDEX(IF(PURCHASE_DESCRIPTION&lt;&gt;"",PURCHASE_DESCRIPTION&amp;":","")&amp;D7:D89,SMALL(IF(ISNUMBER(Y7:Y89),IF(Y7:Y89&gt;0,IF(AB7:AB89&lt;&gt;"",ROW(Y7:Y89)-MIN(ROW(Y7:Y89))+1))),ROW()-ROW(A$93)+1)),",",";"),",",INDEX(AB7:AB89,SMALL(IF(ISNUMBER(Y7:Y89),IF(Y7:Y89&gt;0,IF(AB7:AB89&lt;&gt;"",ROW(Y7:Y89)-MIN(ROW(Y7:Y89))+1))),ROW()-ROW(A$93)+1))),"")</f>
        <v>0</v>
      </c>
      <c r="AD147">
        <f t="array" ref="AD147">IFERROR(CONCATENATE(INDEX(AG7:AG89,SMALL(IF(ISNUMBER(AD7:AD89),IF(AD7:AD89&gt;0,IF(AG7:AG89&lt;&gt;"",ROW(AD7:AD89)-MIN(ROW(AD7:AD89))+1))),ROW()-ROW(A$92)+1)),"|",TEXT(INDEX(AD7:AD89,SMALL(IF(ISNUMBER(AD7:AD89),IF(AD7:AD89&gt;0,IF(AG7:AG89&lt;&gt;"",ROW(AD7:AD89)-MIN(ROW(AD7:AD89))+1))),ROW()-ROW(A$92)+1)),"##0"),"|",SUBSTITUTE(SUBSTITUTE(INDEX(IF(PURCHASE_DESCRIPTION&lt;&gt;"",PURCHASE_DESCRIPTION&amp;":","")&amp;A7:A89,SMALL(IF(ISNUMBER(AD7:AD89),IF(AD7:AD89&gt;0,IF(AG7:AG89&lt;&gt;"",ROW(AD7:AD89)-MIN(ROW(AD7:AD89))+1))),ROW()-ROW(A$92)+1)),"|",";")," ","_")),"")</f>
        <v>0</v>
      </c>
      <c r="AI147">
        <f t="array" ref="AI147">IFERROR(CONCATENATE(INDEX(AL7:AL89,SMALL(IF(ISNUMBER(AI7:AI89),IF(AI7:AI89&gt;0,IF(AL7:AL89&lt;&gt;"",ROW(AI7:AI89)-MIN(ROW(AI7:AI89))+1))),ROW()-ROW(A$92)+1)),",",TEXT(INDEX(AI7:AI89,SMALL(IF(ISNUMBER(AI7:AI89),IF(AI7:AI89&gt;0,IF(AL7:AL89&lt;&gt;"",ROW(AI7:AI89)-MIN(ROW(AI7:AI89))+1))),ROW()-ROW(A$92)+1)),"##0"),",",SUBSTITUTE(INDEX(IF(PURCHASE_DESCRIPTION&lt;&gt;"",PURCHASE_DESCRIPTION&amp;":","")&amp;A7:A89,SMALL(IF(ISNUMBER(AI7:AI89),IF(AI7:AI89&gt;0,IF(AL7:AL89&lt;&gt;"",ROW(AI7:AI89)-MIN(ROW(AI7:AI89))+1))),ROW()-ROW(A$92)+1)),",",";")),"")</f>
        <v>0</v>
      </c>
      <c r="AN147">
        <f t="array" ref="AN147">IFERROR(CONCATENATE(INDEX(AQ7:AQ89,SMALL(IF(ISNUMBER(AN7:AN89),IF(AN7:AN89&gt;0,IF(AQ7:AQ89&lt;&gt;"",ROW(AN7:AN89)-MIN(ROW(AN7:AN89))+1))),ROW()-ROW(A$92)+1))," ",TEXT(INDEX(AN7:AN89,SMALL(IF(ISNUMBER(AN7:AN89),IF(AN7:AN89&gt;0,IF(AQ7:AQ89&lt;&gt;"",ROW(AN7:AN89)-MIN(ROW(AN7:AN89))+1))),ROW()-ROW(A$92)+1)),"##0")," ",SUBSTITUTE(INDEX(IF(PURCHASE_DESCRIPTION&lt;&gt;"",PURCHASE_DESCRIPTION&amp;":","")&amp;A7:A89,SMALL(IF(ISNUMBER(AN7:AN89),IF(AN7:AN89&gt;0,IF(AQ7:AQ89&lt;&gt;"",ROW(AN7:AN89)-MIN(ROW(AN7:AN89))+1))),ROW()-ROW(A$92)+1))," ",";")),"")</f>
        <v>0</v>
      </c>
      <c r="AS147">
        <f t="array" ref="AS147">IFERROR(CONCATENATE(INDEX(AV7:AV89,SMALL(IF(ISNUMBER(AS7:AS89),IF(AS7:AS89&gt;0,IF(AV7:AV89&lt;&gt;"",ROW(AS7:AS89)-MIN(ROW(AS7:AS89))+1))),ROW()-ROW(A$92)+1))," ",TEXT(INDEX(AS7:AS89,SMALL(IF(ISNUMBER(AS7:AS89),IF(AS7:AS89&gt;0,IF(AV7:AV89&lt;&gt;"",ROW(AS7:AS89)-MIN(ROW(AS7:AS89))+1))),ROW()-ROW(A$92)+1)),"##0")," ",SUBSTITUTE(INDEX(IF(PURCHASE_DESCRIPTION&lt;&gt;"",PURCHASE_DESCRIPTION&amp;":","")&amp;A7:A89,SMALL(IF(ISNUMBER(AS7:AS89),IF(AS7:AS89&gt;0,IF(AV7:AV89&lt;&gt;"",ROW(AS7:AS89)-MIN(ROW(AS7:AS89))+1))),ROW()-ROW(A$92)+1))," ",";")),"")</f>
        <v>0</v>
      </c>
    </row>
    <row r="148" spans="10:45">
      <c r="J148">
        <f t="array" ref="J148">IFERROR(CONCATENATE(INDEX(M7:M89,SMALL(IF(ISNUMBER(J7:J89),IF(J7:J89&gt;0,IF(M7:M89&lt;&gt;"",ROW(J7:J89)-MIN(ROW(J7:J89))+1))),ROW()-ROW(A$92)+1)),",",TEXT(INDEX(J7:J89,SMALL(IF(ISNUMBER(J7:J89),IF(J7:J89&gt;0,IF(M7:M89&lt;&gt;"",ROW(J7:J89)-MIN(ROW(J7:J89))+1))),ROW()-ROW(A$92)+1)),"##0"),",",SUBSTITUTE(INDEX(IF(PURCHASE_DESCRIPTION&lt;&gt;"",PURCHASE_DESCRIPTION&amp;":","")&amp;A7:A89,SMALL(IF(ISNUMBER(J7:J89),IF(J7:J89&gt;0,IF(M7:M89&lt;&gt;"",ROW(J7:J89)-MIN(ROW(J7:J89))+1))),ROW()-ROW(A$92)+1)),",",";")),"")</f>
        <v>0</v>
      </c>
      <c r="O148">
        <f t="array" ref="O148">IFERROR(CONCATENATE(TEXT(INDEX(O7:O89,SMALL(IF(ISNUMBER(O7:O89),IF(O7:O89&gt;0,IF(R7:R89&lt;&gt;"",ROW(O7:O89)-MIN(ROW(O7:O89))+1))),ROW()-ROW(A$92)+1)),"##0"),",",INDEX(R7:R89,SMALL(IF(ISNUMBER(O7:O89),IF(O7:O89&gt;0,IF(R7:R89&lt;&gt;"",ROW(O7:O89)-MIN(ROW(O7:O89))+1))),ROW()-ROW(A$92)+1)),",",SUBSTITUTE(INDEX(IF(PURCHASE_DESCRIPTION&lt;&gt;"",PURCHASE_DESCRIPTION&amp;":","")&amp;A7:A89,SMALL(IF(ISNUMBER(O7:O89),IF(O7:O89&gt;0,IF(R7:R89&lt;&gt;"",ROW(O7:O89)-MIN(ROW(O7:O89))+1))),ROW()-ROW(A$92)+1)),",",";")),"")</f>
        <v>0</v>
      </c>
      <c r="T148">
        <f t="array" ref="T148">IFERROR(CONCATENATE(INDEX(W7:W89,SMALL(IF(ISNUMBER(T7:T89),IF(T7:T89&gt;0,IF(W7:W89&lt;&gt;"",ROW(T7:T89)-MIN(ROW(T7:T89))+1))),ROW()-ROW(A$92)+1))," ",TEXT(INDEX(T7:T89,SMALL(IF(ISNUMBER(T7:T89),IF(T7:T89&gt;0,IF(W7:W89&lt;&gt;"",ROW(T7:T89)-MIN(ROW(T7:T89))+1))),ROW()-ROW(A$92)+1)),"##0")," ",SUBSTITUTE(INDEX(IF(PURCHASE_DESCRIPTION&lt;&gt;"",PURCHASE_DESCRIPTION&amp;":","")&amp;A7:A89,SMALL(IF(ISNUMBER(T7:T89),IF(T7:T89&gt;0,IF(W7:W89&lt;&gt;"",ROW(T7:T89)-MIN(ROW(T7:T89))+1))),ROW()-ROW(A$92)+1))," ",";")),"")</f>
        <v>0</v>
      </c>
      <c r="Y148">
        <f t="array" ref="Y148">IFERROR(CONCATENATE(TEXT(INDEX(Y7:Y89,SMALL(IF(ISNUMBER(Y7:Y89),IF(Y7:Y89&gt;0,IF(AB7:AB89&lt;&gt;"",ROW(Y7:Y89)-MIN(ROW(Y7:Y89))+1))),ROW()-ROW(A$93)+1)),"##0"),",",SUBSTITUTE(INDEX(IF(PURCHASE_DESCRIPTION&lt;&gt;"",PURCHASE_DESCRIPTION&amp;":","")&amp;A7:A89,SMALL(IF(ISNUMBER(Y7:Y89),IF(Y7:Y89&gt;0,IF(AB7:AB89&lt;&gt;"",ROW(Y7:Y89)-MIN(ROW(Y7:Y89))+1))),ROW()-ROW(A$93)+1)),",",";"),",",SUBSTITUTE(INDEX(IF(PURCHASE_DESCRIPTION&lt;&gt;"",PURCHASE_DESCRIPTION&amp;":","")&amp;D7:D89,SMALL(IF(ISNUMBER(Y7:Y89),IF(Y7:Y89&gt;0,IF(AB7:AB89&lt;&gt;"",ROW(Y7:Y89)-MIN(ROW(Y7:Y89))+1))),ROW()-ROW(A$93)+1)),",",";"),",",INDEX(AB7:AB89,SMALL(IF(ISNUMBER(Y7:Y89),IF(Y7:Y89&gt;0,IF(AB7:AB89&lt;&gt;"",ROW(Y7:Y89)-MIN(ROW(Y7:Y89))+1))),ROW()-ROW(A$93)+1))),"")</f>
        <v>0</v>
      </c>
      <c r="AD148">
        <f t="array" ref="AD148">IFERROR(CONCATENATE(INDEX(AG7:AG89,SMALL(IF(ISNUMBER(AD7:AD89),IF(AD7:AD89&gt;0,IF(AG7:AG89&lt;&gt;"",ROW(AD7:AD89)-MIN(ROW(AD7:AD89))+1))),ROW()-ROW(A$92)+1)),"|",TEXT(INDEX(AD7:AD89,SMALL(IF(ISNUMBER(AD7:AD89),IF(AD7:AD89&gt;0,IF(AG7:AG89&lt;&gt;"",ROW(AD7:AD89)-MIN(ROW(AD7:AD89))+1))),ROW()-ROW(A$92)+1)),"##0"),"|",SUBSTITUTE(SUBSTITUTE(INDEX(IF(PURCHASE_DESCRIPTION&lt;&gt;"",PURCHASE_DESCRIPTION&amp;":","")&amp;A7:A89,SMALL(IF(ISNUMBER(AD7:AD89),IF(AD7:AD89&gt;0,IF(AG7:AG89&lt;&gt;"",ROW(AD7:AD89)-MIN(ROW(AD7:AD89))+1))),ROW()-ROW(A$92)+1)),"|",";")," ","_")),"")</f>
        <v>0</v>
      </c>
      <c r="AI148">
        <f t="array" ref="AI148">IFERROR(CONCATENATE(INDEX(AL7:AL89,SMALL(IF(ISNUMBER(AI7:AI89),IF(AI7:AI89&gt;0,IF(AL7:AL89&lt;&gt;"",ROW(AI7:AI89)-MIN(ROW(AI7:AI89))+1))),ROW()-ROW(A$92)+1)),",",TEXT(INDEX(AI7:AI89,SMALL(IF(ISNUMBER(AI7:AI89),IF(AI7:AI89&gt;0,IF(AL7:AL89&lt;&gt;"",ROW(AI7:AI89)-MIN(ROW(AI7:AI89))+1))),ROW()-ROW(A$92)+1)),"##0"),",",SUBSTITUTE(INDEX(IF(PURCHASE_DESCRIPTION&lt;&gt;"",PURCHASE_DESCRIPTION&amp;":","")&amp;A7:A89,SMALL(IF(ISNUMBER(AI7:AI89),IF(AI7:AI89&gt;0,IF(AL7:AL89&lt;&gt;"",ROW(AI7:AI89)-MIN(ROW(AI7:AI89))+1))),ROW()-ROW(A$92)+1)),",",";")),"")</f>
        <v>0</v>
      </c>
      <c r="AN148">
        <f t="array" ref="AN148">IFERROR(CONCATENATE(INDEX(AQ7:AQ89,SMALL(IF(ISNUMBER(AN7:AN89),IF(AN7:AN89&gt;0,IF(AQ7:AQ89&lt;&gt;"",ROW(AN7:AN89)-MIN(ROW(AN7:AN89))+1))),ROW()-ROW(A$92)+1))," ",TEXT(INDEX(AN7:AN89,SMALL(IF(ISNUMBER(AN7:AN89),IF(AN7:AN89&gt;0,IF(AQ7:AQ89&lt;&gt;"",ROW(AN7:AN89)-MIN(ROW(AN7:AN89))+1))),ROW()-ROW(A$92)+1)),"##0")," ",SUBSTITUTE(INDEX(IF(PURCHASE_DESCRIPTION&lt;&gt;"",PURCHASE_DESCRIPTION&amp;":","")&amp;A7:A89,SMALL(IF(ISNUMBER(AN7:AN89),IF(AN7:AN89&gt;0,IF(AQ7:AQ89&lt;&gt;"",ROW(AN7:AN89)-MIN(ROW(AN7:AN89))+1))),ROW()-ROW(A$92)+1))," ",";")),"")</f>
        <v>0</v>
      </c>
      <c r="AS148">
        <f t="array" ref="AS148">IFERROR(CONCATENATE(INDEX(AV7:AV89,SMALL(IF(ISNUMBER(AS7:AS89),IF(AS7:AS89&gt;0,IF(AV7:AV89&lt;&gt;"",ROW(AS7:AS89)-MIN(ROW(AS7:AS89))+1))),ROW()-ROW(A$92)+1))," ",TEXT(INDEX(AS7:AS89,SMALL(IF(ISNUMBER(AS7:AS89),IF(AS7:AS89&gt;0,IF(AV7:AV89&lt;&gt;"",ROW(AS7:AS89)-MIN(ROW(AS7:AS89))+1))),ROW()-ROW(A$92)+1)),"##0")," ",SUBSTITUTE(INDEX(IF(PURCHASE_DESCRIPTION&lt;&gt;"",PURCHASE_DESCRIPTION&amp;":","")&amp;A7:A89,SMALL(IF(ISNUMBER(AS7:AS89),IF(AS7:AS89&gt;0,IF(AV7:AV89&lt;&gt;"",ROW(AS7:AS89)-MIN(ROW(AS7:AS89))+1))),ROW()-ROW(A$92)+1))," ",";")),"")</f>
        <v>0</v>
      </c>
    </row>
    <row r="149" spans="10:45">
      <c r="J149">
        <f t="array" ref="J149">IFERROR(CONCATENATE(INDEX(M7:M89,SMALL(IF(ISNUMBER(J7:J89),IF(J7:J89&gt;0,IF(M7:M89&lt;&gt;"",ROW(J7:J89)-MIN(ROW(J7:J89))+1))),ROW()-ROW(A$92)+1)),",",TEXT(INDEX(J7:J89,SMALL(IF(ISNUMBER(J7:J89),IF(J7:J89&gt;0,IF(M7:M89&lt;&gt;"",ROW(J7:J89)-MIN(ROW(J7:J89))+1))),ROW()-ROW(A$92)+1)),"##0"),",",SUBSTITUTE(INDEX(IF(PURCHASE_DESCRIPTION&lt;&gt;"",PURCHASE_DESCRIPTION&amp;":","")&amp;A7:A89,SMALL(IF(ISNUMBER(J7:J89),IF(J7:J89&gt;0,IF(M7:M89&lt;&gt;"",ROW(J7:J89)-MIN(ROW(J7:J89))+1))),ROW()-ROW(A$92)+1)),",",";")),"")</f>
        <v>0</v>
      </c>
      <c r="O149">
        <f t="array" ref="O149">IFERROR(CONCATENATE(TEXT(INDEX(O7:O89,SMALL(IF(ISNUMBER(O7:O89),IF(O7:O89&gt;0,IF(R7:R89&lt;&gt;"",ROW(O7:O89)-MIN(ROW(O7:O89))+1))),ROW()-ROW(A$92)+1)),"##0"),",",INDEX(R7:R89,SMALL(IF(ISNUMBER(O7:O89),IF(O7:O89&gt;0,IF(R7:R89&lt;&gt;"",ROW(O7:O89)-MIN(ROW(O7:O89))+1))),ROW()-ROW(A$92)+1)),",",SUBSTITUTE(INDEX(IF(PURCHASE_DESCRIPTION&lt;&gt;"",PURCHASE_DESCRIPTION&amp;":","")&amp;A7:A89,SMALL(IF(ISNUMBER(O7:O89),IF(O7:O89&gt;0,IF(R7:R89&lt;&gt;"",ROW(O7:O89)-MIN(ROW(O7:O89))+1))),ROW()-ROW(A$92)+1)),",",";")),"")</f>
        <v>0</v>
      </c>
      <c r="T149">
        <f t="array" ref="T149">IFERROR(CONCATENATE(INDEX(W7:W89,SMALL(IF(ISNUMBER(T7:T89),IF(T7:T89&gt;0,IF(W7:W89&lt;&gt;"",ROW(T7:T89)-MIN(ROW(T7:T89))+1))),ROW()-ROW(A$92)+1))," ",TEXT(INDEX(T7:T89,SMALL(IF(ISNUMBER(T7:T89),IF(T7:T89&gt;0,IF(W7:W89&lt;&gt;"",ROW(T7:T89)-MIN(ROW(T7:T89))+1))),ROW()-ROW(A$92)+1)),"##0")," ",SUBSTITUTE(INDEX(IF(PURCHASE_DESCRIPTION&lt;&gt;"",PURCHASE_DESCRIPTION&amp;":","")&amp;A7:A89,SMALL(IF(ISNUMBER(T7:T89),IF(T7:T89&gt;0,IF(W7:W89&lt;&gt;"",ROW(T7:T89)-MIN(ROW(T7:T89))+1))),ROW()-ROW(A$92)+1))," ",";")),"")</f>
        <v>0</v>
      </c>
      <c r="Y149">
        <f t="array" ref="Y149">IFERROR(CONCATENATE(TEXT(INDEX(Y7:Y89,SMALL(IF(ISNUMBER(Y7:Y89),IF(Y7:Y89&gt;0,IF(AB7:AB89&lt;&gt;"",ROW(Y7:Y89)-MIN(ROW(Y7:Y89))+1))),ROW()-ROW(A$93)+1)),"##0"),",",SUBSTITUTE(INDEX(IF(PURCHASE_DESCRIPTION&lt;&gt;"",PURCHASE_DESCRIPTION&amp;":","")&amp;A7:A89,SMALL(IF(ISNUMBER(Y7:Y89),IF(Y7:Y89&gt;0,IF(AB7:AB89&lt;&gt;"",ROW(Y7:Y89)-MIN(ROW(Y7:Y89))+1))),ROW()-ROW(A$93)+1)),",",";"),",",SUBSTITUTE(INDEX(IF(PURCHASE_DESCRIPTION&lt;&gt;"",PURCHASE_DESCRIPTION&amp;":","")&amp;D7:D89,SMALL(IF(ISNUMBER(Y7:Y89),IF(Y7:Y89&gt;0,IF(AB7:AB89&lt;&gt;"",ROW(Y7:Y89)-MIN(ROW(Y7:Y89))+1))),ROW()-ROW(A$93)+1)),",",";"),",",INDEX(AB7:AB89,SMALL(IF(ISNUMBER(Y7:Y89),IF(Y7:Y89&gt;0,IF(AB7:AB89&lt;&gt;"",ROW(Y7:Y89)-MIN(ROW(Y7:Y89))+1))),ROW()-ROW(A$93)+1))),"")</f>
        <v>0</v>
      </c>
      <c r="AD149">
        <f t="array" ref="AD149">IFERROR(CONCATENATE(INDEX(AG7:AG89,SMALL(IF(ISNUMBER(AD7:AD89),IF(AD7:AD89&gt;0,IF(AG7:AG89&lt;&gt;"",ROW(AD7:AD89)-MIN(ROW(AD7:AD89))+1))),ROW()-ROW(A$92)+1)),"|",TEXT(INDEX(AD7:AD89,SMALL(IF(ISNUMBER(AD7:AD89),IF(AD7:AD89&gt;0,IF(AG7:AG89&lt;&gt;"",ROW(AD7:AD89)-MIN(ROW(AD7:AD89))+1))),ROW()-ROW(A$92)+1)),"##0"),"|",SUBSTITUTE(SUBSTITUTE(INDEX(IF(PURCHASE_DESCRIPTION&lt;&gt;"",PURCHASE_DESCRIPTION&amp;":","")&amp;A7:A89,SMALL(IF(ISNUMBER(AD7:AD89),IF(AD7:AD89&gt;0,IF(AG7:AG89&lt;&gt;"",ROW(AD7:AD89)-MIN(ROW(AD7:AD89))+1))),ROW()-ROW(A$92)+1)),"|",";")," ","_")),"")</f>
        <v>0</v>
      </c>
      <c r="AI149">
        <f t="array" ref="AI149">IFERROR(CONCATENATE(INDEX(AL7:AL89,SMALL(IF(ISNUMBER(AI7:AI89),IF(AI7:AI89&gt;0,IF(AL7:AL89&lt;&gt;"",ROW(AI7:AI89)-MIN(ROW(AI7:AI89))+1))),ROW()-ROW(A$92)+1)),",",TEXT(INDEX(AI7:AI89,SMALL(IF(ISNUMBER(AI7:AI89),IF(AI7:AI89&gt;0,IF(AL7:AL89&lt;&gt;"",ROW(AI7:AI89)-MIN(ROW(AI7:AI89))+1))),ROW()-ROW(A$92)+1)),"##0"),",",SUBSTITUTE(INDEX(IF(PURCHASE_DESCRIPTION&lt;&gt;"",PURCHASE_DESCRIPTION&amp;":","")&amp;A7:A89,SMALL(IF(ISNUMBER(AI7:AI89),IF(AI7:AI89&gt;0,IF(AL7:AL89&lt;&gt;"",ROW(AI7:AI89)-MIN(ROW(AI7:AI89))+1))),ROW()-ROW(A$92)+1)),",",";")),"")</f>
        <v>0</v>
      </c>
      <c r="AN149">
        <f t="array" ref="AN149">IFERROR(CONCATENATE(INDEX(AQ7:AQ89,SMALL(IF(ISNUMBER(AN7:AN89),IF(AN7:AN89&gt;0,IF(AQ7:AQ89&lt;&gt;"",ROW(AN7:AN89)-MIN(ROW(AN7:AN89))+1))),ROW()-ROW(A$92)+1))," ",TEXT(INDEX(AN7:AN89,SMALL(IF(ISNUMBER(AN7:AN89),IF(AN7:AN89&gt;0,IF(AQ7:AQ89&lt;&gt;"",ROW(AN7:AN89)-MIN(ROW(AN7:AN89))+1))),ROW()-ROW(A$92)+1)),"##0")," ",SUBSTITUTE(INDEX(IF(PURCHASE_DESCRIPTION&lt;&gt;"",PURCHASE_DESCRIPTION&amp;":","")&amp;A7:A89,SMALL(IF(ISNUMBER(AN7:AN89),IF(AN7:AN89&gt;0,IF(AQ7:AQ89&lt;&gt;"",ROW(AN7:AN89)-MIN(ROW(AN7:AN89))+1))),ROW()-ROW(A$92)+1))," ",";")),"")</f>
        <v>0</v>
      </c>
      <c r="AS149">
        <f t="array" ref="AS149">IFERROR(CONCATENATE(INDEX(AV7:AV89,SMALL(IF(ISNUMBER(AS7:AS89),IF(AS7:AS89&gt;0,IF(AV7:AV89&lt;&gt;"",ROW(AS7:AS89)-MIN(ROW(AS7:AS89))+1))),ROW()-ROW(A$92)+1))," ",TEXT(INDEX(AS7:AS89,SMALL(IF(ISNUMBER(AS7:AS89),IF(AS7:AS89&gt;0,IF(AV7:AV89&lt;&gt;"",ROW(AS7:AS89)-MIN(ROW(AS7:AS89))+1))),ROW()-ROW(A$92)+1)),"##0")," ",SUBSTITUTE(INDEX(IF(PURCHASE_DESCRIPTION&lt;&gt;"",PURCHASE_DESCRIPTION&amp;":","")&amp;A7:A89,SMALL(IF(ISNUMBER(AS7:AS89),IF(AS7:AS89&gt;0,IF(AV7:AV89&lt;&gt;"",ROW(AS7:AS89)-MIN(ROW(AS7:AS89))+1))),ROW()-ROW(A$92)+1))," ",";")),"")</f>
        <v>0</v>
      </c>
    </row>
    <row r="150" spans="10:45">
      <c r="J150">
        <f t="array" ref="J150">IFERROR(CONCATENATE(INDEX(M7:M89,SMALL(IF(ISNUMBER(J7:J89),IF(J7:J89&gt;0,IF(M7:M89&lt;&gt;"",ROW(J7:J89)-MIN(ROW(J7:J89))+1))),ROW()-ROW(A$92)+1)),",",TEXT(INDEX(J7:J89,SMALL(IF(ISNUMBER(J7:J89),IF(J7:J89&gt;0,IF(M7:M89&lt;&gt;"",ROW(J7:J89)-MIN(ROW(J7:J89))+1))),ROW()-ROW(A$92)+1)),"##0"),",",SUBSTITUTE(INDEX(IF(PURCHASE_DESCRIPTION&lt;&gt;"",PURCHASE_DESCRIPTION&amp;":","")&amp;A7:A89,SMALL(IF(ISNUMBER(J7:J89),IF(J7:J89&gt;0,IF(M7:M89&lt;&gt;"",ROW(J7:J89)-MIN(ROW(J7:J89))+1))),ROW()-ROW(A$92)+1)),",",";")),"")</f>
        <v>0</v>
      </c>
      <c r="O150">
        <f t="array" ref="O150">IFERROR(CONCATENATE(TEXT(INDEX(O7:O89,SMALL(IF(ISNUMBER(O7:O89),IF(O7:O89&gt;0,IF(R7:R89&lt;&gt;"",ROW(O7:O89)-MIN(ROW(O7:O89))+1))),ROW()-ROW(A$92)+1)),"##0"),",",INDEX(R7:R89,SMALL(IF(ISNUMBER(O7:O89),IF(O7:O89&gt;0,IF(R7:R89&lt;&gt;"",ROW(O7:O89)-MIN(ROW(O7:O89))+1))),ROW()-ROW(A$92)+1)),",",SUBSTITUTE(INDEX(IF(PURCHASE_DESCRIPTION&lt;&gt;"",PURCHASE_DESCRIPTION&amp;":","")&amp;A7:A89,SMALL(IF(ISNUMBER(O7:O89),IF(O7:O89&gt;0,IF(R7:R89&lt;&gt;"",ROW(O7:O89)-MIN(ROW(O7:O89))+1))),ROW()-ROW(A$92)+1)),",",";")),"")</f>
        <v>0</v>
      </c>
      <c r="T150">
        <f t="array" ref="T150">IFERROR(CONCATENATE(INDEX(W7:W89,SMALL(IF(ISNUMBER(T7:T89),IF(T7:T89&gt;0,IF(W7:W89&lt;&gt;"",ROW(T7:T89)-MIN(ROW(T7:T89))+1))),ROW()-ROW(A$92)+1))," ",TEXT(INDEX(T7:T89,SMALL(IF(ISNUMBER(T7:T89),IF(T7:T89&gt;0,IF(W7:W89&lt;&gt;"",ROW(T7:T89)-MIN(ROW(T7:T89))+1))),ROW()-ROW(A$92)+1)),"##0")," ",SUBSTITUTE(INDEX(IF(PURCHASE_DESCRIPTION&lt;&gt;"",PURCHASE_DESCRIPTION&amp;":","")&amp;A7:A89,SMALL(IF(ISNUMBER(T7:T89),IF(T7:T89&gt;0,IF(W7:W89&lt;&gt;"",ROW(T7:T89)-MIN(ROW(T7:T89))+1))),ROW()-ROW(A$92)+1))," ",";")),"")</f>
        <v>0</v>
      </c>
      <c r="Y150">
        <f t="array" ref="Y150">IFERROR(CONCATENATE(TEXT(INDEX(Y7:Y89,SMALL(IF(ISNUMBER(Y7:Y89),IF(Y7:Y89&gt;0,IF(AB7:AB89&lt;&gt;"",ROW(Y7:Y89)-MIN(ROW(Y7:Y89))+1))),ROW()-ROW(A$93)+1)),"##0"),",",SUBSTITUTE(INDEX(IF(PURCHASE_DESCRIPTION&lt;&gt;"",PURCHASE_DESCRIPTION&amp;":","")&amp;A7:A89,SMALL(IF(ISNUMBER(Y7:Y89),IF(Y7:Y89&gt;0,IF(AB7:AB89&lt;&gt;"",ROW(Y7:Y89)-MIN(ROW(Y7:Y89))+1))),ROW()-ROW(A$93)+1)),",",";"),",",SUBSTITUTE(INDEX(IF(PURCHASE_DESCRIPTION&lt;&gt;"",PURCHASE_DESCRIPTION&amp;":","")&amp;D7:D89,SMALL(IF(ISNUMBER(Y7:Y89),IF(Y7:Y89&gt;0,IF(AB7:AB89&lt;&gt;"",ROW(Y7:Y89)-MIN(ROW(Y7:Y89))+1))),ROW()-ROW(A$93)+1)),",",";"),",",INDEX(AB7:AB89,SMALL(IF(ISNUMBER(Y7:Y89),IF(Y7:Y89&gt;0,IF(AB7:AB89&lt;&gt;"",ROW(Y7:Y89)-MIN(ROW(Y7:Y89))+1))),ROW()-ROW(A$93)+1))),"")</f>
        <v>0</v>
      </c>
      <c r="AD150">
        <f t="array" ref="AD150">IFERROR(CONCATENATE(INDEX(AG7:AG89,SMALL(IF(ISNUMBER(AD7:AD89),IF(AD7:AD89&gt;0,IF(AG7:AG89&lt;&gt;"",ROW(AD7:AD89)-MIN(ROW(AD7:AD89))+1))),ROW()-ROW(A$92)+1)),"|",TEXT(INDEX(AD7:AD89,SMALL(IF(ISNUMBER(AD7:AD89),IF(AD7:AD89&gt;0,IF(AG7:AG89&lt;&gt;"",ROW(AD7:AD89)-MIN(ROW(AD7:AD89))+1))),ROW()-ROW(A$92)+1)),"##0"),"|",SUBSTITUTE(SUBSTITUTE(INDEX(IF(PURCHASE_DESCRIPTION&lt;&gt;"",PURCHASE_DESCRIPTION&amp;":","")&amp;A7:A89,SMALL(IF(ISNUMBER(AD7:AD89),IF(AD7:AD89&gt;0,IF(AG7:AG89&lt;&gt;"",ROW(AD7:AD89)-MIN(ROW(AD7:AD89))+1))),ROW()-ROW(A$92)+1)),"|",";")," ","_")),"")</f>
        <v>0</v>
      </c>
      <c r="AI150">
        <f t="array" ref="AI150">IFERROR(CONCATENATE(INDEX(AL7:AL89,SMALL(IF(ISNUMBER(AI7:AI89),IF(AI7:AI89&gt;0,IF(AL7:AL89&lt;&gt;"",ROW(AI7:AI89)-MIN(ROW(AI7:AI89))+1))),ROW()-ROW(A$92)+1)),",",TEXT(INDEX(AI7:AI89,SMALL(IF(ISNUMBER(AI7:AI89),IF(AI7:AI89&gt;0,IF(AL7:AL89&lt;&gt;"",ROW(AI7:AI89)-MIN(ROW(AI7:AI89))+1))),ROW()-ROW(A$92)+1)),"##0"),",",SUBSTITUTE(INDEX(IF(PURCHASE_DESCRIPTION&lt;&gt;"",PURCHASE_DESCRIPTION&amp;":","")&amp;A7:A89,SMALL(IF(ISNUMBER(AI7:AI89),IF(AI7:AI89&gt;0,IF(AL7:AL89&lt;&gt;"",ROW(AI7:AI89)-MIN(ROW(AI7:AI89))+1))),ROW()-ROW(A$92)+1)),",",";")),"")</f>
        <v>0</v>
      </c>
      <c r="AN150">
        <f t="array" ref="AN150">IFERROR(CONCATENATE(INDEX(AQ7:AQ89,SMALL(IF(ISNUMBER(AN7:AN89),IF(AN7:AN89&gt;0,IF(AQ7:AQ89&lt;&gt;"",ROW(AN7:AN89)-MIN(ROW(AN7:AN89))+1))),ROW()-ROW(A$92)+1))," ",TEXT(INDEX(AN7:AN89,SMALL(IF(ISNUMBER(AN7:AN89),IF(AN7:AN89&gt;0,IF(AQ7:AQ89&lt;&gt;"",ROW(AN7:AN89)-MIN(ROW(AN7:AN89))+1))),ROW()-ROW(A$92)+1)),"##0")," ",SUBSTITUTE(INDEX(IF(PURCHASE_DESCRIPTION&lt;&gt;"",PURCHASE_DESCRIPTION&amp;":","")&amp;A7:A89,SMALL(IF(ISNUMBER(AN7:AN89),IF(AN7:AN89&gt;0,IF(AQ7:AQ89&lt;&gt;"",ROW(AN7:AN89)-MIN(ROW(AN7:AN89))+1))),ROW()-ROW(A$92)+1))," ",";")),"")</f>
        <v>0</v>
      </c>
      <c r="AS150">
        <f t="array" ref="AS150">IFERROR(CONCATENATE(INDEX(AV7:AV89,SMALL(IF(ISNUMBER(AS7:AS89),IF(AS7:AS89&gt;0,IF(AV7:AV89&lt;&gt;"",ROW(AS7:AS89)-MIN(ROW(AS7:AS89))+1))),ROW()-ROW(A$92)+1))," ",TEXT(INDEX(AS7:AS89,SMALL(IF(ISNUMBER(AS7:AS89),IF(AS7:AS89&gt;0,IF(AV7:AV89&lt;&gt;"",ROW(AS7:AS89)-MIN(ROW(AS7:AS89))+1))),ROW()-ROW(A$92)+1)),"##0")," ",SUBSTITUTE(INDEX(IF(PURCHASE_DESCRIPTION&lt;&gt;"",PURCHASE_DESCRIPTION&amp;":","")&amp;A7:A89,SMALL(IF(ISNUMBER(AS7:AS89),IF(AS7:AS89&gt;0,IF(AV7:AV89&lt;&gt;"",ROW(AS7:AS89)-MIN(ROW(AS7:AS89))+1))),ROW()-ROW(A$92)+1))," ",";")),"")</f>
        <v>0</v>
      </c>
    </row>
    <row r="151" spans="10:45">
      <c r="J151">
        <f t="array" ref="J151">IFERROR(CONCATENATE(INDEX(M7:M89,SMALL(IF(ISNUMBER(J7:J89),IF(J7:J89&gt;0,IF(M7:M89&lt;&gt;"",ROW(J7:J89)-MIN(ROW(J7:J89))+1))),ROW()-ROW(A$92)+1)),",",TEXT(INDEX(J7:J89,SMALL(IF(ISNUMBER(J7:J89),IF(J7:J89&gt;0,IF(M7:M89&lt;&gt;"",ROW(J7:J89)-MIN(ROW(J7:J89))+1))),ROW()-ROW(A$92)+1)),"##0"),",",SUBSTITUTE(INDEX(IF(PURCHASE_DESCRIPTION&lt;&gt;"",PURCHASE_DESCRIPTION&amp;":","")&amp;A7:A89,SMALL(IF(ISNUMBER(J7:J89),IF(J7:J89&gt;0,IF(M7:M89&lt;&gt;"",ROW(J7:J89)-MIN(ROW(J7:J89))+1))),ROW()-ROW(A$92)+1)),",",";")),"")</f>
        <v>0</v>
      </c>
      <c r="O151">
        <f t="array" ref="O151">IFERROR(CONCATENATE(TEXT(INDEX(O7:O89,SMALL(IF(ISNUMBER(O7:O89),IF(O7:O89&gt;0,IF(R7:R89&lt;&gt;"",ROW(O7:O89)-MIN(ROW(O7:O89))+1))),ROW()-ROW(A$92)+1)),"##0"),",",INDEX(R7:R89,SMALL(IF(ISNUMBER(O7:O89),IF(O7:O89&gt;0,IF(R7:R89&lt;&gt;"",ROW(O7:O89)-MIN(ROW(O7:O89))+1))),ROW()-ROW(A$92)+1)),",",SUBSTITUTE(INDEX(IF(PURCHASE_DESCRIPTION&lt;&gt;"",PURCHASE_DESCRIPTION&amp;":","")&amp;A7:A89,SMALL(IF(ISNUMBER(O7:O89),IF(O7:O89&gt;0,IF(R7:R89&lt;&gt;"",ROW(O7:O89)-MIN(ROW(O7:O89))+1))),ROW()-ROW(A$92)+1)),",",";")),"")</f>
        <v>0</v>
      </c>
      <c r="T151">
        <f t="array" ref="T151">IFERROR(CONCATENATE(INDEX(W7:W89,SMALL(IF(ISNUMBER(T7:T89),IF(T7:T89&gt;0,IF(W7:W89&lt;&gt;"",ROW(T7:T89)-MIN(ROW(T7:T89))+1))),ROW()-ROW(A$92)+1))," ",TEXT(INDEX(T7:T89,SMALL(IF(ISNUMBER(T7:T89),IF(T7:T89&gt;0,IF(W7:W89&lt;&gt;"",ROW(T7:T89)-MIN(ROW(T7:T89))+1))),ROW()-ROW(A$92)+1)),"##0")," ",SUBSTITUTE(INDEX(IF(PURCHASE_DESCRIPTION&lt;&gt;"",PURCHASE_DESCRIPTION&amp;":","")&amp;A7:A89,SMALL(IF(ISNUMBER(T7:T89),IF(T7:T89&gt;0,IF(W7:W89&lt;&gt;"",ROW(T7:T89)-MIN(ROW(T7:T89))+1))),ROW()-ROW(A$92)+1))," ",";")),"")</f>
        <v>0</v>
      </c>
      <c r="Y151">
        <f t="array" ref="Y151">IFERROR(CONCATENATE(TEXT(INDEX(Y7:Y89,SMALL(IF(ISNUMBER(Y7:Y89),IF(Y7:Y89&gt;0,IF(AB7:AB89&lt;&gt;"",ROW(Y7:Y89)-MIN(ROW(Y7:Y89))+1))),ROW()-ROW(A$93)+1)),"##0"),",",SUBSTITUTE(INDEX(IF(PURCHASE_DESCRIPTION&lt;&gt;"",PURCHASE_DESCRIPTION&amp;":","")&amp;A7:A89,SMALL(IF(ISNUMBER(Y7:Y89),IF(Y7:Y89&gt;0,IF(AB7:AB89&lt;&gt;"",ROW(Y7:Y89)-MIN(ROW(Y7:Y89))+1))),ROW()-ROW(A$93)+1)),",",";"),",",SUBSTITUTE(INDEX(IF(PURCHASE_DESCRIPTION&lt;&gt;"",PURCHASE_DESCRIPTION&amp;":","")&amp;D7:D89,SMALL(IF(ISNUMBER(Y7:Y89),IF(Y7:Y89&gt;0,IF(AB7:AB89&lt;&gt;"",ROW(Y7:Y89)-MIN(ROW(Y7:Y89))+1))),ROW()-ROW(A$93)+1)),",",";"),",",INDEX(AB7:AB89,SMALL(IF(ISNUMBER(Y7:Y89),IF(Y7:Y89&gt;0,IF(AB7:AB89&lt;&gt;"",ROW(Y7:Y89)-MIN(ROW(Y7:Y89))+1))),ROW()-ROW(A$93)+1))),"")</f>
        <v>0</v>
      </c>
      <c r="AD151">
        <f t="array" ref="AD151">IFERROR(CONCATENATE(INDEX(AG7:AG89,SMALL(IF(ISNUMBER(AD7:AD89),IF(AD7:AD89&gt;0,IF(AG7:AG89&lt;&gt;"",ROW(AD7:AD89)-MIN(ROW(AD7:AD89))+1))),ROW()-ROW(A$92)+1)),"|",TEXT(INDEX(AD7:AD89,SMALL(IF(ISNUMBER(AD7:AD89),IF(AD7:AD89&gt;0,IF(AG7:AG89&lt;&gt;"",ROW(AD7:AD89)-MIN(ROW(AD7:AD89))+1))),ROW()-ROW(A$92)+1)),"##0"),"|",SUBSTITUTE(SUBSTITUTE(INDEX(IF(PURCHASE_DESCRIPTION&lt;&gt;"",PURCHASE_DESCRIPTION&amp;":","")&amp;A7:A89,SMALL(IF(ISNUMBER(AD7:AD89),IF(AD7:AD89&gt;0,IF(AG7:AG89&lt;&gt;"",ROW(AD7:AD89)-MIN(ROW(AD7:AD89))+1))),ROW()-ROW(A$92)+1)),"|",";")," ","_")),"")</f>
        <v>0</v>
      </c>
      <c r="AI151">
        <f t="array" ref="AI151">IFERROR(CONCATENATE(INDEX(AL7:AL89,SMALL(IF(ISNUMBER(AI7:AI89),IF(AI7:AI89&gt;0,IF(AL7:AL89&lt;&gt;"",ROW(AI7:AI89)-MIN(ROW(AI7:AI89))+1))),ROW()-ROW(A$92)+1)),",",TEXT(INDEX(AI7:AI89,SMALL(IF(ISNUMBER(AI7:AI89),IF(AI7:AI89&gt;0,IF(AL7:AL89&lt;&gt;"",ROW(AI7:AI89)-MIN(ROW(AI7:AI89))+1))),ROW()-ROW(A$92)+1)),"##0"),",",SUBSTITUTE(INDEX(IF(PURCHASE_DESCRIPTION&lt;&gt;"",PURCHASE_DESCRIPTION&amp;":","")&amp;A7:A89,SMALL(IF(ISNUMBER(AI7:AI89),IF(AI7:AI89&gt;0,IF(AL7:AL89&lt;&gt;"",ROW(AI7:AI89)-MIN(ROW(AI7:AI89))+1))),ROW()-ROW(A$92)+1)),",",";")),"")</f>
        <v>0</v>
      </c>
      <c r="AN151">
        <f t="array" ref="AN151">IFERROR(CONCATENATE(INDEX(AQ7:AQ89,SMALL(IF(ISNUMBER(AN7:AN89),IF(AN7:AN89&gt;0,IF(AQ7:AQ89&lt;&gt;"",ROW(AN7:AN89)-MIN(ROW(AN7:AN89))+1))),ROW()-ROW(A$92)+1))," ",TEXT(INDEX(AN7:AN89,SMALL(IF(ISNUMBER(AN7:AN89),IF(AN7:AN89&gt;0,IF(AQ7:AQ89&lt;&gt;"",ROW(AN7:AN89)-MIN(ROW(AN7:AN89))+1))),ROW()-ROW(A$92)+1)),"##0")," ",SUBSTITUTE(INDEX(IF(PURCHASE_DESCRIPTION&lt;&gt;"",PURCHASE_DESCRIPTION&amp;":","")&amp;A7:A89,SMALL(IF(ISNUMBER(AN7:AN89),IF(AN7:AN89&gt;0,IF(AQ7:AQ89&lt;&gt;"",ROW(AN7:AN89)-MIN(ROW(AN7:AN89))+1))),ROW()-ROW(A$92)+1))," ",";")),"")</f>
        <v>0</v>
      </c>
      <c r="AS151">
        <f t="array" ref="AS151">IFERROR(CONCATENATE(INDEX(AV7:AV89,SMALL(IF(ISNUMBER(AS7:AS89),IF(AS7:AS89&gt;0,IF(AV7:AV89&lt;&gt;"",ROW(AS7:AS89)-MIN(ROW(AS7:AS89))+1))),ROW()-ROW(A$92)+1))," ",TEXT(INDEX(AS7:AS89,SMALL(IF(ISNUMBER(AS7:AS89),IF(AS7:AS89&gt;0,IF(AV7:AV89&lt;&gt;"",ROW(AS7:AS89)-MIN(ROW(AS7:AS89))+1))),ROW()-ROW(A$92)+1)),"##0")," ",SUBSTITUTE(INDEX(IF(PURCHASE_DESCRIPTION&lt;&gt;"",PURCHASE_DESCRIPTION&amp;":","")&amp;A7:A89,SMALL(IF(ISNUMBER(AS7:AS89),IF(AS7:AS89&gt;0,IF(AV7:AV89&lt;&gt;"",ROW(AS7:AS89)-MIN(ROW(AS7:AS89))+1))),ROW()-ROW(A$92)+1))," ",";")),"")</f>
        <v>0</v>
      </c>
    </row>
    <row r="152" spans="10:45">
      <c r="J152">
        <f t="array" ref="J152">IFERROR(CONCATENATE(INDEX(M7:M89,SMALL(IF(ISNUMBER(J7:J89),IF(J7:J89&gt;0,IF(M7:M89&lt;&gt;"",ROW(J7:J89)-MIN(ROW(J7:J89))+1))),ROW()-ROW(A$92)+1)),",",TEXT(INDEX(J7:J89,SMALL(IF(ISNUMBER(J7:J89),IF(J7:J89&gt;0,IF(M7:M89&lt;&gt;"",ROW(J7:J89)-MIN(ROW(J7:J89))+1))),ROW()-ROW(A$92)+1)),"##0"),",",SUBSTITUTE(INDEX(IF(PURCHASE_DESCRIPTION&lt;&gt;"",PURCHASE_DESCRIPTION&amp;":","")&amp;A7:A89,SMALL(IF(ISNUMBER(J7:J89),IF(J7:J89&gt;0,IF(M7:M89&lt;&gt;"",ROW(J7:J89)-MIN(ROW(J7:J89))+1))),ROW()-ROW(A$92)+1)),",",";")),"")</f>
        <v>0</v>
      </c>
      <c r="O152">
        <f t="array" ref="O152">IFERROR(CONCATENATE(TEXT(INDEX(O7:O89,SMALL(IF(ISNUMBER(O7:O89),IF(O7:O89&gt;0,IF(R7:R89&lt;&gt;"",ROW(O7:O89)-MIN(ROW(O7:O89))+1))),ROW()-ROW(A$92)+1)),"##0"),",",INDEX(R7:R89,SMALL(IF(ISNUMBER(O7:O89),IF(O7:O89&gt;0,IF(R7:R89&lt;&gt;"",ROW(O7:O89)-MIN(ROW(O7:O89))+1))),ROW()-ROW(A$92)+1)),",",SUBSTITUTE(INDEX(IF(PURCHASE_DESCRIPTION&lt;&gt;"",PURCHASE_DESCRIPTION&amp;":","")&amp;A7:A89,SMALL(IF(ISNUMBER(O7:O89),IF(O7:O89&gt;0,IF(R7:R89&lt;&gt;"",ROW(O7:O89)-MIN(ROW(O7:O89))+1))),ROW()-ROW(A$92)+1)),",",";")),"")</f>
        <v>0</v>
      </c>
      <c r="T152">
        <f t="array" ref="T152">IFERROR(CONCATENATE(INDEX(W7:W89,SMALL(IF(ISNUMBER(T7:T89),IF(T7:T89&gt;0,IF(W7:W89&lt;&gt;"",ROW(T7:T89)-MIN(ROW(T7:T89))+1))),ROW()-ROW(A$92)+1))," ",TEXT(INDEX(T7:T89,SMALL(IF(ISNUMBER(T7:T89),IF(T7:T89&gt;0,IF(W7:W89&lt;&gt;"",ROW(T7:T89)-MIN(ROW(T7:T89))+1))),ROW()-ROW(A$92)+1)),"##0")," ",SUBSTITUTE(INDEX(IF(PURCHASE_DESCRIPTION&lt;&gt;"",PURCHASE_DESCRIPTION&amp;":","")&amp;A7:A89,SMALL(IF(ISNUMBER(T7:T89),IF(T7:T89&gt;0,IF(W7:W89&lt;&gt;"",ROW(T7:T89)-MIN(ROW(T7:T89))+1))),ROW()-ROW(A$92)+1))," ",";")),"")</f>
        <v>0</v>
      </c>
      <c r="Y152">
        <f t="array" ref="Y152">IFERROR(CONCATENATE(TEXT(INDEX(Y7:Y89,SMALL(IF(ISNUMBER(Y7:Y89),IF(Y7:Y89&gt;0,IF(AB7:AB89&lt;&gt;"",ROW(Y7:Y89)-MIN(ROW(Y7:Y89))+1))),ROW()-ROW(A$93)+1)),"##0"),",",SUBSTITUTE(INDEX(IF(PURCHASE_DESCRIPTION&lt;&gt;"",PURCHASE_DESCRIPTION&amp;":","")&amp;A7:A89,SMALL(IF(ISNUMBER(Y7:Y89),IF(Y7:Y89&gt;0,IF(AB7:AB89&lt;&gt;"",ROW(Y7:Y89)-MIN(ROW(Y7:Y89))+1))),ROW()-ROW(A$93)+1)),",",";"),",",SUBSTITUTE(INDEX(IF(PURCHASE_DESCRIPTION&lt;&gt;"",PURCHASE_DESCRIPTION&amp;":","")&amp;D7:D89,SMALL(IF(ISNUMBER(Y7:Y89),IF(Y7:Y89&gt;0,IF(AB7:AB89&lt;&gt;"",ROW(Y7:Y89)-MIN(ROW(Y7:Y89))+1))),ROW()-ROW(A$93)+1)),",",";"),",",INDEX(AB7:AB89,SMALL(IF(ISNUMBER(Y7:Y89),IF(Y7:Y89&gt;0,IF(AB7:AB89&lt;&gt;"",ROW(Y7:Y89)-MIN(ROW(Y7:Y89))+1))),ROW()-ROW(A$93)+1))),"")</f>
        <v>0</v>
      </c>
      <c r="AD152">
        <f t="array" ref="AD152">IFERROR(CONCATENATE(INDEX(AG7:AG89,SMALL(IF(ISNUMBER(AD7:AD89),IF(AD7:AD89&gt;0,IF(AG7:AG89&lt;&gt;"",ROW(AD7:AD89)-MIN(ROW(AD7:AD89))+1))),ROW()-ROW(A$92)+1)),"|",TEXT(INDEX(AD7:AD89,SMALL(IF(ISNUMBER(AD7:AD89),IF(AD7:AD89&gt;0,IF(AG7:AG89&lt;&gt;"",ROW(AD7:AD89)-MIN(ROW(AD7:AD89))+1))),ROW()-ROW(A$92)+1)),"##0"),"|",SUBSTITUTE(SUBSTITUTE(INDEX(IF(PURCHASE_DESCRIPTION&lt;&gt;"",PURCHASE_DESCRIPTION&amp;":","")&amp;A7:A89,SMALL(IF(ISNUMBER(AD7:AD89),IF(AD7:AD89&gt;0,IF(AG7:AG89&lt;&gt;"",ROW(AD7:AD89)-MIN(ROW(AD7:AD89))+1))),ROW()-ROW(A$92)+1)),"|",";")," ","_")),"")</f>
        <v>0</v>
      </c>
      <c r="AI152">
        <f t="array" ref="AI152">IFERROR(CONCATENATE(INDEX(AL7:AL89,SMALL(IF(ISNUMBER(AI7:AI89),IF(AI7:AI89&gt;0,IF(AL7:AL89&lt;&gt;"",ROW(AI7:AI89)-MIN(ROW(AI7:AI89))+1))),ROW()-ROW(A$92)+1)),",",TEXT(INDEX(AI7:AI89,SMALL(IF(ISNUMBER(AI7:AI89),IF(AI7:AI89&gt;0,IF(AL7:AL89&lt;&gt;"",ROW(AI7:AI89)-MIN(ROW(AI7:AI89))+1))),ROW()-ROW(A$92)+1)),"##0"),",",SUBSTITUTE(INDEX(IF(PURCHASE_DESCRIPTION&lt;&gt;"",PURCHASE_DESCRIPTION&amp;":","")&amp;A7:A89,SMALL(IF(ISNUMBER(AI7:AI89),IF(AI7:AI89&gt;0,IF(AL7:AL89&lt;&gt;"",ROW(AI7:AI89)-MIN(ROW(AI7:AI89))+1))),ROW()-ROW(A$92)+1)),",",";")),"")</f>
        <v>0</v>
      </c>
      <c r="AN152">
        <f t="array" ref="AN152">IFERROR(CONCATENATE(INDEX(AQ7:AQ89,SMALL(IF(ISNUMBER(AN7:AN89),IF(AN7:AN89&gt;0,IF(AQ7:AQ89&lt;&gt;"",ROW(AN7:AN89)-MIN(ROW(AN7:AN89))+1))),ROW()-ROW(A$92)+1))," ",TEXT(INDEX(AN7:AN89,SMALL(IF(ISNUMBER(AN7:AN89),IF(AN7:AN89&gt;0,IF(AQ7:AQ89&lt;&gt;"",ROW(AN7:AN89)-MIN(ROW(AN7:AN89))+1))),ROW()-ROW(A$92)+1)),"##0")," ",SUBSTITUTE(INDEX(IF(PURCHASE_DESCRIPTION&lt;&gt;"",PURCHASE_DESCRIPTION&amp;":","")&amp;A7:A89,SMALL(IF(ISNUMBER(AN7:AN89),IF(AN7:AN89&gt;0,IF(AQ7:AQ89&lt;&gt;"",ROW(AN7:AN89)-MIN(ROW(AN7:AN89))+1))),ROW()-ROW(A$92)+1))," ",";")),"")</f>
        <v>0</v>
      </c>
      <c r="AS152">
        <f t="array" ref="AS152">IFERROR(CONCATENATE(INDEX(AV7:AV89,SMALL(IF(ISNUMBER(AS7:AS89),IF(AS7:AS89&gt;0,IF(AV7:AV89&lt;&gt;"",ROW(AS7:AS89)-MIN(ROW(AS7:AS89))+1))),ROW()-ROW(A$92)+1))," ",TEXT(INDEX(AS7:AS89,SMALL(IF(ISNUMBER(AS7:AS89),IF(AS7:AS89&gt;0,IF(AV7:AV89&lt;&gt;"",ROW(AS7:AS89)-MIN(ROW(AS7:AS89))+1))),ROW()-ROW(A$92)+1)),"##0")," ",SUBSTITUTE(INDEX(IF(PURCHASE_DESCRIPTION&lt;&gt;"",PURCHASE_DESCRIPTION&amp;":","")&amp;A7:A89,SMALL(IF(ISNUMBER(AS7:AS89),IF(AS7:AS89&gt;0,IF(AV7:AV89&lt;&gt;"",ROW(AS7:AS89)-MIN(ROW(AS7:AS89))+1))),ROW()-ROW(A$92)+1))," ",";")),"")</f>
        <v>0</v>
      </c>
    </row>
    <row r="153" spans="10:45">
      <c r="J153">
        <f t="array" ref="J153">IFERROR(CONCATENATE(INDEX(M7:M89,SMALL(IF(ISNUMBER(J7:J89),IF(J7:J89&gt;0,IF(M7:M89&lt;&gt;"",ROW(J7:J89)-MIN(ROW(J7:J89))+1))),ROW()-ROW(A$92)+1)),",",TEXT(INDEX(J7:J89,SMALL(IF(ISNUMBER(J7:J89),IF(J7:J89&gt;0,IF(M7:M89&lt;&gt;"",ROW(J7:J89)-MIN(ROW(J7:J89))+1))),ROW()-ROW(A$92)+1)),"##0"),",",SUBSTITUTE(INDEX(IF(PURCHASE_DESCRIPTION&lt;&gt;"",PURCHASE_DESCRIPTION&amp;":","")&amp;A7:A89,SMALL(IF(ISNUMBER(J7:J89),IF(J7:J89&gt;0,IF(M7:M89&lt;&gt;"",ROW(J7:J89)-MIN(ROW(J7:J89))+1))),ROW()-ROW(A$92)+1)),",",";")),"")</f>
        <v>0</v>
      </c>
      <c r="O153">
        <f t="array" ref="O153">IFERROR(CONCATENATE(TEXT(INDEX(O7:O89,SMALL(IF(ISNUMBER(O7:O89),IF(O7:O89&gt;0,IF(R7:R89&lt;&gt;"",ROW(O7:O89)-MIN(ROW(O7:O89))+1))),ROW()-ROW(A$92)+1)),"##0"),",",INDEX(R7:R89,SMALL(IF(ISNUMBER(O7:O89),IF(O7:O89&gt;0,IF(R7:R89&lt;&gt;"",ROW(O7:O89)-MIN(ROW(O7:O89))+1))),ROW()-ROW(A$92)+1)),",",SUBSTITUTE(INDEX(IF(PURCHASE_DESCRIPTION&lt;&gt;"",PURCHASE_DESCRIPTION&amp;":","")&amp;A7:A89,SMALL(IF(ISNUMBER(O7:O89),IF(O7:O89&gt;0,IF(R7:R89&lt;&gt;"",ROW(O7:O89)-MIN(ROW(O7:O89))+1))),ROW()-ROW(A$92)+1)),",",";")),"")</f>
        <v>0</v>
      </c>
      <c r="T153">
        <f t="array" ref="T153">IFERROR(CONCATENATE(INDEX(W7:W89,SMALL(IF(ISNUMBER(T7:T89),IF(T7:T89&gt;0,IF(W7:W89&lt;&gt;"",ROW(T7:T89)-MIN(ROW(T7:T89))+1))),ROW()-ROW(A$92)+1))," ",TEXT(INDEX(T7:T89,SMALL(IF(ISNUMBER(T7:T89),IF(T7:T89&gt;0,IF(W7:W89&lt;&gt;"",ROW(T7:T89)-MIN(ROW(T7:T89))+1))),ROW()-ROW(A$92)+1)),"##0")," ",SUBSTITUTE(INDEX(IF(PURCHASE_DESCRIPTION&lt;&gt;"",PURCHASE_DESCRIPTION&amp;":","")&amp;A7:A89,SMALL(IF(ISNUMBER(T7:T89),IF(T7:T89&gt;0,IF(W7:W89&lt;&gt;"",ROW(T7:T89)-MIN(ROW(T7:T89))+1))),ROW()-ROW(A$92)+1))," ",";")),"")</f>
        <v>0</v>
      </c>
      <c r="Y153">
        <f t="array" ref="Y153">IFERROR(CONCATENATE(TEXT(INDEX(Y7:Y89,SMALL(IF(ISNUMBER(Y7:Y89),IF(Y7:Y89&gt;0,IF(AB7:AB89&lt;&gt;"",ROW(Y7:Y89)-MIN(ROW(Y7:Y89))+1))),ROW()-ROW(A$93)+1)),"##0"),",",SUBSTITUTE(INDEX(IF(PURCHASE_DESCRIPTION&lt;&gt;"",PURCHASE_DESCRIPTION&amp;":","")&amp;A7:A89,SMALL(IF(ISNUMBER(Y7:Y89),IF(Y7:Y89&gt;0,IF(AB7:AB89&lt;&gt;"",ROW(Y7:Y89)-MIN(ROW(Y7:Y89))+1))),ROW()-ROW(A$93)+1)),",",";"),",",SUBSTITUTE(INDEX(IF(PURCHASE_DESCRIPTION&lt;&gt;"",PURCHASE_DESCRIPTION&amp;":","")&amp;D7:D89,SMALL(IF(ISNUMBER(Y7:Y89),IF(Y7:Y89&gt;0,IF(AB7:AB89&lt;&gt;"",ROW(Y7:Y89)-MIN(ROW(Y7:Y89))+1))),ROW()-ROW(A$93)+1)),",",";"),",",INDEX(AB7:AB89,SMALL(IF(ISNUMBER(Y7:Y89),IF(Y7:Y89&gt;0,IF(AB7:AB89&lt;&gt;"",ROW(Y7:Y89)-MIN(ROW(Y7:Y89))+1))),ROW()-ROW(A$93)+1))),"")</f>
        <v>0</v>
      </c>
      <c r="AD153">
        <f t="array" ref="AD153">IFERROR(CONCATENATE(INDEX(AG7:AG89,SMALL(IF(ISNUMBER(AD7:AD89),IF(AD7:AD89&gt;0,IF(AG7:AG89&lt;&gt;"",ROW(AD7:AD89)-MIN(ROW(AD7:AD89))+1))),ROW()-ROW(A$92)+1)),"|",TEXT(INDEX(AD7:AD89,SMALL(IF(ISNUMBER(AD7:AD89),IF(AD7:AD89&gt;0,IF(AG7:AG89&lt;&gt;"",ROW(AD7:AD89)-MIN(ROW(AD7:AD89))+1))),ROW()-ROW(A$92)+1)),"##0"),"|",SUBSTITUTE(SUBSTITUTE(INDEX(IF(PURCHASE_DESCRIPTION&lt;&gt;"",PURCHASE_DESCRIPTION&amp;":","")&amp;A7:A89,SMALL(IF(ISNUMBER(AD7:AD89),IF(AD7:AD89&gt;0,IF(AG7:AG89&lt;&gt;"",ROW(AD7:AD89)-MIN(ROW(AD7:AD89))+1))),ROW()-ROW(A$92)+1)),"|",";")," ","_")),"")</f>
        <v>0</v>
      </c>
      <c r="AI153">
        <f t="array" ref="AI153">IFERROR(CONCATENATE(INDEX(AL7:AL89,SMALL(IF(ISNUMBER(AI7:AI89),IF(AI7:AI89&gt;0,IF(AL7:AL89&lt;&gt;"",ROW(AI7:AI89)-MIN(ROW(AI7:AI89))+1))),ROW()-ROW(A$92)+1)),",",TEXT(INDEX(AI7:AI89,SMALL(IF(ISNUMBER(AI7:AI89),IF(AI7:AI89&gt;0,IF(AL7:AL89&lt;&gt;"",ROW(AI7:AI89)-MIN(ROW(AI7:AI89))+1))),ROW()-ROW(A$92)+1)),"##0"),",",SUBSTITUTE(INDEX(IF(PURCHASE_DESCRIPTION&lt;&gt;"",PURCHASE_DESCRIPTION&amp;":","")&amp;A7:A89,SMALL(IF(ISNUMBER(AI7:AI89),IF(AI7:AI89&gt;0,IF(AL7:AL89&lt;&gt;"",ROW(AI7:AI89)-MIN(ROW(AI7:AI89))+1))),ROW()-ROW(A$92)+1)),",",";")),"")</f>
        <v>0</v>
      </c>
      <c r="AN153">
        <f t="array" ref="AN153">IFERROR(CONCATENATE(INDEX(AQ7:AQ89,SMALL(IF(ISNUMBER(AN7:AN89),IF(AN7:AN89&gt;0,IF(AQ7:AQ89&lt;&gt;"",ROW(AN7:AN89)-MIN(ROW(AN7:AN89))+1))),ROW()-ROW(A$92)+1))," ",TEXT(INDEX(AN7:AN89,SMALL(IF(ISNUMBER(AN7:AN89),IF(AN7:AN89&gt;0,IF(AQ7:AQ89&lt;&gt;"",ROW(AN7:AN89)-MIN(ROW(AN7:AN89))+1))),ROW()-ROW(A$92)+1)),"##0")," ",SUBSTITUTE(INDEX(IF(PURCHASE_DESCRIPTION&lt;&gt;"",PURCHASE_DESCRIPTION&amp;":","")&amp;A7:A89,SMALL(IF(ISNUMBER(AN7:AN89),IF(AN7:AN89&gt;0,IF(AQ7:AQ89&lt;&gt;"",ROW(AN7:AN89)-MIN(ROW(AN7:AN89))+1))),ROW()-ROW(A$92)+1))," ",";")),"")</f>
        <v>0</v>
      </c>
      <c r="AS153">
        <f t="array" ref="AS153">IFERROR(CONCATENATE(INDEX(AV7:AV89,SMALL(IF(ISNUMBER(AS7:AS89),IF(AS7:AS89&gt;0,IF(AV7:AV89&lt;&gt;"",ROW(AS7:AS89)-MIN(ROW(AS7:AS89))+1))),ROW()-ROW(A$92)+1))," ",TEXT(INDEX(AS7:AS89,SMALL(IF(ISNUMBER(AS7:AS89),IF(AS7:AS89&gt;0,IF(AV7:AV89&lt;&gt;"",ROW(AS7:AS89)-MIN(ROW(AS7:AS89))+1))),ROW()-ROW(A$92)+1)),"##0")," ",SUBSTITUTE(INDEX(IF(PURCHASE_DESCRIPTION&lt;&gt;"",PURCHASE_DESCRIPTION&amp;":","")&amp;A7:A89,SMALL(IF(ISNUMBER(AS7:AS89),IF(AS7:AS89&gt;0,IF(AV7:AV89&lt;&gt;"",ROW(AS7:AS89)-MIN(ROW(AS7:AS89))+1))),ROW()-ROW(A$92)+1))," ",";")),"")</f>
        <v>0</v>
      </c>
    </row>
    <row r="154" spans="10:45">
      <c r="J154">
        <f t="array" ref="J154">IFERROR(CONCATENATE(INDEX(M7:M89,SMALL(IF(ISNUMBER(J7:J89),IF(J7:J89&gt;0,IF(M7:M89&lt;&gt;"",ROW(J7:J89)-MIN(ROW(J7:J89))+1))),ROW()-ROW(A$92)+1)),",",TEXT(INDEX(J7:J89,SMALL(IF(ISNUMBER(J7:J89),IF(J7:J89&gt;0,IF(M7:M89&lt;&gt;"",ROW(J7:J89)-MIN(ROW(J7:J89))+1))),ROW()-ROW(A$92)+1)),"##0"),",",SUBSTITUTE(INDEX(IF(PURCHASE_DESCRIPTION&lt;&gt;"",PURCHASE_DESCRIPTION&amp;":","")&amp;A7:A89,SMALL(IF(ISNUMBER(J7:J89),IF(J7:J89&gt;0,IF(M7:M89&lt;&gt;"",ROW(J7:J89)-MIN(ROW(J7:J89))+1))),ROW()-ROW(A$92)+1)),",",";")),"")</f>
        <v>0</v>
      </c>
      <c r="O154">
        <f t="array" ref="O154">IFERROR(CONCATENATE(TEXT(INDEX(O7:O89,SMALL(IF(ISNUMBER(O7:O89),IF(O7:O89&gt;0,IF(R7:R89&lt;&gt;"",ROW(O7:O89)-MIN(ROW(O7:O89))+1))),ROW()-ROW(A$92)+1)),"##0"),",",INDEX(R7:R89,SMALL(IF(ISNUMBER(O7:O89),IF(O7:O89&gt;0,IF(R7:R89&lt;&gt;"",ROW(O7:O89)-MIN(ROW(O7:O89))+1))),ROW()-ROW(A$92)+1)),",",SUBSTITUTE(INDEX(IF(PURCHASE_DESCRIPTION&lt;&gt;"",PURCHASE_DESCRIPTION&amp;":","")&amp;A7:A89,SMALL(IF(ISNUMBER(O7:O89),IF(O7:O89&gt;0,IF(R7:R89&lt;&gt;"",ROW(O7:O89)-MIN(ROW(O7:O89))+1))),ROW()-ROW(A$92)+1)),",",";")),"")</f>
        <v>0</v>
      </c>
      <c r="T154">
        <f t="array" ref="T154">IFERROR(CONCATENATE(INDEX(W7:W89,SMALL(IF(ISNUMBER(T7:T89),IF(T7:T89&gt;0,IF(W7:W89&lt;&gt;"",ROW(T7:T89)-MIN(ROW(T7:T89))+1))),ROW()-ROW(A$92)+1))," ",TEXT(INDEX(T7:T89,SMALL(IF(ISNUMBER(T7:T89),IF(T7:T89&gt;0,IF(W7:W89&lt;&gt;"",ROW(T7:T89)-MIN(ROW(T7:T89))+1))),ROW()-ROW(A$92)+1)),"##0")," ",SUBSTITUTE(INDEX(IF(PURCHASE_DESCRIPTION&lt;&gt;"",PURCHASE_DESCRIPTION&amp;":","")&amp;A7:A89,SMALL(IF(ISNUMBER(T7:T89),IF(T7:T89&gt;0,IF(W7:W89&lt;&gt;"",ROW(T7:T89)-MIN(ROW(T7:T89))+1))),ROW()-ROW(A$92)+1))," ",";")),"")</f>
        <v>0</v>
      </c>
      <c r="Y154">
        <f t="array" ref="Y154">IFERROR(CONCATENATE(TEXT(INDEX(Y7:Y89,SMALL(IF(ISNUMBER(Y7:Y89),IF(Y7:Y89&gt;0,IF(AB7:AB89&lt;&gt;"",ROW(Y7:Y89)-MIN(ROW(Y7:Y89))+1))),ROW()-ROW(A$93)+1)),"##0"),",",SUBSTITUTE(INDEX(IF(PURCHASE_DESCRIPTION&lt;&gt;"",PURCHASE_DESCRIPTION&amp;":","")&amp;A7:A89,SMALL(IF(ISNUMBER(Y7:Y89),IF(Y7:Y89&gt;0,IF(AB7:AB89&lt;&gt;"",ROW(Y7:Y89)-MIN(ROW(Y7:Y89))+1))),ROW()-ROW(A$93)+1)),",",";"),",",SUBSTITUTE(INDEX(IF(PURCHASE_DESCRIPTION&lt;&gt;"",PURCHASE_DESCRIPTION&amp;":","")&amp;D7:D89,SMALL(IF(ISNUMBER(Y7:Y89),IF(Y7:Y89&gt;0,IF(AB7:AB89&lt;&gt;"",ROW(Y7:Y89)-MIN(ROW(Y7:Y89))+1))),ROW()-ROW(A$93)+1)),",",";"),",",INDEX(AB7:AB89,SMALL(IF(ISNUMBER(Y7:Y89),IF(Y7:Y89&gt;0,IF(AB7:AB89&lt;&gt;"",ROW(Y7:Y89)-MIN(ROW(Y7:Y89))+1))),ROW()-ROW(A$93)+1))),"")</f>
        <v>0</v>
      </c>
      <c r="AD154">
        <f t="array" ref="AD154">IFERROR(CONCATENATE(INDEX(AG7:AG89,SMALL(IF(ISNUMBER(AD7:AD89),IF(AD7:AD89&gt;0,IF(AG7:AG89&lt;&gt;"",ROW(AD7:AD89)-MIN(ROW(AD7:AD89))+1))),ROW()-ROW(A$92)+1)),"|",TEXT(INDEX(AD7:AD89,SMALL(IF(ISNUMBER(AD7:AD89),IF(AD7:AD89&gt;0,IF(AG7:AG89&lt;&gt;"",ROW(AD7:AD89)-MIN(ROW(AD7:AD89))+1))),ROW()-ROW(A$92)+1)),"##0"),"|",SUBSTITUTE(SUBSTITUTE(INDEX(IF(PURCHASE_DESCRIPTION&lt;&gt;"",PURCHASE_DESCRIPTION&amp;":","")&amp;A7:A89,SMALL(IF(ISNUMBER(AD7:AD89),IF(AD7:AD89&gt;0,IF(AG7:AG89&lt;&gt;"",ROW(AD7:AD89)-MIN(ROW(AD7:AD89))+1))),ROW()-ROW(A$92)+1)),"|",";")," ","_")),"")</f>
        <v>0</v>
      </c>
      <c r="AI154">
        <f t="array" ref="AI154">IFERROR(CONCATENATE(INDEX(AL7:AL89,SMALL(IF(ISNUMBER(AI7:AI89),IF(AI7:AI89&gt;0,IF(AL7:AL89&lt;&gt;"",ROW(AI7:AI89)-MIN(ROW(AI7:AI89))+1))),ROW()-ROW(A$92)+1)),",",TEXT(INDEX(AI7:AI89,SMALL(IF(ISNUMBER(AI7:AI89),IF(AI7:AI89&gt;0,IF(AL7:AL89&lt;&gt;"",ROW(AI7:AI89)-MIN(ROW(AI7:AI89))+1))),ROW()-ROW(A$92)+1)),"##0"),",",SUBSTITUTE(INDEX(IF(PURCHASE_DESCRIPTION&lt;&gt;"",PURCHASE_DESCRIPTION&amp;":","")&amp;A7:A89,SMALL(IF(ISNUMBER(AI7:AI89),IF(AI7:AI89&gt;0,IF(AL7:AL89&lt;&gt;"",ROW(AI7:AI89)-MIN(ROW(AI7:AI89))+1))),ROW()-ROW(A$92)+1)),",",";")),"")</f>
        <v>0</v>
      </c>
      <c r="AN154">
        <f t="array" ref="AN154">IFERROR(CONCATENATE(INDEX(AQ7:AQ89,SMALL(IF(ISNUMBER(AN7:AN89),IF(AN7:AN89&gt;0,IF(AQ7:AQ89&lt;&gt;"",ROW(AN7:AN89)-MIN(ROW(AN7:AN89))+1))),ROW()-ROW(A$92)+1))," ",TEXT(INDEX(AN7:AN89,SMALL(IF(ISNUMBER(AN7:AN89),IF(AN7:AN89&gt;0,IF(AQ7:AQ89&lt;&gt;"",ROW(AN7:AN89)-MIN(ROW(AN7:AN89))+1))),ROW()-ROW(A$92)+1)),"##0")," ",SUBSTITUTE(INDEX(IF(PURCHASE_DESCRIPTION&lt;&gt;"",PURCHASE_DESCRIPTION&amp;":","")&amp;A7:A89,SMALL(IF(ISNUMBER(AN7:AN89),IF(AN7:AN89&gt;0,IF(AQ7:AQ89&lt;&gt;"",ROW(AN7:AN89)-MIN(ROW(AN7:AN89))+1))),ROW()-ROW(A$92)+1))," ",";")),"")</f>
        <v>0</v>
      </c>
      <c r="AS154">
        <f t="array" ref="AS154">IFERROR(CONCATENATE(INDEX(AV7:AV89,SMALL(IF(ISNUMBER(AS7:AS89),IF(AS7:AS89&gt;0,IF(AV7:AV89&lt;&gt;"",ROW(AS7:AS89)-MIN(ROW(AS7:AS89))+1))),ROW()-ROW(A$92)+1))," ",TEXT(INDEX(AS7:AS89,SMALL(IF(ISNUMBER(AS7:AS89),IF(AS7:AS89&gt;0,IF(AV7:AV89&lt;&gt;"",ROW(AS7:AS89)-MIN(ROW(AS7:AS89))+1))),ROW()-ROW(A$92)+1)),"##0")," ",SUBSTITUTE(INDEX(IF(PURCHASE_DESCRIPTION&lt;&gt;"",PURCHASE_DESCRIPTION&amp;":","")&amp;A7:A89,SMALL(IF(ISNUMBER(AS7:AS89),IF(AS7:AS89&gt;0,IF(AV7:AV89&lt;&gt;"",ROW(AS7:AS89)-MIN(ROW(AS7:AS89))+1))),ROW()-ROW(A$92)+1))," ",";")),"")</f>
        <v>0</v>
      </c>
    </row>
    <row r="155" spans="10:45">
      <c r="J155">
        <f t="array" ref="J155">IFERROR(CONCATENATE(INDEX(M7:M89,SMALL(IF(ISNUMBER(J7:J89),IF(J7:J89&gt;0,IF(M7:M89&lt;&gt;"",ROW(J7:J89)-MIN(ROW(J7:J89))+1))),ROW()-ROW(A$92)+1)),",",TEXT(INDEX(J7:J89,SMALL(IF(ISNUMBER(J7:J89),IF(J7:J89&gt;0,IF(M7:M89&lt;&gt;"",ROW(J7:J89)-MIN(ROW(J7:J89))+1))),ROW()-ROW(A$92)+1)),"##0"),",",SUBSTITUTE(INDEX(IF(PURCHASE_DESCRIPTION&lt;&gt;"",PURCHASE_DESCRIPTION&amp;":","")&amp;A7:A89,SMALL(IF(ISNUMBER(J7:J89),IF(J7:J89&gt;0,IF(M7:M89&lt;&gt;"",ROW(J7:J89)-MIN(ROW(J7:J89))+1))),ROW()-ROW(A$92)+1)),",",";")),"")</f>
        <v>0</v>
      </c>
      <c r="O155">
        <f t="array" ref="O155">IFERROR(CONCATENATE(TEXT(INDEX(O7:O89,SMALL(IF(ISNUMBER(O7:O89),IF(O7:O89&gt;0,IF(R7:R89&lt;&gt;"",ROW(O7:O89)-MIN(ROW(O7:O89))+1))),ROW()-ROW(A$92)+1)),"##0"),",",INDEX(R7:R89,SMALL(IF(ISNUMBER(O7:O89),IF(O7:O89&gt;0,IF(R7:R89&lt;&gt;"",ROW(O7:O89)-MIN(ROW(O7:O89))+1))),ROW()-ROW(A$92)+1)),",",SUBSTITUTE(INDEX(IF(PURCHASE_DESCRIPTION&lt;&gt;"",PURCHASE_DESCRIPTION&amp;":","")&amp;A7:A89,SMALL(IF(ISNUMBER(O7:O89),IF(O7:O89&gt;0,IF(R7:R89&lt;&gt;"",ROW(O7:O89)-MIN(ROW(O7:O89))+1))),ROW()-ROW(A$92)+1)),",",";")),"")</f>
        <v>0</v>
      </c>
      <c r="T155">
        <f t="array" ref="T155">IFERROR(CONCATENATE(INDEX(W7:W89,SMALL(IF(ISNUMBER(T7:T89),IF(T7:T89&gt;0,IF(W7:W89&lt;&gt;"",ROW(T7:T89)-MIN(ROW(T7:T89))+1))),ROW()-ROW(A$92)+1))," ",TEXT(INDEX(T7:T89,SMALL(IF(ISNUMBER(T7:T89),IF(T7:T89&gt;0,IF(W7:W89&lt;&gt;"",ROW(T7:T89)-MIN(ROW(T7:T89))+1))),ROW()-ROW(A$92)+1)),"##0")," ",SUBSTITUTE(INDEX(IF(PURCHASE_DESCRIPTION&lt;&gt;"",PURCHASE_DESCRIPTION&amp;":","")&amp;A7:A89,SMALL(IF(ISNUMBER(T7:T89),IF(T7:T89&gt;0,IF(W7:W89&lt;&gt;"",ROW(T7:T89)-MIN(ROW(T7:T89))+1))),ROW()-ROW(A$92)+1))," ",";")),"")</f>
        <v>0</v>
      </c>
      <c r="Y155">
        <f t="array" ref="Y155">IFERROR(CONCATENATE(TEXT(INDEX(Y7:Y89,SMALL(IF(ISNUMBER(Y7:Y89),IF(Y7:Y89&gt;0,IF(AB7:AB89&lt;&gt;"",ROW(Y7:Y89)-MIN(ROW(Y7:Y89))+1))),ROW()-ROW(A$93)+1)),"##0"),",",SUBSTITUTE(INDEX(IF(PURCHASE_DESCRIPTION&lt;&gt;"",PURCHASE_DESCRIPTION&amp;":","")&amp;A7:A89,SMALL(IF(ISNUMBER(Y7:Y89),IF(Y7:Y89&gt;0,IF(AB7:AB89&lt;&gt;"",ROW(Y7:Y89)-MIN(ROW(Y7:Y89))+1))),ROW()-ROW(A$93)+1)),",",";"),",",SUBSTITUTE(INDEX(IF(PURCHASE_DESCRIPTION&lt;&gt;"",PURCHASE_DESCRIPTION&amp;":","")&amp;D7:D89,SMALL(IF(ISNUMBER(Y7:Y89),IF(Y7:Y89&gt;0,IF(AB7:AB89&lt;&gt;"",ROW(Y7:Y89)-MIN(ROW(Y7:Y89))+1))),ROW()-ROW(A$93)+1)),",",";"),",",INDEX(AB7:AB89,SMALL(IF(ISNUMBER(Y7:Y89),IF(Y7:Y89&gt;0,IF(AB7:AB89&lt;&gt;"",ROW(Y7:Y89)-MIN(ROW(Y7:Y89))+1))),ROW()-ROW(A$93)+1))),"")</f>
        <v>0</v>
      </c>
      <c r="AD155">
        <f t="array" ref="AD155">IFERROR(CONCATENATE(INDEX(AG7:AG89,SMALL(IF(ISNUMBER(AD7:AD89),IF(AD7:AD89&gt;0,IF(AG7:AG89&lt;&gt;"",ROW(AD7:AD89)-MIN(ROW(AD7:AD89))+1))),ROW()-ROW(A$92)+1)),"|",TEXT(INDEX(AD7:AD89,SMALL(IF(ISNUMBER(AD7:AD89),IF(AD7:AD89&gt;0,IF(AG7:AG89&lt;&gt;"",ROW(AD7:AD89)-MIN(ROW(AD7:AD89))+1))),ROW()-ROW(A$92)+1)),"##0"),"|",SUBSTITUTE(SUBSTITUTE(INDEX(IF(PURCHASE_DESCRIPTION&lt;&gt;"",PURCHASE_DESCRIPTION&amp;":","")&amp;A7:A89,SMALL(IF(ISNUMBER(AD7:AD89),IF(AD7:AD89&gt;0,IF(AG7:AG89&lt;&gt;"",ROW(AD7:AD89)-MIN(ROW(AD7:AD89))+1))),ROW()-ROW(A$92)+1)),"|",";")," ","_")),"")</f>
        <v>0</v>
      </c>
      <c r="AI155">
        <f t="array" ref="AI155">IFERROR(CONCATENATE(INDEX(AL7:AL89,SMALL(IF(ISNUMBER(AI7:AI89),IF(AI7:AI89&gt;0,IF(AL7:AL89&lt;&gt;"",ROW(AI7:AI89)-MIN(ROW(AI7:AI89))+1))),ROW()-ROW(A$92)+1)),",",TEXT(INDEX(AI7:AI89,SMALL(IF(ISNUMBER(AI7:AI89),IF(AI7:AI89&gt;0,IF(AL7:AL89&lt;&gt;"",ROW(AI7:AI89)-MIN(ROW(AI7:AI89))+1))),ROW()-ROW(A$92)+1)),"##0"),",",SUBSTITUTE(INDEX(IF(PURCHASE_DESCRIPTION&lt;&gt;"",PURCHASE_DESCRIPTION&amp;":","")&amp;A7:A89,SMALL(IF(ISNUMBER(AI7:AI89),IF(AI7:AI89&gt;0,IF(AL7:AL89&lt;&gt;"",ROW(AI7:AI89)-MIN(ROW(AI7:AI89))+1))),ROW()-ROW(A$92)+1)),",",";")),"")</f>
        <v>0</v>
      </c>
      <c r="AN155">
        <f t="array" ref="AN155">IFERROR(CONCATENATE(INDEX(AQ7:AQ89,SMALL(IF(ISNUMBER(AN7:AN89),IF(AN7:AN89&gt;0,IF(AQ7:AQ89&lt;&gt;"",ROW(AN7:AN89)-MIN(ROW(AN7:AN89))+1))),ROW()-ROW(A$92)+1))," ",TEXT(INDEX(AN7:AN89,SMALL(IF(ISNUMBER(AN7:AN89),IF(AN7:AN89&gt;0,IF(AQ7:AQ89&lt;&gt;"",ROW(AN7:AN89)-MIN(ROW(AN7:AN89))+1))),ROW()-ROW(A$92)+1)),"##0")," ",SUBSTITUTE(INDEX(IF(PURCHASE_DESCRIPTION&lt;&gt;"",PURCHASE_DESCRIPTION&amp;":","")&amp;A7:A89,SMALL(IF(ISNUMBER(AN7:AN89),IF(AN7:AN89&gt;0,IF(AQ7:AQ89&lt;&gt;"",ROW(AN7:AN89)-MIN(ROW(AN7:AN89))+1))),ROW()-ROW(A$92)+1))," ",";")),"")</f>
        <v>0</v>
      </c>
      <c r="AS155">
        <f t="array" ref="AS155">IFERROR(CONCATENATE(INDEX(AV7:AV89,SMALL(IF(ISNUMBER(AS7:AS89),IF(AS7:AS89&gt;0,IF(AV7:AV89&lt;&gt;"",ROW(AS7:AS89)-MIN(ROW(AS7:AS89))+1))),ROW()-ROW(A$92)+1))," ",TEXT(INDEX(AS7:AS89,SMALL(IF(ISNUMBER(AS7:AS89),IF(AS7:AS89&gt;0,IF(AV7:AV89&lt;&gt;"",ROW(AS7:AS89)-MIN(ROW(AS7:AS89))+1))),ROW()-ROW(A$92)+1)),"##0")," ",SUBSTITUTE(INDEX(IF(PURCHASE_DESCRIPTION&lt;&gt;"",PURCHASE_DESCRIPTION&amp;":","")&amp;A7:A89,SMALL(IF(ISNUMBER(AS7:AS89),IF(AS7:AS89&gt;0,IF(AV7:AV89&lt;&gt;"",ROW(AS7:AS89)-MIN(ROW(AS7:AS89))+1))),ROW()-ROW(A$92)+1))," ",";")),"")</f>
        <v>0</v>
      </c>
    </row>
    <row r="156" spans="10:45">
      <c r="J156">
        <f t="array" ref="J156">IFERROR(CONCATENATE(INDEX(M7:M89,SMALL(IF(ISNUMBER(J7:J89),IF(J7:J89&gt;0,IF(M7:M89&lt;&gt;"",ROW(J7:J89)-MIN(ROW(J7:J89))+1))),ROW()-ROW(A$92)+1)),",",TEXT(INDEX(J7:J89,SMALL(IF(ISNUMBER(J7:J89),IF(J7:J89&gt;0,IF(M7:M89&lt;&gt;"",ROW(J7:J89)-MIN(ROW(J7:J89))+1))),ROW()-ROW(A$92)+1)),"##0"),",",SUBSTITUTE(INDEX(IF(PURCHASE_DESCRIPTION&lt;&gt;"",PURCHASE_DESCRIPTION&amp;":","")&amp;A7:A89,SMALL(IF(ISNUMBER(J7:J89),IF(J7:J89&gt;0,IF(M7:M89&lt;&gt;"",ROW(J7:J89)-MIN(ROW(J7:J89))+1))),ROW()-ROW(A$92)+1)),",",";")),"")</f>
        <v>0</v>
      </c>
      <c r="O156">
        <f t="array" ref="O156">IFERROR(CONCATENATE(TEXT(INDEX(O7:O89,SMALL(IF(ISNUMBER(O7:O89),IF(O7:O89&gt;0,IF(R7:R89&lt;&gt;"",ROW(O7:O89)-MIN(ROW(O7:O89))+1))),ROW()-ROW(A$92)+1)),"##0"),",",INDEX(R7:R89,SMALL(IF(ISNUMBER(O7:O89),IF(O7:O89&gt;0,IF(R7:R89&lt;&gt;"",ROW(O7:O89)-MIN(ROW(O7:O89))+1))),ROW()-ROW(A$92)+1)),",",SUBSTITUTE(INDEX(IF(PURCHASE_DESCRIPTION&lt;&gt;"",PURCHASE_DESCRIPTION&amp;":","")&amp;A7:A89,SMALL(IF(ISNUMBER(O7:O89),IF(O7:O89&gt;0,IF(R7:R89&lt;&gt;"",ROW(O7:O89)-MIN(ROW(O7:O89))+1))),ROW()-ROW(A$92)+1)),",",";")),"")</f>
        <v>0</v>
      </c>
      <c r="T156">
        <f t="array" ref="T156">IFERROR(CONCATENATE(INDEX(W7:W89,SMALL(IF(ISNUMBER(T7:T89),IF(T7:T89&gt;0,IF(W7:W89&lt;&gt;"",ROW(T7:T89)-MIN(ROW(T7:T89))+1))),ROW()-ROW(A$92)+1))," ",TEXT(INDEX(T7:T89,SMALL(IF(ISNUMBER(T7:T89),IF(T7:T89&gt;0,IF(W7:W89&lt;&gt;"",ROW(T7:T89)-MIN(ROW(T7:T89))+1))),ROW()-ROW(A$92)+1)),"##0")," ",SUBSTITUTE(INDEX(IF(PURCHASE_DESCRIPTION&lt;&gt;"",PURCHASE_DESCRIPTION&amp;":","")&amp;A7:A89,SMALL(IF(ISNUMBER(T7:T89),IF(T7:T89&gt;0,IF(W7:W89&lt;&gt;"",ROW(T7:T89)-MIN(ROW(T7:T89))+1))),ROW()-ROW(A$92)+1))," ",";")),"")</f>
        <v>0</v>
      </c>
      <c r="Y156">
        <f t="array" ref="Y156">IFERROR(CONCATENATE(TEXT(INDEX(Y7:Y89,SMALL(IF(ISNUMBER(Y7:Y89),IF(Y7:Y89&gt;0,IF(AB7:AB89&lt;&gt;"",ROW(Y7:Y89)-MIN(ROW(Y7:Y89))+1))),ROW()-ROW(A$93)+1)),"##0"),",",SUBSTITUTE(INDEX(IF(PURCHASE_DESCRIPTION&lt;&gt;"",PURCHASE_DESCRIPTION&amp;":","")&amp;A7:A89,SMALL(IF(ISNUMBER(Y7:Y89),IF(Y7:Y89&gt;0,IF(AB7:AB89&lt;&gt;"",ROW(Y7:Y89)-MIN(ROW(Y7:Y89))+1))),ROW()-ROW(A$93)+1)),",",";"),",",SUBSTITUTE(INDEX(IF(PURCHASE_DESCRIPTION&lt;&gt;"",PURCHASE_DESCRIPTION&amp;":","")&amp;D7:D89,SMALL(IF(ISNUMBER(Y7:Y89),IF(Y7:Y89&gt;0,IF(AB7:AB89&lt;&gt;"",ROW(Y7:Y89)-MIN(ROW(Y7:Y89))+1))),ROW()-ROW(A$93)+1)),",",";"),",",INDEX(AB7:AB89,SMALL(IF(ISNUMBER(Y7:Y89),IF(Y7:Y89&gt;0,IF(AB7:AB89&lt;&gt;"",ROW(Y7:Y89)-MIN(ROW(Y7:Y89))+1))),ROW()-ROW(A$93)+1))),"")</f>
        <v>0</v>
      </c>
      <c r="AD156">
        <f t="array" ref="AD156">IFERROR(CONCATENATE(INDEX(AG7:AG89,SMALL(IF(ISNUMBER(AD7:AD89),IF(AD7:AD89&gt;0,IF(AG7:AG89&lt;&gt;"",ROW(AD7:AD89)-MIN(ROW(AD7:AD89))+1))),ROW()-ROW(A$92)+1)),"|",TEXT(INDEX(AD7:AD89,SMALL(IF(ISNUMBER(AD7:AD89),IF(AD7:AD89&gt;0,IF(AG7:AG89&lt;&gt;"",ROW(AD7:AD89)-MIN(ROW(AD7:AD89))+1))),ROW()-ROW(A$92)+1)),"##0"),"|",SUBSTITUTE(SUBSTITUTE(INDEX(IF(PURCHASE_DESCRIPTION&lt;&gt;"",PURCHASE_DESCRIPTION&amp;":","")&amp;A7:A89,SMALL(IF(ISNUMBER(AD7:AD89),IF(AD7:AD89&gt;0,IF(AG7:AG89&lt;&gt;"",ROW(AD7:AD89)-MIN(ROW(AD7:AD89))+1))),ROW()-ROW(A$92)+1)),"|",";")," ","_")),"")</f>
        <v>0</v>
      </c>
      <c r="AI156">
        <f t="array" ref="AI156">IFERROR(CONCATENATE(INDEX(AL7:AL89,SMALL(IF(ISNUMBER(AI7:AI89),IF(AI7:AI89&gt;0,IF(AL7:AL89&lt;&gt;"",ROW(AI7:AI89)-MIN(ROW(AI7:AI89))+1))),ROW()-ROW(A$92)+1)),",",TEXT(INDEX(AI7:AI89,SMALL(IF(ISNUMBER(AI7:AI89),IF(AI7:AI89&gt;0,IF(AL7:AL89&lt;&gt;"",ROW(AI7:AI89)-MIN(ROW(AI7:AI89))+1))),ROW()-ROW(A$92)+1)),"##0"),",",SUBSTITUTE(INDEX(IF(PURCHASE_DESCRIPTION&lt;&gt;"",PURCHASE_DESCRIPTION&amp;":","")&amp;A7:A89,SMALL(IF(ISNUMBER(AI7:AI89),IF(AI7:AI89&gt;0,IF(AL7:AL89&lt;&gt;"",ROW(AI7:AI89)-MIN(ROW(AI7:AI89))+1))),ROW()-ROW(A$92)+1)),",",";")),"")</f>
        <v>0</v>
      </c>
      <c r="AN156">
        <f t="array" ref="AN156">IFERROR(CONCATENATE(INDEX(AQ7:AQ89,SMALL(IF(ISNUMBER(AN7:AN89),IF(AN7:AN89&gt;0,IF(AQ7:AQ89&lt;&gt;"",ROW(AN7:AN89)-MIN(ROW(AN7:AN89))+1))),ROW()-ROW(A$92)+1))," ",TEXT(INDEX(AN7:AN89,SMALL(IF(ISNUMBER(AN7:AN89),IF(AN7:AN89&gt;0,IF(AQ7:AQ89&lt;&gt;"",ROW(AN7:AN89)-MIN(ROW(AN7:AN89))+1))),ROW()-ROW(A$92)+1)),"##0")," ",SUBSTITUTE(INDEX(IF(PURCHASE_DESCRIPTION&lt;&gt;"",PURCHASE_DESCRIPTION&amp;":","")&amp;A7:A89,SMALL(IF(ISNUMBER(AN7:AN89),IF(AN7:AN89&gt;0,IF(AQ7:AQ89&lt;&gt;"",ROW(AN7:AN89)-MIN(ROW(AN7:AN89))+1))),ROW()-ROW(A$92)+1))," ",";")),"")</f>
        <v>0</v>
      </c>
      <c r="AS156">
        <f t="array" ref="AS156">IFERROR(CONCATENATE(INDEX(AV7:AV89,SMALL(IF(ISNUMBER(AS7:AS89),IF(AS7:AS89&gt;0,IF(AV7:AV89&lt;&gt;"",ROW(AS7:AS89)-MIN(ROW(AS7:AS89))+1))),ROW()-ROW(A$92)+1))," ",TEXT(INDEX(AS7:AS89,SMALL(IF(ISNUMBER(AS7:AS89),IF(AS7:AS89&gt;0,IF(AV7:AV89&lt;&gt;"",ROW(AS7:AS89)-MIN(ROW(AS7:AS89))+1))),ROW()-ROW(A$92)+1)),"##0")," ",SUBSTITUTE(INDEX(IF(PURCHASE_DESCRIPTION&lt;&gt;"",PURCHASE_DESCRIPTION&amp;":","")&amp;A7:A89,SMALL(IF(ISNUMBER(AS7:AS89),IF(AS7:AS89&gt;0,IF(AV7:AV89&lt;&gt;"",ROW(AS7:AS89)-MIN(ROW(AS7:AS89))+1))),ROW()-ROW(A$92)+1))," ",";")),"")</f>
        <v>0</v>
      </c>
    </row>
    <row r="157" spans="10:45">
      <c r="J157">
        <f t="array" ref="J157">IFERROR(CONCATENATE(INDEX(M7:M89,SMALL(IF(ISNUMBER(J7:J89),IF(J7:J89&gt;0,IF(M7:M89&lt;&gt;"",ROW(J7:J89)-MIN(ROW(J7:J89))+1))),ROW()-ROW(A$92)+1)),",",TEXT(INDEX(J7:J89,SMALL(IF(ISNUMBER(J7:J89),IF(J7:J89&gt;0,IF(M7:M89&lt;&gt;"",ROW(J7:J89)-MIN(ROW(J7:J89))+1))),ROW()-ROW(A$92)+1)),"##0"),",",SUBSTITUTE(INDEX(IF(PURCHASE_DESCRIPTION&lt;&gt;"",PURCHASE_DESCRIPTION&amp;":","")&amp;A7:A89,SMALL(IF(ISNUMBER(J7:J89),IF(J7:J89&gt;0,IF(M7:M89&lt;&gt;"",ROW(J7:J89)-MIN(ROW(J7:J89))+1))),ROW()-ROW(A$92)+1)),",",";")),"")</f>
        <v>0</v>
      </c>
      <c r="O157">
        <f t="array" ref="O157">IFERROR(CONCATENATE(TEXT(INDEX(O7:O89,SMALL(IF(ISNUMBER(O7:O89),IF(O7:O89&gt;0,IF(R7:R89&lt;&gt;"",ROW(O7:O89)-MIN(ROW(O7:O89))+1))),ROW()-ROW(A$92)+1)),"##0"),",",INDEX(R7:R89,SMALL(IF(ISNUMBER(O7:O89),IF(O7:O89&gt;0,IF(R7:R89&lt;&gt;"",ROW(O7:O89)-MIN(ROW(O7:O89))+1))),ROW()-ROW(A$92)+1)),",",SUBSTITUTE(INDEX(IF(PURCHASE_DESCRIPTION&lt;&gt;"",PURCHASE_DESCRIPTION&amp;":","")&amp;A7:A89,SMALL(IF(ISNUMBER(O7:O89),IF(O7:O89&gt;0,IF(R7:R89&lt;&gt;"",ROW(O7:O89)-MIN(ROW(O7:O89))+1))),ROW()-ROW(A$92)+1)),",",";")),"")</f>
        <v>0</v>
      </c>
      <c r="T157">
        <f t="array" ref="T157">IFERROR(CONCATENATE(INDEX(W7:W89,SMALL(IF(ISNUMBER(T7:T89),IF(T7:T89&gt;0,IF(W7:W89&lt;&gt;"",ROW(T7:T89)-MIN(ROW(T7:T89))+1))),ROW()-ROW(A$92)+1))," ",TEXT(INDEX(T7:T89,SMALL(IF(ISNUMBER(T7:T89),IF(T7:T89&gt;0,IF(W7:W89&lt;&gt;"",ROW(T7:T89)-MIN(ROW(T7:T89))+1))),ROW()-ROW(A$92)+1)),"##0")," ",SUBSTITUTE(INDEX(IF(PURCHASE_DESCRIPTION&lt;&gt;"",PURCHASE_DESCRIPTION&amp;":","")&amp;A7:A89,SMALL(IF(ISNUMBER(T7:T89),IF(T7:T89&gt;0,IF(W7:W89&lt;&gt;"",ROW(T7:T89)-MIN(ROW(T7:T89))+1))),ROW()-ROW(A$92)+1))," ",";")),"")</f>
        <v>0</v>
      </c>
      <c r="Y157">
        <f t="array" ref="Y157">IFERROR(CONCATENATE(TEXT(INDEX(Y7:Y89,SMALL(IF(ISNUMBER(Y7:Y89),IF(Y7:Y89&gt;0,IF(AB7:AB89&lt;&gt;"",ROW(Y7:Y89)-MIN(ROW(Y7:Y89))+1))),ROW()-ROW(A$93)+1)),"##0"),",",SUBSTITUTE(INDEX(IF(PURCHASE_DESCRIPTION&lt;&gt;"",PURCHASE_DESCRIPTION&amp;":","")&amp;A7:A89,SMALL(IF(ISNUMBER(Y7:Y89),IF(Y7:Y89&gt;0,IF(AB7:AB89&lt;&gt;"",ROW(Y7:Y89)-MIN(ROW(Y7:Y89))+1))),ROW()-ROW(A$93)+1)),",",";"),",",SUBSTITUTE(INDEX(IF(PURCHASE_DESCRIPTION&lt;&gt;"",PURCHASE_DESCRIPTION&amp;":","")&amp;D7:D89,SMALL(IF(ISNUMBER(Y7:Y89),IF(Y7:Y89&gt;0,IF(AB7:AB89&lt;&gt;"",ROW(Y7:Y89)-MIN(ROW(Y7:Y89))+1))),ROW()-ROW(A$93)+1)),",",";"),",",INDEX(AB7:AB89,SMALL(IF(ISNUMBER(Y7:Y89),IF(Y7:Y89&gt;0,IF(AB7:AB89&lt;&gt;"",ROW(Y7:Y89)-MIN(ROW(Y7:Y89))+1))),ROW()-ROW(A$93)+1))),"")</f>
        <v>0</v>
      </c>
      <c r="AD157">
        <f t="array" ref="AD157">IFERROR(CONCATENATE(INDEX(AG7:AG89,SMALL(IF(ISNUMBER(AD7:AD89),IF(AD7:AD89&gt;0,IF(AG7:AG89&lt;&gt;"",ROW(AD7:AD89)-MIN(ROW(AD7:AD89))+1))),ROW()-ROW(A$92)+1)),"|",TEXT(INDEX(AD7:AD89,SMALL(IF(ISNUMBER(AD7:AD89),IF(AD7:AD89&gt;0,IF(AG7:AG89&lt;&gt;"",ROW(AD7:AD89)-MIN(ROW(AD7:AD89))+1))),ROW()-ROW(A$92)+1)),"##0"),"|",SUBSTITUTE(SUBSTITUTE(INDEX(IF(PURCHASE_DESCRIPTION&lt;&gt;"",PURCHASE_DESCRIPTION&amp;":","")&amp;A7:A89,SMALL(IF(ISNUMBER(AD7:AD89),IF(AD7:AD89&gt;0,IF(AG7:AG89&lt;&gt;"",ROW(AD7:AD89)-MIN(ROW(AD7:AD89))+1))),ROW()-ROW(A$92)+1)),"|",";")," ","_")),"")</f>
        <v>0</v>
      </c>
      <c r="AI157">
        <f t="array" ref="AI157">IFERROR(CONCATENATE(INDEX(AL7:AL89,SMALL(IF(ISNUMBER(AI7:AI89),IF(AI7:AI89&gt;0,IF(AL7:AL89&lt;&gt;"",ROW(AI7:AI89)-MIN(ROW(AI7:AI89))+1))),ROW()-ROW(A$92)+1)),",",TEXT(INDEX(AI7:AI89,SMALL(IF(ISNUMBER(AI7:AI89),IF(AI7:AI89&gt;0,IF(AL7:AL89&lt;&gt;"",ROW(AI7:AI89)-MIN(ROW(AI7:AI89))+1))),ROW()-ROW(A$92)+1)),"##0"),",",SUBSTITUTE(INDEX(IF(PURCHASE_DESCRIPTION&lt;&gt;"",PURCHASE_DESCRIPTION&amp;":","")&amp;A7:A89,SMALL(IF(ISNUMBER(AI7:AI89),IF(AI7:AI89&gt;0,IF(AL7:AL89&lt;&gt;"",ROW(AI7:AI89)-MIN(ROW(AI7:AI89))+1))),ROW()-ROW(A$92)+1)),",",";")),"")</f>
        <v>0</v>
      </c>
      <c r="AN157">
        <f t="array" ref="AN157">IFERROR(CONCATENATE(INDEX(AQ7:AQ89,SMALL(IF(ISNUMBER(AN7:AN89),IF(AN7:AN89&gt;0,IF(AQ7:AQ89&lt;&gt;"",ROW(AN7:AN89)-MIN(ROW(AN7:AN89))+1))),ROW()-ROW(A$92)+1))," ",TEXT(INDEX(AN7:AN89,SMALL(IF(ISNUMBER(AN7:AN89),IF(AN7:AN89&gt;0,IF(AQ7:AQ89&lt;&gt;"",ROW(AN7:AN89)-MIN(ROW(AN7:AN89))+1))),ROW()-ROW(A$92)+1)),"##0")," ",SUBSTITUTE(INDEX(IF(PURCHASE_DESCRIPTION&lt;&gt;"",PURCHASE_DESCRIPTION&amp;":","")&amp;A7:A89,SMALL(IF(ISNUMBER(AN7:AN89),IF(AN7:AN89&gt;0,IF(AQ7:AQ89&lt;&gt;"",ROW(AN7:AN89)-MIN(ROW(AN7:AN89))+1))),ROW()-ROW(A$92)+1))," ",";")),"")</f>
        <v>0</v>
      </c>
      <c r="AS157">
        <f t="array" ref="AS157">IFERROR(CONCATENATE(INDEX(AV7:AV89,SMALL(IF(ISNUMBER(AS7:AS89),IF(AS7:AS89&gt;0,IF(AV7:AV89&lt;&gt;"",ROW(AS7:AS89)-MIN(ROW(AS7:AS89))+1))),ROW()-ROW(A$92)+1))," ",TEXT(INDEX(AS7:AS89,SMALL(IF(ISNUMBER(AS7:AS89),IF(AS7:AS89&gt;0,IF(AV7:AV89&lt;&gt;"",ROW(AS7:AS89)-MIN(ROW(AS7:AS89))+1))),ROW()-ROW(A$92)+1)),"##0")," ",SUBSTITUTE(INDEX(IF(PURCHASE_DESCRIPTION&lt;&gt;"",PURCHASE_DESCRIPTION&amp;":","")&amp;A7:A89,SMALL(IF(ISNUMBER(AS7:AS89),IF(AS7:AS89&gt;0,IF(AV7:AV89&lt;&gt;"",ROW(AS7:AS89)-MIN(ROW(AS7:AS89))+1))),ROW()-ROW(A$92)+1))," ",";")),"")</f>
        <v>0</v>
      </c>
    </row>
    <row r="158" spans="10:45">
      <c r="J158">
        <f t="array" ref="J158">IFERROR(CONCATENATE(INDEX(M7:M89,SMALL(IF(ISNUMBER(J7:J89),IF(J7:J89&gt;0,IF(M7:M89&lt;&gt;"",ROW(J7:J89)-MIN(ROW(J7:J89))+1))),ROW()-ROW(A$92)+1)),",",TEXT(INDEX(J7:J89,SMALL(IF(ISNUMBER(J7:J89),IF(J7:J89&gt;0,IF(M7:M89&lt;&gt;"",ROW(J7:J89)-MIN(ROW(J7:J89))+1))),ROW()-ROW(A$92)+1)),"##0"),",",SUBSTITUTE(INDEX(IF(PURCHASE_DESCRIPTION&lt;&gt;"",PURCHASE_DESCRIPTION&amp;":","")&amp;A7:A89,SMALL(IF(ISNUMBER(J7:J89),IF(J7:J89&gt;0,IF(M7:M89&lt;&gt;"",ROW(J7:J89)-MIN(ROW(J7:J89))+1))),ROW()-ROW(A$92)+1)),",",";")),"")</f>
        <v>0</v>
      </c>
      <c r="O158">
        <f t="array" ref="O158">IFERROR(CONCATENATE(TEXT(INDEX(O7:O89,SMALL(IF(ISNUMBER(O7:O89),IF(O7:O89&gt;0,IF(R7:R89&lt;&gt;"",ROW(O7:O89)-MIN(ROW(O7:O89))+1))),ROW()-ROW(A$92)+1)),"##0"),",",INDEX(R7:R89,SMALL(IF(ISNUMBER(O7:O89),IF(O7:O89&gt;0,IF(R7:R89&lt;&gt;"",ROW(O7:O89)-MIN(ROW(O7:O89))+1))),ROW()-ROW(A$92)+1)),",",SUBSTITUTE(INDEX(IF(PURCHASE_DESCRIPTION&lt;&gt;"",PURCHASE_DESCRIPTION&amp;":","")&amp;A7:A89,SMALL(IF(ISNUMBER(O7:O89),IF(O7:O89&gt;0,IF(R7:R89&lt;&gt;"",ROW(O7:O89)-MIN(ROW(O7:O89))+1))),ROW()-ROW(A$92)+1)),",",";")),"")</f>
        <v>0</v>
      </c>
      <c r="T158">
        <f t="array" ref="T158">IFERROR(CONCATENATE(INDEX(W7:W89,SMALL(IF(ISNUMBER(T7:T89),IF(T7:T89&gt;0,IF(W7:W89&lt;&gt;"",ROW(T7:T89)-MIN(ROW(T7:T89))+1))),ROW()-ROW(A$92)+1))," ",TEXT(INDEX(T7:T89,SMALL(IF(ISNUMBER(T7:T89),IF(T7:T89&gt;0,IF(W7:W89&lt;&gt;"",ROW(T7:T89)-MIN(ROW(T7:T89))+1))),ROW()-ROW(A$92)+1)),"##0")," ",SUBSTITUTE(INDEX(IF(PURCHASE_DESCRIPTION&lt;&gt;"",PURCHASE_DESCRIPTION&amp;":","")&amp;A7:A89,SMALL(IF(ISNUMBER(T7:T89),IF(T7:T89&gt;0,IF(W7:W89&lt;&gt;"",ROW(T7:T89)-MIN(ROW(T7:T89))+1))),ROW()-ROW(A$92)+1))," ",";")),"")</f>
        <v>0</v>
      </c>
      <c r="Y158">
        <f t="array" ref="Y158">IFERROR(CONCATENATE(TEXT(INDEX(Y7:Y89,SMALL(IF(ISNUMBER(Y7:Y89),IF(Y7:Y89&gt;0,IF(AB7:AB89&lt;&gt;"",ROW(Y7:Y89)-MIN(ROW(Y7:Y89))+1))),ROW()-ROW(A$93)+1)),"##0"),",",SUBSTITUTE(INDEX(IF(PURCHASE_DESCRIPTION&lt;&gt;"",PURCHASE_DESCRIPTION&amp;":","")&amp;A7:A89,SMALL(IF(ISNUMBER(Y7:Y89),IF(Y7:Y89&gt;0,IF(AB7:AB89&lt;&gt;"",ROW(Y7:Y89)-MIN(ROW(Y7:Y89))+1))),ROW()-ROW(A$93)+1)),",",";"),",",SUBSTITUTE(INDEX(IF(PURCHASE_DESCRIPTION&lt;&gt;"",PURCHASE_DESCRIPTION&amp;":","")&amp;D7:D89,SMALL(IF(ISNUMBER(Y7:Y89),IF(Y7:Y89&gt;0,IF(AB7:AB89&lt;&gt;"",ROW(Y7:Y89)-MIN(ROW(Y7:Y89))+1))),ROW()-ROW(A$93)+1)),",",";"),",",INDEX(AB7:AB89,SMALL(IF(ISNUMBER(Y7:Y89),IF(Y7:Y89&gt;0,IF(AB7:AB89&lt;&gt;"",ROW(Y7:Y89)-MIN(ROW(Y7:Y89))+1))),ROW()-ROW(A$93)+1))),"")</f>
        <v>0</v>
      </c>
      <c r="AD158">
        <f t="array" ref="AD158">IFERROR(CONCATENATE(INDEX(AG7:AG89,SMALL(IF(ISNUMBER(AD7:AD89),IF(AD7:AD89&gt;0,IF(AG7:AG89&lt;&gt;"",ROW(AD7:AD89)-MIN(ROW(AD7:AD89))+1))),ROW()-ROW(A$92)+1)),"|",TEXT(INDEX(AD7:AD89,SMALL(IF(ISNUMBER(AD7:AD89),IF(AD7:AD89&gt;0,IF(AG7:AG89&lt;&gt;"",ROW(AD7:AD89)-MIN(ROW(AD7:AD89))+1))),ROW()-ROW(A$92)+1)),"##0"),"|",SUBSTITUTE(SUBSTITUTE(INDEX(IF(PURCHASE_DESCRIPTION&lt;&gt;"",PURCHASE_DESCRIPTION&amp;":","")&amp;A7:A89,SMALL(IF(ISNUMBER(AD7:AD89),IF(AD7:AD89&gt;0,IF(AG7:AG89&lt;&gt;"",ROW(AD7:AD89)-MIN(ROW(AD7:AD89))+1))),ROW()-ROW(A$92)+1)),"|",";")," ","_")),"")</f>
        <v>0</v>
      </c>
      <c r="AI158">
        <f t="array" ref="AI158">IFERROR(CONCATENATE(INDEX(AL7:AL89,SMALL(IF(ISNUMBER(AI7:AI89),IF(AI7:AI89&gt;0,IF(AL7:AL89&lt;&gt;"",ROW(AI7:AI89)-MIN(ROW(AI7:AI89))+1))),ROW()-ROW(A$92)+1)),",",TEXT(INDEX(AI7:AI89,SMALL(IF(ISNUMBER(AI7:AI89),IF(AI7:AI89&gt;0,IF(AL7:AL89&lt;&gt;"",ROW(AI7:AI89)-MIN(ROW(AI7:AI89))+1))),ROW()-ROW(A$92)+1)),"##0"),",",SUBSTITUTE(INDEX(IF(PURCHASE_DESCRIPTION&lt;&gt;"",PURCHASE_DESCRIPTION&amp;":","")&amp;A7:A89,SMALL(IF(ISNUMBER(AI7:AI89),IF(AI7:AI89&gt;0,IF(AL7:AL89&lt;&gt;"",ROW(AI7:AI89)-MIN(ROW(AI7:AI89))+1))),ROW()-ROW(A$92)+1)),",",";")),"")</f>
        <v>0</v>
      </c>
      <c r="AN158">
        <f t="array" ref="AN158">IFERROR(CONCATENATE(INDEX(AQ7:AQ89,SMALL(IF(ISNUMBER(AN7:AN89),IF(AN7:AN89&gt;0,IF(AQ7:AQ89&lt;&gt;"",ROW(AN7:AN89)-MIN(ROW(AN7:AN89))+1))),ROW()-ROW(A$92)+1))," ",TEXT(INDEX(AN7:AN89,SMALL(IF(ISNUMBER(AN7:AN89),IF(AN7:AN89&gt;0,IF(AQ7:AQ89&lt;&gt;"",ROW(AN7:AN89)-MIN(ROW(AN7:AN89))+1))),ROW()-ROW(A$92)+1)),"##0")," ",SUBSTITUTE(INDEX(IF(PURCHASE_DESCRIPTION&lt;&gt;"",PURCHASE_DESCRIPTION&amp;":","")&amp;A7:A89,SMALL(IF(ISNUMBER(AN7:AN89),IF(AN7:AN89&gt;0,IF(AQ7:AQ89&lt;&gt;"",ROW(AN7:AN89)-MIN(ROW(AN7:AN89))+1))),ROW()-ROW(A$92)+1))," ",";")),"")</f>
        <v>0</v>
      </c>
      <c r="AS158">
        <f t="array" ref="AS158">IFERROR(CONCATENATE(INDEX(AV7:AV89,SMALL(IF(ISNUMBER(AS7:AS89),IF(AS7:AS89&gt;0,IF(AV7:AV89&lt;&gt;"",ROW(AS7:AS89)-MIN(ROW(AS7:AS89))+1))),ROW()-ROW(A$92)+1))," ",TEXT(INDEX(AS7:AS89,SMALL(IF(ISNUMBER(AS7:AS89),IF(AS7:AS89&gt;0,IF(AV7:AV89&lt;&gt;"",ROW(AS7:AS89)-MIN(ROW(AS7:AS89))+1))),ROW()-ROW(A$92)+1)),"##0")," ",SUBSTITUTE(INDEX(IF(PURCHASE_DESCRIPTION&lt;&gt;"",PURCHASE_DESCRIPTION&amp;":","")&amp;A7:A89,SMALL(IF(ISNUMBER(AS7:AS89),IF(AS7:AS89&gt;0,IF(AV7:AV89&lt;&gt;"",ROW(AS7:AS89)-MIN(ROW(AS7:AS89))+1))),ROW()-ROW(A$92)+1))," ",";")),"")</f>
        <v>0</v>
      </c>
    </row>
    <row r="159" spans="10:45">
      <c r="J159">
        <f t="array" ref="J159">IFERROR(CONCATENATE(INDEX(M7:M89,SMALL(IF(ISNUMBER(J7:J89),IF(J7:J89&gt;0,IF(M7:M89&lt;&gt;"",ROW(J7:J89)-MIN(ROW(J7:J89))+1))),ROW()-ROW(A$92)+1)),",",TEXT(INDEX(J7:J89,SMALL(IF(ISNUMBER(J7:J89),IF(J7:J89&gt;0,IF(M7:M89&lt;&gt;"",ROW(J7:J89)-MIN(ROW(J7:J89))+1))),ROW()-ROW(A$92)+1)),"##0"),",",SUBSTITUTE(INDEX(IF(PURCHASE_DESCRIPTION&lt;&gt;"",PURCHASE_DESCRIPTION&amp;":","")&amp;A7:A89,SMALL(IF(ISNUMBER(J7:J89),IF(J7:J89&gt;0,IF(M7:M89&lt;&gt;"",ROW(J7:J89)-MIN(ROW(J7:J89))+1))),ROW()-ROW(A$92)+1)),",",";")),"")</f>
        <v>0</v>
      </c>
      <c r="O159">
        <f t="array" ref="O159">IFERROR(CONCATENATE(TEXT(INDEX(O7:O89,SMALL(IF(ISNUMBER(O7:O89),IF(O7:O89&gt;0,IF(R7:R89&lt;&gt;"",ROW(O7:O89)-MIN(ROW(O7:O89))+1))),ROW()-ROW(A$92)+1)),"##0"),",",INDEX(R7:R89,SMALL(IF(ISNUMBER(O7:O89),IF(O7:O89&gt;0,IF(R7:R89&lt;&gt;"",ROW(O7:O89)-MIN(ROW(O7:O89))+1))),ROW()-ROW(A$92)+1)),",",SUBSTITUTE(INDEX(IF(PURCHASE_DESCRIPTION&lt;&gt;"",PURCHASE_DESCRIPTION&amp;":","")&amp;A7:A89,SMALL(IF(ISNUMBER(O7:O89),IF(O7:O89&gt;0,IF(R7:R89&lt;&gt;"",ROW(O7:O89)-MIN(ROW(O7:O89))+1))),ROW()-ROW(A$92)+1)),",",";")),"")</f>
        <v>0</v>
      </c>
      <c r="T159">
        <f t="array" ref="T159">IFERROR(CONCATENATE(INDEX(W7:W89,SMALL(IF(ISNUMBER(T7:T89),IF(T7:T89&gt;0,IF(W7:W89&lt;&gt;"",ROW(T7:T89)-MIN(ROW(T7:T89))+1))),ROW()-ROW(A$92)+1))," ",TEXT(INDEX(T7:T89,SMALL(IF(ISNUMBER(T7:T89),IF(T7:T89&gt;0,IF(W7:W89&lt;&gt;"",ROW(T7:T89)-MIN(ROW(T7:T89))+1))),ROW()-ROW(A$92)+1)),"##0")," ",SUBSTITUTE(INDEX(IF(PURCHASE_DESCRIPTION&lt;&gt;"",PURCHASE_DESCRIPTION&amp;":","")&amp;A7:A89,SMALL(IF(ISNUMBER(T7:T89),IF(T7:T89&gt;0,IF(W7:W89&lt;&gt;"",ROW(T7:T89)-MIN(ROW(T7:T89))+1))),ROW()-ROW(A$92)+1))," ",";")),"")</f>
        <v>0</v>
      </c>
      <c r="Y159">
        <f t="array" ref="Y159">IFERROR(CONCATENATE(TEXT(INDEX(Y7:Y89,SMALL(IF(ISNUMBER(Y7:Y89),IF(Y7:Y89&gt;0,IF(AB7:AB89&lt;&gt;"",ROW(Y7:Y89)-MIN(ROW(Y7:Y89))+1))),ROW()-ROW(A$93)+1)),"##0"),",",SUBSTITUTE(INDEX(IF(PURCHASE_DESCRIPTION&lt;&gt;"",PURCHASE_DESCRIPTION&amp;":","")&amp;A7:A89,SMALL(IF(ISNUMBER(Y7:Y89),IF(Y7:Y89&gt;0,IF(AB7:AB89&lt;&gt;"",ROW(Y7:Y89)-MIN(ROW(Y7:Y89))+1))),ROW()-ROW(A$93)+1)),",",";"),",",SUBSTITUTE(INDEX(IF(PURCHASE_DESCRIPTION&lt;&gt;"",PURCHASE_DESCRIPTION&amp;":","")&amp;D7:D89,SMALL(IF(ISNUMBER(Y7:Y89),IF(Y7:Y89&gt;0,IF(AB7:AB89&lt;&gt;"",ROW(Y7:Y89)-MIN(ROW(Y7:Y89))+1))),ROW()-ROW(A$93)+1)),",",";"),",",INDEX(AB7:AB89,SMALL(IF(ISNUMBER(Y7:Y89),IF(Y7:Y89&gt;0,IF(AB7:AB89&lt;&gt;"",ROW(Y7:Y89)-MIN(ROW(Y7:Y89))+1))),ROW()-ROW(A$93)+1))),"")</f>
        <v>0</v>
      </c>
      <c r="AD159">
        <f t="array" ref="AD159">IFERROR(CONCATENATE(INDEX(AG7:AG89,SMALL(IF(ISNUMBER(AD7:AD89),IF(AD7:AD89&gt;0,IF(AG7:AG89&lt;&gt;"",ROW(AD7:AD89)-MIN(ROW(AD7:AD89))+1))),ROW()-ROW(A$92)+1)),"|",TEXT(INDEX(AD7:AD89,SMALL(IF(ISNUMBER(AD7:AD89),IF(AD7:AD89&gt;0,IF(AG7:AG89&lt;&gt;"",ROW(AD7:AD89)-MIN(ROW(AD7:AD89))+1))),ROW()-ROW(A$92)+1)),"##0"),"|",SUBSTITUTE(SUBSTITUTE(INDEX(IF(PURCHASE_DESCRIPTION&lt;&gt;"",PURCHASE_DESCRIPTION&amp;":","")&amp;A7:A89,SMALL(IF(ISNUMBER(AD7:AD89),IF(AD7:AD89&gt;0,IF(AG7:AG89&lt;&gt;"",ROW(AD7:AD89)-MIN(ROW(AD7:AD89))+1))),ROW()-ROW(A$92)+1)),"|",";")," ","_")),"")</f>
        <v>0</v>
      </c>
      <c r="AI159">
        <f t="array" ref="AI159">IFERROR(CONCATENATE(INDEX(AL7:AL89,SMALL(IF(ISNUMBER(AI7:AI89),IF(AI7:AI89&gt;0,IF(AL7:AL89&lt;&gt;"",ROW(AI7:AI89)-MIN(ROW(AI7:AI89))+1))),ROW()-ROW(A$92)+1)),",",TEXT(INDEX(AI7:AI89,SMALL(IF(ISNUMBER(AI7:AI89),IF(AI7:AI89&gt;0,IF(AL7:AL89&lt;&gt;"",ROW(AI7:AI89)-MIN(ROW(AI7:AI89))+1))),ROW()-ROW(A$92)+1)),"##0"),",",SUBSTITUTE(INDEX(IF(PURCHASE_DESCRIPTION&lt;&gt;"",PURCHASE_DESCRIPTION&amp;":","")&amp;A7:A89,SMALL(IF(ISNUMBER(AI7:AI89),IF(AI7:AI89&gt;0,IF(AL7:AL89&lt;&gt;"",ROW(AI7:AI89)-MIN(ROW(AI7:AI89))+1))),ROW()-ROW(A$92)+1)),",",";")),"")</f>
        <v>0</v>
      </c>
      <c r="AN159">
        <f t="array" ref="AN159">IFERROR(CONCATENATE(INDEX(AQ7:AQ89,SMALL(IF(ISNUMBER(AN7:AN89),IF(AN7:AN89&gt;0,IF(AQ7:AQ89&lt;&gt;"",ROW(AN7:AN89)-MIN(ROW(AN7:AN89))+1))),ROW()-ROW(A$92)+1))," ",TEXT(INDEX(AN7:AN89,SMALL(IF(ISNUMBER(AN7:AN89),IF(AN7:AN89&gt;0,IF(AQ7:AQ89&lt;&gt;"",ROW(AN7:AN89)-MIN(ROW(AN7:AN89))+1))),ROW()-ROW(A$92)+1)),"##0")," ",SUBSTITUTE(INDEX(IF(PURCHASE_DESCRIPTION&lt;&gt;"",PURCHASE_DESCRIPTION&amp;":","")&amp;A7:A89,SMALL(IF(ISNUMBER(AN7:AN89),IF(AN7:AN89&gt;0,IF(AQ7:AQ89&lt;&gt;"",ROW(AN7:AN89)-MIN(ROW(AN7:AN89))+1))),ROW()-ROW(A$92)+1))," ",";")),"")</f>
        <v>0</v>
      </c>
      <c r="AS159">
        <f t="array" ref="AS159">IFERROR(CONCATENATE(INDEX(AV7:AV89,SMALL(IF(ISNUMBER(AS7:AS89),IF(AS7:AS89&gt;0,IF(AV7:AV89&lt;&gt;"",ROW(AS7:AS89)-MIN(ROW(AS7:AS89))+1))),ROW()-ROW(A$92)+1))," ",TEXT(INDEX(AS7:AS89,SMALL(IF(ISNUMBER(AS7:AS89),IF(AS7:AS89&gt;0,IF(AV7:AV89&lt;&gt;"",ROW(AS7:AS89)-MIN(ROW(AS7:AS89))+1))),ROW()-ROW(A$92)+1)),"##0")," ",SUBSTITUTE(INDEX(IF(PURCHASE_DESCRIPTION&lt;&gt;"",PURCHASE_DESCRIPTION&amp;":","")&amp;A7:A89,SMALL(IF(ISNUMBER(AS7:AS89),IF(AS7:AS89&gt;0,IF(AV7:AV89&lt;&gt;"",ROW(AS7:AS89)-MIN(ROW(AS7:AS89))+1))),ROW()-ROW(A$92)+1))," ",";")),"")</f>
        <v>0</v>
      </c>
    </row>
    <row r="160" spans="10:45">
      <c r="J160">
        <f t="array" ref="J160">IFERROR(CONCATENATE(INDEX(M7:M89,SMALL(IF(ISNUMBER(J7:J89),IF(J7:J89&gt;0,IF(M7:M89&lt;&gt;"",ROW(J7:J89)-MIN(ROW(J7:J89))+1))),ROW()-ROW(A$92)+1)),",",TEXT(INDEX(J7:J89,SMALL(IF(ISNUMBER(J7:J89),IF(J7:J89&gt;0,IF(M7:M89&lt;&gt;"",ROW(J7:J89)-MIN(ROW(J7:J89))+1))),ROW()-ROW(A$92)+1)),"##0"),",",SUBSTITUTE(INDEX(IF(PURCHASE_DESCRIPTION&lt;&gt;"",PURCHASE_DESCRIPTION&amp;":","")&amp;A7:A89,SMALL(IF(ISNUMBER(J7:J89),IF(J7:J89&gt;0,IF(M7:M89&lt;&gt;"",ROW(J7:J89)-MIN(ROW(J7:J89))+1))),ROW()-ROW(A$92)+1)),",",";")),"")</f>
        <v>0</v>
      </c>
      <c r="O160">
        <f t="array" ref="O160">IFERROR(CONCATENATE(TEXT(INDEX(O7:O89,SMALL(IF(ISNUMBER(O7:O89),IF(O7:O89&gt;0,IF(R7:R89&lt;&gt;"",ROW(O7:O89)-MIN(ROW(O7:O89))+1))),ROW()-ROW(A$92)+1)),"##0"),",",INDEX(R7:R89,SMALL(IF(ISNUMBER(O7:O89),IF(O7:O89&gt;0,IF(R7:R89&lt;&gt;"",ROW(O7:O89)-MIN(ROW(O7:O89))+1))),ROW()-ROW(A$92)+1)),",",SUBSTITUTE(INDEX(IF(PURCHASE_DESCRIPTION&lt;&gt;"",PURCHASE_DESCRIPTION&amp;":","")&amp;A7:A89,SMALL(IF(ISNUMBER(O7:O89),IF(O7:O89&gt;0,IF(R7:R89&lt;&gt;"",ROW(O7:O89)-MIN(ROW(O7:O89))+1))),ROW()-ROW(A$92)+1)),",",";")),"")</f>
        <v>0</v>
      </c>
      <c r="T160">
        <f t="array" ref="T160">IFERROR(CONCATENATE(INDEX(W7:W89,SMALL(IF(ISNUMBER(T7:T89),IF(T7:T89&gt;0,IF(W7:W89&lt;&gt;"",ROW(T7:T89)-MIN(ROW(T7:T89))+1))),ROW()-ROW(A$92)+1))," ",TEXT(INDEX(T7:T89,SMALL(IF(ISNUMBER(T7:T89),IF(T7:T89&gt;0,IF(W7:W89&lt;&gt;"",ROW(T7:T89)-MIN(ROW(T7:T89))+1))),ROW()-ROW(A$92)+1)),"##0")," ",SUBSTITUTE(INDEX(IF(PURCHASE_DESCRIPTION&lt;&gt;"",PURCHASE_DESCRIPTION&amp;":","")&amp;A7:A89,SMALL(IF(ISNUMBER(T7:T89),IF(T7:T89&gt;0,IF(W7:W89&lt;&gt;"",ROW(T7:T89)-MIN(ROW(T7:T89))+1))),ROW()-ROW(A$92)+1))," ",";")),"")</f>
        <v>0</v>
      </c>
      <c r="Y160">
        <f t="array" ref="Y160">IFERROR(CONCATENATE(TEXT(INDEX(Y7:Y89,SMALL(IF(ISNUMBER(Y7:Y89),IF(Y7:Y89&gt;0,IF(AB7:AB89&lt;&gt;"",ROW(Y7:Y89)-MIN(ROW(Y7:Y89))+1))),ROW()-ROW(A$93)+1)),"##0"),",",SUBSTITUTE(INDEX(IF(PURCHASE_DESCRIPTION&lt;&gt;"",PURCHASE_DESCRIPTION&amp;":","")&amp;A7:A89,SMALL(IF(ISNUMBER(Y7:Y89),IF(Y7:Y89&gt;0,IF(AB7:AB89&lt;&gt;"",ROW(Y7:Y89)-MIN(ROW(Y7:Y89))+1))),ROW()-ROW(A$93)+1)),",",";"),",",SUBSTITUTE(INDEX(IF(PURCHASE_DESCRIPTION&lt;&gt;"",PURCHASE_DESCRIPTION&amp;":","")&amp;D7:D89,SMALL(IF(ISNUMBER(Y7:Y89),IF(Y7:Y89&gt;0,IF(AB7:AB89&lt;&gt;"",ROW(Y7:Y89)-MIN(ROW(Y7:Y89))+1))),ROW()-ROW(A$93)+1)),",",";"),",",INDEX(AB7:AB89,SMALL(IF(ISNUMBER(Y7:Y89),IF(Y7:Y89&gt;0,IF(AB7:AB89&lt;&gt;"",ROW(Y7:Y89)-MIN(ROW(Y7:Y89))+1))),ROW()-ROW(A$93)+1))),"")</f>
        <v>0</v>
      </c>
      <c r="AD160">
        <f t="array" ref="AD160">IFERROR(CONCATENATE(INDEX(AG7:AG89,SMALL(IF(ISNUMBER(AD7:AD89),IF(AD7:AD89&gt;0,IF(AG7:AG89&lt;&gt;"",ROW(AD7:AD89)-MIN(ROW(AD7:AD89))+1))),ROW()-ROW(A$92)+1)),"|",TEXT(INDEX(AD7:AD89,SMALL(IF(ISNUMBER(AD7:AD89),IF(AD7:AD89&gt;0,IF(AG7:AG89&lt;&gt;"",ROW(AD7:AD89)-MIN(ROW(AD7:AD89))+1))),ROW()-ROW(A$92)+1)),"##0"),"|",SUBSTITUTE(SUBSTITUTE(INDEX(IF(PURCHASE_DESCRIPTION&lt;&gt;"",PURCHASE_DESCRIPTION&amp;":","")&amp;A7:A89,SMALL(IF(ISNUMBER(AD7:AD89),IF(AD7:AD89&gt;0,IF(AG7:AG89&lt;&gt;"",ROW(AD7:AD89)-MIN(ROW(AD7:AD89))+1))),ROW()-ROW(A$92)+1)),"|",";")," ","_")),"")</f>
        <v>0</v>
      </c>
      <c r="AI160">
        <f t="array" ref="AI160">IFERROR(CONCATENATE(INDEX(AL7:AL89,SMALL(IF(ISNUMBER(AI7:AI89),IF(AI7:AI89&gt;0,IF(AL7:AL89&lt;&gt;"",ROW(AI7:AI89)-MIN(ROW(AI7:AI89))+1))),ROW()-ROW(A$92)+1)),",",TEXT(INDEX(AI7:AI89,SMALL(IF(ISNUMBER(AI7:AI89),IF(AI7:AI89&gt;0,IF(AL7:AL89&lt;&gt;"",ROW(AI7:AI89)-MIN(ROW(AI7:AI89))+1))),ROW()-ROW(A$92)+1)),"##0"),",",SUBSTITUTE(INDEX(IF(PURCHASE_DESCRIPTION&lt;&gt;"",PURCHASE_DESCRIPTION&amp;":","")&amp;A7:A89,SMALL(IF(ISNUMBER(AI7:AI89),IF(AI7:AI89&gt;0,IF(AL7:AL89&lt;&gt;"",ROW(AI7:AI89)-MIN(ROW(AI7:AI89))+1))),ROW()-ROW(A$92)+1)),",",";")),"")</f>
        <v>0</v>
      </c>
      <c r="AN160">
        <f t="array" ref="AN160">IFERROR(CONCATENATE(INDEX(AQ7:AQ89,SMALL(IF(ISNUMBER(AN7:AN89),IF(AN7:AN89&gt;0,IF(AQ7:AQ89&lt;&gt;"",ROW(AN7:AN89)-MIN(ROW(AN7:AN89))+1))),ROW()-ROW(A$92)+1))," ",TEXT(INDEX(AN7:AN89,SMALL(IF(ISNUMBER(AN7:AN89),IF(AN7:AN89&gt;0,IF(AQ7:AQ89&lt;&gt;"",ROW(AN7:AN89)-MIN(ROW(AN7:AN89))+1))),ROW()-ROW(A$92)+1)),"##0")," ",SUBSTITUTE(INDEX(IF(PURCHASE_DESCRIPTION&lt;&gt;"",PURCHASE_DESCRIPTION&amp;":","")&amp;A7:A89,SMALL(IF(ISNUMBER(AN7:AN89),IF(AN7:AN89&gt;0,IF(AQ7:AQ89&lt;&gt;"",ROW(AN7:AN89)-MIN(ROW(AN7:AN89))+1))),ROW()-ROW(A$92)+1))," ",";")),"")</f>
        <v>0</v>
      </c>
      <c r="AS160">
        <f t="array" ref="AS160">IFERROR(CONCATENATE(INDEX(AV7:AV89,SMALL(IF(ISNUMBER(AS7:AS89),IF(AS7:AS89&gt;0,IF(AV7:AV89&lt;&gt;"",ROW(AS7:AS89)-MIN(ROW(AS7:AS89))+1))),ROW()-ROW(A$92)+1))," ",TEXT(INDEX(AS7:AS89,SMALL(IF(ISNUMBER(AS7:AS89),IF(AS7:AS89&gt;0,IF(AV7:AV89&lt;&gt;"",ROW(AS7:AS89)-MIN(ROW(AS7:AS89))+1))),ROW()-ROW(A$92)+1)),"##0")," ",SUBSTITUTE(INDEX(IF(PURCHASE_DESCRIPTION&lt;&gt;"",PURCHASE_DESCRIPTION&amp;":","")&amp;A7:A89,SMALL(IF(ISNUMBER(AS7:AS89),IF(AS7:AS89&gt;0,IF(AV7:AV89&lt;&gt;"",ROW(AS7:AS89)-MIN(ROW(AS7:AS89))+1))),ROW()-ROW(A$92)+1))," ",";")),"")</f>
        <v>0</v>
      </c>
    </row>
    <row r="161" spans="10:45">
      <c r="J161">
        <f t="array" ref="J161">IFERROR(CONCATENATE(INDEX(M7:M89,SMALL(IF(ISNUMBER(J7:J89),IF(J7:J89&gt;0,IF(M7:M89&lt;&gt;"",ROW(J7:J89)-MIN(ROW(J7:J89))+1))),ROW()-ROW(A$92)+1)),",",TEXT(INDEX(J7:J89,SMALL(IF(ISNUMBER(J7:J89),IF(J7:J89&gt;0,IF(M7:M89&lt;&gt;"",ROW(J7:J89)-MIN(ROW(J7:J89))+1))),ROW()-ROW(A$92)+1)),"##0"),",",SUBSTITUTE(INDEX(IF(PURCHASE_DESCRIPTION&lt;&gt;"",PURCHASE_DESCRIPTION&amp;":","")&amp;A7:A89,SMALL(IF(ISNUMBER(J7:J89),IF(J7:J89&gt;0,IF(M7:M89&lt;&gt;"",ROW(J7:J89)-MIN(ROW(J7:J89))+1))),ROW()-ROW(A$92)+1)),",",";")),"")</f>
        <v>0</v>
      </c>
      <c r="O161">
        <f t="array" ref="O161">IFERROR(CONCATENATE(TEXT(INDEX(O7:O89,SMALL(IF(ISNUMBER(O7:O89),IF(O7:O89&gt;0,IF(R7:R89&lt;&gt;"",ROW(O7:O89)-MIN(ROW(O7:O89))+1))),ROW()-ROW(A$92)+1)),"##0"),",",INDEX(R7:R89,SMALL(IF(ISNUMBER(O7:O89),IF(O7:O89&gt;0,IF(R7:R89&lt;&gt;"",ROW(O7:O89)-MIN(ROW(O7:O89))+1))),ROW()-ROW(A$92)+1)),",",SUBSTITUTE(INDEX(IF(PURCHASE_DESCRIPTION&lt;&gt;"",PURCHASE_DESCRIPTION&amp;":","")&amp;A7:A89,SMALL(IF(ISNUMBER(O7:O89),IF(O7:O89&gt;0,IF(R7:R89&lt;&gt;"",ROW(O7:O89)-MIN(ROW(O7:O89))+1))),ROW()-ROW(A$92)+1)),",",";")),"")</f>
        <v>0</v>
      </c>
      <c r="T161">
        <f t="array" ref="T161">IFERROR(CONCATENATE(INDEX(W7:W89,SMALL(IF(ISNUMBER(T7:T89),IF(T7:T89&gt;0,IF(W7:W89&lt;&gt;"",ROW(T7:T89)-MIN(ROW(T7:T89))+1))),ROW()-ROW(A$92)+1))," ",TEXT(INDEX(T7:T89,SMALL(IF(ISNUMBER(T7:T89),IF(T7:T89&gt;0,IF(W7:W89&lt;&gt;"",ROW(T7:T89)-MIN(ROW(T7:T89))+1))),ROW()-ROW(A$92)+1)),"##0")," ",SUBSTITUTE(INDEX(IF(PURCHASE_DESCRIPTION&lt;&gt;"",PURCHASE_DESCRIPTION&amp;":","")&amp;A7:A89,SMALL(IF(ISNUMBER(T7:T89),IF(T7:T89&gt;0,IF(W7:W89&lt;&gt;"",ROW(T7:T89)-MIN(ROW(T7:T89))+1))),ROW()-ROW(A$92)+1))," ",";")),"")</f>
        <v>0</v>
      </c>
      <c r="Y161">
        <f t="array" ref="Y161">IFERROR(CONCATENATE(TEXT(INDEX(Y7:Y89,SMALL(IF(ISNUMBER(Y7:Y89),IF(Y7:Y89&gt;0,IF(AB7:AB89&lt;&gt;"",ROW(Y7:Y89)-MIN(ROW(Y7:Y89))+1))),ROW()-ROW(A$93)+1)),"##0"),",",SUBSTITUTE(INDEX(IF(PURCHASE_DESCRIPTION&lt;&gt;"",PURCHASE_DESCRIPTION&amp;":","")&amp;A7:A89,SMALL(IF(ISNUMBER(Y7:Y89),IF(Y7:Y89&gt;0,IF(AB7:AB89&lt;&gt;"",ROW(Y7:Y89)-MIN(ROW(Y7:Y89))+1))),ROW()-ROW(A$93)+1)),",",";"),",",SUBSTITUTE(INDEX(IF(PURCHASE_DESCRIPTION&lt;&gt;"",PURCHASE_DESCRIPTION&amp;":","")&amp;D7:D89,SMALL(IF(ISNUMBER(Y7:Y89),IF(Y7:Y89&gt;0,IF(AB7:AB89&lt;&gt;"",ROW(Y7:Y89)-MIN(ROW(Y7:Y89))+1))),ROW()-ROW(A$93)+1)),",",";"),",",INDEX(AB7:AB89,SMALL(IF(ISNUMBER(Y7:Y89),IF(Y7:Y89&gt;0,IF(AB7:AB89&lt;&gt;"",ROW(Y7:Y89)-MIN(ROW(Y7:Y89))+1))),ROW()-ROW(A$93)+1))),"")</f>
        <v>0</v>
      </c>
      <c r="AD161">
        <f t="array" ref="AD161">IFERROR(CONCATENATE(INDEX(AG7:AG89,SMALL(IF(ISNUMBER(AD7:AD89),IF(AD7:AD89&gt;0,IF(AG7:AG89&lt;&gt;"",ROW(AD7:AD89)-MIN(ROW(AD7:AD89))+1))),ROW()-ROW(A$92)+1)),"|",TEXT(INDEX(AD7:AD89,SMALL(IF(ISNUMBER(AD7:AD89),IF(AD7:AD89&gt;0,IF(AG7:AG89&lt;&gt;"",ROW(AD7:AD89)-MIN(ROW(AD7:AD89))+1))),ROW()-ROW(A$92)+1)),"##0"),"|",SUBSTITUTE(SUBSTITUTE(INDEX(IF(PURCHASE_DESCRIPTION&lt;&gt;"",PURCHASE_DESCRIPTION&amp;":","")&amp;A7:A89,SMALL(IF(ISNUMBER(AD7:AD89),IF(AD7:AD89&gt;0,IF(AG7:AG89&lt;&gt;"",ROW(AD7:AD89)-MIN(ROW(AD7:AD89))+1))),ROW()-ROW(A$92)+1)),"|",";")," ","_")),"")</f>
        <v>0</v>
      </c>
      <c r="AI161">
        <f t="array" ref="AI161">IFERROR(CONCATENATE(INDEX(AL7:AL89,SMALL(IF(ISNUMBER(AI7:AI89),IF(AI7:AI89&gt;0,IF(AL7:AL89&lt;&gt;"",ROW(AI7:AI89)-MIN(ROW(AI7:AI89))+1))),ROW()-ROW(A$92)+1)),",",TEXT(INDEX(AI7:AI89,SMALL(IF(ISNUMBER(AI7:AI89),IF(AI7:AI89&gt;0,IF(AL7:AL89&lt;&gt;"",ROW(AI7:AI89)-MIN(ROW(AI7:AI89))+1))),ROW()-ROW(A$92)+1)),"##0"),",",SUBSTITUTE(INDEX(IF(PURCHASE_DESCRIPTION&lt;&gt;"",PURCHASE_DESCRIPTION&amp;":","")&amp;A7:A89,SMALL(IF(ISNUMBER(AI7:AI89),IF(AI7:AI89&gt;0,IF(AL7:AL89&lt;&gt;"",ROW(AI7:AI89)-MIN(ROW(AI7:AI89))+1))),ROW()-ROW(A$92)+1)),",",";")),"")</f>
        <v>0</v>
      </c>
      <c r="AN161">
        <f t="array" ref="AN161">IFERROR(CONCATENATE(INDEX(AQ7:AQ89,SMALL(IF(ISNUMBER(AN7:AN89),IF(AN7:AN89&gt;0,IF(AQ7:AQ89&lt;&gt;"",ROW(AN7:AN89)-MIN(ROW(AN7:AN89))+1))),ROW()-ROW(A$92)+1))," ",TEXT(INDEX(AN7:AN89,SMALL(IF(ISNUMBER(AN7:AN89),IF(AN7:AN89&gt;0,IF(AQ7:AQ89&lt;&gt;"",ROW(AN7:AN89)-MIN(ROW(AN7:AN89))+1))),ROW()-ROW(A$92)+1)),"##0")," ",SUBSTITUTE(INDEX(IF(PURCHASE_DESCRIPTION&lt;&gt;"",PURCHASE_DESCRIPTION&amp;":","")&amp;A7:A89,SMALL(IF(ISNUMBER(AN7:AN89),IF(AN7:AN89&gt;0,IF(AQ7:AQ89&lt;&gt;"",ROW(AN7:AN89)-MIN(ROW(AN7:AN89))+1))),ROW()-ROW(A$92)+1))," ",";")),"")</f>
        <v>0</v>
      </c>
      <c r="AS161">
        <f t="array" ref="AS161">IFERROR(CONCATENATE(INDEX(AV7:AV89,SMALL(IF(ISNUMBER(AS7:AS89),IF(AS7:AS89&gt;0,IF(AV7:AV89&lt;&gt;"",ROW(AS7:AS89)-MIN(ROW(AS7:AS89))+1))),ROW()-ROW(A$92)+1))," ",TEXT(INDEX(AS7:AS89,SMALL(IF(ISNUMBER(AS7:AS89),IF(AS7:AS89&gt;0,IF(AV7:AV89&lt;&gt;"",ROW(AS7:AS89)-MIN(ROW(AS7:AS89))+1))),ROW()-ROW(A$92)+1)),"##0")," ",SUBSTITUTE(INDEX(IF(PURCHASE_DESCRIPTION&lt;&gt;"",PURCHASE_DESCRIPTION&amp;":","")&amp;A7:A89,SMALL(IF(ISNUMBER(AS7:AS89),IF(AS7:AS89&gt;0,IF(AV7:AV89&lt;&gt;"",ROW(AS7:AS89)-MIN(ROW(AS7:AS89))+1))),ROW()-ROW(A$92)+1))," ",";")),"")</f>
        <v>0</v>
      </c>
    </row>
    <row r="162" spans="10:45">
      <c r="J162">
        <f t="array" ref="J162">IFERROR(CONCATENATE(INDEX(M7:M89,SMALL(IF(ISNUMBER(J7:J89),IF(J7:J89&gt;0,IF(M7:M89&lt;&gt;"",ROW(J7:J89)-MIN(ROW(J7:J89))+1))),ROW()-ROW(A$92)+1)),",",TEXT(INDEX(J7:J89,SMALL(IF(ISNUMBER(J7:J89),IF(J7:J89&gt;0,IF(M7:M89&lt;&gt;"",ROW(J7:J89)-MIN(ROW(J7:J89))+1))),ROW()-ROW(A$92)+1)),"##0"),",",SUBSTITUTE(INDEX(IF(PURCHASE_DESCRIPTION&lt;&gt;"",PURCHASE_DESCRIPTION&amp;":","")&amp;A7:A89,SMALL(IF(ISNUMBER(J7:J89),IF(J7:J89&gt;0,IF(M7:M89&lt;&gt;"",ROW(J7:J89)-MIN(ROW(J7:J89))+1))),ROW()-ROW(A$92)+1)),",",";")),"")</f>
        <v>0</v>
      </c>
      <c r="O162">
        <f t="array" ref="O162">IFERROR(CONCATENATE(TEXT(INDEX(O7:O89,SMALL(IF(ISNUMBER(O7:O89),IF(O7:O89&gt;0,IF(R7:R89&lt;&gt;"",ROW(O7:O89)-MIN(ROW(O7:O89))+1))),ROW()-ROW(A$92)+1)),"##0"),",",INDEX(R7:R89,SMALL(IF(ISNUMBER(O7:O89),IF(O7:O89&gt;0,IF(R7:R89&lt;&gt;"",ROW(O7:O89)-MIN(ROW(O7:O89))+1))),ROW()-ROW(A$92)+1)),",",SUBSTITUTE(INDEX(IF(PURCHASE_DESCRIPTION&lt;&gt;"",PURCHASE_DESCRIPTION&amp;":","")&amp;A7:A89,SMALL(IF(ISNUMBER(O7:O89),IF(O7:O89&gt;0,IF(R7:R89&lt;&gt;"",ROW(O7:O89)-MIN(ROW(O7:O89))+1))),ROW()-ROW(A$92)+1)),",",";")),"")</f>
        <v>0</v>
      </c>
      <c r="T162">
        <f t="array" ref="T162">IFERROR(CONCATENATE(INDEX(W7:W89,SMALL(IF(ISNUMBER(T7:T89),IF(T7:T89&gt;0,IF(W7:W89&lt;&gt;"",ROW(T7:T89)-MIN(ROW(T7:T89))+1))),ROW()-ROW(A$92)+1))," ",TEXT(INDEX(T7:T89,SMALL(IF(ISNUMBER(T7:T89),IF(T7:T89&gt;0,IF(W7:W89&lt;&gt;"",ROW(T7:T89)-MIN(ROW(T7:T89))+1))),ROW()-ROW(A$92)+1)),"##0")," ",SUBSTITUTE(INDEX(IF(PURCHASE_DESCRIPTION&lt;&gt;"",PURCHASE_DESCRIPTION&amp;":","")&amp;A7:A89,SMALL(IF(ISNUMBER(T7:T89),IF(T7:T89&gt;0,IF(W7:W89&lt;&gt;"",ROW(T7:T89)-MIN(ROW(T7:T89))+1))),ROW()-ROW(A$92)+1))," ",";")),"")</f>
        <v>0</v>
      </c>
      <c r="Y162">
        <f t="array" ref="Y162">IFERROR(CONCATENATE(TEXT(INDEX(Y7:Y89,SMALL(IF(ISNUMBER(Y7:Y89),IF(Y7:Y89&gt;0,IF(AB7:AB89&lt;&gt;"",ROW(Y7:Y89)-MIN(ROW(Y7:Y89))+1))),ROW()-ROW(A$93)+1)),"##0"),",",SUBSTITUTE(INDEX(IF(PURCHASE_DESCRIPTION&lt;&gt;"",PURCHASE_DESCRIPTION&amp;":","")&amp;A7:A89,SMALL(IF(ISNUMBER(Y7:Y89),IF(Y7:Y89&gt;0,IF(AB7:AB89&lt;&gt;"",ROW(Y7:Y89)-MIN(ROW(Y7:Y89))+1))),ROW()-ROW(A$93)+1)),",",";"),",",SUBSTITUTE(INDEX(IF(PURCHASE_DESCRIPTION&lt;&gt;"",PURCHASE_DESCRIPTION&amp;":","")&amp;D7:D89,SMALL(IF(ISNUMBER(Y7:Y89),IF(Y7:Y89&gt;0,IF(AB7:AB89&lt;&gt;"",ROW(Y7:Y89)-MIN(ROW(Y7:Y89))+1))),ROW()-ROW(A$93)+1)),",",";"),",",INDEX(AB7:AB89,SMALL(IF(ISNUMBER(Y7:Y89),IF(Y7:Y89&gt;0,IF(AB7:AB89&lt;&gt;"",ROW(Y7:Y89)-MIN(ROW(Y7:Y89))+1))),ROW()-ROW(A$93)+1))),"")</f>
        <v>0</v>
      </c>
      <c r="AD162">
        <f t="array" ref="AD162">IFERROR(CONCATENATE(INDEX(AG7:AG89,SMALL(IF(ISNUMBER(AD7:AD89),IF(AD7:AD89&gt;0,IF(AG7:AG89&lt;&gt;"",ROW(AD7:AD89)-MIN(ROW(AD7:AD89))+1))),ROW()-ROW(A$92)+1)),"|",TEXT(INDEX(AD7:AD89,SMALL(IF(ISNUMBER(AD7:AD89),IF(AD7:AD89&gt;0,IF(AG7:AG89&lt;&gt;"",ROW(AD7:AD89)-MIN(ROW(AD7:AD89))+1))),ROW()-ROW(A$92)+1)),"##0"),"|",SUBSTITUTE(SUBSTITUTE(INDEX(IF(PURCHASE_DESCRIPTION&lt;&gt;"",PURCHASE_DESCRIPTION&amp;":","")&amp;A7:A89,SMALL(IF(ISNUMBER(AD7:AD89),IF(AD7:AD89&gt;0,IF(AG7:AG89&lt;&gt;"",ROW(AD7:AD89)-MIN(ROW(AD7:AD89))+1))),ROW()-ROW(A$92)+1)),"|",";")," ","_")),"")</f>
        <v>0</v>
      </c>
      <c r="AI162">
        <f t="array" ref="AI162">IFERROR(CONCATENATE(INDEX(AL7:AL89,SMALL(IF(ISNUMBER(AI7:AI89),IF(AI7:AI89&gt;0,IF(AL7:AL89&lt;&gt;"",ROW(AI7:AI89)-MIN(ROW(AI7:AI89))+1))),ROW()-ROW(A$92)+1)),",",TEXT(INDEX(AI7:AI89,SMALL(IF(ISNUMBER(AI7:AI89),IF(AI7:AI89&gt;0,IF(AL7:AL89&lt;&gt;"",ROW(AI7:AI89)-MIN(ROW(AI7:AI89))+1))),ROW()-ROW(A$92)+1)),"##0"),",",SUBSTITUTE(INDEX(IF(PURCHASE_DESCRIPTION&lt;&gt;"",PURCHASE_DESCRIPTION&amp;":","")&amp;A7:A89,SMALL(IF(ISNUMBER(AI7:AI89),IF(AI7:AI89&gt;0,IF(AL7:AL89&lt;&gt;"",ROW(AI7:AI89)-MIN(ROW(AI7:AI89))+1))),ROW()-ROW(A$92)+1)),",",";")),"")</f>
        <v>0</v>
      </c>
      <c r="AN162">
        <f t="array" ref="AN162">IFERROR(CONCATENATE(INDEX(AQ7:AQ89,SMALL(IF(ISNUMBER(AN7:AN89),IF(AN7:AN89&gt;0,IF(AQ7:AQ89&lt;&gt;"",ROW(AN7:AN89)-MIN(ROW(AN7:AN89))+1))),ROW()-ROW(A$92)+1))," ",TEXT(INDEX(AN7:AN89,SMALL(IF(ISNUMBER(AN7:AN89),IF(AN7:AN89&gt;0,IF(AQ7:AQ89&lt;&gt;"",ROW(AN7:AN89)-MIN(ROW(AN7:AN89))+1))),ROW()-ROW(A$92)+1)),"##0")," ",SUBSTITUTE(INDEX(IF(PURCHASE_DESCRIPTION&lt;&gt;"",PURCHASE_DESCRIPTION&amp;":","")&amp;A7:A89,SMALL(IF(ISNUMBER(AN7:AN89),IF(AN7:AN89&gt;0,IF(AQ7:AQ89&lt;&gt;"",ROW(AN7:AN89)-MIN(ROW(AN7:AN89))+1))),ROW()-ROW(A$92)+1))," ",";")),"")</f>
        <v>0</v>
      </c>
      <c r="AS162">
        <f t="array" ref="AS162">IFERROR(CONCATENATE(INDEX(AV7:AV89,SMALL(IF(ISNUMBER(AS7:AS89),IF(AS7:AS89&gt;0,IF(AV7:AV89&lt;&gt;"",ROW(AS7:AS89)-MIN(ROW(AS7:AS89))+1))),ROW()-ROW(A$92)+1))," ",TEXT(INDEX(AS7:AS89,SMALL(IF(ISNUMBER(AS7:AS89),IF(AS7:AS89&gt;0,IF(AV7:AV89&lt;&gt;"",ROW(AS7:AS89)-MIN(ROW(AS7:AS89))+1))),ROW()-ROW(A$92)+1)),"##0")," ",SUBSTITUTE(INDEX(IF(PURCHASE_DESCRIPTION&lt;&gt;"",PURCHASE_DESCRIPTION&amp;":","")&amp;A7:A89,SMALL(IF(ISNUMBER(AS7:AS89),IF(AS7:AS89&gt;0,IF(AV7:AV89&lt;&gt;"",ROW(AS7:AS89)-MIN(ROW(AS7:AS89))+1))),ROW()-ROW(A$92)+1))," ",";")),"")</f>
        <v>0</v>
      </c>
    </row>
    <row r="163" spans="10:45">
      <c r="J163">
        <f t="array" ref="J163">IFERROR(CONCATENATE(INDEX(M7:M89,SMALL(IF(ISNUMBER(J7:J89),IF(J7:J89&gt;0,IF(M7:M89&lt;&gt;"",ROW(J7:J89)-MIN(ROW(J7:J89))+1))),ROW()-ROW(A$92)+1)),",",TEXT(INDEX(J7:J89,SMALL(IF(ISNUMBER(J7:J89),IF(J7:J89&gt;0,IF(M7:M89&lt;&gt;"",ROW(J7:J89)-MIN(ROW(J7:J89))+1))),ROW()-ROW(A$92)+1)),"##0"),",",SUBSTITUTE(INDEX(IF(PURCHASE_DESCRIPTION&lt;&gt;"",PURCHASE_DESCRIPTION&amp;":","")&amp;A7:A89,SMALL(IF(ISNUMBER(J7:J89),IF(J7:J89&gt;0,IF(M7:M89&lt;&gt;"",ROW(J7:J89)-MIN(ROW(J7:J89))+1))),ROW()-ROW(A$92)+1)),",",";")),"")</f>
        <v>0</v>
      </c>
      <c r="O163">
        <f t="array" ref="O163">IFERROR(CONCATENATE(TEXT(INDEX(O7:O89,SMALL(IF(ISNUMBER(O7:O89),IF(O7:O89&gt;0,IF(R7:R89&lt;&gt;"",ROW(O7:O89)-MIN(ROW(O7:O89))+1))),ROW()-ROW(A$92)+1)),"##0"),",",INDEX(R7:R89,SMALL(IF(ISNUMBER(O7:O89),IF(O7:O89&gt;0,IF(R7:R89&lt;&gt;"",ROW(O7:O89)-MIN(ROW(O7:O89))+1))),ROW()-ROW(A$92)+1)),",",SUBSTITUTE(INDEX(IF(PURCHASE_DESCRIPTION&lt;&gt;"",PURCHASE_DESCRIPTION&amp;":","")&amp;A7:A89,SMALL(IF(ISNUMBER(O7:O89),IF(O7:O89&gt;0,IF(R7:R89&lt;&gt;"",ROW(O7:O89)-MIN(ROW(O7:O89))+1))),ROW()-ROW(A$92)+1)),",",";")),"")</f>
        <v>0</v>
      </c>
      <c r="T163">
        <f t="array" ref="T163">IFERROR(CONCATENATE(INDEX(W7:W89,SMALL(IF(ISNUMBER(T7:T89),IF(T7:T89&gt;0,IF(W7:W89&lt;&gt;"",ROW(T7:T89)-MIN(ROW(T7:T89))+1))),ROW()-ROW(A$92)+1))," ",TEXT(INDEX(T7:T89,SMALL(IF(ISNUMBER(T7:T89),IF(T7:T89&gt;0,IF(W7:W89&lt;&gt;"",ROW(T7:T89)-MIN(ROW(T7:T89))+1))),ROW()-ROW(A$92)+1)),"##0")," ",SUBSTITUTE(INDEX(IF(PURCHASE_DESCRIPTION&lt;&gt;"",PURCHASE_DESCRIPTION&amp;":","")&amp;A7:A89,SMALL(IF(ISNUMBER(T7:T89),IF(T7:T89&gt;0,IF(W7:W89&lt;&gt;"",ROW(T7:T89)-MIN(ROW(T7:T89))+1))),ROW()-ROW(A$92)+1))," ",";")),"")</f>
        <v>0</v>
      </c>
      <c r="Y163">
        <f t="array" ref="Y163">IFERROR(CONCATENATE(TEXT(INDEX(Y7:Y89,SMALL(IF(ISNUMBER(Y7:Y89),IF(Y7:Y89&gt;0,IF(AB7:AB89&lt;&gt;"",ROW(Y7:Y89)-MIN(ROW(Y7:Y89))+1))),ROW()-ROW(A$93)+1)),"##0"),",",SUBSTITUTE(INDEX(IF(PURCHASE_DESCRIPTION&lt;&gt;"",PURCHASE_DESCRIPTION&amp;":","")&amp;A7:A89,SMALL(IF(ISNUMBER(Y7:Y89),IF(Y7:Y89&gt;0,IF(AB7:AB89&lt;&gt;"",ROW(Y7:Y89)-MIN(ROW(Y7:Y89))+1))),ROW()-ROW(A$93)+1)),",",";"),",",SUBSTITUTE(INDEX(IF(PURCHASE_DESCRIPTION&lt;&gt;"",PURCHASE_DESCRIPTION&amp;":","")&amp;D7:D89,SMALL(IF(ISNUMBER(Y7:Y89),IF(Y7:Y89&gt;0,IF(AB7:AB89&lt;&gt;"",ROW(Y7:Y89)-MIN(ROW(Y7:Y89))+1))),ROW()-ROW(A$93)+1)),",",";"),",",INDEX(AB7:AB89,SMALL(IF(ISNUMBER(Y7:Y89),IF(Y7:Y89&gt;0,IF(AB7:AB89&lt;&gt;"",ROW(Y7:Y89)-MIN(ROW(Y7:Y89))+1))),ROW()-ROW(A$93)+1))),"")</f>
        <v>0</v>
      </c>
      <c r="AD163">
        <f t="array" ref="AD163">IFERROR(CONCATENATE(INDEX(AG7:AG89,SMALL(IF(ISNUMBER(AD7:AD89),IF(AD7:AD89&gt;0,IF(AG7:AG89&lt;&gt;"",ROW(AD7:AD89)-MIN(ROW(AD7:AD89))+1))),ROW()-ROW(A$92)+1)),"|",TEXT(INDEX(AD7:AD89,SMALL(IF(ISNUMBER(AD7:AD89),IF(AD7:AD89&gt;0,IF(AG7:AG89&lt;&gt;"",ROW(AD7:AD89)-MIN(ROW(AD7:AD89))+1))),ROW()-ROW(A$92)+1)),"##0"),"|",SUBSTITUTE(SUBSTITUTE(INDEX(IF(PURCHASE_DESCRIPTION&lt;&gt;"",PURCHASE_DESCRIPTION&amp;":","")&amp;A7:A89,SMALL(IF(ISNUMBER(AD7:AD89),IF(AD7:AD89&gt;0,IF(AG7:AG89&lt;&gt;"",ROW(AD7:AD89)-MIN(ROW(AD7:AD89))+1))),ROW()-ROW(A$92)+1)),"|",";")," ","_")),"")</f>
        <v>0</v>
      </c>
      <c r="AI163">
        <f t="array" ref="AI163">IFERROR(CONCATENATE(INDEX(AL7:AL89,SMALL(IF(ISNUMBER(AI7:AI89),IF(AI7:AI89&gt;0,IF(AL7:AL89&lt;&gt;"",ROW(AI7:AI89)-MIN(ROW(AI7:AI89))+1))),ROW()-ROW(A$92)+1)),",",TEXT(INDEX(AI7:AI89,SMALL(IF(ISNUMBER(AI7:AI89),IF(AI7:AI89&gt;0,IF(AL7:AL89&lt;&gt;"",ROW(AI7:AI89)-MIN(ROW(AI7:AI89))+1))),ROW()-ROW(A$92)+1)),"##0"),",",SUBSTITUTE(INDEX(IF(PURCHASE_DESCRIPTION&lt;&gt;"",PURCHASE_DESCRIPTION&amp;":","")&amp;A7:A89,SMALL(IF(ISNUMBER(AI7:AI89),IF(AI7:AI89&gt;0,IF(AL7:AL89&lt;&gt;"",ROW(AI7:AI89)-MIN(ROW(AI7:AI89))+1))),ROW()-ROW(A$92)+1)),",",";")),"")</f>
        <v>0</v>
      </c>
      <c r="AN163">
        <f t="array" ref="AN163">IFERROR(CONCATENATE(INDEX(AQ7:AQ89,SMALL(IF(ISNUMBER(AN7:AN89),IF(AN7:AN89&gt;0,IF(AQ7:AQ89&lt;&gt;"",ROW(AN7:AN89)-MIN(ROW(AN7:AN89))+1))),ROW()-ROW(A$92)+1))," ",TEXT(INDEX(AN7:AN89,SMALL(IF(ISNUMBER(AN7:AN89),IF(AN7:AN89&gt;0,IF(AQ7:AQ89&lt;&gt;"",ROW(AN7:AN89)-MIN(ROW(AN7:AN89))+1))),ROW()-ROW(A$92)+1)),"##0")," ",SUBSTITUTE(INDEX(IF(PURCHASE_DESCRIPTION&lt;&gt;"",PURCHASE_DESCRIPTION&amp;":","")&amp;A7:A89,SMALL(IF(ISNUMBER(AN7:AN89),IF(AN7:AN89&gt;0,IF(AQ7:AQ89&lt;&gt;"",ROW(AN7:AN89)-MIN(ROW(AN7:AN89))+1))),ROW()-ROW(A$92)+1))," ",";")),"")</f>
        <v>0</v>
      </c>
      <c r="AS163">
        <f t="array" ref="AS163">IFERROR(CONCATENATE(INDEX(AV7:AV89,SMALL(IF(ISNUMBER(AS7:AS89),IF(AS7:AS89&gt;0,IF(AV7:AV89&lt;&gt;"",ROW(AS7:AS89)-MIN(ROW(AS7:AS89))+1))),ROW()-ROW(A$92)+1))," ",TEXT(INDEX(AS7:AS89,SMALL(IF(ISNUMBER(AS7:AS89),IF(AS7:AS89&gt;0,IF(AV7:AV89&lt;&gt;"",ROW(AS7:AS89)-MIN(ROW(AS7:AS89))+1))),ROW()-ROW(A$92)+1)),"##0")," ",SUBSTITUTE(INDEX(IF(PURCHASE_DESCRIPTION&lt;&gt;"",PURCHASE_DESCRIPTION&amp;":","")&amp;A7:A89,SMALL(IF(ISNUMBER(AS7:AS89),IF(AS7:AS89&gt;0,IF(AV7:AV89&lt;&gt;"",ROW(AS7:AS89)-MIN(ROW(AS7:AS89))+1))),ROW()-ROW(A$92)+1))," ",";")),"")</f>
        <v>0</v>
      </c>
    </row>
    <row r="164" spans="10:45">
      <c r="J164">
        <f t="array" ref="J164">IFERROR(CONCATENATE(INDEX(M7:M89,SMALL(IF(ISNUMBER(J7:J89),IF(J7:J89&gt;0,IF(M7:M89&lt;&gt;"",ROW(J7:J89)-MIN(ROW(J7:J89))+1))),ROW()-ROW(A$92)+1)),",",TEXT(INDEX(J7:J89,SMALL(IF(ISNUMBER(J7:J89),IF(J7:J89&gt;0,IF(M7:M89&lt;&gt;"",ROW(J7:J89)-MIN(ROW(J7:J89))+1))),ROW()-ROW(A$92)+1)),"##0"),",",SUBSTITUTE(INDEX(IF(PURCHASE_DESCRIPTION&lt;&gt;"",PURCHASE_DESCRIPTION&amp;":","")&amp;A7:A89,SMALL(IF(ISNUMBER(J7:J89),IF(J7:J89&gt;0,IF(M7:M89&lt;&gt;"",ROW(J7:J89)-MIN(ROW(J7:J89))+1))),ROW()-ROW(A$92)+1)),",",";")),"")</f>
        <v>0</v>
      </c>
      <c r="O164">
        <f t="array" ref="O164">IFERROR(CONCATENATE(TEXT(INDEX(O7:O89,SMALL(IF(ISNUMBER(O7:O89),IF(O7:O89&gt;0,IF(R7:R89&lt;&gt;"",ROW(O7:O89)-MIN(ROW(O7:O89))+1))),ROW()-ROW(A$92)+1)),"##0"),",",INDEX(R7:R89,SMALL(IF(ISNUMBER(O7:O89),IF(O7:O89&gt;0,IF(R7:R89&lt;&gt;"",ROW(O7:O89)-MIN(ROW(O7:O89))+1))),ROW()-ROW(A$92)+1)),",",SUBSTITUTE(INDEX(IF(PURCHASE_DESCRIPTION&lt;&gt;"",PURCHASE_DESCRIPTION&amp;":","")&amp;A7:A89,SMALL(IF(ISNUMBER(O7:O89),IF(O7:O89&gt;0,IF(R7:R89&lt;&gt;"",ROW(O7:O89)-MIN(ROW(O7:O89))+1))),ROW()-ROW(A$92)+1)),",",";")),"")</f>
        <v>0</v>
      </c>
      <c r="T164">
        <f t="array" ref="T164">IFERROR(CONCATENATE(INDEX(W7:W89,SMALL(IF(ISNUMBER(T7:T89),IF(T7:T89&gt;0,IF(W7:W89&lt;&gt;"",ROW(T7:T89)-MIN(ROW(T7:T89))+1))),ROW()-ROW(A$92)+1))," ",TEXT(INDEX(T7:T89,SMALL(IF(ISNUMBER(T7:T89),IF(T7:T89&gt;0,IF(W7:W89&lt;&gt;"",ROW(T7:T89)-MIN(ROW(T7:T89))+1))),ROW()-ROW(A$92)+1)),"##0")," ",SUBSTITUTE(INDEX(IF(PURCHASE_DESCRIPTION&lt;&gt;"",PURCHASE_DESCRIPTION&amp;":","")&amp;A7:A89,SMALL(IF(ISNUMBER(T7:T89),IF(T7:T89&gt;0,IF(W7:W89&lt;&gt;"",ROW(T7:T89)-MIN(ROW(T7:T89))+1))),ROW()-ROW(A$92)+1))," ",";")),"")</f>
        <v>0</v>
      </c>
      <c r="Y164">
        <f t="array" ref="Y164">IFERROR(CONCATENATE(TEXT(INDEX(Y7:Y89,SMALL(IF(ISNUMBER(Y7:Y89),IF(Y7:Y89&gt;0,IF(AB7:AB89&lt;&gt;"",ROW(Y7:Y89)-MIN(ROW(Y7:Y89))+1))),ROW()-ROW(A$93)+1)),"##0"),",",SUBSTITUTE(INDEX(IF(PURCHASE_DESCRIPTION&lt;&gt;"",PURCHASE_DESCRIPTION&amp;":","")&amp;A7:A89,SMALL(IF(ISNUMBER(Y7:Y89),IF(Y7:Y89&gt;0,IF(AB7:AB89&lt;&gt;"",ROW(Y7:Y89)-MIN(ROW(Y7:Y89))+1))),ROW()-ROW(A$93)+1)),",",";"),",",SUBSTITUTE(INDEX(IF(PURCHASE_DESCRIPTION&lt;&gt;"",PURCHASE_DESCRIPTION&amp;":","")&amp;D7:D89,SMALL(IF(ISNUMBER(Y7:Y89),IF(Y7:Y89&gt;0,IF(AB7:AB89&lt;&gt;"",ROW(Y7:Y89)-MIN(ROW(Y7:Y89))+1))),ROW()-ROW(A$93)+1)),",",";"),",",INDEX(AB7:AB89,SMALL(IF(ISNUMBER(Y7:Y89),IF(Y7:Y89&gt;0,IF(AB7:AB89&lt;&gt;"",ROW(Y7:Y89)-MIN(ROW(Y7:Y89))+1))),ROW()-ROW(A$93)+1))),"")</f>
        <v>0</v>
      </c>
      <c r="AD164">
        <f t="array" ref="AD164">IFERROR(CONCATENATE(INDEX(AG7:AG89,SMALL(IF(ISNUMBER(AD7:AD89),IF(AD7:AD89&gt;0,IF(AG7:AG89&lt;&gt;"",ROW(AD7:AD89)-MIN(ROW(AD7:AD89))+1))),ROW()-ROW(A$92)+1)),"|",TEXT(INDEX(AD7:AD89,SMALL(IF(ISNUMBER(AD7:AD89),IF(AD7:AD89&gt;0,IF(AG7:AG89&lt;&gt;"",ROW(AD7:AD89)-MIN(ROW(AD7:AD89))+1))),ROW()-ROW(A$92)+1)),"##0"),"|",SUBSTITUTE(SUBSTITUTE(INDEX(IF(PURCHASE_DESCRIPTION&lt;&gt;"",PURCHASE_DESCRIPTION&amp;":","")&amp;A7:A89,SMALL(IF(ISNUMBER(AD7:AD89),IF(AD7:AD89&gt;0,IF(AG7:AG89&lt;&gt;"",ROW(AD7:AD89)-MIN(ROW(AD7:AD89))+1))),ROW()-ROW(A$92)+1)),"|",";")," ","_")),"")</f>
        <v>0</v>
      </c>
      <c r="AI164">
        <f t="array" ref="AI164">IFERROR(CONCATENATE(INDEX(AL7:AL89,SMALL(IF(ISNUMBER(AI7:AI89),IF(AI7:AI89&gt;0,IF(AL7:AL89&lt;&gt;"",ROW(AI7:AI89)-MIN(ROW(AI7:AI89))+1))),ROW()-ROW(A$92)+1)),",",TEXT(INDEX(AI7:AI89,SMALL(IF(ISNUMBER(AI7:AI89),IF(AI7:AI89&gt;0,IF(AL7:AL89&lt;&gt;"",ROW(AI7:AI89)-MIN(ROW(AI7:AI89))+1))),ROW()-ROW(A$92)+1)),"##0"),",",SUBSTITUTE(INDEX(IF(PURCHASE_DESCRIPTION&lt;&gt;"",PURCHASE_DESCRIPTION&amp;":","")&amp;A7:A89,SMALL(IF(ISNUMBER(AI7:AI89),IF(AI7:AI89&gt;0,IF(AL7:AL89&lt;&gt;"",ROW(AI7:AI89)-MIN(ROW(AI7:AI89))+1))),ROW()-ROW(A$92)+1)),",",";")),"")</f>
        <v>0</v>
      </c>
      <c r="AN164">
        <f t="array" ref="AN164">IFERROR(CONCATENATE(INDEX(AQ7:AQ89,SMALL(IF(ISNUMBER(AN7:AN89),IF(AN7:AN89&gt;0,IF(AQ7:AQ89&lt;&gt;"",ROW(AN7:AN89)-MIN(ROW(AN7:AN89))+1))),ROW()-ROW(A$92)+1))," ",TEXT(INDEX(AN7:AN89,SMALL(IF(ISNUMBER(AN7:AN89),IF(AN7:AN89&gt;0,IF(AQ7:AQ89&lt;&gt;"",ROW(AN7:AN89)-MIN(ROW(AN7:AN89))+1))),ROW()-ROW(A$92)+1)),"##0")," ",SUBSTITUTE(INDEX(IF(PURCHASE_DESCRIPTION&lt;&gt;"",PURCHASE_DESCRIPTION&amp;":","")&amp;A7:A89,SMALL(IF(ISNUMBER(AN7:AN89),IF(AN7:AN89&gt;0,IF(AQ7:AQ89&lt;&gt;"",ROW(AN7:AN89)-MIN(ROW(AN7:AN89))+1))),ROW()-ROW(A$92)+1))," ",";")),"")</f>
        <v>0</v>
      </c>
      <c r="AS164">
        <f t="array" ref="AS164">IFERROR(CONCATENATE(INDEX(AV7:AV89,SMALL(IF(ISNUMBER(AS7:AS89),IF(AS7:AS89&gt;0,IF(AV7:AV89&lt;&gt;"",ROW(AS7:AS89)-MIN(ROW(AS7:AS89))+1))),ROW()-ROW(A$92)+1))," ",TEXT(INDEX(AS7:AS89,SMALL(IF(ISNUMBER(AS7:AS89),IF(AS7:AS89&gt;0,IF(AV7:AV89&lt;&gt;"",ROW(AS7:AS89)-MIN(ROW(AS7:AS89))+1))),ROW()-ROW(A$92)+1)),"##0")," ",SUBSTITUTE(INDEX(IF(PURCHASE_DESCRIPTION&lt;&gt;"",PURCHASE_DESCRIPTION&amp;":","")&amp;A7:A89,SMALL(IF(ISNUMBER(AS7:AS89),IF(AS7:AS89&gt;0,IF(AV7:AV89&lt;&gt;"",ROW(AS7:AS89)-MIN(ROW(AS7:AS89))+1))),ROW()-ROW(A$92)+1))," ",";")),"")</f>
        <v>0</v>
      </c>
    </row>
    <row r="165" spans="10:45">
      <c r="J165">
        <f t="array" ref="J165">IFERROR(CONCATENATE(INDEX(M7:M89,SMALL(IF(ISNUMBER(J7:J89),IF(J7:J89&gt;0,IF(M7:M89&lt;&gt;"",ROW(J7:J89)-MIN(ROW(J7:J89))+1))),ROW()-ROW(A$92)+1)),",",TEXT(INDEX(J7:J89,SMALL(IF(ISNUMBER(J7:J89),IF(J7:J89&gt;0,IF(M7:M89&lt;&gt;"",ROW(J7:J89)-MIN(ROW(J7:J89))+1))),ROW()-ROW(A$92)+1)),"##0"),",",SUBSTITUTE(INDEX(IF(PURCHASE_DESCRIPTION&lt;&gt;"",PURCHASE_DESCRIPTION&amp;":","")&amp;A7:A89,SMALL(IF(ISNUMBER(J7:J89),IF(J7:J89&gt;0,IF(M7:M89&lt;&gt;"",ROW(J7:J89)-MIN(ROW(J7:J89))+1))),ROW()-ROW(A$92)+1)),",",";")),"")</f>
        <v>0</v>
      </c>
      <c r="O165">
        <f t="array" ref="O165">IFERROR(CONCATENATE(TEXT(INDEX(O7:O89,SMALL(IF(ISNUMBER(O7:O89),IF(O7:O89&gt;0,IF(R7:R89&lt;&gt;"",ROW(O7:O89)-MIN(ROW(O7:O89))+1))),ROW()-ROW(A$92)+1)),"##0"),",",INDEX(R7:R89,SMALL(IF(ISNUMBER(O7:O89),IF(O7:O89&gt;0,IF(R7:R89&lt;&gt;"",ROW(O7:O89)-MIN(ROW(O7:O89))+1))),ROW()-ROW(A$92)+1)),",",SUBSTITUTE(INDEX(IF(PURCHASE_DESCRIPTION&lt;&gt;"",PURCHASE_DESCRIPTION&amp;":","")&amp;A7:A89,SMALL(IF(ISNUMBER(O7:O89),IF(O7:O89&gt;0,IF(R7:R89&lt;&gt;"",ROW(O7:O89)-MIN(ROW(O7:O89))+1))),ROW()-ROW(A$92)+1)),",",";")),"")</f>
        <v>0</v>
      </c>
      <c r="T165">
        <f t="array" ref="T165">IFERROR(CONCATENATE(INDEX(W7:W89,SMALL(IF(ISNUMBER(T7:T89),IF(T7:T89&gt;0,IF(W7:W89&lt;&gt;"",ROW(T7:T89)-MIN(ROW(T7:T89))+1))),ROW()-ROW(A$92)+1))," ",TEXT(INDEX(T7:T89,SMALL(IF(ISNUMBER(T7:T89),IF(T7:T89&gt;0,IF(W7:W89&lt;&gt;"",ROW(T7:T89)-MIN(ROW(T7:T89))+1))),ROW()-ROW(A$92)+1)),"##0")," ",SUBSTITUTE(INDEX(IF(PURCHASE_DESCRIPTION&lt;&gt;"",PURCHASE_DESCRIPTION&amp;":","")&amp;A7:A89,SMALL(IF(ISNUMBER(T7:T89),IF(T7:T89&gt;0,IF(W7:W89&lt;&gt;"",ROW(T7:T89)-MIN(ROW(T7:T89))+1))),ROW()-ROW(A$92)+1))," ",";")),"")</f>
        <v>0</v>
      </c>
      <c r="Y165">
        <f t="array" ref="Y165">IFERROR(CONCATENATE(TEXT(INDEX(Y7:Y89,SMALL(IF(ISNUMBER(Y7:Y89),IF(Y7:Y89&gt;0,IF(AB7:AB89&lt;&gt;"",ROW(Y7:Y89)-MIN(ROW(Y7:Y89))+1))),ROW()-ROW(A$93)+1)),"##0"),",",SUBSTITUTE(INDEX(IF(PURCHASE_DESCRIPTION&lt;&gt;"",PURCHASE_DESCRIPTION&amp;":","")&amp;A7:A89,SMALL(IF(ISNUMBER(Y7:Y89),IF(Y7:Y89&gt;0,IF(AB7:AB89&lt;&gt;"",ROW(Y7:Y89)-MIN(ROW(Y7:Y89))+1))),ROW()-ROW(A$93)+1)),",",";"),",",SUBSTITUTE(INDEX(IF(PURCHASE_DESCRIPTION&lt;&gt;"",PURCHASE_DESCRIPTION&amp;":","")&amp;D7:D89,SMALL(IF(ISNUMBER(Y7:Y89),IF(Y7:Y89&gt;0,IF(AB7:AB89&lt;&gt;"",ROW(Y7:Y89)-MIN(ROW(Y7:Y89))+1))),ROW()-ROW(A$93)+1)),",",";"),",",INDEX(AB7:AB89,SMALL(IF(ISNUMBER(Y7:Y89),IF(Y7:Y89&gt;0,IF(AB7:AB89&lt;&gt;"",ROW(Y7:Y89)-MIN(ROW(Y7:Y89))+1))),ROW()-ROW(A$93)+1))),"")</f>
        <v>0</v>
      </c>
      <c r="AD165">
        <f t="array" ref="AD165">IFERROR(CONCATENATE(INDEX(AG7:AG89,SMALL(IF(ISNUMBER(AD7:AD89),IF(AD7:AD89&gt;0,IF(AG7:AG89&lt;&gt;"",ROW(AD7:AD89)-MIN(ROW(AD7:AD89))+1))),ROW()-ROW(A$92)+1)),"|",TEXT(INDEX(AD7:AD89,SMALL(IF(ISNUMBER(AD7:AD89),IF(AD7:AD89&gt;0,IF(AG7:AG89&lt;&gt;"",ROW(AD7:AD89)-MIN(ROW(AD7:AD89))+1))),ROW()-ROW(A$92)+1)),"##0"),"|",SUBSTITUTE(SUBSTITUTE(INDEX(IF(PURCHASE_DESCRIPTION&lt;&gt;"",PURCHASE_DESCRIPTION&amp;":","")&amp;A7:A89,SMALL(IF(ISNUMBER(AD7:AD89),IF(AD7:AD89&gt;0,IF(AG7:AG89&lt;&gt;"",ROW(AD7:AD89)-MIN(ROW(AD7:AD89))+1))),ROW()-ROW(A$92)+1)),"|",";")," ","_")),"")</f>
        <v>0</v>
      </c>
      <c r="AI165">
        <f t="array" ref="AI165">IFERROR(CONCATENATE(INDEX(AL7:AL89,SMALL(IF(ISNUMBER(AI7:AI89),IF(AI7:AI89&gt;0,IF(AL7:AL89&lt;&gt;"",ROW(AI7:AI89)-MIN(ROW(AI7:AI89))+1))),ROW()-ROW(A$92)+1)),",",TEXT(INDEX(AI7:AI89,SMALL(IF(ISNUMBER(AI7:AI89),IF(AI7:AI89&gt;0,IF(AL7:AL89&lt;&gt;"",ROW(AI7:AI89)-MIN(ROW(AI7:AI89))+1))),ROW()-ROW(A$92)+1)),"##0"),",",SUBSTITUTE(INDEX(IF(PURCHASE_DESCRIPTION&lt;&gt;"",PURCHASE_DESCRIPTION&amp;":","")&amp;A7:A89,SMALL(IF(ISNUMBER(AI7:AI89),IF(AI7:AI89&gt;0,IF(AL7:AL89&lt;&gt;"",ROW(AI7:AI89)-MIN(ROW(AI7:AI89))+1))),ROW()-ROW(A$92)+1)),",",";")),"")</f>
        <v>0</v>
      </c>
      <c r="AN165">
        <f t="array" ref="AN165">IFERROR(CONCATENATE(INDEX(AQ7:AQ89,SMALL(IF(ISNUMBER(AN7:AN89),IF(AN7:AN89&gt;0,IF(AQ7:AQ89&lt;&gt;"",ROW(AN7:AN89)-MIN(ROW(AN7:AN89))+1))),ROW()-ROW(A$92)+1))," ",TEXT(INDEX(AN7:AN89,SMALL(IF(ISNUMBER(AN7:AN89),IF(AN7:AN89&gt;0,IF(AQ7:AQ89&lt;&gt;"",ROW(AN7:AN89)-MIN(ROW(AN7:AN89))+1))),ROW()-ROW(A$92)+1)),"##0")," ",SUBSTITUTE(INDEX(IF(PURCHASE_DESCRIPTION&lt;&gt;"",PURCHASE_DESCRIPTION&amp;":","")&amp;A7:A89,SMALL(IF(ISNUMBER(AN7:AN89),IF(AN7:AN89&gt;0,IF(AQ7:AQ89&lt;&gt;"",ROW(AN7:AN89)-MIN(ROW(AN7:AN89))+1))),ROW()-ROW(A$92)+1))," ",";")),"")</f>
        <v>0</v>
      </c>
      <c r="AS165">
        <f t="array" ref="AS165">IFERROR(CONCATENATE(INDEX(AV7:AV89,SMALL(IF(ISNUMBER(AS7:AS89),IF(AS7:AS89&gt;0,IF(AV7:AV89&lt;&gt;"",ROW(AS7:AS89)-MIN(ROW(AS7:AS89))+1))),ROW()-ROW(A$92)+1))," ",TEXT(INDEX(AS7:AS89,SMALL(IF(ISNUMBER(AS7:AS89),IF(AS7:AS89&gt;0,IF(AV7:AV89&lt;&gt;"",ROW(AS7:AS89)-MIN(ROW(AS7:AS89))+1))),ROW()-ROW(A$92)+1)),"##0")," ",SUBSTITUTE(INDEX(IF(PURCHASE_DESCRIPTION&lt;&gt;"",PURCHASE_DESCRIPTION&amp;":","")&amp;A7:A89,SMALL(IF(ISNUMBER(AS7:AS89),IF(AS7:AS89&gt;0,IF(AV7:AV89&lt;&gt;"",ROW(AS7:AS89)-MIN(ROW(AS7:AS89))+1))),ROW()-ROW(A$92)+1))," ",";")),"")</f>
        <v>0</v>
      </c>
    </row>
    <row r="166" spans="10:45">
      <c r="J166">
        <f t="array" ref="J166">IFERROR(CONCATENATE(INDEX(M7:M89,SMALL(IF(ISNUMBER(J7:J89),IF(J7:J89&gt;0,IF(M7:M89&lt;&gt;"",ROW(J7:J89)-MIN(ROW(J7:J89))+1))),ROW()-ROW(A$92)+1)),",",TEXT(INDEX(J7:J89,SMALL(IF(ISNUMBER(J7:J89),IF(J7:J89&gt;0,IF(M7:M89&lt;&gt;"",ROW(J7:J89)-MIN(ROW(J7:J89))+1))),ROW()-ROW(A$92)+1)),"##0"),",",SUBSTITUTE(INDEX(IF(PURCHASE_DESCRIPTION&lt;&gt;"",PURCHASE_DESCRIPTION&amp;":","")&amp;A7:A89,SMALL(IF(ISNUMBER(J7:J89),IF(J7:J89&gt;0,IF(M7:M89&lt;&gt;"",ROW(J7:J89)-MIN(ROW(J7:J89))+1))),ROW()-ROW(A$92)+1)),",",";")),"")</f>
        <v>0</v>
      </c>
      <c r="O166">
        <f t="array" ref="O166">IFERROR(CONCATENATE(TEXT(INDEX(O7:O89,SMALL(IF(ISNUMBER(O7:O89),IF(O7:O89&gt;0,IF(R7:R89&lt;&gt;"",ROW(O7:O89)-MIN(ROW(O7:O89))+1))),ROW()-ROW(A$92)+1)),"##0"),",",INDEX(R7:R89,SMALL(IF(ISNUMBER(O7:O89),IF(O7:O89&gt;0,IF(R7:R89&lt;&gt;"",ROW(O7:O89)-MIN(ROW(O7:O89))+1))),ROW()-ROW(A$92)+1)),",",SUBSTITUTE(INDEX(IF(PURCHASE_DESCRIPTION&lt;&gt;"",PURCHASE_DESCRIPTION&amp;":","")&amp;A7:A89,SMALL(IF(ISNUMBER(O7:O89),IF(O7:O89&gt;0,IF(R7:R89&lt;&gt;"",ROW(O7:O89)-MIN(ROW(O7:O89))+1))),ROW()-ROW(A$92)+1)),",",";")),"")</f>
        <v>0</v>
      </c>
      <c r="T166">
        <f t="array" ref="T166">IFERROR(CONCATENATE(INDEX(W7:W89,SMALL(IF(ISNUMBER(T7:T89),IF(T7:T89&gt;0,IF(W7:W89&lt;&gt;"",ROW(T7:T89)-MIN(ROW(T7:T89))+1))),ROW()-ROW(A$92)+1))," ",TEXT(INDEX(T7:T89,SMALL(IF(ISNUMBER(T7:T89),IF(T7:T89&gt;0,IF(W7:W89&lt;&gt;"",ROW(T7:T89)-MIN(ROW(T7:T89))+1))),ROW()-ROW(A$92)+1)),"##0")," ",SUBSTITUTE(INDEX(IF(PURCHASE_DESCRIPTION&lt;&gt;"",PURCHASE_DESCRIPTION&amp;":","")&amp;A7:A89,SMALL(IF(ISNUMBER(T7:T89),IF(T7:T89&gt;0,IF(W7:W89&lt;&gt;"",ROW(T7:T89)-MIN(ROW(T7:T89))+1))),ROW()-ROW(A$92)+1))," ",";")),"")</f>
        <v>0</v>
      </c>
      <c r="Y166">
        <f t="array" ref="Y166">IFERROR(CONCATENATE(TEXT(INDEX(Y7:Y89,SMALL(IF(ISNUMBER(Y7:Y89),IF(Y7:Y89&gt;0,IF(AB7:AB89&lt;&gt;"",ROW(Y7:Y89)-MIN(ROW(Y7:Y89))+1))),ROW()-ROW(A$93)+1)),"##0"),",",SUBSTITUTE(INDEX(IF(PURCHASE_DESCRIPTION&lt;&gt;"",PURCHASE_DESCRIPTION&amp;":","")&amp;A7:A89,SMALL(IF(ISNUMBER(Y7:Y89),IF(Y7:Y89&gt;0,IF(AB7:AB89&lt;&gt;"",ROW(Y7:Y89)-MIN(ROW(Y7:Y89))+1))),ROW()-ROW(A$93)+1)),",",";"),",",SUBSTITUTE(INDEX(IF(PURCHASE_DESCRIPTION&lt;&gt;"",PURCHASE_DESCRIPTION&amp;":","")&amp;D7:D89,SMALL(IF(ISNUMBER(Y7:Y89),IF(Y7:Y89&gt;0,IF(AB7:AB89&lt;&gt;"",ROW(Y7:Y89)-MIN(ROW(Y7:Y89))+1))),ROW()-ROW(A$93)+1)),",",";"),",",INDEX(AB7:AB89,SMALL(IF(ISNUMBER(Y7:Y89),IF(Y7:Y89&gt;0,IF(AB7:AB89&lt;&gt;"",ROW(Y7:Y89)-MIN(ROW(Y7:Y89))+1))),ROW()-ROW(A$93)+1))),"")</f>
        <v>0</v>
      </c>
      <c r="AD166">
        <f t="array" ref="AD166">IFERROR(CONCATENATE(INDEX(AG7:AG89,SMALL(IF(ISNUMBER(AD7:AD89),IF(AD7:AD89&gt;0,IF(AG7:AG89&lt;&gt;"",ROW(AD7:AD89)-MIN(ROW(AD7:AD89))+1))),ROW()-ROW(A$92)+1)),"|",TEXT(INDEX(AD7:AD89,SMALL(IF(ISNUMBER(AD7:AD89),IF(AD7:AD89&gt;0,IF(AG7:AG89&lt;&gt;"",ROW(AD7:AD89)-MIN(ROW(AD7:AD89))+1))),ROW()-ROW(A$92)+1)),"##0"),"|",SUBSTITUTE(SUBSTITUTE(INDEX(IF(PURCHASE_DESCRIPTION&lt;&gt;"",PURCHASE_DESCRIPTION&amp;":","")&amp;A7:A89,SMALL(IF(ISNUMBER(AD7:AD89),IF(AD7:AD89&gt;0,IF(AG7:AG89&lt;&gt;"",ROW(AD7:AD89)-MIN(ROW(AD7:AD89))+1))),ROW()-ROW(A$92)+1)),"|",";")," ","_")),"")</f>
        <v>0</v>
      </c>
      <c r="AI166">
        <f t="array" ref="AI166">IFERROR(CONCATENATE(INDEX(AL7:AL89,SMALL(IF(ISNUMBER(AI7:AI89),IF(AI7:AI89&gt;0,IF(AL7:AL89&lt;&gt;"",ROW(AI7:AI89)-MIN(ROW(AI7:AI89))+1))),ROW()-ROW(A$92)+1)),",",TEXT(INDEX(AI7:AI89,SMALL(IF(ISNUMBER(AI7:AI89),IF(AI7:AI89&gt;0,IF(AL7:AL89&lt;&gt;"",ROW(AI7:AI89)-MIN(ROW(AI7:AI89))+1))),ROW()-ROW(A$92)+1)),"##0"),",",SUBSTITUTE(INDEX(IF(PURCHASE_DESCRIPTION&lt;&gt;"",PURCHASE_DESCRIPTION&amp;":","")&amp;A7:A89,SMALL(IF(ISNUMBER(AI7:AI89),IF(AI7:AI89&gt;0,IF(AL7:AL89&lt;&gt;"",ROW(AI7:AI89)-MIN(ROW(AI7:AI89))+1))),ROW()-ROW(A$92)+1)),",",";")),"")</f>
        <v>0</v>
      </c>
      <c r="AN166">
        <f t="array" ref="AN166">IFERROR(CONCATENATE(INDEX(AQ7:AQ89,SMALL(IF(ISNUMBER(AN7:AN89),IF(AN7:AN89&gt;0,IF(AQ7:AQ89&lt;&gt;"",ROW(AN7:AN89)-MIN(ROW(AN7:AN89))+1))),ROW()-ROW(A$92)+1))," ",TEXT(INDEX(AN7:AN89,SMALL(IF(ISNUMBER(AN7:AN89),IF(AN7:AN89&gt;0,IF(AQ7:AQ89&lt;&gt;"",ROW(AN7:AN89)-MIN(ROW(AN7:AN89))+1))),ROW()-ROW(A$92)+1)),"##0")," ",SUBSTITUTE(INDEX(IF(PURCHASE_DESCRIPTION&lt;&gt;"",PURCHASE_DESCRIPTION&amp;":","")&amp;A7:A89,SMALL(IF(ISNUMBER(AN7:AN89),IF(AN7:AN89&gt;0,IF(AQ7:AQ89&lt;&gt;"",ROW(AN7:AN89)-MIN(ROW(AN7:AN89))+1))),ROW()-ROW(A$92)+1))," ",";")),"")</f>
        <v>0</v>
      </c>
      <c r="AS166">
        <f t="array" ref="AS166">IFERROR(CONCATENATE(INDEX(AV7:AV89,SMALL(IF(ISNUMBER(AS7:AS89),IF(AS7:AS89&gt;0,IF(AV7:AV89&lt;&gt;"",ROW(AS7:AS89)-MIN(ROW(AS7:AS89))+1))),ROW()-ROW(A$92)+1))," ",TEXT(INDEX(AS7:AS89,SMALL(IF(ISNUMBER(AS7:AS89),IF(AS7:AS89&gt;0,IF(AV7:AV89&lt;&gt;"",ROW(AS7:AS89)-MIN(ROW(AS7:AS89))+1))),ROW()-ROW(A$92)+1)),"##0")," ",SUBSTITUTE(INDEX(IF(PURCHASE_DESCRIPTION&lt;&gt;"",PURCHASE_DESCRIPTION&amp;":","")&amp;A7:A89,SMALL(IF(ISNUMBER(AS7:AS89),IF(AS7:AS89&gt;0,IF(AV7:AV89&lt;&gt;"",ROW(AS7:AS89)-MIN(ROW(AS7:AS89))+1))),ROW()-ROW(A$92)+1))," ",";")),"")</f>
        <v>0</v>
      </c>
    </row>
    <row r="167" spans="10:45">
      <c r="J167">
        <f t="array" ref="J167">IFERROR(CONCATENATE(INDEX(M7:M89,SMALL(IF(ISNUMBER(J7:J89),IF(J7:J89&gt;0,IF(M7:M89&lt;&gt;"",ROW(J7:J89)-MIN(ROW(J7:J89))+1))),ROW()-ROW(A$92)+1)),",",TEXT(INDEX(J7:J89,SMALL(IF(ISNUMBER(J7:J89),IF(J7:J89&gt;0,IF(M7:M89&lt;&gt;"",ROW(J7:J89)-MIN(ROW(J7:J89))+1))),ROW()-ROW(A$92)+1)),"##0"),",",SUBSTITUTE(INDEX(IF(PURCHASE_DESCRIPTION&lt;&gt;"",PURCHASE_DESCRIPTION&amp;":","")&amp;A7:A89,SMALL(IF(ISNUMBER(J7:J89),IF(J7:J89&gt;0,IF(M7:M89&lt;&gt;"",ROW(J7:J89)-MIN(ROW(J7:J89))+1))),ROW()-ROW(A$92)+1)),",",";")),"")</f>
        <v>0</v>
      </c>
      <c r="O167">
        <f t="array" ref="O167">IFERROR(CONCATENATE(TEXT(INDEX(O7:O89,SMALL(IF(ISNUMBER(O7:O89),IF(O7:O89&gt;0,IF(R7:R89&lt;&gt;"",ROW(O7:O89)-MIN(ROW(O7:O89))+1))),ROW()-ROW(A$92)+1)),"##0"),",",INDEX(R7:R89,SMALL(IF(ISNUMBER(O7:O89),IF(O7:O89&gt;0,IF(R7:R89&lt;&gt;"",ROW(O7:O89)-MIN(ROW(O7:O89))+1))),ROW()-ROW(A$92)+1)),",",SUBSTITUTE(INDEX(IF(PURCHASE_DESCRIPTION&lt;&gt;"",PURCHASE_DESCRIPTION&amp;":","")&amp;A7:A89,SMALL(IF(ISNUMBER(O7:O89),IF(O7:O89&gt;0,IF(R7:R89&lt;&gt;"",ROW(O7:O89)-MIN(ROW(O7:O89))+1))),ROW()-ROW(A$92)+1)),",",";")),"")</f>
        <v>0</v>
      </c>
      <c r="T167">
        <f t="array" ref="T167">IFERROR(CONCATENATE(INDEX(W7:W89,SMALL(IF(ISNUMBER(T7:T89),IF(T7:T89&gt;0,IF(W7:W89&lt;&gt;"",ROW(T7:T89)-MIN(ROW(T7:T89))+1))),ROW()-ROW(A$92)+1))," ",TEXT(INDEX(T7:T89,SMALL(IF(ISNUMBER(T7:T89),IF(T7:T89&gt;0,IF(W7:W89&lt;&gt;"",ROW(T7:T89)-MIN(ROW(T7:T89))+1))),ROW()-ROW(A$92)+1)),"##0")," ",SUBSTITUTE(INDEX(IF(PURCHASE_DESCRIPTION&lt;&gt;"",PURCHASE_DESCRIPTION&amp;":","")&amp;A7:A89,SMALL(IF(ISNUMBER(T7:T89),IF(T7:T89&gt;0,IF(W7:W89&lt;&gt;"",ROW(T7:T89)-MIN(ROW(T7:T89))+1))),ROW()-ROW(A$92)+1))," ",";")),"")</f>
        <v>0</v>
      </c>
      <c r="Y167">
        <f t="array" ref="Y167">IFERROR(CONCATENATE(TEXT(INDEX(Y7:Y89,SMALL(IF(ISNUMBER(Y7:Y89),IF(Y7:Y89&gt;0,IF(AB7:AB89&lt;&gt;"",ROW(Y7:Y89)-MIN(ROW(Y7:Y89))+1))),ROW()-ROW(A$93)+1)),"##0"),",",SUBSTITUTE(INDEX(IF(PURCHASE_DESCRIPTION&lt;&gt;"",PURCHASE_DESCRIPTION&amp;":","")&amp;A7:A89,SMALL(IF(ISNUMBER(Y7:Y89),IF(Y7:Y89&gt;0,IF(AB7:AB89&lt;&gt;"",ROW(Y7:Y89)-MIN(ROW(Y7:Y89))+1))),ROW()-ROW(A$93)+1)),",",";"),",",SUBSTITUTE(INDEX(IF(PURCHASE_DESCRIPTION&lt;&gt;"",PURCHASE_DESCRIPTION&amp;":","")&amp;D7:D89,SMALL(IF(ISNUMBER(Y7:Y89),IF(Y7:Y89&gt;0,IF(AB7:AB89&lt;&gt;"",ROW(Y7:Y89)-MIN(ROW(Y7:Y89))+1))),ROW()-ROW(A$93)+1)),",",";"),",",INDEX(AB7:AB89,SMALL(IF(ISNUMBER(Y7:Y89),IF(Y7:Y89&gt;0,IF(AB7:AB89&lt;&gt;"",ROW(Y7:Y89)-MIN(ROW(Y7:Y89))+1))),ROW()-ROW(A$93)+1))),"")</f>
        <v>0</v>
      </c>
      <c r="AD167">
        <f t="array" ref="AD167">IFERROR(CONCATENATE(INDEX(AG7:AG89,SMALL(IF(ISNUMBER(AD7:AD89),IF(AD7:AD89&gt;0,IF(AG7:AG89&lt;&gt;"",ROW(AD7:AD89)-MIN(ROW(AD7:AD89))+1))),ROW()-ROW(A$92)+1)),"|",TEXT(INDEX(AD7:AD89,SMALL(IF(ISNUMBER(AD7:AD89),IF(AD7:AD89&gt;0,IF(AG7:AG89&lt;&gt;"",ROW(AD7:AD89)-MIN(ROW(AD7:AD89))+1))),ROW()-ROW(A$92)+1)),"##0"),"|",SUBSTITUTE(SUBSTITUTE(INDEX(IF(PURCHASE_DESCRIPTION&lt;&gt;"",PURCHASE_DESCRIPTION&amp;":","")&amp;A7:A89,SMALL(IF(ISNUMBER(AD7:AD89),IF(AD7:AD89&gt;0,IF(AG7:AG89&lt;&gt;"",ROW(AD7:AD89)-MIN(ROW(AD7:AD89))+1))),ROW()-ROW(A$92)+1)),"|",";")," ","_")),"")</f>
        <v>0</v>
      </c>
      <c r="AI167">
        <f t="array" ref="AI167">IFERROR(CONCATENATE(INDEX(AL7:AL89,SMALL(IF(ISNUMBER(AI7:AI89),IF(AI7:AI89&gt;0,IF(AL7:AL89&lt;&gt;"",ROW(AI7:AI89)-MIN(ROW(AI7:AI89))+1))),ROW()-ROW(A$92)+1)),",",TEXT(INDEX(AI7:AI89,SMALL(IF(ISNUMBER(AI7:AI89),IF(AI7:AI89&gt;0,IF(AL7:AL89&lt;&gt;"",ROW(AI7:AI89)-MIN(ROW(AI7:AI89))+1))),ROW()-ROW(A$92)+1)),"##0"),",",SUBSTITUTE(INDEX(IF(PURCHASE_DESCRIPTION&lt;&gt;"",PURCHASE_DESCRIPTION&amp;":","")&amp;A7:A89,SMALL(IF(ISNUMBER(AI7:AI89),IF(AI7:AI89&gt;0,IF(AL7:AL89&lt;&gt;"",ROW(AI7:AI89)-MIN(ROW(AI7:AI89))+1))),ROW()-ROW(A$92)+1)),",",";")),"")</f>
        <v>0</v>
      </c>
      <c r="AN167">
        <f t="array" ref="AN167">IFERROR(CONCATENATE(INDEX(AQ7:AQ89,SMALL(IF(ISNUMBER(AN7:AN89),IF(AN7:AN89&gt;0,IF(AQ7:AQ89&lt;&gt;"",ROW(AN7:AN89)-MIN(ROW(AN7:AN89))+1))),ROW()-ROW(A$92)+1))," ",TEXT(INDEX(AN7:AN89,SMALL(IF(ISNUMBER(AN7:AN89),IF(AN7:AN89&gt;0,IF(AQ7:AQ89&lt;&gt;"",ROW(AN7:AN89)-MIN(ROW(AN7:AN89))+1))),ROW()-ROW(A$92)+1)),"##0")," ",SUBSTITUTE(INDEX(IF(PURCHASE_DESCRIPTION&lt;&gt;"",PURCHASE_DESCRIPTION&amp;":","")&amp;A7:A89,SMALL(IF(ISNUMBER(AN7:AN89),IF(AN7:AN89&gt;0,IF(AQ7:AQ89&lt;&gt;"",ROW(AN7:AN89)-MIN(ROW(AN7:AN89))+1))),ROW()-ROW(A$92)+1))," ",";")),"")</f>
        <v>0</v>
      </c>
      <c r="AS167">
        <f t="array" ref="AS167">IFERROR(CONCATENATE(INDEX(AV7:AV89,SMALL(IF(ISNUMBER(AS7:AS89),IF(AS7:AS89&gt;0,IF(AV7:AV89&lt;&gt;"",ROW(AS7:AS89)-MIN(ROW(AS7:AS89))+1))),ROW()-ROW(A$92)+1))," ",TEXT(INDEX(AS7:AS89,SMALL(IF(ISNUMBER(AS7:AS89),IF(AS7:AS89&gt;0,IF(AV7:AV89&lt;&gt;"",ROW(AS7:AS89)-MIN(ROW(AS7:AS89))+1))),ROW()-ROW(A$92)+1)),"##0")," ",SUBSTITUTE(INDEX(IF(PURCHASE_DESCRIPTION&lt;&gt;"",PURCHASE_DESCRIPTION&amp;":","")&amp;A7:A89,SMALL(IF(ISNUMBER(AS7:AS89),IF(AS7:AS89&gt;0,IF(AV7:AV89&lt;&gt;"",ROW(AS7:AS89)-MIN(ROW(AS7:AS89))+1))),ROW()-ROW(A$92)+1))," ",";")),"")</f>
        <v>0</v>
      </c>
    </row>
    <row r="168" spans="10:45">
      <c r="J168">
        <f t="array" ref="J168">IFERROR(CONCATENATE(INDEX(M7:M89,SMALL(IF(ISNUMBER(J7:J89),IF(J7:J89&gt;0,IF(M7:M89&lt;&gt;"",ROW(J7:J89)-MIN(ROW(J7:J89))+1))),ROW()-ROW(A$92)+1)),",",TEXT(INDEX(J7:J89,SMALL(IF(ISNUMBER(J7:J89),IF(J7:J89&gt;0,IF(M7:M89&lt;&gt;"",ROW(J7:J89)-MIN(ROW(J7:J89))+1))),ROW()-ROW(A$92)+1)),"##0"),",",SUBSTITUTE(INDEX(IF(PURCHASE_DESCRIPTION&lt;&gt;"",PURCHASE_DESCRIPTION&amp;":","")&amp;A7:A89,SMALL(IF(ISNUMBER(J7:J89),IF(J7:J89&gt;0,IF(M7:M89&lt;&gt;"",ROW(J7:J89)-MIN(ROW(J7:J89))+1))),ROW()-ROW(A$92)+1)),",",";")),"")</f>
        <v>0</v>
      </c>
      <c r="O168">
        <f t="array" ref="O168">IFERROR(CONCATENATE(TEXT(INDEX(O7:O89,SMALL(IF(ISNUMBER(O7:O89),IF(O7:O89&gt;0,IF(R7:R89&lt;&gt;"",ROW(O7:O89)-MIN(ROW(O7:O89))+1))),ROW()-ROW(A$92)+1)),"##0"),",",INDEX(R7:R89,SMALL(IF(ISNUMBER(O7:O89),IF(O7:O89&gt;0,IF(R7:R89&lt;&gt;"",ROW(O7:O89)-MIN(ROW(O7:O89))+1))),ROW()-ROW(A$92)+1)),",",SUBSTITUTE(INDEX(IF(PURCHASE_DESCRIPTION&lt;&gt;"",PURCHASE_DESCRIPTION&amp;":","")&amp;A7:A89,SMALL(IF(ISNUMBER(O7:O89),IF(O7:O89&gt;0,IF(R7:R89&lt;&gt;"",ROW(O7:O89)-MIN(ROW(O7:O89))+1))),ROW()-ROW(A$92)+1)),",",";")),"")</f>
        <v>0</v>
      </c>
      <c r="T168">
        <f t="array" ref="T168">IFERROR(CONCATENATE(INDEX(W7:W89,SMALL(IF(ISNUMBER(T7:T89),IF(T7:T89&gt;0,IF(W7:W89&lt;&gt;"",ROW(T7:T89)-MIN(ROW(T7:T89))+1))),ROW()-ROW(A$92)+1))," ",TEXT(INDEX(T7:T89,SMALL(IF(ISNUMBER(T7:T89),IF(T7:T89&gt;0,IF(W7:W89&lt;&gt;"",ROW(T7:T89)-MIN(ROW(T7:T89))+1))),ROW()-ROW(A$92)+1)),"##0")," ",SUBSTITUTE(INDEX(IF(PURCHASE_DESCRIPTION&lt;&gt;"",PURCHASE_DESCRIPTION&amp;":","")&amp;A7:A89,SMALL(IF(ISNUMBER(T7:T89),IF(T7:T89&gt;0,IF(W7:W89&lt;&gt;"",ROW(T7:T89)-MIN(ROW(T7:T89))+1))),ROW()-ROW(A$92)+1))," ",";")),"")</f>
        <v>0</v>
      </c>
      <c r="Y168">
        <f t="array" ref="Y168">IFERROR(CONCATENATE(TEXT(INDEX(Y7:Y89,SMALL(IF(ISNUMBER(Y7:Y89),IF(Y7:Y89&gt;0,IF(AB7:AB89&lt;&gt;"",ROW(Y7:Y89)-MIN(ROW(Y7:Y89))+1))),ROW()-ROW(A$93)+1)),"##0"),",",SUBSTITUTE(INDEX(IF(PURCHASE_DESCRIPTION&lt;&gt;"",PURCHASE_DESCRIPTION&amp;":","")&amp;A7:A89,SMALL(IF(ISNUMBER(Y7:Y89),IF(Y7:Y89&gt;0,IF(AB7:AB89&lt;&gt;"",ROW(Y7:Y89)-MIN(ROW(Y7:Y89))+1))),ROW()-ROW(A$93)+1)),",",";"),",",SUBSTITUTE(INDEX(IF(PURCHASE_DESCRIPTION&lt;&gt;"",PURCHASE_DESCRIPTION&amp;":","")&amp;D7:D89,SMALL(IF(ISNUMBER(Y7:Y89),IF(Y7:Y89&gt;0,IF(AB7:AB89&lt;&gt;"",ROW(Y7:Y89)-MIN(ROW(Y7:Y89))+1))),ROW()-ROW(A$93)+1)),",",";"),",",INDEX(AB7:AB89,SMALL(IF(ISNUMBER(Y7:Y89),IF(Y7:Y89&gt;0,IF(AB7:AB89&lt;&gt;"",ROW(Y7:Y89)-MIN(ROW(Y7:Y89))+1))),ROW()-ROW(A$93)+1))),"")</f>
        <v>0</v>
      </c>
      <c r="AD168">
        <f t="array" ref="AD168">IFERROR(CONCATENATE(INDEX(AG7:AG89,SMALL(IF(ISNUMBER(AD7:AD89),IF(AD7:AD89&gt;0,IF(AG7:AG89&lt;&gt;"",ROW(AD7:AD89)-MIN(ROW(AD7:AD89))+1))),ROW()-ROW(A$92)+1)),"|",TEXT(INDEX(AD7:AD89,SMALL(IF(ISNUMBER(AD7:AD89),IF(AD7:AD89&gt;0,IF(AG7:AG89&lt;&gt;"",ROW(AD7:AD89)-MIN(ROW(AD7:AD89))+1))),ROW()-ROW(A$92)+1)),"##0"),"|",SUBSTITUTE(SUBSTITUTE(INDEX(IF(PURCHASE_DESCRIPTION&lt;&gt;"",PURCHASE_DESCRIPTION&amp;":","")&amp;A7:A89,SMALL(IF(ISNUMBER(AD7:AD89),IF(AD7:AD89&gt;0,IF(AG7:AG89&lt;&gt;"",ROW(AD7:AD89)-MIN(ROW(AD7:AD89))+1))),ROW()-ROW(A$92)+1)),"|",";")," ","_")),"")</f>
        <v>0</v>
      </c>
      <c r="AI168">
        <f t="array" ref="AI168">IFERROR(CONCATENATE(INDEX(AL7:AL89,SMALL(IF(ISNUMBER(AI7:AI89),IF(AI7:AI89&gt;0,IF(AL7:AL89&lt;&gt;"",ROW(AI7:AI89)-MIN(ROW(AI7:AI89))+1))),ROW()-ROW(A$92)+1)),",",TEXT(INDEX(AI7:AI89,SMALL(IF(ISNUMBER(AI7:AI89),IF(AI7:AI89&gt;0,IF(AL7:AL89&lt;&gt;"",ROW(AI7:AI89)-MIN(ROW(AI7:AI89))+1))),ROW()-ROW(A$92)+1)),"##0"),",",SUBSTITUTE(INDEX(IF(PURCHASE_DESCRIPTION&lt;&gt;"",PURCHASE_DESCRIPTION&amp;":","")&amp;A7:A89,SMALL(IF(ISNUMBER(AI7:AI89),IF(AI7:AI89&gt;0,IF(AL7:AL89&lt;&gt;"",ROW(AI7:AI89)-MIN(ROW(AI7:AI89))+1))),ROW()-ROW(A$92)+1)),",",";")),"")</f>
        <v>0</v>
      </c>
      <c r="AN168">
        <f t="array" ref="AN168">IFERROR(CONCATENATE(INDEX(AQ7:AQ89,SMALL(IF(ISNUMBER(AN7:AN89),IF(AN7:AN89&gt;0,IF(AQ7:AQ89&lt;&gt;"",ROW(AN7:AN89)-MIN(ROW(AN7:AN89))+1))),ROW()-ROW(A$92)+1))," ",TEXT(INDEX(AN7:AN89,SMALL(IF(ISNUMBER(AN7:AN89),IF(AN7:AN89&gt;0,IF(AQ7:AQ89&lt;&gt;"",ROW(AN7:AN89)-MIN(ROW(AN7:AN89))+1))),ROW()-ROW(A$92)+1)),"##0")," ",SUBSTITUTE(INDEX(IF(PURCHASE_DESCRIPTION&lt;&gt;"",PURCHASE_DESCRIPTION&amp;":","")&amp;A7:A89,SMALL(IF(ISNUMBER(AN7:AN89),IF(AN7:AN89&gt;0,IF(AQ7:AQ89&lt;&gt;"",ROW(AN7:AN89)-MIN(ROW(AN7:AN89))+1))),ROW()-ROW(A$92)+1))," ",";")),"")</f>
        <v>0</v>
      </c>
      <c r="AS168">
        <f t="array" ref="AS168">IFERROR(CONCATENATE(INDEX(AV7:AV89,SMALL(IF(ISNUMBER(AS7:AS89),IF(AS7:AS89&gt;0,IF(AV7:AV89&lt;&gt;"",ROW(AS7:AS89)-MIN(ROW(AS7:AS89))+1))),ROW()-ROW(A$92)+1))," ",TEXT(INDEX(AS7:AS89,SMALL(IF(ISNUMBER(AS7:AS89),IF(AS7:AS89&gt;0,IF(AV7:AV89&lt;&gt;"",ROW(AS7:AS89)-MIN(ROW(AS7:AS89))+1))),ROW()-ROW(A$92)+1)),"##0")," ",SUBSTITUTE(INDEX(IF(PURCHASE_DESCRIPTION&lt;&gt;"",PURCHASE_DESCRIPTION&amp;":","")&amp;A7:A89,SMALL(IF(ISNUMBER(AS7:AS89),IF(AS7:AS89&gt;0,IF(AV7:AV89&lt;&gt;"",ROW(AS7:AS89)-MIN(ROW(AS7:AS89))+1))),ROW()-ROW(A$92)+1))," ",";")),"")</f>
        <v>0</v>
      </c>
    </row>
    <row r="169" spans="10:45">
      <c r="J169">
        <f t="array" ref="J169">IFERROR(CONCATENATE(INDEX(M7:M89,SMALL(IF(ISNUMBER(J7:J89),IF(J7:J89&gt;0,IF(M7:M89&lt;&gt;"",ROW(J7:J89)-MIN(ROW(J7:J89))+1))),ROW()-ROW(A$92)+1)),",",TEXT(INDEX(J7:J89,SMALL(IF(ISNUMBER(J7:J89),IF(J7:J89&gt;0,IF(M7:M89&lt;&gt;"",ROW(J7:J89)-MIN(ROW(J7:J89))+1))),ROW()-ROW(A$92)+1)),"##0"),",",SUBSTITUTE(INDEX(IF(PURCHASE_DESCRIPTION&lt;&gt;"",PURCHASE_DESCRIPTION&amp;":","")&amp;A7:A89,SMALL(IF(ISNUMBER(J7:J89),IF(J7:J89&gt;0,IF(M7:M89&lt;&gt;"",ROW(J7:J89)-MIN(ROW(J7:J89))+1))),ROW()-ROW(A$92)+1)),",",";")),"")</f>
        <v>0</v>
      </c>
      <c r="O169">
        <f t="array" ref="O169">IFERROR(CONCATENATE(TEXT(INDEX(O7:O89,SMALL(IF(ISNUMBER(O7:O89),IF(O7:O89&gt;0,IF(R7:R89&lt;&gt;"",ROW(O7:O89)-MIN(ROW(O7:O89))+1))),ROW()-ROW(A$92)+1)),"##0"),",",INDEX(R7:R89,SMALL(IF(ISNUMBER(O7:O89),IF(O7:O89&gt;0,IF(R7:R89&lt;&gt;"",ROW(O7:O89)-MIN(ROW(O7:O89))+1))),ROW()-ROW(A$92)+1)),",",SUBSTITUTE(INDEX(IF(PURCHASE_DESCRIPTION&lt;&gt;"",PURCHASE_DESCRIPTION&amp;":","")&amp;A7:A89,SMALL(IF(ISNUMBER(O7:O89),IF(O7:O89&gt;0,IF(R7:R89&lt;&gt;"",ROW(O7:O89)-MIN(ROW(O7:O89))+1))),ROW()-ROW(A$92)+1)),",",";")),"")</f>
        <v>0</v>
      </c>
      <c r="T169">
        <f t="array" ref="T169">IFERROR(CONCATENATE(INDEX(W7:W89,SMALL(IF(ISNUMBER(T7:T89),IF(T7:T89&gt;0,IF(W7:W89&lt;&gt;"",ROW(T7:T89)-MIN(ROW(T7:T89))+1))),ROW()-ROW(A$92)+1))," ",TEXT(INDEX(T7:T89,SMALL(IF(ISNUMBER(T7:T89),IF(T7:T89&gt;0,IF(W7:W89&lt;&gt;"",ROW(T7:T89)-MIN(ROW(T7:T89))+1))),ROW()-ROW(A$92)+1)),"##0")," ",SUBSTITUTE(INDEX(IF(PURCHASE_DESCRIPTION&lt;&gt;"",PURCHASE_DESCRIPTION&amp;":","")&amp;A7:A89,SMALL(IF(ISNUMBER(T7:T89),IF(T7:T89&gt;0,IF(W7:W89&lt;&gt;"",ROW(T7:T89)-MIN(ROW(T7:T89))+1))),ROW()-ROW(A$92)+1))," ",";")),"")</f>
        <v>0</v>
      </c>
      <c r="Y169">
        <f t="array" ref="Y169">IFERROR(CONCATENATE(TEXT(INDEX(Y7:Y89,SMALL(IF(ISNUMBER(Y7:Y89),IF(Y7:Y89&gt;0,IF(AB7:AB89&lt;&gt;"",ROW(Y7:Y89)-MIN(ROW(Y7:Y89))+1))),ROW()-ROW(A$93)+1)),"##0"),",",SUBSTITUTE(INDEX(IF(PURCHASE_DESCRIPTION&lt;&gt;"",PURCHASE_DESCRIPTION&amp;":","")&amp;A7:A89,SMALL(IF(ISNUMBER(Y7:Y89),IF(Y7:Y89&gt;0,IF(AB7:AB89&lt;&gt;"",ROW(Y7:Y89)-MIN(ROW(Y7:Y89))+1))),ROW()-ROW(A$93)+1)),",",";"),",",SUBSTITUTE(INDEX(IF(PURCHASE_DESCRIPTION&lt;&gt;"",PURCHASE_DESCRIPTION&amp;":","")&amp;D7:D89,SMALL(IF(ISNUMBER(Y7:Y89),IF(Y7:Y89&gt;0,IF(AB7:AB89&lt;&gt;"",ROW(Y7:Y89)-MIN(ROW(Y7:Y89))+1))),ROW()-ROW(A$93)+1)),",",";"),",",INDEX(AB7:AB89,SMALL(IF(ISNUMBER(Y7:Y89),IF(Y7:Y89&gt;0,IF(AB7:AB89&lt;&gt;"",ROW(Y7:Y89)-MIN(ROW(Y7:Y89))+1))),ROW()-ROW(A$93)+1))),"")</f>
        <v>0</v>
      </c>
      <c r="AD169">
        <f t="array" ref="AD169">IFERROR(CONCATENATE(INDEX(AG7:AG89,SMALL(IF(ISNUMBER(AD7:AD89),IF(AD7:AD89&gt;0,IF(AG7:AG89&lt;&gt;"",ROW(AD7:AD89)-MIN(ROW(AD7:AD89))+1))),ROW()-ROW(A$92)+1)),"|",TEXT(INDEX(AD7:AD89,SMALL(IF(ISNUMBER(AD7:AD89),IF(AD7:AD89&gt;0,IF(AG7:AG89&lt;&gt;"",ROW(AD7:AD89)-MIN(ROW(AD7:AD89))+1))),ROW()-ROW(A$92)+1)),"##0"),"|",SUBSTITUTE(SUBSTITUTE(INDEX(IF(PURCHASE_DESCRIPTION&lt;&gt;"",PURCHASE_DESCRIPTION&amp;":","")&amp;A7:A89,SMALL(IF(ISNUMBER(AD7:AD89),IF(AD7:AD89&gt;0,IF(AG7:AG89&lt;&gt;"",ROW(AD7:AD89)-MIN(ROW(AD7:AD89))+1))),ROW()-ROW(A$92)+1)),"|",";")," ","_")),"")</f>
        <v>0</v>
      </c>
      <c r="AI169">
        <f t="array" ref="AI169">IFERROR(CONCATENATE(INDEX(AL7:AL89,SMALL(IF(ISNUMBER(AI7:AI89),IF(AI7:AI89&gt;0,IF(AL7:AL89&lt;&gt;"",ROW(AI7:AI89)-MIN(ROW(AI7:AI89))+1))),ROW()-ROW(A$92)+1)),",",TEXT(INDEX(AI7:AI89,SMALL(IF(ISNUMBER(AI7:AI89),IF(AI7:AI89&gt;0,IF(AL7:AL89&lt;&gt;"",ROW(AI7:AI89)-MIN(ROW(AI7:AI89))+1))),ROW()-ROW(A$92)+1)),"##0"),",",SUBSTITUTE(INDEX(IF(PURCHASE_DESCRIPTION&lt;&gt;"",PURCHASE_DESCRIPTION&amp;":","")&amp;A7:A89,SMALL(IF(ISNUMBER(AI7:AI89),IF(AI7:AI89&gt;0,IF(AL7:AL89&lt;&gt;"",ROW(AI7:AI89)-MIN(ROW(AI7:AI89))+1))),ROW()-ROW(A$92)+1)),",",";")),"")</f>
        <v>0</v>
      </c>
      <c r="AN169">
        <f t="array" ref="AN169">IFERROR(CONCATENATE(INDEX(AQ7:AQ89,SMALL(IF(ISNUMBER(AN7:AN89),IF(AN7:AN89&gt;0,IF(AQ7:AQ89&lt;&gt;"",ROW(AN7:AN89)-MIN(ROW(AN7:AN89))+1))),ROW()-ROW(A$92)+1))," ",TEXT(INDEX(AN7:AN89,SMALL(IF(ISNUMBER(AN7:AN89),IF(AN7:AN89&gt;0,IF(AQ7:AQ89&lt;&gt;"",ROW(AN7:AN89)-MIN(ROW(AN7:AN89))+1))),ROW()-ROW(A$92)+1)),"##0")," ",SUBSTITUTE(INDEX(IF(PURCHASE_DESCRIPTION&lt;&gt;"",PURCHASE_DESCRIPTION&amp;":","")&amp;A7:A89,SMALL(IF(ISNUMBER(AN7:AN89),IF(AN7:AN89&gt;0,IF(AQ7:AQ89&lt;&gt;"",ROW(AN7:AN89)-MIN(ROW(AN7:AN89))+1))),ROW()-ROW(A$92)+1))," ",";")),"")</f>
        <v>0</v>
      </c>
      <c r="AS169">
        <f t="array" ref="AS169">IFERROR(CONCATENATE(INDEX(AV7:AV89,SMALL(IF(ISNUMBER(AS7:AS89),IF(AS7:AS89&gt;0,IF(AV7:AV89&lt;&gt;"",ROW(AS7:AS89)-MIN(ROW(AS7:AS89))+1))),ROW()-ROW(A$92)+1))," ",TEXT(INDEX(AS7:AS89,SMALL(IF(ISNUMBER(AS7:AS89),IF(AS7:AS89&gt;0,IF(AV7:AV89&lt;&gt;"",ROW(AS7:AS89)-MIN(ROW(AS7:AS89))+1))),ROW()-ROW(A$92)+1)),"##0")," ",SUBSTITUTE(INDEX(IF(PURCHASE_DESCRIPTION&lt;&gt;"",PURCHASE_DESCRIPTION&amp;":","")&amp;A7:A89,SMALL(IF(ISNUMBER(AS7:AS89),IF(AS7:AS89&gt;0,IF(AV7:AV89&lt;&gt;"",ROW(AS7:AS89)-MIN(ROW(AS7:AS89))+1))),ROW()-ROW(A$92)+1))," ",";")),"")</f>
        <v>0</v>
      </c>
    </row>
    <row r="170" spans="10:45">
      <c r="J170">
        <f t="array" ref="J170">IFERROR(CONCATENATE(INDEX(M7:M89,SMALL(IF(ISNUMBER(J7:J89),IF(J7:J89&gt;0,IF(M7:M89&lt;&gt;"",ROW(J7:J89)-MIN(ROW(J7:J89))+1))),ROW()-ROW(A$92)+1)),",",TEXT(INDEX(J7:J89,SMALL(IF(ISNUMBER(J7:J89),IF(J7:J89&gt;0,IF(M7:M89&lt;&gt;"",ROW(J7:J89)-MIN(ROW(J7:J89))+1))),ROW()-ROW(A$92)+1)),"##0"),",",SUBSTITUTE(INDEX(IF(PURCHASE_DESCRIPTION&lt;&gt;"",PURCHASE_DESCRIPTION&amp;":","")&amp;A7:A89,SMALL(IF(ISNUMBER(J7:J89),IF(J7:J89&gt;0,IF(M7:M89&lt;&gt;"",ROW(J7:J89)-MIN(ROW(J7:J89))+1))),ROW()-ROW(A$92)+1)),",",";")),"")</f>
        <v>0</v>
      </c>
      <c r="O170">
        <f t="array" ref="O170">IFERROR(CONCATENATE(TEXT(INDEX(O7:O89,SMALL(IF(ISNUMBER(O7:O89),IF(O7:O89&gt;0,IF(R7:R89&lt;&gt;"",ROW(O7:O89)-MIN(ROW(O7:O89))+1))),ROW()-ROW(A$92)+1)),"##0"),",",INDEX(R7:R89,SMALL(IF(ISNUMBER(O7:O89),IF(O7:O89&gt;0,IF(R7:R89&lt;&gt;"",ROW(O7:O89)-MIN(ROW(O7:O89))+1))),ROW()-ROW(A$92)+1)),",",SUBSTITUTE(INDEX(IF(PURCHASE_DESCRIPTION&lt;&gt;"",PURCHASE_DESCRIPTION&amp;":","")&amp;A7:A89,SMALL(IF(ISNUMBER(O7:O89),IF(O7:O89&gt;0,IF(R7:R89&lt;&gt;"",ROW(O7:O89)-MIN(ROW(O7:O89))+1))),ROW()-ROW(A$92)+1)),",",";")),"")</f>
        <v>0</v>
      </c>
      <c r="T170">
        <f t="array" ref="T170">IFERROR(CONCATENATE(INDEX(W7:W89,SMALL(IF(ISNUMBER(T7:T89),IF(T7:T89&gt;0,IF(W7:W89&lt;&gt;"",ROW(T7:T89)-MIN(ROW(T7:T89))+1))),ROW()-ROW(A$92)+1))," ",TEXT(INDEX(T7:T89,SMALL(IF(ISNUMBER(T7:T89),IF(T7:T89&gt;0,IF(W7:W89&lt;&gt;"",ROW(T7:T89)-MIN(ROW(T7:T89))+1))),ROW()-ROW(A$92)+1)),"##0")," ",SUBSTITUTE(INDEX(IF(PURCHASE_DESCRIPTION&lt;&gt;"",PURCHASE_DESCRIPTION&amp;":","")&amp;A7:A89,SMALL(IF(ISNUMBER(T7:T89),IF(T7:T89&gt;0,IF(W7:W89&lt;&gt;"",ROW(T7:T89)-MIN(ROW(T7:T89))+1))),ROW()-ROW(A$92)+1))," ",";")),"")</f>
        <v>0</v>
      </c>
      <c r="Y170">
        <f t="array" ref="Y170">IFERROR(CONCATENATE(TEXT(INDEX(Y7:Y89,SMALL(IF(ISNUMBER(Y7:Y89),IF(Y7:Y89&gt;0,IF(AB7:AB89&lt;&gt;"",ROW(Y7:Y89)-MIN(ROW(Y7:Y89))+1))),ROW()-ROW(A$93)+1)),"##0"),",",SUBSTITUTE(INDEX(IF(PURCHASE_DESCRIPTION&lt;&gt;"",PURCHASE_DESCRIPTION&amp;":","")&amp;A7:A89,SMALL(IF(ISNUMBER(Y7:Y89),IF(Y7:Y89&gt;0,IF(AB7:AB89&lt;&gt;"",ROW(Y7:Y89)-MIN(ROW(Y7:Y89))+1))),ROW()-ROW(A$93)+1)),",",";"),",",SUBSTITUTE(INDEX(IF(PURCHASE_DESCRIPTION&lt;&gt;"",PURCHASE_DESCRIPTION&amp;":","")&amp;D7:D89,SMALL(IF(ISNUMBER(Y7:Y89),IF(Y7:Y89&gt;0,IF(AB7:AB89&lt;&gt;"",ROW(Y7:Y89)-MIN(ROW(Y7:Y89))+1))),ROW()-ROW(A$93)+1)),",",";"),",",INDEX(AB7:AB89,SMALL(IF(ISNUMBER(Y7:Y89),IF(Y7:Y89&gt;0,IF(AB7:AB89&lt;&gt;"",ROW(Y7:Y89)-MIN(ROW(Y7:Y89))+1))),ROW()-ROW(A$93)+1))),"")</f>
        <v>0</v>
      </c>
      <c r="AD170">
        <f t="array" ref="AD170">IFERROR(CONCATENATE(INDEX(AG7:AG89,SMALL(IF(ISNUMBER(AD7:AD89),IF(AD7:AD89&gt;0,IF(AG7:AG89&lt;&gt;"",ROW(AD7:AD89)-MIN(ROW(AD7:AD89))+1))),ROW()-ROW(A$92)+1)),"|",TEXT(INDEX(AD7:AD89,SMALL(IF(ISNUMBER(AD7:AD89),IF(AD7:AD89&gt;0,IF(AG7:AG89&lt;&gt;"",ROW(AD7:AD89)-MIN(ROW(AD7:AD89))+1))),ROW()-ROW(A$92)+1)),"##0"),"|",SUBSTITUTE(SUBSTITUTE(INDEX(IF(PURCHASE_DESCRIPTION&lt;&gt;"",PURCHASE_DESCRIPTION&amp;":","")&amp;A7:A89,SMALL(IF(ISNUMBER(AD7:AD89),IF(AD7:AD89&gt;0,IF(AG7:AG89&lt;&gt;"",ROW(AD7:AD89)-MIN(ROW(AD7:AD89))+1))),ROW()-ROW(A$92)+1)),"|",";")," ","_")),"")</f>
        <v>0</v>
      </c>
      <c r="AI170">
        <f t="array" ref="AI170">IFERROR(CONCATENATE(INDEX(AL7:AL89,SMALL(IF(ISNUMBER(AI7:AI89),IF(AI7:AI89&gt;0,IF(AL7:AL89&lt;&gt;"",ROW(AI7:AI89)-MIN(ROW(AI7:AI89))+1))),ROW()-ROW(A$92)+1)),",",TEXT(INDEX(AI7:AI89,SMALL(IF(ISNUMBER(AI7:AI89),IF(AI7:AI89&gt;0,IF(AL7:AL89&lt;&gt;"",ROW(AI7:AI89)-MIN(ROW(AI7:AI89))+1))),ROW()-ROW(A$92)+1)),"##0"),",",SUBSTITUTE(INDEX(IF(PURCHASE_DESCRIPTION&lt;&gt;"",PURCHASE_DESCRIPTION&amp;":","")&amp;A7:A89,SMALL(IF(ISNUMBER(AI7:AI89),IF(AI7:AI89&gt;0,IF(AL7:AL89&lt;&gt;"",ROW(AI7:AI89)-MIN(ROW(AI7:AI89))+1))),ROW()-ROW(A$92)+1)),",",";")),"")</f>
        <v>0</v>
      </c>
      <c r="AN170">
        <f t="array" ref="AN170">IFERROR(CONCATENATE(INDEX(AQ7:AQ89,SMALL(IF(ISNUMBER(AN7:AN89),IF(AN7:AN89&gt;0,IF(AQ7:AQ89&lt;&gt;"",ROW(AN7:AN89)-MIN(ROW(AN7:AN89))+1))),ROW()-ROW(A$92)+1))," ",TEXT(INDEX(AN7:AN89,SMALL(IF(ISNUMBER(AN7:AN89),IF(AN7:AN89&gt;0,IF(AQ7:AQ89&lt;&gt;"",ROW(AN7:AN89)-MIN(ROW(AN7:AN89))+1))),ROW()-ROW(A$92)+1)),"##0")," ",SUBSTITUTE(INDEX(IF(PURCHASE_DESCRIPTION&lt;&gt;"",PURCHASE_DESCRIPTION&amp;":","")&amp;A7:A89,SMALL(IF(ISNUMBER(AN7:AN89),IF(AN7:AN89&gt;0,IF(AQ7:AQ89&lt;&gt;"",ROW(AN7:AN89)-MIN(ROW(AN7:AN89))+1))),ROW()-ROW(A$92)+1))," ",";")),"")</f>
        <v>0</v>
      </c>
      <c r="AS170">
        <f t="array" ref="AS170">IFERROR(CONCATENATE(INDEX(AV7:AV89,SMALL(IF(ISNUMBER(AS7:AS89),IF(AS7:AS89&gt;0,IF(AV7:AV89&lt;&gt;"",ROW(AS7:AS89)-MIN(ROW(AS7:AS89))+1))),ROW()-ROW(A$92)+1))," ",TEXT(INDEX(AS7:AS89,SMALL(IF(ISNUMBER(AS7:AS89),IF(AS7:AS89&gt;0,IF(AV7:AV89&lt;&gt;"",ROW(AS7:AS89)-MIN(ROW(AS7:AS89))+1))),ROW()-ROW(A$92)+1)),"##0")," ",SUBSTITUTE(INDEX(IF(PURCHASE_DESCRIPTION&lt;&gt;"",PURCHASE_DESCRIPTION&amp;":","")&amp;A7:A89,SMALL(IF(ISNUMBER(AS7:AS89),IF(AS7:AS89&gt;0,IF(AV7:AV89&lt;&gt;"",ROW(AS7:AS89)-MIN(ROW(AS7:AS89))+1))),ROW()-ROW(A$92)+1))," ",";")),"")</f>
        <v>0</v>
      </c>
    </row>
    <row r="171" spans="10:45">
      <c r="J171">
        <f t="array" ref="J171">IFERROR(CONCATENATE(INDEX(M7:M89,SMALL(IF(ISNUMBER(J7:J89),IF(J7:J89&gt;0,IF(M7:M89&lt;&gt;"",ROW(J7:J89)-MIN(ROW(J7:J89))+1))),ROW()-ROW(A$92)+1)),",",TEXT(INDEX(J7:J89,SMALL(IF(ISNUMBER(J7:J89),IF(J7:J89&gt;0,IF(M7:M89&lt;&gt;"",ROW(J7:J89)-MIN(ROW(J7:J89))+1))),ROW()-ROW(A$92)+1)),"##0"),",",SUBSTITUTE(INDEX(IF(PURCHASE_DESCRIPTION&lt;&gt;"",PURCHASE_DESCRIPTION&amp;":","")&amp;A7:A89,SMALL(IF(ISNUMBER(J7:J89),IF(J7:J89&gt;0,IF(M7:M89&lt;&gt;"",ROW(J7:J89)-MIN(ROW(J7:J89))+1))),ROW()-ROW(A$92)+1)),",",";")),"")</f>
        <v>0</v>
      </c>
      <c r="O171">
        <f t="array" ref="O171">IFERROR(CONCATENATE(TEXT(INDEX(O7:O89,SMALL(IF(ISNUMBER(O7:O89),IF(O7:O89&gt;0,IF(R7:R89&lt;&gt;"",ROW(O7:O89)-MIN(ROW(O7:O89))+1))),ROW()-ROW(A$92)+1)),"##0"),",",INDEX(R7:R89,SMALL(IF(ISNUMBER(O7:O89),IF(O7:O89&gt;0,IF(R7:R89&lt;&gt;"",ROW(O7:O89)-MIN(ROW(O7:O89))+1))),ROW()-ROW(A$92)+1)),",",SUBSTITUTE(INDEX(IF(PURCHASE_DESCRIPTION&lt;&gt;"",PURCHASE_DESCRIPTION&amp;":","")&amp;A7:A89,SMALL(IF(ISNUMBER(O7:O89),IF(O7:O89&gt;0,IF(R7:R89&lt;&gt;"",ROW(O7:O89)-MIN(ROW(O7:O89))+1))),ROW()-ROW(A$92)+1)),",",";")),"")</f>
        <v>0</v>
      </c>
      <c r="T171">
        <f t="array" ref="T171">IFERROR(CONCATENATE(INDEX(W7:W89,SMALL(IF(ISNUMBER(T7:T89),IF(T7:T89&gt;0,IF(W7:W89&lt;&gt;"",ROW(T7:T89)-MIN(ROW(T7:T89))+1))),ROW()-ROW(A$92)+1))," ",TEXT(INDEX(T7:T89,SMALL(IF(ISNUMBER(T7:T89),IF(T7:T89&gt;0,IF(W7:W89&lt;&gt;"",ROW(T7:T89)-MIN(ROW(T7:T89))+1))),ROW()-ROW(A$92)+1)),"##0")," ",SUBSTITUTE(INDEX(IF(PURCHASE_DESCRIPTION&lt;&gt;"",PURCHASE_DESCRIPTION&amp;":","")&amp;A7:A89,SMALL(IF(ISNUMBER(T7:T89),IF(T7:T89&gt;0,IF(W7:W89&lt;&gt;"",ROW(T7:T89)-MIN(ROW(T7:T89))+1))),ROW()-ROW(A$92)+1))," ",";")),"")</f>
        <v>0</v>
      </c>
      <c r="Y171">
        <f t="array" ref="Y171">IFERROR(CONCATENATE(TEXT(INDEX(Y7:Y89,SMALL(IF(ISNUMBER(Y7:Y89),IF(Y7:Y89&gt;0,IF(AB7:AB89&lt;&gt;"",ROW(Y7:Y89)-MIN(ROW(Y7:Y89))+1))),ROW()-ROW(A$93)+1)),"##0"),",",SUBSTITUTE(INDEX(IF(PURCHASE_DESCRIPTION&lt;&gt;"",PURCHASE_DESCRIPTION&amp;":","")&amp;A7:A89,SMALL(IF(ISNUMBER(Y7:Y89),IF(Y7:Y89&gt;0,IF(AB7:AB89&lt;&gt;"",ROW(Y7:Y89)-MIN(ROW(Y7:Y89))+1))),ROW()-ROW(A$93)+1)),",",";"),",",SUBSTITUTE(INDEX(IF(PURCHASE_DESCRIPTION&lt;&gt;"",PURCHASE_DESCRIPTION&amp;":","")&amp;D7:D89,SMALL(IF(ISNUMBER(Y7:Y89),IF(Y7:Y89&gt;0,IF(AB7:AB89&lt;&gt;"",ROW(Y7:Y89)-MIN(ROW(Y7:Y89))+1))),ROW()-ROW(A$93)+1)),",",";"),",",INDEX(AB7:AB89,SMALL(IF(ISNUMBER(Y7:Y89),IF(Y7:Y89&gt;0,IF(AB7:AB89&lt;&gt;"",ROW(Y7:Y89)-MIN(ROW(Y7:Y89))+1))),ROW()-ROW(A$93)+1))),"")</f>
        <v>0</v>
      </c>
      <c r="AD171">
        <f t="array" ref="AD171">IFERROR(CONCATENATE(INDEX(AG7:AG89,SMALL(IF(ISNUMBER(AD7:AD89),IF(AD7:AD89&gt;0,IF(AG7:AG89&lt;&gt;"",ROW(AD7:AD89)-MIN(ROW(AD7:AD89))+1))),ROW()-ROW(A$92)+1)),"|",TEXT(INDEX(AD7:AD89,SMALL(IF(ISNUMBER(AD7:AD89),IF(AD7:AD89&gt;0,IF(AG7:AG89&lt;&gt;"",ROW(AD7:AD89)-MIN(ROW(AD7:AD89))+1))),ROW()-ROW(A$92)+1)),"##0"),"|",SUBSTITUTE(SUBSTITUTE(INDEX(IF(PURCHASE_DESCRIPTION&lt;&gt;"",PURCHASE_DESCRIPTION&amp;":","")&amp;A7:A89,SMALL(IF(ISNUMBER(AD7:AD89),IF(AD7:AD89&gt;0,IF(AG7:AG89&lt;&gt;"",ROW(AD7:AD89)-MIN(ROW(AD7:AD89))+1))),ROW()-ROW(A$92)+1)),"|",";")," ","_")),"")</f>
        <v>0</v>
      </c>
      <c r="AI171">
        <f t="array" ref="AI171">IFERROR(CONCATENATE(INDEX(AL7:AL89,SMALL(IF(ISNUMBER(AI7:AI89),IF(AI7:AI89&gt;0,IF(AL7:AL89&lt;&gt;"",ROW(AI7:AI89)-MIN(ROW(AI7:AI89))+1))),ROW()-ROW(A$92)+1)),",",TEXT(INDEX(AI7:AI89,SMALL(IF(ISNUMBER(AI7:AI89),IF(AI7:AI89&gt;0,IF(AL7:AL89&lt;&gt;"",ROW(AI7:AI89)-MIN(ROW(AI7:AI89))+1))),ROW()-ROW(A$92)+1)),"##0"),",",SUBSTITUTE(INDEX(IF(PURCHASE_DESCRIPTION&lt;&gt;"",PURCHASE_DESCRIPTION&amp;":","")&amp;A7:A89,SMALL(IF(ISNUMBER(AI7:AI89),IF(AI7:AI89&gt;0,IF(AL7:AL89&lt;&gt;"",ROW(AI7:AI89)-MIN(ROW(AI7:AI89))+1))),ROW()-ROW(A$92)+1)),",",";")),"")</f>
        <v>0</v>
      </c>
      <c r="AN171">
        <f t="array" ref="AN171">IFERROR(CONCATENATE(INDEX(AQ7:AQ89,SMALL(IF(ISNUMBER(AN7:AN89),IF(AN7:AN89&gt;0,IF(AQ7:AQ89&lt;&gt;"",ROW(AN7:AN89)-MIN(ROW(AN7:AN89))+1))),ROW()-ROW(A$92)+1))," ",TEXT(INDEX(AN7:AN89,SMALL(IF(ISNUMBER(AN7:AN89),IF(AN7:AN89&gt;0,IF(AQ7:AQ89&lt;&gt;"",ROW(AN7:AN89)-MIN(ROW(AN7:AN89))+1))),ROW()-ROW(A$92)+1)),"##0")," ",SUBSTITUTE(INDEX(IF(PURCHASE_DESCRIPTION&lt;&gt;"",PURCHASE_DESCRIPTION&amp;":","")&amp;A7:A89,SMALL(IF(ISNUMBER(AN7:AN89),IF(AN7:AN89&gt;0,IF(AQ7:AQ89&lt;&gt;"",ROW(AN7:AN89)-MIN(ROW(AN7:AN89))+1))),ROW()-ROW(A$92)+1))," ",";")),"")</f>
        <v>0</v>
      </c>
      <c r="AS171">
        <f t="array" ref="AS171">IFERROR(CONCATENATE(INDEX(AV7:AV89,SMALL(IF(ISNUMBER(AS7:AS89),IF(AS7:AS89&gt;0,IF(AV7:AV89&lt;&gt;"",ROW(AS7:AS89)-MIN(ROW(AS7:AS89))+1))),ROW()-ROW(A$92)+1))," ",TEXT(INDEX(AS7:AS89,SMALL(IF(ISNUMBER(AS7:AS89),IF(AS7:AS89&gt;0,IF(AV7:AV89&lt;&gt;"",ROW(AS7:AS89)-MIN(ROW(AS7:AS89))+1))),ROW()-ROW(A$92)+1)),"##0")," ",SUBSTITUTE(INDEX(IF(PURCHASE_DESCRIPTION&lt;&gt;"",PURCHASE_DESCRIPTION&amp;":","")&amp;A7:A89,SMALL(IF(ISNUMBER(AS7:AS89),IF(AS7:AS89&gt;0,IF(AV7:AV89&lt;&gt;"",ROW(AS7:AS89)-MIN(ROW(AS7:AS89))+1))),ROW()-ROW(A$92)+1))," ",";")),"")</f>
        <v>0</v>
      </c>
    </row>
    <row r="172" spans="10:45">
      <c r="J172">
        <f t="array" ref="J172">IFERROR(CONCATENATE(INDEX(M7:M89,SMALL(IF(ISNUMBER(J7:J89),IF(J7:J89&gt;0,IF(M7:M89&lt;&gt;"",ROW(J7:J89)-MIN(ROW(J7:J89))+1))),ROW()-ROW(A$92)+1)),",",TEXT(INDEX(J7:J89,SMALL(IF(ISNUMBER(J7:J89),IF(J7:J89&gt;0,IF(M7:M89&lt;&gt;"",ROW(J7:J89)-MIN(ROW(J7:J89))+1))),ROW()-ROW(A$92)+1)),"##0"),",",SUBSTITUTE(INDEX(IF(PURCHASE_DESCRIPTION&lt;&gt;"",PURCHASE_DESCRIPTION&amp;":","")&amp;A7:A89,SMALL(IF(ISNUMBER(J7:J89),IF(J7:J89&gt;0,IF(M7:M89&lt;&gt;"",ROW(J7:J89)-MIN(ROW(J7:J89))+1))),ROW()-ROW(A$92)+1)),",",";")),"")</f>
        <v>0</v>
      </c>
      <c r="O172">
        <f t="array" ref="O172">IFERROR(CONCATENATE(TEXT(INDEX(O7:O89,SMALL(IF(ISNUMBER(O7:O89),IF(O7:O89&gt;0,IF(R7:R89&lt;&gt;"",ROW(O7:O89)-MIN(ROW(O7:O89))+1))),ROW()-ROW(A$92)+1)),"##0"),",",INDEX(R7:R89,SMALL(IF(ISNUMBER(O7:O89),IF(O7:O89&gt;0,IF(R7:R89&lt;&gt;"",ROW(O7:O89)-MIN(ROW(O7:O89))+1))),ROW()-ROW(A$92)+1)),",",SUBSTITUTE(INDEX(IF(PURCHASE_DESCRIPTION&lt;&gt;"",PURCHASE_DESCRIPTION&amp;":","")&amp;A7:A89,SMALL(IF(ISNUMBER(O7:O89),IF(O7:O89&gt;0,IF(R7:R89&lt;&gt;"",ROW(O7:O89)-MIN(ROW(O7:O89))+1))),ROW()-ROW(A$92)+1)),",",";")),"")</f>
        <v>0</v>
      </c>
      <c r="T172">
        <f t="array" ref="T172">IFERROR(CONCATENATE(INDEX(W7:W89,SMALL(IF(ISNUMBER(T7:T89),IF(T7:T89&gt;0,IF(W7:W89&lt;&gt;"",ROW(T7:T89)-MIN(ROW(T7:T89))+1))),ROW()-ROW(A$92)+1))," ",TEXT(INDEX(T7:T89,SMALL(IF(ISNUMBER(T7:T89),IF(T7:T89&gt;0,IF(W7:W89&lt;&gt;"",ROW(T7:T89)-MIN(ROW(T7:T89))+1))),ROW()-ROW(A$92)+1)),"##0")," ",SUBSTITUTE(INDEX(IF(PURCHASE_DESCRIPTION&lt;&gt;"",PURCHASE_DESCRIPTION&amp;":","")&amp;A7:A89,SMALL(IF(ISNUMBER(T7:T89),IF(T7:T89&gt;0,IF(W7:W89&lt;&gt;"",ROW(T7:T89)-MIN(ROW(T7:T89))+1))),ROW()-ROW(A$92)+1))," ",";")),"")</f>
        <v>0</v>
      </c>
      <c r="Y172">
        <f t="array" ref="Y172">IFERROR(CONCATENATE(TEXT(INDEX(Y7:Y89,SMALL(IF(ISNUMBER(Y7:Y89),IF(Y7:Y89&gt;0,IF(AB7:AB89&lt;&gt;"",ROW(Y7:Y89)-MIN(ROW(Y7:Y89))+1))),ROW()-ROW(A$93)+1)),"##0"),",",SUBSTITUTE(INDEX(IF(PURCHASE_DESCRIPTION&lt;&gt;"",PURCHASE_DESCRIPTION&amp;":","")&amp;A7:A89,SMALL(IF(ISNUMBER(Y7:Y89),IF(Y7:Y89&gt;0,IF(AB7:AB89&lt;&gt;"",ROW(Y7:Y89)-MIN(ROW(Y7:Y89))+1))),ROW()-ROW(A$93)+1)),",",";"),",",SUBSTITUTE(INDEX(IF(PURCHASE_DESCRIPTION&lt;&gt;"",PURCHASE_DESCRIPTION&amp;":","")&amp;D7:D89,SMALL(IF(ISNUMBER(Y7:Y89),IF(Y7:Y89&gt;0,IF(AB7:AB89&lt;&gt;"",ROW(Y7:Y89)-MIN(ROW(Y7:Y89))+1))),ROW()-ROW(A$93)+1)),",",";"),",",INDEX(AB7:AB89,SMALL(IF(ISNUMBER(Y7:Y89),IF(Y7:Y89&gt;0,IF(AB7:AB89&lt;&gt;"",ROW(Y7:Y89)-MIN(ROW(Y7:Y89))+1))),ROW()-ROW(A$93)+1))),"")</f>
        <v>0</v>
      </c>
      <c r="AD172">
        <f t="array" ref="AD172">IFERROR(CONCATENATE(INDEX(AG7:AG89,SMALL(IF(ISNUMBER(AD7:AD89),IF(AD7:AD89&gt;0,IF(AG7:AG89&lt;&gt;"",ROW(AD7:AD89)-MIN(ROW(AD7:AD89))+1))),ROW()-ROW(A$92)+1)),"|",TEXT(INDEX(AD7:AD89,SMALL(IF(ISNUMBER(AD7:AD89),IF(AD7:AD89&gt;0,IF(AG7:AG89&lt;&gt;"",ROW(AD7:AD89)-MIN(ROW(AD7:AD89))+1))),ROW()-ROW(A$92)+1)),"##0"),"|",SUBSTITUTE(SUBSTITUTE(INDEX(IF(PURCHASE_DESCRIPTION&lt;&gt;"",PURCHASE_DESCRIPTION&amp;":","")&amp;A7:A89,SMALL(IF(ISNUMBER(AD7:AD89),IF(AD7:AD89&gt;0,IF(AG7:AG89&lt;&gt;"",ROW(AD7:AD89)-MIN(ROW(AD7:AD89))+1))),ROW()-ROW(A$92)+1)),"|",";")," ","_")),"")</f>
        <v>0</v>
      </c>
      <c r="AI172">
        <f t="array" ref="AI172">IFERROR(CONCATENATE(INDEX(AL7:AL89,SMALL(IF(ISNUMBER(AI7:AI89),IF(AI7:AI89&gt;0,IF(AL7:AL89&lt;&gt;"",ROW(AI7:AI89)-MIN(ROW(AI7:AI89))+1))),ROW()-ROW(A$92)+1)),",",TEXT(INDEX(AI7:AI89,SMALL(IF(ISNUMBER(AI7:AI89),IF(AI7:AI89&gt;0,IF(AL7:AL89&lt;&gt;"",ROW(AI7:AI89)-MIN(ROW(AI7:AI89))+1))),ROW()-ROW(A$92)+1)),"##0"),",",SUBSTITUTE(INDEX(IF(PURCHASE_DESCRIPTION&lt;&gt;"",PURCHASE_DESCRIPTION&amp;":","")&amp;A7:A89,SMALL(IF(ISNUMBER(AI7:AI89),IF(AI7:AI89&gt;0,IF(AL7:AL89&lt;&gt;"",ROW(AI7:AI89)-MIN(ROW(AI7:AI89))+1))),ROW()-ROW(A$92)+1)),",",";")),"")</f>
        <v>0</v>
      </c>
      <c r="AN172">
        <f t="array" ref="AN172">IFERROR(CONCATENATE(INDEX(AQ7:AQ89,SMALL(IF(ISNUMBER(AN7:AN89),IF(AN7:AN89&gt;0,IF(AQ7:AQ89&lt;&gt;"",ROW(AN7:AN89)-MIN(ROW(AN7:AN89))+1))),ROW()-ROW(A$92)+1))," ",TEXT(INDEX(AN7:AN89,SMALL(IF(ISNUMBER(AN7:AN89),IF(AN7:AN89&gt;0,IF(AQ7:AQ89&lt;&gt;"",ROW(AN7:AN89)-MIN(ROW(AN7:AN89))+1))),ROW()-ROW(A$92)+1)),"##0")," ",SUBSTITUTE(INDEX(IF(PURCHASE_DESCRIPTION&lt;&gt;"",PURCHASE_DESCRIPTION&amp;":","")&amp;A7:A89,SMALL(IF(ISNUMBER(AN7:AN89),IF(AN7:AN89&gt;0,IF(AQ7:AQ89&lt;&gt;"",ROW(AN7:AN89)-MIN(ROW(AN7:AN89))+1))),ROW()-ROW(A$92)+1))," ",";")),"")</f>
        <v>0</v>
      </c>
      <c r="AS172">
        <f t="array" ref="AS172">IFERROR(CONCATENATE(INDEX(AV7:AV89,SMALL(IF(ISNUMBER(AS7:AS89),IF(AS7:AS89&gt;0,IF(AV7:AV89&lt;&gt;"",ROW(AS7:AS89)-MIN(ROW(AS7:AS89))+1))),ROW()-ROW(A$92)+1))," ",TEXT(INDEX(AS7:AS89,SMALL(IF(ISNUMBER(AS7:AS89),IF(AS7:AS89&gt;0,IF(AV7:AV89&lt;&gt;"",ROW(AS7:AS89)-MIN(ROW(AS7:AS89))+1))),ROW()-ROW(A$92)+1)),"##0")," ",SUBSTITUTE(INDEX(IF(PURCHASE_DESCRIPTION&lt;&gt;"",PURCHASE_DESCRIPTION&amp;":","")&amp;A7:A89,SMALL(IF(ISNUMBER(AS7:AS89),IF(AS7:AS89&gt;0,IF(AV7:AV89&lt;&gt;"",ROW(AS7:AS89)-MIN(ROW(AS7:AS89))+1))),ROW()-ROW(A$92)+1))," ",";")),"")</f>
        <v>0</v>
      </c>
    </row>
    <row r="173" spans="10:45">
      <c r="J173">
        <f t="array" ref="J173">IFERROR(CONCATENATE(INDEX(M7:M89,SMALL(IF(ISNUMBER(J7:J89),IF(J7:J89&gt;0,IF(M7:M89&lt;&gt;"",ROW(J7:J89)-MIN(ROW(J7:J89))+1))),ROW()-ROW(A$92)+1)),",",TEXT(INDEX(J7:J89,SMALL(IF(ISNUMBER(J7:J89),IF(J7:J89&gt;0,IF(M7:M89&lt;&gt;"",ROW(J7:J89)-MIN(ROW(J7:J89))+1))),ROW()-ROW(A$92)+1)),"##0"),",",SUBSTITUTE(INDEX(IF(PURCHASE_DESCRIPTION&lt;&gt;"",PURCHASE_DESCRIPTION&amp;":","")&amp;A7:A89,SMALL(IF(ISNUMBER(J7:J89),IF(J7:J89&gt;0,IF(M7:M89&lt;&gt;"",ROW(J7:J89)-MIN(ROW(J7:J89))+1))),ROW()-ROW(A$92)+1)),",",";")),"")</f>
        <v>0</v>
      </c>
      <c r="O173">
        <f t="array" ref="O173">IFERROR(CONCATENATE(TEXT(INDEX(O7:O89,SMALL(IF(ISNUMBER(O7:O89),IF(O7:O89&gt;0,IF(R7:R89&lt;&gt;"",ROW(O7:O89)-MIN(ROW(O7:O89))+1))),ROW()-ROW(A$92)+1)),"##0"),",",INDEX(R7:R89,SMALL(IF(ISNUMBER(O7:O89),IF(O7:O89&gt;0,IF(R7:R89&lt;&gt;"",ROW(O7:O89)-MIN(ROW(O7:O89))+1))),ROW()-ROW(A$92)+1)),",",SUBSTITUTE(INDEX(IF(PURCHASE_DESCRIPTION&lt;&gt;"",PURCHASE_DESCRIPTION&amp;":","")&amp;A7:A89,SMALL(IF(ISNUMBER(O7:O89),IF(O7:O89&gt;0,IF(R7:R89&lt;&gt;"",ROW(O7:O89)-MIN(ROW(O7:O89))+1))),ROW()-ROW(A$92)+1)),",",";")),"")</f>
        <v>0</v>
      </c>
      <c r="T173">
        <f t="array" ref="T173">IFERROR(CONCATENATE(INDEX(W7:W89,SMALL(IF(ISNUMBER(T7:T89),IF(T7:T89&gt;0,IF(W7:W89&lt;&gt;"",ROW(T7:T89)-MIN(ROW(T7:T89))+1))),ROW()-ROW(A$92)+1))," ",TEXT(INDEX(T7:T89,SMALL(IF(ISNUMBER(T7:T89),IF(T7:T89&gt;0,IF(W7:W89&lt;&gt;"",ROW(T7:T89)-MIN(ROW(T7:T89))+1))),ROW()-ROW(A$92)+1)),"##0")," ",SUBSTITUTE(INDEX(IF(PURCHASE_DESCRIPTION&lt;&gt;"",PURCHASE_DESCRIPTION&amp;":","")&amp;A7:A89,SMALL(IF(ISNUMBER(T7:T89),IF(T7:T89&gt;0,IF(W7:W89&lt;&gt;"",ROW(T7:T89)-MIN(ROW(T7:T89))+1))),ROW()-ROW(A$92)+1))," ",";")),"")</f>
        <v>0</v>
      </c>
      <c r="Y173">
        <f t="array" ref="Y173">IFERROR(CONCATENATE(TEXT(INDEX(Y7:Y89,SMALL(IF(ISNUMBER(Y7:Y89),IF(Y7:Y89&gt;0,IF(AB7:AB89&lt;&gt;"",ROW(Y7:Y89)-MIN(ROW(Y7:Y89))+1))),ROW()-ROW(A$93)+1)),"##0"),",",SUBSTITUTE(INDEX(IF(PURCHASE_DESCRIPTION&lt;&gt;"",PURCHASE_DESCRIPTION&amp;":","")&amp;A7:A89,SMALL(IF(ISNUMBER(Y7:Y89),IF(Y7:Y89&gt;0,IF(AB7:AB89&lt;&gt;"",ROW(Y7:Y89)-MIN(ROW(Y7:Y89))+1))),ROW()-ROW(A$93)+1)),",",";"),",",SUBSTITUTE(INDEX(IF(PURCHASE_DESCRIPTION&lt;&gt;"",PURCHASE_DESCRIPTION&amp;":","")&amp;D7:D89,SMALL(IF(ISNUMBER(Y7:Y89),IF(Y7:Y89&gt;0,IF(AB7:AB89&lt;&gt;"",ROW(Y7:Y89)-MIN(ROW(Y7:Y89))+1))),ROW()-ROW(A$93)+1)),",",";"),",",INDEX(AB7:AB89,SMALL(IF(ISNUMBER(Y7:Y89),IF(Y7:Y89&gt;0,IF(AB7:AB89&lt;&gt;"",ROW(Y7:Y89)-MIN(ROW(Y7:Y89))+1))),ROW()-ROW(A$93)+1))),"")</f>
        <v>0</v>
      </c>
      <c r="AD173">
        <f t="array" ref="AD173">IFERROR(CONCATENATE(INDEX(AG7:AG89,SMALL(IF(ISNUMBER(AD7:AD89),IF(AD7:AD89&gt;0,IF(AG7:AG89&lt;&gt;"",ROW(AD7:AD89)-MIN(ROW(AD7:AD89))+1))),ROW()-ROW(A$92)+1)),"|",TEXT(INDEX(AD7:AD89,SMALL(IF(ISNUMBER(AD7:AD89),IF(AD7:AD89&gt;0,IF(AG7:AG89&lt;&gt;"",ROW(AD7:AD89)-MIN(ROW(AD7:AD89))+1))),ROW()-ROW(A$92)+1)),"##0"),"|",SUBSTITUTE(SUBSTITUTE(INDEX(IF(PURCHASE_DESCRIPTION&lt;&gt;"",PURCHASE_DESCRIPTION&amp;":","")&amp;A7:A89,SMALL(IF(ISNUMBER(AD7:AD89),IF(AD7:AD89&gt;0,IF(AG7:AG89&lt;&gt;"",ROW(AD7:AD89)-MIN(ROW(AD7:AD89))+1))),ROW()-ROW(A$92)+1)),"|",";")," ","_")),"")</f>
        <v>0</v>
      </c>
      <c r="AI173">
        <f t="array" ref="AI173">IFERROR(CONCATENATE(INDEX(AL7:AL89,SMALL(IF(ISNUMBER(AI7:AI89),IF(AI7:AI89&gt;0,IF(AL7:AL89&lt;&gt;"",ROW(AI7:AI89)-MIN(ROW(AI7:AI89))+1))),ROW()-ROW(A$92)+1)),",",TEXT(INDEX(AI7:AI89,SMALL(IF(ISNUMBER(AI7:AI89),IF(AI7:AI89&gt;0,IF(AL7:AL89&lt;&gt;"",ROW(AI7:AI89)-MIN(ROW(AI7:AI89))+1))),ROW()-ROW(A$92)+1)),"##0"),",",SUBSTITUTE(INDEX(IF(PURCHASE_DESCRIPTION&lt;&gt;"",PURCHASE_DESCRIPTION&amp;":","")&amp;A7:A89,SMALL(IF(ISNUMBER(AI7:AI89),IF(AI7:AI89&gt;0,IF(AL7:AL89&lt;&gt;"",ROW(AI7:AI89)-MIN(ROW(AI7:AI89))+1))),ROW()-ROW(A$92)+1)),",",";")),"")</f>
        <v>0</v>
      </c>
      <c r="AN173">
        <f t="array" ref="AN173">IFERROR(CONCATENATE(INDEX(AQ7:AQ89,SMALL(IF(ISNUMBER(AN7:AN89),IF(AN7:AN89&gt;0,IF(AQ7:AQ89&lt;&gt;"",ROW(AN7:AN89)-MIN(ROW(AN7:AN89))+1))),ROW()-ROW(A$92)+1))," ",TEXT(INDEX(AN7:AN89,SMALL(IF(ISNUMBER(AN7:AN89),IF(AN7:AN89&gt;0,IF(AQ7:AQ89&lt;&gt;"",ROW(AN7:AN89)-MIN(ROW(AN7:AN89))+1))),ROW()-ROW(A$92)+1)),"##0")," ",SUBSTITUTE(INDEX(IF(PURCHASE_DESCRIPTION&lt;&gt;"",PURCHASE_DESCRIPTION&amp;":","")&amp;A7:A89,SMALL(IF(ISNUMBER(AN7:AN89),IF(AN7:AN89&gt;0,IF(AQ7:AQ89&lt;&gt;"",ROW(AN7:AN89)-MIN(ROW(AN7:AN89))+1))),ROW()-ROW(A$92)+1))," ",";")),"")</f>
        <v>0</v>
      </c>
      <c r="AS173">
        <f t="array" ref="AS173">IFERROR(CONCATENATE(INDEX(AV7:AV89,SMALL(IF(ISNUMBER(AS7:AS89),IF(AS7:AS89&gt;0,IF(AV7:AV89&lt;&gt;"",ROW(AS7:AS89)-MIN(ROW(AS7:AS89))+1))),ROW()-ROW(A$92)+1))," ",TEXT(INDEX(AS7:AS89,SMALL(IF(ISNUMBER(AS7:AS89),IF(AS7:AS89&gt;0,IF(AV7:AV89&lt;&gt;"",ROW(AS7:AS89)-MIN(ROW(AS7:AS89))+1))),ROW()-ROW(A$92)+1)),"##0")," ",SUBSTITUTE(INDEX(IF(PURCHASE_DESCRIPTION&lt;&gt;"",PURCHASE_DESCRIPTION&amp;":","")&amp;A7:A89,SMALL(IF(ISNUMBER(AS7:AS89),IF(AS7:AS89&gt;0,IF(AV7:AV89&lt;&gt;"",ROW(AS7:AS89)-MIN(ROW(AS7:AS89))+1))),ROW()-ROW(A$92)+1))," ",";")),"")</f>
        <v>0</v>
      </c>
    </row>
    <row r="174" spans="10:45">
      <c r="J174">
        <f t="array" ref="J174">IFERROR(CONCATENATE(INDEX(M7:M89,SMALL(IF(ISNUMBER(J7:J89),IF(J7:J89&gt;0,IF(M7:M89&lt;&gt;"",ROW(J7:J89)-MIN(ROW(J7:J89))+1))),ROW()-ROW(A$92)+1)),",",TEXT(INDEX(J7:J89,SMALL(IF(ISNUMBER(J7:J89),IF(J7:J89&gt;0,IF(M7:M89&lt;&gt;"",ROW(J7:J89)-MIN(ROW(J7:J89))+1))),ROW()-ROW(A$92)+1)),"##0"),",",SUBSTITUTE(INDEX(IF(PURCHASE_DESCRIPTION&lt;&gt;"",PURCHASE_DESCRIPTION&amp;":","")&amp;A7:A89,SMALL(IF(ISNUMBER(J7:J89),IF(J7:J89&gt;0,IF(M7:M89&lt;&gt;"",ROW(J7:J89)-MIN(ROW(J7:J89))+1))),ROW()-ROW(A$92)+1)),",",";")),"")</f>
        <v>0</v>
      </c>
      <c r="O174">
        <f t="array" ref="O174">IFERROR(CONCATENATE(TEXT(INDEX(O7:O89,SMALL(IF(ISNUMBER(O7:O89),IF(O7:O89&gt;0,IF(R7:R89&lt;&gt;"",ROW(O7:O89)-MIN(ROW(O7:O89))+1))),ROW()-ROW(A$92)+1)),"##0"),",",INDEX(R7:R89,SMALL(IF(ISNUMBER(O7:O89),IF(O7:O89&gt;0,IF(R7:R89&lt;&gt;"",ROW(O7:O89)-MIN(ROW(O7:O89))+1))),ROW()-ROW(A$92)+1)),",",SUBSTITUTE(INDEX(IF(PURCHASE_DESCRIPTION&lt;&gt;"",PURCHASE_DESCRIPTION&amp;":","")&amp;A7:A89,SMALL(IF(ISNUMBER(O7:O89),IF(O7:O89&gt;0,IF(R7:R89&lt;&gt;"",ROW(O7:O89)-MIN(ROW(O7:O89))+1))),ROW()-ROW(A$92)+1)),",",";")),"")</f>
        <v>0</v>
      </c>
      <c r="T174">
        <f t="array" ref="T174">IFERROR(CONCATENATE(INDEX(W7:W89,SMALL(IF(ISNUMBER(T7:T89),IF(T7:T89&gt;0,IF(W7:W89&lt;&gt;"",ROW(T7:T89)-MIN(ROW(T7:T89))+1))),ROW()-ROW(A$92)+1))," ",TEXT(INDEX(T7:T89,SMALL(IF(ISNUMBER(T7:T89),IF(T7:T89&gt;0,IF(W7:W89&lt;&gt;"",ROW(T7:T89)-MIN(ROW(T7:T89))+1))),ROW()-ROW(A$92)+1)),"##0")," ",SUBSTITUTE(INDEX(IF(PURCHASE_DESCRIPTION&lt;&gt;"",PURCHASE_DESCRIPTION&amp;":","")&amp;A7:A89,SMALL(IF(ISNUMBER(T7:T89),IF(T7:T89&gt;0,IF(W7:W89&lt;&gt;"",ROW(T7:T89)-MIN(ROW(T7:T89))+1))),ROW()-ROW(A$92)+1))," ",";")),"")</f>
        <v>0</v>
      </c>
      <c r="Y174">
        <f t="array" ref="Y174">IFERROR(CONCATENATE(TEXT(INDEX(Y7:Y89,SMALL(IF(ISNUMBER(Y7:Y89),IF(Y7:Y89&gt;0,IF(AB7:AB89&lt;&gt;"",ROW(Y7:Y89)-MIN(ROW(Y7:Y89))+1))),ROW()-ROW(A$93)+1)),"##0"),",",SUBSTITUTE(INDEX(IF(PURCHASE_DESCRIPTION&lt;&gt;"",PURCHASE_DESCRIPTION&amp;":","")&amp;A7:A89,SMALL(IF(ISNUMBER(Y7:Y89),IF(Y7:Y89&gt;0,IF(AB7:AB89&lt;&gt;"",ROW(Y7:Y89)-MIN(ROW(Y7:Y89))+1))),ROW()-ROW(A$93)+1)),",",";"),",",SUBSTITUTE(INDEX(IF(PURCHASE_DESCRIPTION&lt;&gt;"",PURCHASE_DESCRIPTION&amp;":","")&amp;D7:D89,SMALL(IF(ISNUMBER(Y7:Y89),IF(Y7:Y89&gt;0,IF(AB7:AB89&lt;&gt;"",ROW(Y7:Y89)-MIN(ROW(Y7:Y89))+1))),ROW()-ROW(A$93)+1)),",",";"),",",INDEX(AB7:AB89,SMALL(IF(ISNUMBER(Y7:Y89),IF(Y7:Y89&gt;0,IF(AB7:AB89&lt;&gt;"",ROW(Y7:Y89)-MIN(ROW(Y7:Y89))+1))),ROW()-ROW(A$93)+1))),"")</f>
        <v>0</v>
      </c>
      <c r="AD174">
        <f t="array" ref="AD174">IFERROR(CONCATENATE(INDEX(AG7:AG89,SMALL(IF(ISNUMBER(AD7:AD89),IF(AD7:AD89&gt;0,IF(AG7:AG89&lt;&gt;"",ROW(AD7:AD89)-MIN(ROW(AD7:AD89))+1))),ROW()-ROW(A$92)+1)),"|",TEXT(INDEX(AD7:AD89,SMALL(IF(ISNUMBER(AD7:AD89),IF(AD7:AD89&gt;0,IF(AG7:AG89&lt;&gt;"",ROW(AD7:AD89)-MIN(ROW(AD7:AD89))+1))),ROW()-ROW(A$92)+1)),"##0"),"|",SUBSTITUTE(SUBSTITUTE(INDEX(IF(PURCHASE_DESCRIPTION&lt;&gt;"",PURCHASE_DESCRIPTION&amp;":","")&amp;A7:A89,SMALL(IF(ISNUMBER(AD7:AD89),IF(AD7:AD89&gt;0,IF(AG7:AG89&lt;&gt;"",ROW(AD7:AD89)-MIN(ROW(AD7:AD89))+1))),ROW()-ROW(A$92)+1)),"|",";")," ","_")),"")</f>
        <v>0</v>
      </c>
      <c r="AI174">
        <f t="array" ref="AI174">IFERROR(CONCATENATE(INDEX(AL7:AL89,SMALL(IF(ISNUMBER(AI7:AI89),IF(AI7:AI89&gt;0,IF(AL7:AL89&lt;&gt;"",ROW(AI7:AI89)-MIN(ROW(AI7:AI89))+1))),ROW()-ROW(A$92)+1)),",",TEXT(INDEX(AI7:AI89,SMALL(IF(ISNUMBER(AI7:AI89),IF(AI7:AI89&gt;0,IF(AL7:AL89&lt;&gt;"",ROW(AI7:AI89)-MIN(ROW(AI7:AI89))+1))),ROW()-ROW(A$92)+1)),"##0"),",",SUBSTITUTE(INDEX(IF(PURCHASE_DESCRIPTION&lt;&gt;"",PURCHASE_DESCRIPTION&amp;":","")&amp;A7:A89,SMALL(IF(ISNUMBER(AI7:AI89),IF(AI7:AI89&gt;0,IF(AL7:AL89&lt;&gt;"",ROW(AI7:AI89)-MIN(ROW(AI7:AI89))+1))),ROW()-ROW(A$92)+1)),",",";")),"")</f>
        <v>0</v>
      </c>
      <c r="AN174">
        <f t="array" ref="AN174">IFERROR(CONCATENATE(INDEX(AQ7:AQ89,SMALL(IF(ISNUMBER(AN7:AN89),IF(AN7:AN89&gt;0,IF(AQ7:AQ89&lt;&gt;"",ROW(AN7:AN89)-MIN(ROW(AN7:AN89))+1))),ROW()-ROW(A$92)+1))," ",TEXT(INDEX(AN7:AN89,SMALL(IF(ISNUMBER(AN7:AN89),IF(AN7:AN89&gt;0,IF(AQ7:AQ89&lt;&gt;"",ROW(AN7:AN89)-MIN(ROW(AN7:AN89))+1))),ROW()-ROW(A$92)+1)),"##0")," ",SUBSTITUTE(INDEX(IF(PURCHASE_DESCRIPTION&lt;&gt;"",PURCHASE_DESCRIPTION&amp;":","")&amp;A7:A89,SMALL(IF(ISNUMBER(AN7:AN89),IF(AN7:AN89&gt;0,IF(AQ7:AQ89&lt;&gt;"",ROW(AN7:AN89)-MIN(ROW(AN7:AN89))+1))),ROW()-ROW(A$92)+1))," ",";")),"")</f>
        <v>0</v>
      </c>
      <c r="AS174">
        <f t="array" ref="AS174">IFERROR(CONCATENATE(INDEX(AV7:AV89,SMALL(IF(ISNUMBER(AS7:AS89),IF(AS7:AS89&gt;0,IF(AV7:AV89&lt;&gt;"",ROW(AS7:AS89)-MIN(ROW(AS7:AS89))+1))),ROW()-ROW(A$92)+1))," ",TEXT(INDEX(AS7:AS89,SMALL(IF(ISNUMBER(AS7:AS89),IF(AS7:AS89&gt;0,IF(AV7:AV89&lt;&gt;"",ROW(AS7:AS89)-MIN(ROW(AS7:AS89))+1))),ROW()-ROW(A$92)+1)),"##0")," ",SUBSTITUTE(INDEX(IF(PURCHASE_DESCRIPTION&lt;&gt;"",PURCHASE_DESCRIPTION&amp;":","")&amp;A7:A89,SMALL(IF(ISNUMBER(AS7:AS89),IF(AS7:AS89&gt;0,IF(AV7:AV89&lt;&gt;"",ROW(AS7:AS89)-MIN(ROW(AS7:AS89))+1))),ROW()-ROW(A$92)+1))," ",";")),"")</f>
        <v>0</v>
      </c>
    </row>
    <row r="175" spans="10:45">
      <c r="Y175">
        <f t="array" ref="Y175">IFERROR(CONCATENATE(TEXT(INDEX(Y7:Y89,SMALL(IF(ISNUMBER(Y7:Y89),IF(Y7:Y89&gt;0,IF(AB7:AB89&lt;&gt;"",ROW(Y7:Y89)-MIN(ROW(Y7:Y89))+1))),ROW()-ROW(A$93)+1)),"##0"),",",SUBSTITUTE(INDEX(IF(PURCHASE_DESCRIPTION&lt;&gt;"",PURCHASE_DESCRIPTION&amp;":","")&amp;A7:A89,SMALL(IF(ISNUMBER(Y7:Y89),IF(Y7:Y89&gt;0,IF(AB7:AB89&lt;&gt;"",ROW(Y7:Y89)-MIN(ROW(Y7:Y89))+1))),ROW()-ROW(A$93)+1)),",",";"),",",SUBSTITUTE(INDEX(IF(PURCHASE_DESCRIPTION&lt;&gt;"",PURCHASE_DESCRIPTION&amp;":","")&amp;D7:D89,SMALL(IF(ISNUMBER(Y7:Y89),IF(Y7:Y89&gt;0,IF(AB7:AB89&lt;&gt;"",ROW(Y7:Y89)-MIN(ROW(Y7:Y89))+1))),ROW()-ROW(A$93)+1)),",",";"),",",INDEX(AB7:AB89,SMALL(IF(ISNUMBER(Y7:Y89),IF(Y7:Y89&gt;0,IF(AB7:AB89&lt;&gt;"",ROW(Y7:Y89)-MIN(ROW(Y7:Y89))+1))),ROW()-ROW(A$93)+1))),"")</f>
        <v>0</v>
      </c>
    </row>
  </sheetData>
  <mergeCells count="9">
    <mergeCell ref="A5:H5"/>
    <mergeCell ref="I5:M5"/>
    <mergeCell ref="N5:R5"/>
    <mergeCell ref="S5:W5"/>
    <mergeCell ref="X5:AB5"/>
    <mergeCell ref="AC5:AG5"/>
    <mergeCell ref="AH5:AL5"/>
    <mergeCell ref="AM5:AQ5"/>
    <mergeCell ref="AR5:AV5"/>
  </mergeCells>
  <conditionalFormatting sqref="AA14">
    <cfRule type="cellIs" dxfId="4" priority="1006" operator="lessThanOrEqual">
      <formula>H14</formula>
    </cfRule>
  </conditionalFormatting>
  <conditionalFormatting sqref="AA15">
    <cfRule type="cellIs" dxfId="4" priority="1012" operator="lessThanOrEqual">
      <formula>H15</formula>
    </cfRule>
  </conditionalFormatting>
  <conditionalFormatting sqref="AA18">
    <cfRule type="cellIs" dxfId="4" priority="1018" operator="lessThanOrEqual">
      <formula>H18</formula>
    </cfRule>
  </conditionalFormatting>
  <conditionalFormatting sqref="AA21">
    <cfRule type="cellIs" dxfId="4" priority="1023" operator="lessThanOrEqual">
      <formula>H21</formula>
    </cfRule>
  </conditionalFormatting>
  <conditionalFormatting sqref="AA23">
    <cfRule type="cellIs" dxfId="4" priority="1029" operator="lessThanOrEqual">
      <formula>H23</formula>
    </cfRule>
  </conditionalFormatting>
  <conditionalFormatting sqref="AA33">
    <cfRule type="cellIs" dxfId="4" priority="1034" operator="lessThanOrEqual">
      <formula>H33</formula>
    </cfRule>
  </conditionalFormatting>
  <conditionalFormatting sqref="AA37">
    <cfRule type="cellIs" dxfId="4" priority="1039" operator="lessThanOrEqual">
      <formula>H37</formula>
    </cfRule>
  </conditionalFormatting>
  <conditionalFormatting sqref="AA40">
    <cfRule type="cellIs" dxfId="4" priority="1045" operator="lessThanOrEqual">
      <formula>H40</formula>
    </cfRule>
  </conditionalFormatting>
  <conditionalFormatting sqref="AA7">
    <cfRule type="cellIs" dxfId="4" priority="1000" operator="lessThanOrEqual">
      <formula>H7</formula>
    </cfRule>
  </conditionalFormatting>
  <conditionalFormatting sqref="AA71">
    <cfRule type="cellIs" dxfId="4" priority="1050" operator="lessThanOrEqual">
      <formula>H71</formula>
    </cfRule>
  </conditionalFormatting>
  <conditionalFormatting sqref="AA73">
    <cfRule type="cellIs" dxfId="4" priority="1055" operator="lessThanOrEqual">
      <formula>H73</formula>
    </cfRule>
  </conditionalFormatting>
  <conditionalFormatting sqref="AA81">
    <cfRule type="cellIs" dxfId="4" priority="1060" operator="lessThanOrEqual">
      <formula>H81</formula>
    </cfRule>
  </conditionalFormatting>
  <conditionalFormatting sqref="AA82">
    <cfRule type="cellIs" dxfId="4" priority="1065" operator="lessThanOrEqual">
      <formula>H82</formula>
    </cfRule>
  </conditionalFormatting>
  <conditionalFormatting sqref="AC10">
    <cfRule type="cellIs" dxfId="1" priority="1077" operator="equal">
      <formula>0</formula>
    </cfRule>
    <cfRule type="cellIs" dxfId="2" priority="1078" operator="lessThan">
      <formula>F10</formula>
    </cfRule>
  </conditionalFormatting>
  <conditionalFormatting sqref="AC11">
    <cfRule type="cellIs" dxfId="1" priority="1082" operator="equal">
      <formula>0</formula>
    </cfRule>
    <cfRule type="cellIs" dxfId="2" priority="1083" operator="lessThan">
      <formula>F11</formula>
    </cfRule>
  </conditionalFormatting>
  <conditionalFormatting sqref="AC12">
    <cfRule type="cellIs" dxfId="1" priority="1087" operator="equal">
      <formula>0</formula>
    </cfRule>
    <cfRule type="cellIs" dxfId="2" priority="1088" operator="lessThan">
      <formula>F12</formula>
    </cfRule>
  </conditionalFormatting>
  <conditionalFormatting sqref="AC13">
    <cfRule type="cellIs" dxfId="1" priority="1092" operator="equal">
      <formula>0</formula>
    </cfRule>
    <cfRule type="cellIs" dxfId="2" priority="1093" operator="lessThan">
      <formula>F13</formula>
    </cfRule>
  </conditionalFormatting>
  <conditionalFormatting sqref="AC14">
    <cfRule type="cellIs" dxfId="1" priority="1097" operator="equal">
      <formula>0</formula>
    </cfRule>
    <cfRule type="cellIs" dxfId="2" priority="1098" operator="lessThan">
      <formula>F14</formula>
    </cfRule>
  </conditionalFormatting>
  <conditionalFormatting sqref="AC15">
    <cfRule type="cellIs" dxfId="1" priority="1102" operator="equal">
      <formula>0</formula>
    </cfRule>
    <cfRule type="cellIs" dxfId="2" priority="1103" operator="lessThan">
      <formula>F15</formula>
    </cfRule>
  </conditionalFormatting>
  <conditionalFormatting sqref="AC16">
    <cfRule type="cellIs" dxfId="1" priority="1107" operator="equal">
      <formula>0</formula>
    </cfRule>
    <cfRule type="cellIs" dxfId="2" priority="1108" operator="lessThan">
      <formula>F16</formula>
    </cfRule>
  </conditionalFormatting>
  <conditionalFormatting sqref="AC17">
    <cfRule type="cellIs" dxfId="1" priority="1112" operator="equal">
      <formula>0</formula>
    </cfRule>
    <cfRule type="cellIs" dxfId="2" priority="1113" operator="lessThan">
      <formula>F17</formula>
    </cfRule>
  </conditionalFormatting>
  <conditionalFormatting sqref="AC18">
    <cfRule type="cellIs" dxfId="1" priority="1117" operator="equal">
      <formula>0</formula>
    </cfRule>
    <cfRule type="cellIs" dxfId="2" priority="1118" operator="lessThan">
      <formula>F18</formula>
    </cfRule>
  </conditionalFormatting>
  <conditionalFormatting sqref="AC19">
    <cfRule type="cellIs" dxfId="1" priority="1122" operator="equal">
      <formula>0</formula>
    </cfRule>
    <cfRule type="cellIs" dxfId="2" priority="1123" operator="lessThan">
      <formula>F19</formula>
    </cfRule>
  </conditionalFormatting>
  <conditionalFormatting sqref="AC20">
    <cfRule type="cellIs" dxfId="1" priority="1127" operator="equal">
      <formula>0</formula>
    </cfRule>
    <cfRule type="cellIs" dxfId="2" priority="1128" operator="lessThan">
      <formula>F20</formula>
    </cfRule>
  </conditionalFormatting>
  <conditionalFormatting sqref="AC21">
    <cfRule type="cellIs" dxfId="1" priority="1132" operator="equal">
      <formula>0</formula>
    </cfRule>
    <cfRule type="cellIs" dxfId="2" priority="1133" operator="lessThan">
      <formula>F21</formula>
    </cfRule>
  </conditionalFormatting>
  <conditionalFormatting sqref="AC22">
    <cfRule type="cellIs" dxfId="1" priority="1137" operator="equal">
      <formula>0</formula>
    </cfRule>
    <cfRule type="cellIs" dxfId="2" priority="1138" operator="lessThan">
      <formula>F22</formula>
    </cfRule>
  </conditionalFormatting>
  <conditionalFormatting sqref="AC23">
    <cfRule type="cellIs" dxfId="1" priority="1142" operator="equal">
      <formula>0</formula>
    </cfRule>
    <cfRule type="cellIs" dxfId="2" priority="1143" operator="lessThan">
      <formula>F23</formula>
    </cfRule>
  </conditionalFormatting>
  <conditionalFormatting sqref="AC25">
    <cfRule type="cellIs" dxfId="1" priority="1147" operator="equal">
      <formula>0</formula>
    </cfRule>
    <cfRule type="cellIs" dxfId="2" priority="1148" operator="lessThan">
      <formula>F25</formula>
    </cfRule>
  </conditionalFormatting>
  <conditionalFormatting sqref="AC26">
    <cfRule type="cellIs" dxfId="1" priority="1152" operator="equal">
      <formula>0</formula>
    </cfRule>
    <cfRule type="cellIs" dxfId="2" priority="1153" operator="lessThan">
      <formula>F26</formula>
    </cfRule>
  </conditionalFormatting>
  <conditionalFormatting sqref="AC27">
    <cfRule type="cellIs" dxfId="1" priority="1157" operator="equal">
      <formula>0</formula>
    </cfRule>
    <cfRule type="cellIs" dxfId="2" priority="1158" operator="lessThan">
      <formula>F27</formula>
    </cfRule>
  </conditionalFormatting>
  <conditionalFormatting sqref="AC28">
    <cfRule type="cellIs" dxfId="1" priority="1162" operator="equal">
      <formula>0</formula>
    </cfRule>
    <cfRule type="cellIs" dxfId="2" priority="1163" operator="lessThan">
      <formula>F28</formula>
    </cfRule>
  </conditionalFormatting>
  <conditionalFormatting sqref="AC29">
    <cfRule type="cellIs" dxfId="1" priority="1167" operator="equal">
      <formula>0</formula>
    </cfRule>
    <cfRule type="cellIs" dxfId="2" priority="1168" operator="lessThan">
      <formula>F29</formula>
    </cfRule>
  </conditionalFormatting>
  <conditionalFormatting sqref="AC30">
    <cfRule type="cellIs" dxfId="1" priority="1172" operator="equal">
      <formula>0</formula>
    </cfRule>
    <cfRule type="cellIs" dxfId="2" priority="1173" operator="lessThan">
      <formula>F30</formula>
    </cfRule>
  </conditionalFormatting>
  <conditionalFormatting sqref="AC31">
    <cfRule type="cellIs" dxfId="1" priority="1177" operator="equal">
      <formula>0</formula>
    </cfRule>
    <cfRule type="cellIs" dxfId="2" priority="1178" operator="lessThan">
      <formula>F31</formula>
    </cfRule>
  </conditionalFormatting>
  <conditionalFormatting sqref="AC33">
    <cfRule type="cellIs" dxfId="1" priority="1182" operator="equal">
      <formula>0</formula>
    </cfRule>
    <cfRule type="cellIs" dxfId="2" priority="1183" operator="lessThan">
      <formula>F33</formula>
    </cfRule>
  </conditionalFormatting>
  <conditionalFormatting sqref="AC34">
    <cfRule type="cellIs" dxfId="1" priority="1187" operator="equal">
      <formula>0</formula>
    </cfRule>
    <cfRule type="cellIs" dxfId="2" priority="1188" operator="lessThan">
      <formula>F34</formula>
    </cfRule>
  </conditionalFormatting>
  <conditionalFormatting sqref="AC35">
    <cfRule type="cellIs" dxfId="1" priority="1192" operator="equal">
      <formula>0</formula>
    </cfRule>
    <cfRule type="cellIs" dxfId="2" priority="1193" operator="lessThan">
      <formula>F35</formula>
    </cfRule>
  </conditionalFormatting>
  <conditionalFormatting sqref="AC36">
    <cfRule type="cellIs" dxfId="1" priority="1197" operator="equal">
      <formula>0</formula>
    </cfRule>
    <cfRule type="cellIs" dxfId="2" priority="1198" operator="lessThan">
      <formula>F36</formula>
    </cfRule>
  </conditionalFormatting>
  <conditionalFormatting sqref="AC37">
    <cfRule type="cellIs" dxfId="1" priority="1202" operator="equal">
      <formula>0</formula>
    </cfRule>
    <cfRule type="cellIs" dxfId="2" priority="1203" operator="lessThan">
      <formula>F37</formula>
    </cfRule>
  </conditionalFormatting>
  <conditionalFormatting sqref="AC38">
    <cfRule type="cellIs" dxfId="1" priority="1207" operator="equal">
      <formula>0</formula>
    </cfRule>
    <cfRule type="cellIs" dxfId="2" priority="1208" operator="lessThan">
      <formula>F38</formula>
    </cfRule>
  </conditionalFormatting>
  <conditionalFormatting sqref="AC39">
    <cfRule type="cellIs" dxfId="1" priority="1212" operator="equal">
      <formula>0</formula>
    </cfRule>
    <cfRule type="cellIs" dxfId="2" priority="1213" operator="lessThan">
      <formula>F39</formula>
    </cfRule>
  </conditionalFormatting>
  <conditionalFormatting sqref="AC40">
    <cfRule type="cellIs" dxfId="1" priority="1217" operator="equal">
      <formula>0</formula>
    </cfRule>
    <cfRule type="cellIs" dxfId="2" priority="1218" operator="lessThan">
      <formula>F40</formula>
    </cfRule>
  </conditionalFormatting>
  <conditionalFormatting sqref="AC41">
    <cfRule type="cellIs" dxfId="1" priority="1222" operator="equal">
      <formula>0</formula>
    </cfRule>
    <cfRule type="cellIs" dxfId="2" priority="1223" operator="lessThan">
      <formula>F41</formula>
    </cfRule>
  </conditionalFormatting>
  <conditionalFormatting sqref="AC42">
    <cfRule type="cellIs" dxfId="1" priority="1227" operator="equal">
      <formula>0</formula>
    </cfRule>
    <cfRule type="cellIs" dxfId="2" priority="1228" operator="lessThan">
      <formula>F42</formula>
    </cfRule>
  </conditionalFormatting>
  <conditionalFormatting sqref="AC43">
    <cfRule type="cellIs" dxfId="1" priority="1232" operator="equal">
      <formula>0</formula>
    </cfRule>
    <cfRule type="cellIs" dxfId="2" priority="1233" operator="lessThan">
      <formula>F43</formula>
    </cfRule>
  </conditionalFormatting>
  <conditionalFormatting sqref="AC44">
    <cfRule type="cellIs" dxfId="1" priority="1237" operator="equal">
      <formula>0</formula>
    </cfRule>
    <cfRule type="cellIs" dxfId="2" priority="1238" operator="lessThan">
      <formula>F44</formula>
    </cfRule>
  </conditionalFormatting>
  <conditionalFormatting sqref="AC45">
    <cfRule type="cellIs" dxfId="1" priority="1242" operator="equal">
      <formula>0</formula>
    </cfRule>
    <cfRule type="cellIs" dxfId="2" priority="1243" operator="lessThan">
      <formula>F45</formula>
    </cfRule>
  </conditionalFormatting>
  <conditionalFormatting sqref="AC46">
    <cfRule type="cellIs" dxfId="1" priority="1247" operator="equal">
      <formula>0</formula>
    </cfRule>
    <cfRule type="cellIs" dxfId="2" priority="1248" operator="lessThan">
      <formula>F46</formula>
    </cfRule>
  </conditionalFormatting>
  <conditionalFormatting sqref="AC47">
    <cfRule type="cellIs" dxfId="1" priority="1252" operator="equal">
      <formula>0</formula>
    </cfRule>
    <cfRule type="cellIs" dxfId="2" priority="1253" operator="lessThan">
      <formula>F47</formula>
    </cfRule>
  </conditionalFormatting>
  <conditionalFormatting sqref="AC48">
    <cfRule type="cellIs" dxfId="1" priority="1257" operator="equal">
      <formula>0</formula>
    </cfRule>
    <cfRule type="cellIs" dxfId="2" priority="1258" operator="lessThan">
      <formula>F48</formula>
    </cfRule>
  </conditionalFormatting>
  <conditionalFormatting sqref="AC49">
    <cfRule type="cellIs" dxfId="1" priority="1262" operator="equal">
      <formula>0</formula>
    </cfRule>
    <cfRule type="cellIs" dxfId="2" priority="1263" operator="lessThan">
      <formula>F49</formula>
    </cfRule>
  </conditionalFormatting>
  <conditionalFormatting sqref="AC50">
    <cfRule type="cellIs" dxfId="1" priority="1267" operator="equal">
      <formula>0</formula>
    </cfRule>
    <cfRule type="cellIs" dxfId="2" priority="1268" operator="lessThan">
      <formula>F50</formula>
    </cfRule>
  </conditionalFormatting>
  <conditionalFormatting sqref="AC51">
    <cfRule type="cellIs" dxfId="1" priority="1272" operator="equal">
      <formula>0</formula>
    </cfRule>
    <cfRule type="cellIs" dxfId="2" priority="1273" operator="lessThan">
      <formula>F51</formula>
    </cfRule>
  </conditionalFormatting>
  <conditionalFormatting sqref="AC52">
    <cfRule type="cellIs" dxfId="1" priority="1277" operator="equal">
      <formula>0</formula>
    </cfRule>
    <cfRule type="cellIs" dxfId="2" priority="1278" operator="lessThan">
      <formula>F52</formula>
    </cfRule>
  </conditionalFormatting>
  <conditionalFormatting sqref="AC53">
    <cfRule type="cellIs" dxfId="1" priority="1282" operator="equal">
      <formula>0</formula>
    </cfRule>
    <cfRule type="cellIs" dxfId="2" priority="1283" operator="lessThan">
      <formula>F53</formula>
    </cfRule>
  </conditionalFormatting>
  <conditionalFormatting sqref="AC54">
    <cfRule type="cellIs" dxfId="1" priority="1287" operator="equal">
      <formula>0</formula>
    </cfRule>
    <cfRule type="cellIs" dxfId="2" priority="1288" operator="lessThan">
      <formula>F54</formula>
    </cfRule>
  </conditionalFormatting>
  <conditionalFormatting sqref="AC55">
    <cfRule type="cellIs" dxfId="1" priority="1292" operator="equal">
      <formula>0</formula>
    </cfRule>
    <cfRule type="cellIs" dxfId="2" priority="1293" operator="lessThan">
      <formula>F55</formula>
    </cfRule>
  </conditionalFormatting>
  <conditionalFormatting sqref="AC56">
    <cfRule type="cellIs" dxfId="1" priority="1297" operator="equal">
      <formula>0</formula>
    </cfRule>
    <cfRule type="cellIs" dxfId="2" priority="1298" operator="lessThan">
      <formula>F56</formula>
    </cfRule>
  </conditionalFormatting>
  <conditionalFormatting sqref="AC57">
    <cfRule type="cellIs" dxfId="1" priority="1302" operator="equal">
      <formula>0</formula>
    </cfRule>
    <cfRule type="cellIs" dxfId="2" priority="1303" operator="lessThan">
      <formula>F57</formula>
    </cfRule>
  </conditionalFormatting>
  <conditionalFormatting sqref="AC58">
    <cfRule type="cellIs" dxfId="1" priority="1307" operator="equal">
      <formula>0</formula>
    </cfRule>
    <cfRule type="cellIs" dxfId="2" priority="1308" operator="lessThan">
      <formula>F58</formula>
    </cfRule>
  </conditionalFormatting>
  <conditionalFormatting sqref="AC59">
    <cfRule type="cellIs" dxfId="1" priority="1312" operator="equal">
      <formula>0</formula>
    </cfRule>
    <cfRule type="cellIs" dxfId="2" priority="1313" operator="lessThan">
      <formula>F59</formula>
    </cfRule>
  </conditionalFormatting>
  <conditionalFormatting sqref="AC60">
    <cfRule type="cellIs" dxfId="1" priority="1317" operator="equal">
      <formula>0</formula>
    </cfRule>
    <cfRule type="cellIs" dxfId="2" priority="1318" operator="lessThan">
      <formula>F60</formula>
    </cfRule>
  </conditionalFormatting>
  <conditionalFormatting sqref="AC62">
    <cfRule type="cellIs" dxfId="1" priority="1322" operator="equal">
      <formula>0</formula>
    </cfRule>
    <cfRule type="cellIs" dxfId="2" priority="1323" operator="lessThan">
      <formula>F62</formula>
    </cfRule>
  </conditionalFormatting>
  <conditionalFormatting sqref="AC63">
    <cfRule type="cellIs" dxfId="1" priority="1327" operator="equal">
      <formula>0</formula>
    </cfRule>
    <cfRule type="cellIs" dxfId="2" priority="1328" operator="lessThan">
      <formula>F63</formula>
    </cfRule>
  </conditionalFormatting>
  <conditionalFormatting sqref="AC64">
    <cfRule type="cellIs" dxfId="1" priority="1332" operator="equal">
      <formula>0</formula>
    </cfRule>
    <cfRule type="cellIs" dxfId="2" priority="1333" operator="lessThan">
      <formula>F64</formula>
    </cfRule>
  </conditionalFormatting>
  <conditionalFormatting sqref="AC65">
    <cfRule type="cellIs" dxfId="1" priority="1337" operator="equal">
      <formula>0</formula>
    </cfRule>
    <cfRule type="cellIs" dxfId="2" priority="1338" operator="lessThan">
      <formula>F65</formula>
    </cfRule>
  </conditionalFormatting>
  <conditionalFormatting sqref="AC66">
    <cfRule type="cellIs" dxfId="1" priority="1342" operator="equal">
      <formula>0</formula>
    </cfRule>
    <cfRule type="cellIs" dxfId="2" priority="1343" operator="lessThan">
      <formula>F66</formula>
    </cfRule>
  </conditionalFormatting>
  <conditionalFormatting sqref="AC67">
    <cfRule type="cellIs" dxfId="1" priority="1347" operator="equal">
      <formula>0</formula>
    </cfRule>
    <cfRule type="cellIs" dxfId="2" priority="1348" operator="lessThan">
      <formula>F67</formula>
    </cfRule>
  </conditionalFormatting>
  <conditionalFormatting sqref="AC69">
    <cfRule type="cellIs" dxfId="1" priority="1352" operator="equal">
      <formula>0</formula>
    </cfRule>
    <cfRule type="cellIs" dxfId="2" priority="1353" operator="lessThan">
      <formula>F69</formula>
    </cfRule>
  </conditionalFormatting>
  <conditionalFormatting sqref="AC7">
    <cfRule type="cellIs" dxfId="1" priority="1067" operator="equal">
      <formula>0</formula>
    </cfRule>
    <cfRule type="cellIs" dxfId="2" priority="1068" operator="lessThan">
      <formula>F7</formula>
    </cfRule>
  </conditionalFormatting>
  <conditionalFormatting sqref="AC70">
    <cfRule type="cellIs" dxfId="1" priority="1357" operator="equal">
      <formula>0</formula>
    </cfRule>
    <cfRule type="cellIs" dxfId="2" priority="1358" operator="lessThan">
      <formula>F70</formula>
    </cfRule>
  </conditionalFormatting>
  <conditionalFormatting sqref="AC71">
    <cfRule type="cellIs" dxfId="1" priority="1362" operator="equal">
      <formula>0</formula>
    </cfRule>
    <cfRule type="cellIs" dxfId="2" priority="1363" operator="lessThan">
      <formula>F71</formula>
    </cfRule>
  </conditionalFormatting>
  <conditionalFormatting sqref="AC72">
    <cfRule type="cellIs" dxfId="1" priority="1367" operator="equal">
      <formula>0</formula>
    </cfRule>
    <cfRule type="cellIs" dxfId="2" priority="1368" operator="lessThan">
      <formula>F72</formula>
    </cfRule>
  </conditionalFormatting>
  <conditionalFormatting sqref="AC73">
    <cfRule type="cellIs" dxfId="1" priority="1372" operator="equal">
      <formula>0</formula>
    </cfRule>
    <cfRule type="cellIs" dxfId="2" priority="1373" operator="lessThan">
      <formula>F73</formula>
    </cfRule>
  </conditionalFormatting>
  <conditionalFormatting sqref="AC74">
    <cfRule type="cellIs" dxfId="1" priority="1377" operator="equal">
      <formula>0</formula>
    </cfRule>
    <cfRule type="cellIs" dxfId="2" priority="1378" operator="lessThan">
      <formula>F74</formula>
    </cfRule>
  </conditionalFormatting>
  <conditionalFormatting sqref="AC75">
    <cfRule type="cellIs" dxfId="1" priority="1382" operator="equal">
      <formula>0</formula>
    </cfRule>
    <cfRule type="cellIs" dxfId="2" priority="1383" operator="lessThan">
      <formula>F75</formula>
    </cfRule>
  </conditionalFormatting>
  <conditionalFormatting sqref="AC76">
    <cfRule type="cellIs" dxfId="1" priority="1387" operator="equal">
      <formula>0</formula>
    </cfRule>
    <cfRule type="cellIs" dxfId="2" priority="1388" operator="lessThan">
      <formula>F76</formula>
    </cfRule>
  </conditionalFormatting>
  <conditionalFormatting sqref="AC77">
    <cfRule type="cellIs" dxfId="1" priority="1392" operator="equal">
      <formula>0</formula>
    </cfRule>
    <cfRule type="cellIs" dxfId="2" priority="1393" operator="lessThan">
      <formula>F77</formula>
    </cfRule>
  </conditionalFormatting>
  <conditionalFormatting sqref="AC78">
    <cfRule type="cellIs" dxfId="1" priority="1397" operator="equal">
      <formula>0</formula>
    </cfRule>
    <cfRule type="cellIs" dxfId="2" priority="1398" operator="lessThan">
      <formula>F78</formula>
    </cfRule>
  </conditionalFormatting>
  <conditionalFormatting sqref="AC79">
    <cfRule type="cellIs" dxfId="1" priority="1402" operator="equal">
      <formula>0</formula>
    </cfRule>
    <cfRule type="cellIs" dxfId="2" priority="1403" operator="lessThan">
      <formula>F79</formula>
    </cfRule>
  </conditionalFormatting>
  <conditionalFormatting sqref="AC80">
    <cfRule type="cellIs" dxfId="1" priority="1407" operator="equal">
      <formula>0</formula>
    </cfRule>
    <cfRule type="cellIs" dxfId="2" priority="1408" operator="lessThan">
      <formula>F80</formula>
    </cfRule>
  </conditionalFormatting>
  <conditionalFormatting sqref="AC81">
    <cfRule type="cellIs" dxfId="1" priority="1412" operator="equal">
      <formula>0</formula>
    </cfRule>
    <cfRule type="cellIs" dxfId="2" priority="1413" operator="lessThan">
      <formula>F81</formula>
    </cfRule>
  </conditionalFormatting>
  <conditionalFormatting sqref="AC82">
    <cfRule type="cellIs" dxfId="1" priority="1417" operator="equal">
      <formula>0</formula>
    </cfRule>
    <cfRule type="cellIs" dxfId="2" priority="1418" operator="lessThan">
      <formula>F82</formula>
    </cfRule>
  </conditionalFormatting>
  <conditionalFormatting sqref="AC83">
    <cfRule type="cellIs" dxfId="1" priority="1422" operator="equal">
      <formula>0</formula>
    </cfRule>
    <cfRule type="cellIs" dxfId="2" priority="1423" operator="lessThan">
      <formula>F83</formula>
    </cfRule>
  </conditionalFormatting>
  <conditionalFormatting sqref="AC85">
    <cfRule type="cellIs" dxfId="1" priority="1427" operator="equal">
      <formula>0</formula>
    </cfRule>
    <cfRule type="cellIs" dxfId="2" priority="1428" operator="lessThan">
      <formula>F85</formula>
    </cfRule>
  </conditionalFormatting>
  <conditionalFormatting sqref="AC86">
    <cfRule type="cellIs" dxfId="1" priority="1432" operator="equal">
      <formula>0</formula>
    </cfRule>
    <cfRule type="cellIs" dxfId="2" priority="1433" operator="lessThan">
      <formula>F86</formula>
    </cfRule>
  </conditionalFormatting>
  <conditionalFormatting sqref="AC87">
    <cfRule type="cellIs" dxfId="1" priority="1437" operator="equal">
      <formula>0</formula>
    </cfRule>
    <cfRule type="cellIs" dxfId="2" priority="1438" operator="lessThan">
      <formula>F87</formula>
    </cfRule>
  </conditionalFormatting>
  <conditionalFormatting sqref="AC88">
    <cfRule type="cellIs" dxfId="1" priority="1442" operator="equal">
      <formula>0</formula>
    </cfRule>
    <cfRule type="cellIs" dxfId="2" priority="1443" operator="lessThan">
      <formula>F88</formula>
    </cfRule>
  </conditionalFormatting>
  <conditionalFormatting sqref="AC89">
    <cfRule type="cellIs" dxfId="1" priority="1447" operator="equal">
      <formula>0</formula>
    </cfRule>
    <cfRule type="cellIs" dxfId="2" priority="1448" operator="lessThan">
      <formula>F89</formula>
    </cfRule>
  </conditionalFormatting>
  <conditionalFormatting sqref="AC9">
    <cfRule type="cellIs" dxfId="1" priority="1072" operator="equal">
      <formula>0</formula>
    </cfRule>
    <cfRule type="cellIs" dxfId="2" priority="1073" operator="lessThan">
      <formula>F9</formula>
    </cfRule>
  </conditionalFormatting>
  <conditionalFormatting sqref="AD10">
    <cfRule type="cellIs" dxfId="1" priority="1079" operator="greaterThan">
      <formula>AC10</formula>
    </cfRule>
  </conditionalFormatting>
  <conditionalFormatting sqref="AD11">
    <cfRule type="cellIs" dxfId="1" priority="1084" operator="greaterThan">
      <formula>AC11</formula>
    </cfRule>
  </conditionalFormatting>
  <conditionalFormatting sqref="AD12">
    <cfRule type="cellIs" dxfId="1" priority="1089" operator="greaterThan">
      <formula>AC12</formula>
    </cfRule>
  </conditionalFormatting>
  <conditionalFormatting sqref="AD13">
    <cfRule type="cellIs" dxfId="1" priority="1094" operator="greaterThan">
      <formula>AC13</formula>
    </cfRule>
  </conditionalFormatting>
  <conditionalFormatting sqref="AD14">
    <cfRule type="cellIs" dxfId="1" priority="1099" operator="greaterThan">
      <formula>AC14</formula>
    </cfRule>
  </conditionalFormatting>
  <conditionalFormatting sqref="AD15">
    <cfRule type="cellIs" dxfId="1" priority="1104" operator="greaterThan">
      <formula>AC15</formula>
    </cfRule>
  </conditionalFormatting>
  <conditionalFormatting sqref="AD16">
    <cfRule type="cellIs" dxfId="1" priority="1109" operator="greaterThan">
      <formula>AC16</formula>
    </cfRule>
  </conditionalFormatting>
  <conditionalFormatting sqref="AD17">
    <cfRule type="cellIs" dxfId="1" priority="1114" operator="greaterThan">
      <formula>AC17</formula>
    </cfRule>
  </conditionalFormatting>
  <conditionalFormatting sqref="AD18">
    <cfRule type="cellIs" dxfId="1" priority="1119" operator="greaterThan">
      <formula>AC18</formula>
    </cfRule>
  </conditionalFormatting>
  <conditionalFormatting sqref="AD19">
    <cfRule type="cellIs" dxfId="1" priority="1124" operator="greaterThan">
      <formula>AC19</formula>
    </cfRule>
  </conditionalFormatting>
  <conditionalFormatting sqref="AD20">
    <cfRule type="cellIs" dxfId="1" priority="1129" operator="greaterThan">
      <formula>AC20</formula>
    </cfRule>
  </conditionalFormatting>
  <conditionalFormatting sqref="AD21">
    <cfRule type="cellIs" dxfId="1" priority="1134" operator="greaterThan">
      <formula>AC21</formula>
    </cfRule>
  </conditionalFormatting>
  <conditionalFormatting sqref="AD22">
    <cfRule type="cellIs" dxfId="1" priority="1139" operator="greaterThan">
      <formula>AC22</formula>
    </cfRule>
  </conditionalFormatting>
  <conditionalFormatting sqref="AD23">
    <cfRule type="cellIs" dxfId="1" priority="1144" operator="greaterThan">
      <formula>AC23</formula>
    </cfRule>
  </conditionalFormatting>
  <conditionalFormatting sqref="AD25">
    <cfRule type="cellIs" dxfId="1" priority="1149" operator="greaterThan">
      <formula>AC25</formula>
    </cfRule>
  </conditionalFormatting>
  <conditionalFormatting sqref="AD26">
    <cfRule type="cellIs" dxfId="1" priority="1154" operator="greaterThan">
      <formula>AC26</formula>
    </cfRule>
  </conditionalFormatting>
  <conditionalFormatting sqref="AD27">
    <cfRule type="cellIs" dxfId="1" priority="1159" operator="greaterThan">
      <formula>AC27</formula>
    </cfRule>
  </conditionalFormatting>
  <conditionalFormatting sqref="AD28">
    <cfRule type="cellIs" dxfId="1" priority="1164" operator="greaterThan">
      <formula>AC28</formula>
    </cfRule>
  </conditionalFormatting>
  <conditionalFormatting sqref="AD29">
    <cfRule type="cellIs" dxfId="1" priority="1169" operator="greaterThan">
      <formula>AC29</formula>
    </cfRule>
  </conditionalFormatting>
  <conditionalFormatting sqref="AD30">
    <cfRule type="cellIs" dxfId="1" priority="1174" operator="greaterThan">
      <formula>AC30</formula>
    </cfRule>
  </conditionalFormatting>
  <conditionalFormatting sqref="AD31">
    <cfRule type="cellIs" dxfId="1" priority="1179" operator="greaterThan">
      <formula>AC31</formula>
    </cfRule>
  </conditionalFormatting>
  <conditionalFormatting sqref="AD33">
    <cfRule type="cellIs" dxfId="1" priority="1184" operator="greaterThan">
      <formula>AC33</formula>
    </cfRule>
  </conditionalFormatting>
  <conditionalFormatting sqref="AD34">
    <cfRule type="cellIs" dxfId="1" priority="1189" operator="greaterThan">
      <formula>AC34</formula>
    </cfRule>
  </conditionalFormatting>
  <conditionalFormatting sqref="AD35">
    <cfRule type="cellIs" dxfId="1" priority="1194" operator="greaterThan">
      <formula>AC35</formula>
    </cfRule>
  </conditionalFormatting>
  <conditionalFormatting sqref="AD36">
    <cfRule type="cellIs" dxfId="1" priority="1199" operator="greaterThan">
      <formula>AC36</formula>
    </cfRule>
  </conditionalFormatting>
  <conditionalFormatting sqref="AD37">
    <cfRule type="cellIs" dxfId="1" priority="1204" operator="greaterThan">
      <formula>AC37</formula>
    </cfRule>
  </conditionalFormatting>
  <conditionalFormatting sqref="AD38">
    <cfRule type="cellIs" dxfId="1" priority="1209" operator="greaterThan">
      <formula>AC38</formula>
    </cfRule>
  </conditionalFormatting>
  <conditionalFormatting sqref="AD39">
    <cfRule type="cellIs" dxfId="1" priority="1214" operator="greaterThan">
      <formula>AC39</formula>
    </cfRule>
  </conditionalFormatting>
  <conditionalFormatting sqref="AD40">
    <cfRule type="cellIs" dxfId="1" priority="1219" operator="greaterThan">
      <formula>AC40</formula>
    </cfRule>
  </conditionalFormatting>
  <conditionalFormatting sqref="AD41">
    <cfRule type="cellIs" dxfId="1" priority="1224" operator="greaterThan">
      <formula>AC41</formula>
    </cfRule>
  </conditionalFormatting>
  <conditionalFormatting sqref="AD42">
    <cfRule type="cellIs" dxfId="1" priority="1229" operator="greaterThan">
      <formula>AC42</formula>
    </cfRule>
  </conditionalFormatting>
  <conditionalFormatting sqref="AD43">
    <cfRule type="cellIs" dxfId="1" priority="1234" operator="greaterThan">
      <formula>AC43</formula>
    </cfRule>
  </conditionalFormatting>
  <conditionalFormatting sqref="AD44">
    <cfRule type="cellIs" dxfId="1" priority="1239" operator="greaterThan">
      <formula>AC44</formula>
    </cfRule>
  </conditionalFormatting>
  <conditionalFormatting sqref="AD45">
    <cfRule type="cellIs" dxfId="1" priority="1244" operator="greaterThan">
      <formula>AC45</formula>
    </cfRule>
  </conditionalFormatting>
  <conditionalFormatting sqref="AD46">
    <cfRule type="cellIs" dxfId="1" priority="1249" operator="greaterThan">
      <formula>AC46</formula>
    </cfRule>
  </conditionalFormatting>
  <conditionalFormatting sqref="AD47">
    <cfRule type="cellIs" dxfId="1" priority="1254" operator="greaterThan">
      <formula>AC47</formula>
    </cfRule>
  </conditionalFormatting>
  <conditionalFormatting sqref="AD48">
    <cfRule type="cellIs" dxfId="1" priority="1259" operator="greaterThan">
      <formula>AC48</formula>
    </cfRule>
  </conditionalFormatting>
  <conditionalFormatting sqref="AD49">
    <cfRule type="cellIs" dxfId="1" priority="1264" operator="greaterThan">
      <formula>AC49</formula>
    </cfRule>
  </conditionalFormatting>
  <conditionalFormatting sqref="AD50">
    <cfRule type="cellIs" dxfId="1" priority="1269" operator="greaterThan">
      <formula>AC50</formula>
    </cfRule>
  </conditionalFormatting>
  <conditionalFormatting sqref="AD51">
    <cfRule type="cellIs" dxfId="1" priority="1274" operator="greaterThan">
      <formula>AC51</formula>
    </cfRule>
  </conditionalFormatting>
  <conditionalFormatting sqref="AD52">
    <cfRule type="cellIs" dxfId="1" priority="1279" operator="greaterThan">
      <formula>AC52</formula>
    </cfRule>
  </conditionalFormatting>
  <conditionalFormatting sqref="AD53">
    <cfRule type="cellIs" dxfId="1" priority="1284" operator="greaterThan">
      <formula>AC53</formula>
    </cfRule>
  </conditionalFormatting>
  <conditionalFormatting sqref="AD54">
    <cfRule type="cellIs" dxfId="1" priority="1289" operator="greaterThan">
      <formula>AC54</formula>
    </cfRule>
  </conditionalFormatting>
  <conditionalFormatting sqref="AD55">
    <cfRule type="cellIs" dxfId="1" priority="1294" operator="greaterThan">
      <formula>AC55</formula>
    </cfRule>
  </conditionalFormatting>
  <conditionalFormatting sqref="AD56">
    <cfRule type="cellIs" dxfId="1" priority="1299" operator="greaterThan">
      <formula>AC56</formula>
    </cfRule>
  </conditionalFormatting>
  <conditionalFormatting sqref="AD57">
    <cfRule type="cellIs" dxfId="1" priority="1304" operator="greaterThan">
      <formula>AC57</formula>
    </cfRule>
  </conditionalFormatting>
  <conditionalFormatting sqref="AD58">
    <cfRule type="cellIs" dxfId="1" priority="1309" operator="greaterThan">
      <formula>AC58</formula>
    </cfRule>
  </conditionalFormatting>
  <conditionalFormatting sqref="AD59">
    <cfRule type="cellIs" dxfId="1" priority="1314" operator="greaterThan">
      <formula>AC59</formula>
    </cfRule>
  </conditionalFormatting>
  <conditionalFormatting sqref="AD60">
    <cfRule type="cellIs" dxfId="1" priority="1319" operator="greaterThan">
      <formula>AC60</formula>
    </cfRule>
  </conditionalFormatting>
  <conditionalFormatting sqref="AD62">
    <cfRule type="cellIs" dxfId="1" priority="1324" operator="greaterThan">
      <formula>AC62</formula>
    </cfRule>
  </conditionalFormatting>
  <conditionalFormatting sqref="AD63">
    <cfRule type="cellIs" dxfId="1" priority="1329" operator="greaterThan">
      <formula>AC63</formula>
    </cfRule>
  </conditionalFormatting>
  <conditionalFormatting sqref="AD64">
    <cfRule type="cellIs" dxfId="1" priority="1334" operator="greaterThan">
      <formula>AC64</formula>
    </cfRule>
  </conditionalFormatting>
  <conditionalFormatting sqref="AD65">
    <cfRule type="cellIs" dxfId="1" priority="1339" operator="greaterThan">
      <formula>AC65</formula>
    </cfRule>
  </conditionalFormatting>
  <conditionalFormatting sqref="AD66">
    <cfRule type="cellIs" dxfId="1" priority="1344" operator="greaterThan">
      <formula>AC66</formula>
    </cfRule>
  </conditionalFormatting>
  <conditionalFormatting sqref="AD67">
    <cfRule type="cellIs" dxfId="1" priority="1349" operator="greaterThan">
      <formula>AC67</formula>
    </cfRule>
  </conditionalFormatting>
  <conditionalFormatting sqref="AD69">
    <cfRule type="cellIs" dxfId="1" priority="1354" operator="greaterThan">
      <formula>AC69</formula>
    </cfRule>
  </conditionalFormatting>
  <conditionalFormatting sqref="AD7">
    <cfRule type="cellIs" dxfId="1" priority="1069" operator="greaterThan">
      <formula>AC7</formula>
    </cfRule>
  </conditionalFormatting>
  <conditionalFormatting sqref="AD70">
    <cfRule type="cellIs" dxfId="1" priority="1359" operator="greaterThan">
      <formula>AC70</formula>
    </cfRule>
  </conditionalFormatting>
  <conditionalFormatting sqref="AD71">
    <cfRule type="cellIs" dxfId="1" priority="1364" operator="greaterThan">
      <formula>AC71</formula>
    </cfRule>
  </conditionalFormatting>
  <conditionalFormatting sqref="AD72">
    <cfRule type="cellIs" dxfId="1" priority="1369" operator="greaterThan">
      <formula>AC72</formula>
    </cfRule>
  </conditionalFormatting>
  <conditionalFormatting sqref="AD73">
    <cfRule type="cellIs" dxfId="1" priority="1374" operator="greaterThan">
      <formula>AC73</formula>
    </cfRule>
  </conditionalFormatting>
  <conditionalFormatting sqref="AD74">
    <cfRule type="cellIs" dxfId="1" priority="1379" operator="greaterThan">
      <formula>AC74</formula>
    </cfRule>
  </conditionalFormatting>
  <conditionalFormatting sqref="AD75">
    <cfRule type="cellIs" dxfId="1" priority="1384" operator="greaterThan">
      <formula>AC75</formula>
    </cfRule>
  </conditionalFormatting>
  <conditionalFormatting sqref="AD76">
    <cfRule type="cellIs" dxfId="1" priority="1389" operator="greaterThan">
      <formula>AC76</formula>
    </cfRule>
  </conditionalFormatting>
  <conditionalFormatting sqref="AD77">
    <cfRule type="cellIs" dxfId="1" priority="1394" operator="greaterThan">
      <formula>AC77</formula>
    </cfRule>
  </conditionalFormatting>
  <conditionalFormatting sqref="AD78">
    <cfRule type="cellIs" dxfId="1" priority="1399" operator="greaterThan">
      <formula>AC78</formula>
    </cfRule>
  </conditionalFormatting>
  <conditionalFormatting sqref="AD79">
    <cfRule type="cellIs" dxfId="1" priority="1404" operator="greaterThan">
      <formula>AC79</formula>
    </cfRule>
  </conditionalFormatting>
  <conditionalFormatting sqref="AD80">
    <cfRule type="cellIs" dxfId="1" priority="1409" operator="greaterThan">
      <formula>AC80</formula>
    </cfRule>
  </conditionalFormatting>
  <conditionalFormatting sqref="AD81">
    <cfRule type="cellIs" dxfId="1" priority="1414" operator="greaterThan">
      <formula>AC81</formula>
    </cfRule>
  </conditionalFormatting>
  <conditionalFormatting sqref="AD82">
    <cfRule type="cellIs" dxfId="1" priority="1419" operator="greaterThan">
      <formula>AC82</formula>
    </cfRule>
  </conditionalFormatting>
  <conditionalFormatting sqref="AD83">
    <cfRule type="cellIs" dxfId="1" priority="1424" operator="greaterThan">
      <formula>AC83</formula>
    </cfRule>
  </conditionalFormatting>
  <conditionalFormatting sqref="AD85">
    <cfRule type="cellIs" dxfId="1" priority="1429" operator="greaterThan">
      <formula>AC85</formula>
    </cfRule>
  </conditionalFormatting>
  <conditionalFormatting sqref="AD86">
    <cfRule type="cellIs" dxfId="1" priority="1434" operator="greaterThan">
      <formula>AC86</formula>
    </cfRule>
  </conditionalFormatting>
  <conditionalFormatting sqref="AD87">
    <cfRule type="cellIs" dxfId="1" priority="1439" operator="greaterThan">
      <formula>AC87</formula>
    </cfRule>
  </conditionalFormatting>
  <conditionalFormatting sqref="AD88">
    <cfRule type="cellIs" dxfId="1" priority="1444" operator="greaterThan">
      <formula>AC88</formula>
    </cfRule>
  </conditionalFormatting>
  <conditionalFormatting sqref="AD89">
    <cfRule type="cellIs" dxfId="1" priority="1449" operator="greaterThan">
      <formula>AC89</formula>
    </cfRule>
  </conditionalFormatting>
  <conditionalFormatting sqref="AD9">
    <cfRule type="cellIs" dxfId="1" priority="1074" operator="greaterThan">
      <formula>AC9</formula>
    </cfRule>
  </conditionalFormatting>
  <conditionalFormatting sqref="AE10">
    <cfRule type="cellIs" dxfId="4" priority="1081" operator="lessThanOrEqual">
      <formula>G10</formula>
    </cfRule>
  </conditionalFormatting>
  <conditionalFormatting sqref="AE11">
    <cfRule type="cellIs" dxfId="4" priority="1086" operator="lessThanOrEqual">
      <formula>G11</formula>
    </cfRule>
  </conditionalFormatting>
  <conditionalFormatting sqref="AE12">
    <cfRule type="cellIs" dxfId="4" priority="1091" operator="lessThanOrEqual">
      <formula>G12</formula>
    </cfRule>
  </conditionalFormatting>
  <conditionalFormatting sqref="AE13">
    <cfRule type="cellIs" dxfId="4" priority="1096" operator="lessThanOrEqual">
      <formula>G13</formula>
    </cfRule>
  </conditionalFormatting>
  <conditionalFormatting sqref="AE14">
    <cfRule type="cellIs" dxfId="4" priority="1101" operator="lessThanOrEqual">
      <formula>G14</formula>
    </cfRule>
  </conditionalFormatting>
  <conditionalFormatting sqref="AE15">
    <cfRule type="cellIs" dxfId="4" priority="1106" operator="lessThanOrEqual">
      <formula>G15</formula>
    </cfRule>
  </conditionalFormatting>
  <conditionalFormatting sqref="AE16">
    <cfRule type="cellIs" dxfId="4" priority="1111" operator="lessThanOrEqual">
      <formula>G16</formula>
    </cfRule>
  </conditionalFormatting>
  <conditionalFormatting sqref="AE17">
    <cfRule type="cellIs" dxfId="4" priority="1116" operator="lessThanOrEqual">
      <formula>G17</formula>
    </cfRule>
  </conditionalFormatting>
  <conditionalFormatting sqref="AE18">
    <cfRule type="cellIs" dxfId="4" priority="1121" operator="lessThanOrEqual">
      <formula>G18</formula>
    </cfRule>
  </conditionalFormatting>
  <conditionalFormatting sqref="AE19">
    <cfRule type="cellIs" dxfId="4" priority="1126" operator="lessThanOrEqual">
      <formula>G19</formula>
    </cfRule>
  </conditionalFormatting>
  <conditionalFormatting sqref="AE20">
    <cfRule type="cellIs" dxfId="4" priority="1131" operator="lessThanOrEqual">
      <formula>G20</formula>
    </cfRule>
  </conditionalFormatting>
  <conditionalFormatting sqref="AE21">
    <cfRule type="cellIs" dxfId="4" priority="1136" operator="lessThanOrEqual">
      <formula>G21</formula>
    </cfRule>
  </conditionalFormatting>
  <conditionalFormatting sqref="AE22">
    <cfRule type="cellIs" dxfId="4" priority="1141" operator="lessThanOrEqual">
      <formula>G22</formula>
    </cfRule>
  </conditionalFormatting>
  <conditionalFormatting sqref="AE23">
    <cfRule type="cellIs" dxfId="4" priority="1146" operator="lessThanOrEqual">
      <formula>G23</formula>
    </cfRule>
  </conditionalFormatting>
  <conditionalFormatting sqref="AE25">
    <cfRule type="cellIs" dxfId="4" priority="1151" operator="lessThanOrEqual">
      <formula>G25</formula>
    </cfRule>
  </conditionalFormatting>
  <conditionalFormatting sqref="AE26">
    <cfRule type="cellIs" dxfId="4" priority="1156" operator="lessThanOrEqual">
      <formula>G26</formula>
    </cfRule>
  </conditionalFormatting>
  <conditionalFormatting sqref="AE27">
    <cfRule type="cellIs" dxfId="4" priority="1161" operator="lessThanOrEqual">
      <formula>G27</formula>
    </cfRule>
  </conditionalFormatting>
  <conditionalFormatting sqref="AE28">
    <cfRule type="cellIs" dxfId="4" priority="1166" operator="lessThanOrEqual">
      <formula>G28</formula>
    </cfRule>
  </conditionalFormatting>
  <conditionalFormatting sqref="AE29">
    <cfRule type="cellIs" dxfId="4" priority="1171" operator="lessThanOrEqual">
      <formula>G29</formula>
    </cfRule>
  </conditionalFormatting>
  <conditionalFormatting sqref="AE30">
    <cfRule type="cellIs" dxfId="4" priority="1176" operator="lessThanOrEqual">
      <formula>G30</formula>
    </cfRule>
  </conditionalFormatting>
  <conditionalFormatting sqref="AE31">
    <cfRule type="cellIs" dxfId="4" priority="1181" operator="lessThanOrEqual">
      <formula>G31</formula>
    </cfRule>
  </conditionalFormatting>
  <conditionalFormatting sqref="AE33">
    <cfRule type="cellIs" dxfId="4" priority="1186" operator="lessThanOrEqual">
      <formula>G33</formula>
    </cfRule>
  </conditionalFormatting>
  <conditionalFormatting sqref="AE34">
    <cfRule type="cellIs" dxfId="4" priority="1191" operator="lessThanOrEqual">
      <formula>G34</formula>
    </cfRule>
  </conditionalFormatting>
  <conditionalFormatting sqref="AE35">
    <cfRule type="cellIs" dxfId="4" priority="1196" operator="lessThanOrEqual">
      <formula>G35</formula>
    </cfRule>
  </conditionalFormatting>
  <conditionalFormatting sqref="AE36">
    <cfRule type="cellIs" dxfId="4" priority="1201" operator="lessThanOrEqual">
      <formula>G36</formula>
    </cfRule>
  </conditionalFormatting>
  <conditionalFormatting sqref="AE37">
    <cfRule type="cellIs" dxfId="4" priority="1206" operator="lessThanOrEqual">
      <formula>G37</formula>
    </cfRule>
  </conditionalFormatting>
  <conditionalFormatting sqref="AE38">
    <cfRule type="cellIs" dxfId="4" priority="1211" operator="lessThanOrEqual">
      <formula>G38</formula>
    </cfRule>
  </conditionalFormatting>
  <conditionalFormatting sqref="AE39">
    <cfRule type="cellIs" dxfId="4" priority="1216" operator="lessThanOrEqual">
      <formula>G39</formula>
    </cfRule>
  </conditionalFormatting>
  <conditionalFormatting sqref="AE40">
    <cfRule type="cellIs" dxfId="4" priority="1221" operator="lessThanOrEqual">
      <formula>G40</formula>
    </cfRule>
  </conditionalFormatting>
  <conditionalFormatting sqref="AE41">
    <cfRule type="cellIs" dxfId="4" priority="1226" operator="lessThanOrEqual">
      <formula>G41</formula>
    </cfRule>
  </conditionalFormatting>
  <conditionalFormatting sqref="AE42">
    <cfRule type="cellIs" dxfId="4" priority="1231" operator="lessThanOrEqual">
      <formula>G42</formula>
    </cfRule>
  </conditionalFormatting>
  <conditionalFormatting sqref="AE43">
    <cfRule type="cellIs" dxfId="4" priority="1236" operator="lessThanOrEqual">
      <formula>G43</formula>
    </cfRule>
  </conditionalFormatting>
  <conditionalFormatting sqref="AE44">
    <cfRule type="cellIs" dxfId="4" priority="1241" operator="lessThanOrEqual">
      <formula>G44</formula>
    </cfRule>
  </conditionalFormatting>
  <conditionalFormatting sqref="AE45">
    <cfRule type="cellIs" dxfId="4" priority="1246" operator="lessThanOrEqual">
      <formula>G45</formula>
    </cfRule>
  </conditionalFormatting>
  <conditionalFormatting sqref="AE46">
    <cfRule type="cellIs" dxfId="4" priority="1251" operator="lessThanOrEqual">
      <formula>G46</formula>
    </cfRule>
  </conditionalFormatting>
  <conditionalFormatting sqref="AE47">
    <cfRule type="cellIs" dxfId="4" priority="1256" operator="lessThanOrEqual">
      <formula>G47</formula>
    </cfRule>
  </conditionalFormatting>
  <conditionalFormatting sqref="AE48">
    <cfRule type="cellIs" dxfId="4" priority="1261" operator="lessThanOrEqual">
      <formula>G48</formula>
    </cfRule>
  </conditionalFormatting>
  <conditionalFormatting sqref="AE49">
    <cfRule type="cellIs" dxfId="4" priority="1266" operator="lessThanOrEqual">
      <formula>G49</formula>
    </cfRule>
  </conditionalFormatting>
  <conditionalFormatting sqref="AE50">
    <cfRule type="cellIs" dxfId="4" priority="1271" operator="lessThanOrEqual">
      <formula>G50</formula>
    </cfRule>
  </conditionalFormatting>
  <conditionalFormatting sqref="AE51">
    <cfRule type="cellIs" dxfId="4" priority="1276" operator="lessThanOrEqual">
      <formula>G51</formula>
    </cfRule>
  </conditionalFormatting>
  <conditionalFormatting sqref="AE52">
    <cfRule type="cellIs" dxfId="4" priority="1281" operator="lessThanOrEqual">
      <formula>G52</formula>
    </cfRule>
  </conditionalFormatting>
  <conditionalFormatting sqref="AE53">
    <cfRule type="cellIs" dxfId="4" priority="1286" operator="lessThanOrEqual">
      <formula>G53</formula>
    </cfRule>
  </conditionalFormatting>
  <conditionalFormatting sqref="AE54">
    <cfRule type="cellIs" dxfId="4" priority="1291" operator="lessThanOrEqual">
      <formula>G54</formula>
    </cfRule>
  </conditionalFormatting>
  <conditionalFormatting sqref="AE55">
    <cfRule type="cellIs" dxfId="4" priority="1296" operator="lessThanOrEqual">
      <formula>G55</formula>
    </cfRule>
  </conditionalFormatting>
  <conditionalFormatting sqref="AE56">
    <cfRule type="cellIs" dxfId="4" priority="1301" operator="lessThanOrEqual">
      <formula>G56</formula>
    </cfRule>
  </conditionalFormatting>
  <conditionalFormatting sqref="AE57">
    <cfRule type="cellIs" dxfId="4" priority="1306" operator="lessThanOrEqual">
      <formula>G57</formula>
    </cfRule>
  </conditionalFormatting>
  <conditionalFormatting sqref="AE58">
    <cfRule type="cellIs" dxfId="4" priority="1311" operator="lessThanOrEqual">
      <formula>G58</formula>
    </cfRule>
  </conditionalFormatting>
  <conditionalFormatting sqref="AE59">
    <cfRule type="cellIs" dxfId="4" priority="1316" operator="lessThanOrEqual">
      <formula>G59</formula>
    </cfRule>
  </conditionalFormatting>
  <conditionalFormatting sqref="AE60">
    <cfRule type="cellIs" dxfId="4" priority="1321" operator="lessThanOrEqual">
      <formula>G60</formula>
    </cfRule>
  </conditionalFormatting>
  <conditionalFormatting sqref="AE62">
    <cfRule type="cellIs" dxfId="4" priority="1326" operator="lessThanOrEqual">
      <formula>G62</formula>
    </cfRule>
  </conditionalFormatting>
  <conditionalFormatting sqref="AE63">
    <cfRule type="cellIs" dxfId="4" priority="1331" operator="lessThanOrEqual">
      <formula>G63</formula>
    </cfRule>
  </conditionalFormatting>
  <conditionalFormatting sqref="AE64">
    <cfRule type="cellIs" dxfId="4" priority="1336" operator="lessThanOrEqual">
      <formula>G64</formula>
    </cfRule>
  </conditionalFormatting>
  <conditionalFormatting sqref="AE65">
    <cfRule type="cellIs" dxfId="4" priority="1341" operator="lessThanOrEqual">
      <formula>G65</formula>
    </cfRule>
  </conditionalFormatting>
  <conditionalFormatting sqref="AE66">
    <cfRule type="cellIs" dxfId="4" priority="1346" operator="lessThanOrEqual">
      <formula>G66</formula>
    </cfRule>
  </conditionalFormatting>
  <conditionalFormatting sqref="AE67">
    <cfRule type="cellIs" dxfId="4" priority="1351" operator="lessThanOrEqual">
      <formula>G67</formula>
    </cfRule>
  </conditionalFormatting>
  <conditionalFormatting sqref="AE69">
    <cfRule type="cellIs" dxfId="4" priority="1356" operator="lessThanOrEqual">
      <formula>G69</formula>
    </cfRule>
  </conditionalFormatting>
  <conditionalFormatting sqref="AE7">
    <cfRule type="cellIs" dxfId="4" priority="1071" operator="lessThanOrEqual">
      <formula>G7</formula>
    </cfRule>
  </conditionalFormatting>
  <conditionalFormatting sqref="AE70">
    <cfRule type="cellIs" dxfId="4" priority="1361" operator="lessThanOrEqual">
      <formula>G70</formula>
    </cfRule>
  </conditionalFormatting>
  <conditionalFormatting sqref="AE71">
    <cfRule type="cellIs" dxfId="4" priority="1366" operator="lessThanOrEqual">
      <formula>G71</formula>
    </cfRule>
  </conditionalFormatting>
  <conditionalFormatting sqref="AE72">
    <cfRule type="cellIs" dxfId="4" priority="1371" operator="lessThanOrEqual">
      <formula>G72</formula>
    </cfRule>
  </conditionalFormatting>
  <conditionalFormatting sqref="AE73">
    <cfRule type="cellIs" dxfId="4" priority="1376" operator="lessThanOrEqual">
      <formula>G73</formula>
    </cfRule>
  </conditionalFormatting>
  <conditionalFormatting sqref="AE74">
    <cfRule type="cellIs" dxfId="4" priority="1381" operator="lessThanOrEqual">
      <formula>G74</formula>
    </cfRule>
  </conditionalFormatting>
  <conditionalFormatting sqref="AE75">
    <cfRule type="cellIs" dxfId="4" priority="1386" operator="lessThanOrEqual">
      <formula>G75</formula>
    </cfRule>
  </conditionalFormatting>
  <conditionalFormatting sqref="AE76">
    <cfRule type="cellIs" dxfId="4" priority="1391" operator="lessThanOrEqual">
      <formula>G76</formula>
    </cfRule>
  </conditionalFormatting>
  <conditionalFormatting sqref="AE77">
    <cfRule type="cellIs" dxfId="4" priority="1396" operator="lessThanOrEqual">
      <formula>G77</formula>
    </cfRule>
  </conditionalFormatting>
  <conditionalFormatting sqref="AE78">
    <cfRule type="cellIs" dxfId="4" priority="1401" operator="lessThanOrEqual">
      <formula>G78</formula>
    </cfRule>
  </conditionalFormatting>
  <conditionalFormatting sqref="AE79">
    <cfRule type="cellIs" dxfId="4" priority="1406" operator="lessThanOrEqual">
      <formula>G79</formula>
    </cfRule>
  </conditionalFormatting>
  <conditionalFormatting sqref="AE80">
    <cfRule type="cellIs" dxfId="4" priority="1411" operator="lessThanOrEqual">
      <formula>G80</formula>
    </cfRule>
  </conditionalFormatting>
  <conditionalFormatting sqref="AE81">
    <cfRule type="cellIs" dxfId="4" priority="1416" operator="lessThanOrEqual">
      <formula>G81</formula>
    </cfRule>
  </conditionalFormatting>
  <conditionalFormatting sqref="AE82">
    <cfRule type="cellIs" dxfId="4" priority="1421" operator="lessThanOrEqual">
      <formula>G82</formula>
    </cfRule>
  </conditionalFormatting>
  <conditionalFormatting sqref="AE83">
    <cfRule type="cellIs" dxfId="4" priority="1426" operator="lessThanOrEqual">
      <formula>G83</formula>
    </cfRule>
  </conditionalFormatting>
  <conditionalFormatting sqref="AE85">
    <cfRule type="cellIs" dxfId="4" priority="1431" operator="lessThanOrEqual">
      <formula>G85</formula>
    </cfRule>
  </conditionalFormatting>
  <conditionalFormatting sqref="AE86">
    <cfRule type="cellIs" dxfId="4" priority="1436" operator="lessThanOrEqual">
      <formula>G86</formula>
    </cfRule>
  </conditionalFormatting>
  <conditionalFormatting sqref="AE87">
    <cfRule type="cellIs" dxfId="4" priority="1441" operator="lessThanOrEqual">
      <formula>G87</formula>
    </cfRule>
  </conditionalFormatting>
  <conditionalFormatting sqref="AE88">
    <cfRule type="cellIs" dxfId="4" priority="1446" operator="lessThanOrEqual">
      <formula>G88</formula>
    </cfRule>
  </conditionalFormatting>
  <conditionalFormatting sqref="AE89">
    <cfRule type="cellIs" dxfId="4" priority="1451" operator="lessThanOrEqual">
      <formula>G89</formula>
    </cfRule>
  </conditionalFormatting>
  <conditionalFormatting sqref="AE9">
    <cfRule type="cellIs" dxfId="4" priority="1076" operator="lessThanOrEqual">
      <formula>G9</formula>
    </cfRule>
  </conditionalFormatting>
  <conditionalFormatting sqref="AF10">
    <cfRule type="cellIs" dxfId="4" priority="1080" operator="lessThanOrEqual">
      <formula>H10</formula>
    </cfRule>
  </conditionalFormatting>
  <conditionalFormatting sqref="AF11">
    <cfRule type="cellIs" dxfId="4" priority="1085" operator="lessThanOrEqual">
      <formula>H11</formula>
    </cfRule>
  </conditionalFormatting>
  <conditionalFormatting sqref="AF12">
    <cfRule type="cellIs" dxfId="4" priority="1090" operator="lessThanOrEqual">
      <formula>H12</formula>
    </cfRule>
  </conditionalFormatting>
  <conditionalFormatting sqref="AF13">
    <cfRule type="cellIs" dxfId="4" priority="1095" operator="lessThanOrEqual">
      <formula>H13</formula>
    </cfRule>
  </conditionalFormatting>
  <conditionalFormatting sqref="AF14">
    <cfRule type="cellIs" dxfId="4" priority="1100" operator="lessThanOrEqual">
      <formula>H14</formula>
    </cfRule>
  </conditionalFormatting>
  <conditionalFormatting sqref="AF15">
    <cfRule type="cellIs" dxfId="4" priority="1105" operator="lessThanOrEqual">
      <formula>H15</formula>
    </cfRule>
  </conditionalFormatting>
  <conditionalFormatting sqref="AF16">
    <cfRule type="cellIs" dxfId="4" priority="1110" operator="lessThanOrEqual">
      <formula>H16</formula>
    </cfRule>
  </conditionalFormatting>
  <conditionalFormatting sqref="AF17">
    <cfRule type="cellIs" dxfId="4" priority="1115" operator="lessThanOrEqual">
      <formula>H17</formula>
    </cfRule>
  </conditionalFormatting>
  <conditionalFormatting sqref="AF18">
    <cfRule type="cellIs" dxfId="4" priority="1120" operator="lessThanOrEqual">
      <formula>H18</formula>
    </cfRule>
  </conditionalFormatting>
  <conditionalFormatting sqref="AF19">
    <cfRule type="cellIs" dxfId="4" priority="1125" operator="lessThanOrEqual">
      <formula>H19</formula>
    </cfRule>
  </conditionalFormatting>
  <conditionalFormatting sqref="AF20">
    <cfRule type="cellIs" dxfId="4" priority="1130" operator="lessThanOrEqual">
      <formula>H20</formula>
    </cfRule>
  </conditionalFormatting>
  <conditionalFormatting sqref="AF21">
    <cfRule type="cellIs" dxfId="4" priority="1135" operator="lessThanOrEqual">
      <formula>H21</formula>
    </cfRule>
  </conditionalFormatting>
  <conditionalFormatting sqref="AF22">
    <cfRule type="cellIs" dxfId="4" priority="1140" operator="lessThanOrEqual">
      <formula>H22</formula>
    </cfRule>
  </conditionalFormatting>
  <conditionalFormatting sqref="AF23">
    <cfRule type="cellIs" dxfId="4" priority="1145" operator="lessThanOrEqual">
      <formula>H23</formula>
    </cfRule>
  </conditionalFormatting>
  <conditionalFormatting sqref="AF25">
    <cfRule type="cellIs" dxfId="4" priority="1150" operator="lessThanOrEqual">
      <formula>H25</formula>
    </cfRule>
  </conditionalFormatting>
  <conditionalFormatting sqref="AF26">
    <cfRule type="cellIs" dxfId="4" priority="1155" operator="lessThanOrEqual">
      <formula>H26</formula>
    </cfRule>
  </conditionalFormatting>
  <conditionalFormatting sqref="AF27">
    <cfRule type="cellIs" dxfId="4" priority="1160" operator="lessThanOrEqual">
      <formula>H27</formula>
    </cfRule>
  </conditionalFormatting>
  <conditionalFormatting sqref="AF28">
    <cfRule type="cellIs" dxfId="4" priority="1165" operator="lessThanOrEqual">
      <formula>H28</formula>
    </cfRule>
  </conditionalFormatting>
  <conditionalFormatting sqref="AF29">
    <cfRule type="cellIs" dxfId="4" priority="1170" operator="lessThanOrEqual">
      <formula>H29</formula>
    </cfRule>
  </conditionalFormatting>
  <conditionalFormatting sqref="AF30">
    <cfRule type="cellIs" dxfId="4" priority="1175" operator="lessThanOrEqual">
      <formula>H30</formula>
    </cfRule>
  </conditionalFormatting>
  <conditionalFormatting sqref="AF31">
    <cfRule type="cellIs" dxfId="4" priority="1180" operator="lessThanOrEqual">
      <formula>H31</formula>
    </cfRule>
  </conditionalFormatting>
  <conditionalFormatting sqref="AF33">
    <cfRule type="cellIs" dxfId="4" priority="1185" operator="lessThanOrEqual">
      <formula>H33</formula>
    </cfRule>
  </conditionalFormatting>
  <conditionalFormatting sqref="AF34">
    <cfRule type="cellIs" dxfId="4" priority="1190" operator="lessThanOrEqual">
      <formula>H34</formula>
    </cfRule>
  </conditionalFormatting>
  <conditionalFormatting sqref="AF35">
    <cfRule type="cellIs" dxfId="4" priority="1195" operator="lessThanOrEqual">
      <formula>H35</formula>
    </cfRule>
  </conditionalFormatting>
  <conditionalFormatting sqref="AF36">
    <cfRule type="cellIs" dxfId="4" priority="1200" operator="lessThanOrEqual">
      <formula>H36</formula>
    </cfRule>
  </conditionalFormatting>
  <conditionalFormatting sqref="AF37">
    <cfRule type="cellIs" dxfId="4" priority="1205" operator="lessThanOrEqual">
      <formula>H37</formula>
    </cfRule>
  </conditionalFormatting>
  <conditionalFormatting sqref="AF38">
    <cfRule type="cellIs" dxfId="4" priority="1210" operator="lessThanOrEqual">
      <formula>H38</formula>
    </cfRule>
  </conditionalFormatting>
  <conditionalFormatting sqref="AF39">
    <cfRule type="cellIs" dxfId="4" priority="1215" operator="lessThanOrEqual">
      <formula>H39</formula>
    </cfRule>
  </conditionalFormatting>
  <conditionalFormatting sqref="AF40">
    <cfRule type="cellIs" dxfId="4" priority="1220" operator="lessThanOrEqual">
      <formula>H40</formula>
    </cfRule>
  </conditionalFormatting>
  <conditionalFormatting sqref="AF41">
    <cfRule type="cellIs" dxfId="4" priority="1225" operator="lessThanOrEqual">
      <formula>H41</formula>
    </cfRule>
  </conditionalFormatting>
  <conditionalFormatting sqref="AF42">
    <cfRule type="cellIs" dxfId="4" priority="1230" operator="lessThanOrEqual">
      <formula>H42</formula>
    </cfRule>
  </conditionalFormatting>
  <conditionalFormatting sqref="AF43">
    <cfRule type="cellIs" dxfId="4" priority="1235" operator="lessThanOrEqual">
      <formula>H43</formula>
    </cfRule>
  </conditionalFormatting>
  <conditionalFormatting sqref="AF44">
    <cfRule type="cellIs" dxfId="4" priority="1240" operator="lessThanOrEqual">
      <formula>H44</formula>
    </cfRule>
  </conditionalFormatting>
  <conditionalFormatting sqref="AF45">
    <cfRule type="cellIs" dxfId="4" priority="1245" operator="lessThanOrEqual">
      <formula>H45</formula>
    </cfRule>
  </conditionalFormatting>
  <conditionalFormatting sqref="AF46">
    <cfRule type="cellIs" dxfId="4" priority="1250" operator="lessThanOrEqual">
      <formula>H46</formula>
    </cfRule>
  </conditionalFormatting>
  <conditionalFormatting sqref="AF47">
    <cfRule type="cellIs" dxfId="4" priority="1255" operator="lessThanOrEqual">
      <formula>H47</formula>
    </cfRule>
  </conditionalFormatting>
  <conditionalFormatting sqref="AF48">
    <cfRule type="cellIs" dxfId="4" priority="1260" operator="lessThanOrEqual">
      <formula>H48</formula>
    </cfRule>
  </conditionalFormatting>
  <conditionalFormatting sqref="AF49">
    <cfRule type="cellIs" dxfId="4" priority="1265" operator="lessThanOrEqual">
      <formula>H49</formula>
    </cfRule>
  </conditionalFormatting>
  <conditionalFormatting sqref="AF50">
    <cfRule type="cellIs" dxfId="4" priority="1270" operator="lessThanOrEqual">
      <formula>H50</formula>
    </cfRule>
  </conditionalFormatting>
  <conditionalFormatting sqref="AF51">
    <cfRule type="cellIs" dxfId="4" priority="1275" operator="lessThanOrEqual">
      <formula>H51</formula>
    </cfRule>
  </conditionalFormatting>
  <conditionalFormatting sqref="AF52">
    <cfRule type="cellIs" dxfId="4" priority="1280" operator="lessThanOrEqual">
      <formula>H52</formula>
    </cfRule>
  </conditionalFormatting>
  <conditionalFormatting sqref="AF53">
    <cfRule type="cellIs" dxfId="4" priority="1285" operator="lessThanOrEqual">
      <formula>H53</formula>
    </cfRule>
  </conditionalFormatting>
  <conditionalFormatting sqref="AF54">
    <cfRule type="cellIs" dxfId="4" priority="1290" operator="lessThanOrEqual">
      <formula>H54</formula>
    </cfRule>
  </conditionalFormatting>
  <conditionalFormatting sqref="AF55">
    <cfRule type="cellIs" dxfId="4" priority="1295" operator="lessThanOrEqual">
      <formula>H55</formula>
    </cfRule>
  </conditionalFormatting>
  <conditionalFormatting sqref="AF56">
    <cfRule type="cellIs" dxfId="4" priority="1300" operator="lessThanOrEqual">
      <formula>H56</formula>
    </cfRule>
  </conditionalFormatting>
  <conditionalFormatting sqref="AF57">
    <cfRule type="cellIs" dxfId="4" priority="1305" operator="lessThanOrEqual">
      <formula>H57</formula>
    </cfRule>
  </conditionalFormatting>
  <conditionalFormatting sqref="AF58">
    <cfRule type="cellIs" dxfId="4" priority="1310" operator="lessThanOrEqual">
      <formula>H58</formula>
    </cfRule>
  </conditionalFormatting>
  <conditionalFormatting sqref="AF59">
    <cfRule type="cellIs" dxfId="4" priority="1315" operator="lessThanOrEqual">
      <formula>H59</formula>
    </cfRule>
  </conditionalFormatting>
  <conditionalFormatting sqref="AF60">
    <cfRule type="cellIs" dxfId="4" priority="1320" operator="lessThanOrEqual">
      <formula>H60</formula>
    </cfRule>
  </conditionalFormatting>
  <conditionalFormatting sqref="AF62">
    <cfRule type="cellIs" dxfId="4" priority="1325" operator="lessThanOrEqual">
      <formula>H62</formula>
    </cfRule>
  </conditionalFormatting>
  <conditionalFormatting sqref="AF63">
    <cfRule type="cellIs" dxfId="4" priority="1330" operator="lessThanOrEqual">
      <formula>H63</formula>
    </cfRule>
  </conditionalFormatting>
  <conditionalFormatting sqref="AF64">
    <cfRule type="cellIs" dxfId="4" priority="1335" operator="lessThanOrEqual">
      <formula>H64</formula>
    </cfRule>
  </conditionalFormatting>
  <conditionalFormatting sqref="AF65">
    <cfRule type="cellIs" dxfId="4" priority="1340" operator="lessThanOrEqual">
      <formula>H65</formula>
    </cfRule>
  </conditionalFormatting>
  <conditionalFormatting sqref="AF66">
    <cfRule type="cellIs" dxfId="4" priority="1345" operator="lessThanOrEqual">
      <formula>H66</formula>
    </cfRule>
  </conditionalFormatting>
  <conditionalFormatting sqref="AF67">
    <cfRule type="cellIs" dxfId="4" priority="1350" operator="lessThanOrEqual">
      <formula>H67</formula>
    </cfRule>
  </conditionalFormatting>
  <conditionalFormatting sqref="AF69">
    <cfRule type="cellIs" dxfId="4" priority="1355" operator="lessThanOrEqual">
      <formula>H69</formula>
    </cfRule>
  </conditionalFormatting>
  <conditionalFormatting sqref="AF7">
    <cfRule type="cellIs" dxfId="4" priority="1070" operator="lessThanOrEqual">
      <formula>H7</formula>
    </cfRule>
  </conditionalFormatting>
  <conditionalFormatting sqref="AF70">
    <cfRule type="cellIs" dxfId="4" priority="1360" operator="lessThanOrEqual">
      <formula>H70</formula>
    </cfRule>
  </conditionalFormatting>
  <conditionalFormatting sqref="AF71">
    <cfRule type="cellIs" dxfId="4" priority="1365" operator="lessThanOrEqual">
      <formula>H71</formula>
    </cfRule>
  </conditionalFormatting>
  <conditionalFormatting sqref="AF72">
    <cfRule type="cellIs" dxfId="4" priority="1370" operator="lessThanOrEqual">
      <formula>H72</formula>
    </cfRule>
  </conditionalFormatting>
  <conditionalFormatting sqref="AF73">
    <cfRule type="cellIs" dxfId="4" priority="1375" operator="lessThanOrEqual">
      <formula>H73</formula>
    </cfRule>
  </conditionalFormatting>
  <conditionalFormatting sqref="AF74">
    <cfRule type="cellIs" dxfId="4" priority="1380" operator="lessThanOrEqual">
      <formula>H74</formula>
    </cfRule>
  </conditionalFormatting>
  <conditionalFormatting sqref="AF75">
    <cfRule type="cellIs" dxfId="4" priority="1385" operator="lessThanOrEqual">
      <formula>H75</formula>
    </cfRule>
  </conditionalFormatting>
  <conditionalFormatting sqref="AF76">
    <cfRule type="cellIs" dxfId="4" priority="1390" operator="lessThanOrEqual">
      <formula>H76</formula>
    </cfRule>
  </conditionalFormatting>
  <conditionalFormatting sqref="AF77">
    <cfRule type="cellIs" dxfId="4" priority="1395" operator="lessThanOrEqual">
      <formula>H77</formula>
    </cfRule>
  </conditionalFormatting>
  <conditionalFormatting sqref="AF78">
    <cfRule type="cellIs" dxfId="4" priority="1400" operator="lessThanOrEqual">
      <formula>H78</formula>
    </cfRule>
  </conditionalFormatting>
  <conditionalFormatting sqref="AF79">
    <cfRule type="cellIs" dxfId="4" priority="1405" operator="lessThanOrEqual">
      <formula>H79</formula>
    </cfRule>
  </conditionalFormatting>
  <conditionalFormatting sqref="AF80">
    <cfRule type="cellIs" dxfId="4" priority="1410" operator="lessThanOrEqual">
      <formula>H80</formula>
    </cfRule>
  </conditionalFormatting>
  <conditionalFormatting sqref="AF81">
    <cfRule type="cellIs" dxfId="4" priority="1415" operator="lessThanOrEqual">
      <formula>H81</formula>
    </cfRule>
  </conditionalFormatting>
  <conditionalFormatting sqref="AF82">
    <cfRule type="cellIs" dxfId="4" priority="1420" operator="lessThanOrEqual">
      <formula>H82</formula>
    </cfRule>
  </conditionalFormatting>
  <conditionalFormatting sqref="AF83">
    <cfRule type="cellIs" dxfId="4" priority="1425" operator="lessThanOrEqual">
      <formula>H83</formula>
    </cfRule>
  </conditionalFormatting>
  <conditionalFormatting sqref="AF85">
    <cfRule type="cellIs" dxfId="4" priority="1430" operator="lessThanOrEqual">
      <formula>H85</formula>
    </cfRule>
  </conditionalFormatting>
  <conditionalFormatting sqref="AF86">
    <cfRule type="cellIs" dxfId="4" priority="1435" operator="lessThanOrEqual">
      <formula>H86</formula>
    </cfRule>
  </conditionalFormatting>
  <conditionalFormatting sqref="AF87">
    <cfRule type="cellIs" dxfId="4" priority="1440" operator="lessThanOrEqual">
      <formula>H87</formula>
    </cfRule>
  </conditionalFormatting>
  <conditionalFormatting sqref="AF88">
    <cfRule type="cellIs" dxfId="4" priority="1445" operator="lessThanOrEqual">
      <formula>H88</formula>
    </cfRule>
  </conditionalFormatting>
  <conditionalFormatting sqref="AF89">
    <cfRule type="cellIs" dxfId="4" priority="1450" operator="lessThanOrEqual">
      <formula>H89</formula>
    </cfRule>
  </conditionalFormatting>
  <conditionalFormatting sqref="AF9">
    <cfRule type="cellIs" dxfId="4" priority="1075" operator="lessThanOrEqual">
      <formula>H9</formula>
    </cfRule>
  </conditionalFormatting>
  <conditionalFormatting sqref="AH10">
    <cfRule type="cellIs" dxfId="1" priority="1452" operator="equal">
      <formula>0</formula>
    </cfRule>
    <cfRule type="cellIs" dxfId="2" priority="1453" operator="lessThan">
      <formula>F10</formula>
    </cfRule>
  </conditionalFormatting>
  <conditionalFormatting sqref="AH12">
    <cfRule type="cellIs" dxfId="1" priority="1457" operator="equal">
      <formula>0</formula>
    </cfRule>
    <cfRule type="cellIs" dxfId="2" priority="1458" operator="lessThan">
      <formula>F12</formula>
    </cfRule>
  </conditionalFormatting>
  <conditionalFormatting sqref="AH13">
    <cfRule type="cellIs" dxfId="1" priority="1463" operator="equal">
      <formula>0</formula>
    </cfRule>
    <cfRule type="cellIs" dxfId="2" priority="1464" operator="lessThan">
      <formula>F13</formula>
    </cfRule>
  </conditionalFormatting>
  <conditionalFormatting sqref="AH14">
    <cfRule type="cellIs" dxfId="1" priority="1468" operator="equal">
      <formula>0</formula>
    </cfRule>
    <cfRule type="cellIs" dxfId="2" priority="1469" operator="lessThan">
      <formula>F14</formula>
    </cfRule>
  </conditionalFormatting>
  <conditionalFormatting sqref="AH15">
    <cfRule type="cellIs" dxfId="1" priority="1473" operator="equal">
      <formula>0</formula>
    </cfRule>
    <cfRule type="cellIs" dxfId="2" priority="1474" operator="lessThan">
      <formula>F15</formula>
    </cfRule>
  </conditionalFormatting>
  <conditionalFormatting sqref="AH16">
    <cfRule type="cellIs" dxfId="1" priority="1478" operator="equal">
      <formula>0</formula>
    </cfRule>
    <cfRule type="cellIs" dxfId="2" priority="1479" operator="lessThan">
      <formula>F16</formula>
    </cfRule>
  </conditionalFormatting>
  <conditionalFormatting sqref="AH18">
    <cfRule type="cellIs" dxfId="1" priority="1483" operator="equal">
      <formula>0</formula>
    </cfRule>
    <cfRule type="cellIs" dxfId="2" priority="1484" operator="lessThan">
      <formula>F18</formula>
    </cfRule>
  </conditionalFormatting>
  <conditionalFormatting sqref="AH20">
    <cfRule type="cellIs" dxfId="1" priority="1488" operator="equal">
      <formula>0</formula>
    </cfRule>
    <cfRule type="cellIs" dxfId="2" priority="1489" operator="lessThan">
      <formula>F20</formula>
    </cfRule>
  </conditionalFormatting>
  <conditionalFormatting sqref="AH21">
    <cfRule type="cellIs" dxfId="1" priority="1493" operator="equal">
      <formula>0</formula>
    </cfRule>
    <cfRule type="cellIs" dxfId="2" priority="1494" operator="lessThan">
      <formula>F21</formula>
    </cfRule>
  </conditionalFormatting>
  <conditionalFormatting sqref="AH22">
    <cfRule type="cellIs" dxfId="1" priority="1498" operator="equal">
      <formula>0</formula>
    </cfRule>
    <cfRule type="cellIs" dxfId="2" priority="1499" operator="lessThan">
      <formula>F22</formula>
    </cfRule>
  </conditionalFormatting>
  <conditionalFormatting sqref="AH26">
    <cfRule type="cellIs" dxfId="1" priority="1504" operator="equal">
      <formula>0</formula>
    </cfRule>
    <cfRule type="cellIs" dxfId="2" priority="1505" operator="lessThan">
      <formula>F26</formula>
    </cfRule>
  </conditionalFormatting>
  <conditionalFormatting sqref="AH27">
    <cfRule type="cellIs" dxfId="1" priority="1509" operator="equal">
      <formula>0</formula>
    </cfRule>
    <cfRule type="cellIs" dxfId="2" priority="1510" operator="lessThan">
      <formula>F27</formula>
    </cfRule>
  </conditionalFormatting>
  <conditionalFormatting sqref="AH28">
    <cfRule type="cellIs" dxfId="1" priority="1514" operator="equal">
      <formula>0</formula>
    </cfRule>
    <cfRule type="cellIs" dxfId="2" priority="1515" operator="lessThan">
      <formula>F28</formula>
    </cfRule>
  </conditionalFormatting>
  <conditionalFormatting sqref="AH31">
    <cfRule type="cellIs" dxfId="1" priority="1519" operator="equal">
      <formula>0</formula>
    </cfRule>
    <cfRule type="cellIs" dxfId="2" priority="1520" operator="lessThan">
      <formula>F31</formula>
    </cfRule>
  </conditionalFormatting>
  <conditionalFormatting sqref="AH33">
    <cfRule type="cellIs" dxfId="1" priority="1525" operator="equal">
      <formula>0</formula>
    </cfRule>
    <cfRule type="cellIs" dxfId="2" priority="1526" operator="lessThan">
      <formula>F33</formula>
    </cfRule>
  </conditionalFormatting>
  <conditionalFormatting sqref="AH35">
    <cfRule type="cellIs" dxfId="1" priority="1530" operator="equal">
      <formula>0</formula>
    </cfRule>
    <cfRule type="cellIs" dxfId="2" priority="1531" operator="lessThan">
      <formula>F35</formula>
    </cfRule>
  </conditionalFormatting>
  <conditionalFormatting sqref="AH36">
    <cfRule type="cellIs" dxfId="1" priority="1535" operator="equal">
      <formula>0</formula>
    </cfRule>
    <cfRule type="cellIs" dxfId="2" priority="1536" operator="lessThan">
      <formula>F36</formula>
    </cfRule>
  </conditionalFormatting>
  <conditionalFormatting sqref="AH37">
    <cfRule type="cellIs" dxfId="1" priority="1540" operator="equal">
      <formula>0</formula>
    </cfRule>
    <cfRule type="cellIs" dxfId="2" priority="1541" operator="lessThan">
      <formula>F37</formula>
    </cfRule>
  </conditionalFormatting>
  <conditionalFormatting sqref="AH38">
    <cfRule type="cellIs" dxfId="1" priority="1545" operator="equal">
      <formula>0</formula>
    </cfRule>
    <cfRule type="cellIs" dxfId="2" priority="1546" operator="lessThan">
      <formula>F38</formula>
    </cfRule>
  </conditionalFormatting>
  <conditionalFormatting sqref="AH39">
    <cfRule type="cellIs" dxfId="1" priority="1551" operator="equal">
      <formula>0</formula>
    </cfRule>
    <cfRule type="cellIs" dxfId="2" priority="1552" operator="lessThan">
      <formula>F39</formula>
    </cfRule>
  </conditionalFormatting>
  <conditionalFormatting sqref="AH40">
    <cfRule type="cellIs" dxfId="1" priority="1557" operator="equal">
      <formula>0</formula>
    </cfRule>
    <cfRule type="cellIs" dxfId="2" priority="1558" operator="lessThan">
      <formula>F40</formula>
    </cfRule>
  </conditionalFormatting>
  <conditionalFormatting sqref="AH41">
    <cfRule type="cellIs" dxfId="1" priority="1562" operator="equal">
      <formula>0</formula>
    </cfRule>
    <cfRule type="cellIs" dxfId="2" priority="1563" operator="lessThan">
      <formula>F41</formula>
    </cfRule>
  </conditionalFormatting>
  <conditionalFormatting sqref="AH42">
    <cfRule type="cellIs" dxfId="1" priority="1567" operator="equal">
      <formula>0</formula>
    </cfRule>
    <cfRule type="cellIs" dxfId="2" priority="1568" operator="lessThan">
      <formula>F42</formula>
    </cfRule>
  </conditionalFormatting>
  <conditionalFormatting sqref="AH46">
    <cfRule type="cellIs" dxfId="1" priority="1572" operator="equal">
      <formula>0</formula>
    </cfRule>
    <cfRule type="cellIs" dxfId="2" priority="1573" operator="lessThan">
      <formula>F46</formula>
    </cfRule>
  </conditionalFormatting>
  <conditionalFormatting sqref="AH48">
    <cfRule type="cellIs" dxfId="1" priority="1577" operator="equal">
      <formula>0</formula>
    </cfRule>
    <cfRule type="cellIs" dxfId="2" priority="1578" operator="lessThan">
      <formula>F48</formula>
    </cfRule>
  </conditionalFormatting>
  <conditionalFormatting sqref="AH49">
    <cfRule type="cellIs" dxfId="1" priority="1582" operator="equal">
      <formula>0</formula>
    </cfRule>
    <cfRule type="cellIs" dxfId="2" priority="1583" operator="lessThan">
      <formula>F49</formula>
    </cfRule>
  </conditionalFormatting>
  <conditionalFormatting sqref="AH51">
    <cfRule type="cellIs" dxfId="1" priority="1587" operator="equal">
      <formula>0</formula>
    </cfRule>
    <cfRule type="cellIs" dxfId="2" priority="1588" operator="lessThan">
      <formula>F51</formula>
    </cfRule>
  </conditionalFormatting>
  <conditionalFormatting sqref="AH52">
    <cfRule type="cellIs" dxfId="1" priority="1593" operator="equal">
      <formula>0</formula>
    </cfRule>
    <cfRule type="cellIs" dxfId="2" priority="1594" operator="lessThan">
      <formula>F52</formula>
    </cfRule>
  </conditionalFormatting>
  <conditionalFormatting sqref="AH53">
    <cfRule type="cellIs" dxfId="1" priority="1598" operator="equal">
      <formula>0</formula>
    </cfRule>
    <cfRule type="cellIs" dxfId="2" priority="1599" operator="lessThan">
      <formula>F53</formula>
    </cfRule>
  </conditionalFormatting>
  <conditionalFormatting sqref="AH55">
    <cfRule type="cellIs" dxfId="1" priority="1603" operator="equal">
      <formula>0</formula>
    </cfRule>
    <cfRule type="cellIs" dxfId="2" priority="1604" operator="lessThan">
      <formula>F55</formula>
    </cfRule>
  </conditionalFormatting>
  <conditionalFormatting sqref="AH57">
    <cfRule type="cellIs" dxfId="1" priority="1608" operator="equal">
      <formula>0</formula>
    </cfRule>
    <cfRule type="cellIs" dxfId="2" priority="1609" operator="lessThan">
      <formula>F57</formula>
    </cfRule>
  </conditionalFormatting>
  <conditionalFormatting sqref="AH58">
    <cfRule type="cellIs" dxfId="1" priority="1613" operator="equal">
      <formula>0</formula>
    </cfRule>
    <cfRule type="cellIs" dxfId="2" priority="1614" operator="lessThan">
      <formula>F58</formula>
    </cfRule>
  </conditionalFormatting>
  <conditionalFormatting sqref="AH59">
    <cfRule type="cellIs" dxfId="1" priority="1618" operator="equal">
      <formula>0</formula>
    </cfRule>
    <cfRule type="cellIs" dxfId="2" priority="1619" operator="lessThan">
      <formula>F59</formula>
    </cfRule>
  </conditionalFormatting>
  <conditionalFormatting sqref="AH60">
    <cfRule type="cellIs" dxfId="1" priority="1623" operator="equal">
      <formula>0</formula>
    </cfRule>
    <cfRule type="cellIs" dxfId="2" priority="1624" operator="lessThan">
      <formula>F60</formula>
    </cfRule>
  </conditionalFormatting>
  <conditionalFormatting sqref="AH62">
    <cfRule type="cellIs" dxfId="1" priority="1628" operator="equal">
      <formula>0</formula>
    </cfRule>
    <cfRule type="cellIs" dxfId="2" priority="1629" operator="lessThan">
      <formula>F62</formula>
    </cfRule>
  </conditionalFormatting>
  <conditionalFormatting sqref="AH63">
    <cfRule type="cellIs" dxfId="1" priority="1633" operator="equal">
      <formula>0</formula>
    </cfRule>
    <cfRule type="cellIs" dxfId="2" priority="1634" operator="lessThan">
      <formula>F63</formula>
    </cfRule>
  </conditionalFormatting>
  <conditionalFormatting sqref="AH64">
    <cfRule type="cellIs" dxfId="1" priority="1638" operator="equal">
      <formula>0</formula>
    </cfRule>
    <cfRule type="cellIs" dxfId="2" priority="1639" operator="lessThan">
      <formula>F64</formula>
    </cfRule>
  </conditionalFormatting>
  <conditionalFormatting sqref="AH65">
    <cfRule type="cellIs" dxfId="1" priority="1643" operator="equal">
      <formula>0</formula>
    </cfRule>
    <cfRule type="cellIs" dxfId="2" priority="1644" operator="lessThan">
      <formula>F65</formula>
    </cfRule>
  </conditionalFormatting>
  <conditionalFormatting sqref="AH66">
    <cfRule type="cellIs" dxfId="1" priority="1648" operator="equal">
      <formula>0</formula>
    </cfRule>
    <cfRule type="cellIs" dxfId="2" priority="1649" operator="lessThan">
      <formula>F66</formula>
    </cfRule>
  </conditionalFormatting>
  <conditionalFormatting sqref="AH67">
    <cfRule type="cellIs" dxfId="1" priority="1653" operator="equal">
      <formula>0</formula>
    </cfRule>
    <cfRule type="cellIs" dxfId="2" priority="1654" operator="lessThan">
      <formula>F67</formula>
    </cfRule>
  </conditionalFormatting>
  <conditionalFormatting sqref="AH73">
    <cfRule type="cellIs" dxfId="1" priority="1658" operator="equal">
      <formula>0</formula>
    </cfRule>
    <cfRule type="cellIs" dxfId="2" priority="1659" operator="lessThan">
      <formula>F73</formula>
    </cfRule>
  </conditionalFormatting>
  <conditionalFormatting sqref="AH74">
    <cfRule type="cellIs" dxfId="1" priority="1663" operator="equal">
      <formula>0</formula>
    </cfRule>
    <cfRule type="cellIs" dxfId="2" priority="1664" operator="lessThan">
      <formula>F74</formula>
    </cfRule>
  </conditionalFormatting>
  <conditionalFormatting sqref="AH75">
    <cfRule type="cellIs" dxfId="1" priority="1668" operator="equal">
      <formula>0</formula>
    </cfRule>
    <cfRule type="cellIs" dxfId="2" priority="1669" operator="lessThan">
      <formula>F75</formula>
    </cfRule>
  </conditionalFormatting>
  <conditionalFormatting sqref="AH76">
    <cfRule type="cellIs" dxfId="1" priority="1673" operator="equal">
      <formula>0</formula>
    </cfRule>
    <cfRule type="cellIs" dxfId="2" priority="1674" operator="lessThan">
      <formula>F76</formula>
    </cfRule>
  </conditionalFormatting>
  <conditionalFormatting sqref="AH77">
    <cfRule type="cellIs" dxfId="1" priority="1678" operator="equal">
      <formula>0</formula>
    </cfRule>
    <cfRule type="cellIs" dxfId="2" priority="1679" operator="lessThan">
      <formula>F77</formula>
    </cfRule>
  </conditionalFormatting>
  <conditionalFormatting sqref="AH79">
    <cfRule type="cellIs" dxfId="1" priority="1683" operator="equal">
      <formula>0</formula>
    </cfRule>
    <cfRule type="cellIs" dxfId="2" priority="1684" operator="lessThan">
      <formula>F79</formula>
    </cfRule>
  </conditionalFormatting>
  <conditionalFormatting sqref="AH80">
    <cfRule type="cellIs" dxfId="1" priority="1688" operator="equal">
      <formula>0</formula>
    </cfRule>
    <cfRule type="cellIs" dxfId="2" priority="1689" operator="lessThan">
      <formula>F80</formula>
    </cfRule>
  </conditionalFormatting>
  <conditionalFormatting sqref="AH81">
    <cfRule type="cellIs" dxfId="1" priority="1693" operator="equal">
      <formula>0</formula>
    </cfRule>
    <cfRule type="cellIs" dxfId="2" priority="1694" operator="lessThan">
      <formula>F81</formula>
    </cfRule>
  </conditionalFormatting>
  <conditionalFormatting sqref="AH82">
    <cfRule type="cellIs" dxfId="1" priority="1699" operator="equal">
      <formula>0</formula>
    </cfRule>
    <cfRule type="cellIs" dxfId="2" priority="1700" operator="lessThan">
      <formula>F82</formula>
    </cfRule>
  </conditionalFormatting>
  <conditionalFormatting sqref="AH83">
    <cfRule type="cellIs" dxfId="1" priority="1704" operator="equal">
      <formula>0</formula>
    </cfRule>
    <cfRule type="cellIs" dxfId="2" priority="1705" operator="lessThan">
      <formula>F83</formula>
    </cfRule>
  </conditionalFormatting>
  <conditionalFormatting sqref="AI10">
    <cfRule type="cellIs" dxfId="1" priority="1454" operator="greaterThan">
      <formula>AH10</formula>
    </cfRule>
  </conditionalFormatting>
  <conditionalFormatting sqref="AI12">
    <cfRule type="expression" dxfId="3" priority="1459">
      <formula>AND(AI12&gt;0,AI12&lt;10)</formula>
    </cfRule>
    <cfRule type="cellIs" dxfId="1" priority="1460" operator="greaterThan">
      <formula>AH12</formula>
    </cfRule>
  </conditionalFormatting>
  <conditionalFormatting sqref="AI13">
    <cfRule type="cellIs" dxfId="1" priority="1465" operator="greaterThan">
      <formula>AH13</formula>
    </cfRule>
  </conditionalFormatting>
  <conditionalFormatting sqref="AI14">
    <cfRule type="cellIs" dxfId="1" priority="1470" operator="greaterThan">
      <formula>AH14</formula>
    </cfRule>
  </conditionalFormatting>
  <conditionalFormatting sqref="AI15">
    <cfRule type="cellIs" dxfId="1" priority="1475" operator="greaterThan">
      <formula>AH15</formula>
    </cfRule>
  </conditionalFormatting>
  <conditionalFormatting sqref="AI16">
    <cfRule type="cellIs" dxfId="1" priority="1480" operator="greaterThan">
      <formula>AH16</formula>
    </cfRule>
  </conditionalFormatting>
  <conditionalFormatting sqref="AI18">
    <cfRule type="cellIs" dxfId="1" priority="1485" operator="greaterThan">
      <formula>AH18</formula>
    </cfRule>
  </conditionalFormatting>
  <conditionalFormatting sqref="AI20">
    <cfRule type="cellIs" dxfId="1" priority="1490" operator="greaterThan">
      <formula>AH20</formula>
    </cfRule>
  </conditionalFormatting>
  <conditionalFormatting sqref="AI21">
    <cfRule type="cellIs" dxfId="1" priority="1495" operator="greaterThan">
      <formula>AH21</formula>
    </cfRule>
  </conditionalFormatting>
  <conditionalFormatting sqref="AI22">
    <cfRule type="expression" dxfId="3" priority="1500">
      <formula>AND(AI22&gt;0,AI22&lt;5)</formula>
    </cfRule>
    <cfRule type="cellIs" dxfId="1" priority="1501" operator="greaterThan">
      <formula>AH22</formula>
    </cfRule>
  </conditionalFormatting>
  <conditionalFormatting sqref="AI26">
    <cfRule type="cellIs" dxfId="1" priority="1506" operator="greaterThan">
      <formula>AH26</formula>
    </cfRule>
  </conditionalFormatting>
  <conditionalFormatting sqref="AI27">
    <cfRule type="cellIs" dxfId="1" priority="1511" operator="greaterThan">
      <formula>AH27</formula>
    </cfRule>
  </conditionalFormatting>
  <conditionalFormatting sqref="AI28">
    <cfRule type="cellIs" dxfId="1" priority="1516" operator="greaterThan">
      <formula>AH28</formula>
    </cfRule>
  </conditionalFormatting>
  <conditionalFormatting sqref="AI31">
    <cfRule type="expression" dxfId="3" priority="1521">
      <formula>AND(AI31&gt;0,AI31&lt;3180)</formula>
    </cfRule>
    <cfRule type="cellIs" dxfId="1" priority="1522" operator="greaterThan">
      <formula>AH31</formula>
    </cfRule>
  </conditionalFormatting>
  <conditionalFormatting sqref="AI33">
    <cfRule type="cellIs" dxfId="1" priority="1527" operator="greaterThan">
      <formula>AH33</formula>
    </cfRule>
  </conditionalFormatting>
  <conditionalFormatting sqref="AI35">
    <cfRule type="cellIs" dxfId="1" priority="1532" operator="greaterThan">
      <formula>AH35</formula>
    </cfRule>
  </conditionalFormatting>
  <conditionalFormatting sqref="AI36">
    <cfRule type="cellIs" dxfId="1" priority="1537" operator="greaterThan">
      <formula>AH36</formula>
    </cfRule>
  </conditionalFormatting>
  <conditionalFormatting sqref="AI37">
    <cfRule type="cellIs" dxfId="1" priority="1542" operator="greaterThan">
      <formula>AH37</formula>
    </cfRule>
  </conditionalFormatting>
  <conditionalFormatting sqref="AI38">
    <cfRule type="expression" dxfId="3" priority="1547">
      <formula>AND(AI38&gt;0,AI38&lt;500)</formula>
    </cfRule>
    <cfRule type="cellIs" dxfId="1" priority="1548" operator="greaterThan">
      <formula>AH38</formula>
    </cfRule>
  </conditionalFormatting>
  <conditionalFormatting sqref="AI39">
    <cfRule type="expression" dxfId="3" priority="1553">
      <formula>AND(AI39&gt;0,AI39&lt;60)</formula>
    </cfRule>
    <cfRule type="cellIs" dxfId="1" priority="1554" operator="greaterThan">
      <formula>AH39</formula>
    </cfRule>
  </conditionalFormatting>
  <conditionalFormatting sqref="AI40">
    <cfRule type="cellIs" dxfId="1" priority="1559" operator="greaterThan">
      <formula>AH40</formula>
    </cfRule>
  </conditionalFormatting>
  <conditionalFormatting sqref="AI41">
    <cfRule type="cellIs" dxfId="1" priority="1564" operator="greaterThan">
      <formula>AH41</formula>
    </cfRule>
  </conditionalFormatting>
  <conditionalFormatting sqref="AI42">
    <cfRule type="cellIs" dxfId="1" priority="1569" operator="greaterThan">
      <formula>AH42</formula>
    </cfRule>
  </conditionalFormatting>
  <conditionalFormatting sqref="AI46">
    <cfRule type="cellIs" dxfId="1" priority="1574" operator="greaterThan">
      <formula>AH46</formula>
    </cfRule>
  </conditionalFormatting>
  <conditionalFormatting sqref="AI48">
    <cfRule type="cellIs" dxfId="1" priority="1579" operator="greaterThan">
      <formula>AH48</formula>
    </cfRule>
  </conditionalFormatting>
  <conditionalFormatting sqref="AI49">
    <cfRule type="cellIs" dxfId="1" priority="1584" operator="greaterThan">
      <formula>AH49</formula>
    </cfRule>
  </conditionalFormatting>
  <conditionalFormatting sqref="AI51">
    <cfRule type="expression" dxfId="3" priority="1589">
      <formula>AND(AI51&gt;0,AI51&lt;10)</formula>
    </cfRule>
    <cfRule type="cellIs" dxfId="1" priority="1590" operator="greaterThan">
      <formula>AH51</formula>
    </cfRule>
  </conditionalFormatting>
  <conditionalFormatting sqref="AI52">
    <cfRule type="cellIs" dxfId="1" priority="1595" operator="greaterThan">
      <formula>AH52</formula>
    </cfRule>
  </conditionalFormatting>
  <conditionalFormatting sqref="AI53">
    <cfRule type="cellIs" dxfId="1" priority="1600" operator="greaterThan">
      <formula>AH53</formula>
    </cfRule>
  </conditionalFormatting>
  <conditionalFormatting sqref="AI55">
    <cfRule type="cellIs" dxfId="1" priority="1605" operator="greaterThan">
      <formula>AH55</formula>
    </cfRule>
  </conditionalFormatting>
  <conditionalFormatting sqref="AI57">
    <cfRule type="cellIs" dxfId="1" priority="1610" operator="greaterThan">
      <formula>AH57</formula>
    </cfRule>
  </conditionalFormatting>
  <conditionalFormatting sqref="AI58">
    <cfRule type="cellIs" dxfId="1" priority="1615" operator="greaterThan">
      <formula>AH58</formula>
    </cfRule>
  </conditionalFormatting>
  <conditionalFormatting sqref="AI59">
    <cfRule type="cellIs" dxfId="1" priority="1620" operator="greaterThan">
      <formula>AH59</formula>
    </cfRule>
  </conditionalFormatting>
  <conditionalFormatting sqref="AI60">
    <cfRule type="cellIs" dxfId="1" priority="1625" operator="greaterThan">
      <formula>AH60</formula>
    </cfRule>
  </conditionalFormatting>
  <conditionalFormatting sqref="AI62">
    <cfRule type="cellIs" dxfId="1" priority="1630" operator="greaterThan">
      <formula>AH62</formula>
    </cfRule>
  </conditionalFormatting>
  <conditionalFormatting sqref="AI63">
    <cfRule type="cellIs" dxfId="1" priority="1635" operator="greaterThan">
      <formula>AH63</formula>
    </cfRule>
  </conditionalFormatting>
  <conditionalFormatting sqref="AI64">
    <cfRule type="cellIs" dxfId="1" priority="1640" operator="greaterThan">
      <formula>AH64</formula>
    </cfRule>
  </conditionalFormatting>
  <conditionalFormatting sqref="AI65">
    <cfRule type="cellIs" dxfId="1" priority="1645" operator="greaterThan">
      <formula>AH65</formula>
    </cfRule>
  </conditionalFormatting>
  <conditionalFormatting sqref="AI66">
    <cfRule type="cellIs" dxfId="1" priority="1650" operator="greaterThan">
      <formula>AH66</formula>
    </cfRule>
  </conditionalFormatting>
  <conditionalFormatting sqref="AI67">
    <cfRule type="cellIs" dxfId="1" priority="1655" operator="greaterThan">
      <formula>AH67</formula>
    </cfRule>
  </conditionalFormatting>
  <conditionalFormatting sqref="AI73">
    <cfRule type="cellIs" dxfId="1" priority="1660" operator="greaterThan">
      <formula>AH73</formula>
    </cfRule>
  </conditionalFormatting>
  <conditionalFormatting sqref="AI74">
    <cfRule type="cellIs" dxfId="1" priority="1665" operator="greaterThan">
      <formula>AH74</formula>
    </cfRule>
  </conditionalFormatting>
  <conditionalFormatting sqref="AI75">
    <cfRule type="cellIs" dxfId="1" priority="1670" operator="greaterThan">
      <formula>AH75</formula>
    </cfRule>
  </conditionalFormatting>
  <conditionalFormatting sqref="AI76">
    <cfRule type="cellIs" dxfId="1" priority="1675" operator="greaterThan">
      <formula>AH76</formula>
    </cfRule>
  </conditionalFormatting>
  <conditionalFormatting sqref="AI77">
    <cfRule type="cellIs" dxfId="1" priority="1680" operator="greaterThan">
      <formula>AH77</formula>
    </cfRule>
  </conditionalFormatting>
  <conditionalFormatting sqref="AI79">
    <cfRule type="cellIs" dxfId="1" priority="1685" operator="greaterThan">
      <formula>AH79</formula>
    </cfRule>
  </conditionalFormatting>
  <conditionalFormatting sqref="AI80">
    <cfRule type="cellIs" dxfId="1" priority="1690" operator="greaterThan">
      <formula>AH80</formula>
    </cfRule>
  </conditionalFormatting>
  <conditionalFormatting sqref="AI81">
    <cfRule type="expression" dxfId="3" priority="1695">
      <formula>AND(AI81&gt;0,AI81&lt;2500)</formula>
    </cfRule>
    <cfRule type="cellIs" dxfId="1" priority="1696" operator="greaterThan">
      <formula>AH81</formula>
    </cfRule>
  </conditionalFormatting>
  <conditionalFormatting sqref="AI82">
    <cfRule type="cellIs" dxfId="1" priority="1701" operator="greaterThan">
      <formula>AH82</formula>
    </cfRule>
  </conditionalFormatting>
  <conditionalFormatting sqref="AI83">
    <cfRule type="cellIs" dxfId="1" priority="1706" operator="greaterThan">
      <formula>AH83</formula>
    </cfRule>
  </conditionalFormatting>
  <conditionalFormatting sqref="AJ10">
    <cfRule type="cellIs" dxfId="4" priority="1456" operator="lessThanOrEqual">
      <formula>G10</formula>
    </cfRule>
  </conditionalFormatting>
  <conditionalFormatting sqref="AJ12">
    <cfRule type="cellIs" dxfId="4" priority="1462" operator="lessThanOrEqual">
      <formula>G12</formula>
    </cfRule>
  </conditionalFormatting>
  <conditionalFormatting sqref="AJ13">
    <cfRule type="cellIs" dxfId="4" priority="1467" operator="lessThanOrEqual">
      <formula>G13</formula>
    </cfRule>
  </conditionalFormatting>
  <conditionalFormatting sqref="AJ14">
    <cfRule type="cellIs" dxfId="4" priority="1472" operator="lessThanOrEqual">
      <formula>G14</formula>
    </cfRule>
  </conditionalFormatting>
  <conditionalFormatting sqref="AJ15">
    <cfRule type="cellIs" dxfId="4" priority="1477" operator="lessThanOrEqual">
      <formula>G15</formula>
    </cfRule>
  </conditionalFormatting>
  <conditionalFormatting sqref="AJ16">
    <cfRule type="cellIs" dxfId="4" priority="1482" operator="lessThanOrEqual">
      <formula>G16</formula>
    </cfRule>
  </conditionalFormatting>
  <conditionalFormatting sqref="AJ18">
    <cfRule type="cellIs" dxfId="4" priority="1487" operator="lessThanOrEqual">
      <formula>G18</formula>
    </cfRule>
  </conditionalFormatting>
  <conditionalFormatting sqref="AJ20">
    <cfRule type="cellIs" dxfId="4" priority="1492" operator="lessThanOrEqual">
      <formula>G20</formula>
    </cfRule>
  </conditionalFormatting>
  <conditionalFormatting sqref="AJ21">
    <cfRule type="cellIs" dxfId="4" priority="1497" operator="lessThanOrEqual">
      <formula>G21</formula>
    </cfRule>
  </conditionalFormatting>
  <conditionalFormatting sqref="AJ22">
    <cfRule type="cellIs" dxfId="4" priority="1503" operator="lessThanOrEqual">
      <formula>G22</formula>
    </cfRule>
  </conditionalFormatting>
  <conditionalFormatting sqref="AJ26">
    <cfRule type="cellIs" dxfId="4" priority="1508" operator="lessThanOrEqual">
      <formula>G26</formula>
    </cfRule>
  </conditionalFormatting>
  <conditionalFormatting sqref="AJ27">
    <cfRule type="cellIs" dxfId="4" priority="1513" operator="lessThanOrEqual">
      <formula>G27</formula>
    </cfRule>
  </conditionalFormatting>
  <conditionalFormatting sqref="AJ28">
    <cfRule type="cellIs" dxfId="4" priority="1518" operator="lessThanOrEqual">
      <formula>G28</formula>
    </cfRule>
  </conditionalFormatting>
  <conditionalFormatting sqref="AJ31">
    <cfRule type="cellIs" dxfId="4" priority="1524" operator="lessThanOrEqual">
      <formula>G31</formula>
    </cfRule>
  </conditionalFormatting>
  <conditionalFormatting sqref="AJ33">
    <cfRule type="cellIs" dxfId="4" priority="1529" operator="lessThanOrEqual">
      <formula>G33</formula>
    </cfRule>
  </conditionalFormatting>
  <conditionalFormatting sqref="AJ35">
    <cfRule type="cellIs" dxfId="4" priority="1534" operator="lessThanOrEqual">
      <formula>G35</formula>
    </cfRule>
  </conditionalFormatting>
  <conditionalFormatting sqref="AJ36">
    <cfRule type="cellIs" dxfId="4" priority="1539" operator="lessThanOrEqual">
      <formula>G36</formula>
    </cfRule>
  </conditionalFormatting>
  <conditionalFormatting sqref="AJ37">
    <cfRule type="cellIs" dxfId="4" priority="1544" operator="lessThanOrEqual">
      <formula>G37</formula>
    </cfRule>
  </conditionalFormatting>
  <conditionalFormatting sqref="AJ38">
    <cfRule type="cellIs" dxfId="4" priority="1550" operator="lessThanOrEqual">
      <formula>G38</formula>
    </cfRule>
  </conditionalFormatting>
  <conditionalFormatting sqref="AJ39">
    <cfRule type="cellIs" dxfId="4" priority="1556" operator="lessThanOrEqual">
      <formula>G39</formula>
    </cfRule>
  </conditionalFormatting>
  <conditionalFormatting sqref="AJ40">
    <cfRule type="cellIs" dxfId="4" priority="1561" operator="lessThanOrEqual">
      <formula>G40</formula>
    </cfRule>
  </conditionalFormatting>
  <conditionalFormatting sqref="AJ41">
    <cfRule type="cellIs" dxfId="4" priority="1566" operator="lessThanOrEqual">
      <formula>G41</formula>
    </cfRule>
  </conditionalFormatting>
  <conditionalFormatting sqref="AJ42">
    <cfRule type="cellIs" dxfId="4" priority="1571" operator="lessThanOrEqual">
      <formula>G42</formula>
    </cfRule>
  </conditionalFormatting>
  <conditionalFormatting sqref="AJ46">
    <cfRule type="cellIs" dxfId="4" priority="1576" operator="lessThanOrEqual">
      <formula>G46</formula>
    </cfRule>
  </conditionalFormatting>
  <conditionalFormatting sqref="AJ48">
    <cfRule type="cellIs" dxfId="4" priority="1581" operator="lessThanOrEqual">
      <formula>G48</formula>
    </cfRule>
  </conditionalFormatting>
  <conditionalFormatting sqref="AJ49">
    <cfRule type="cellIs" dxfId="4" priority="1586" operator="lessThanOrEqual">
      <formula>G49</formula>
    </cfRule>
  </conditionalFormatting>
  <conditionalFormatting sqref="AJ51">
    <cfRule type="cellIs" dxfId="4" priority="1592" operator="lessThanOrEqual">
      <formula>G51</formula>
    </cfRule>
  </conditionalFormatting>
  <conditionalFormatting sqref="AJ52">
    <cfRule type="cellIs" dxfId="4" priority="1597" operator="lessThanOrEqual">
      <formula>G52</formula>
    </cfRule>
  </conditionalFormatting>
  <conditionalFormatting sqref="AJ53">
    <cfRule type="cellIs" dxfId="4" priority="1602" operator="lessThanOrEqual">
      <formula>G53</formula>
    </cfRule>
  </conditionalFormatting>
  <conditionalFormatting sqref="AJ55">
    <cfRule type="cellIs" dxfId="4" priority="1607" operator="lessThanOrEqual">
      <formula>G55</formula>
    </cfRule>
  </conditionalFormatting>
  <conditionalFormatting sqref="AJ57">
    <cfRule type="cellIs" dxfId="4" priority="1612" operator="lessThanOrEqual">
      <formula>G57</formula>
    </cfRule>
  </conditionalFormatting>
  <conditionalFormatting sqref="AJ58">
    <cfRule type="cellIs" dxfId="4" priority="1617" operator="lessThanOrEqual">
      <formula>G58</formula>
    </cfRule>
  </conditionalFormatting>
  <conditionalFormatting sqref="AJ59">
    <cfRule type="cellIs" dxfId="4" priority="1622" operator="lessThanOrEqual">
      <formula>G59</formula>
    </cfRule>
  </conditionalFormatting>
  <conditionalFormatting sqref="AJ60">
    <cfRule type="cellIs" dxfId="4" priority="1627" operator="lessThanOrEqual">
      <formula>G60</formula>
    </cfRule>
  </conditionalFormatting>
  <conditionalFormatting sqref="AJ62">
    <cfRule type="cellIs" dxfId="4" priority="1632" operator="lessThanOrEqual">
      <formula>G62</formula>
    </cfRule>
  </conditionalFormatting>
  <conditionalFormatting sqref="AJ63">
    <cfRule type="cellIs" dxfId="4" priority="1637" operator="lessThanOrEqual">
      <formula>G63</formula>
    </cfRule>
  </conditionalFormatting>
  <conditionalFormatting sqref="AJ64">
    <cfRule type="cellIs" dxfId="4" priority="1642" operator="lessThanOrEqual">
      <formula>G64</formula>
    </cfRule>
  </conditionalFormatting>
  <conditionalFormatting sqref="AJ65">
    <cfRule type="cellIs" dxfId="4" priority="1647" operator="lessThanOrEqual">
      <formula>G65</formula>
    </cfRule>
  </conditionalFormatting>
  <conditionalFormatting sqref="AJ66">
    <cfRule type="cellIs" dxfId="4" priority="1652" operator="lessThanOrEqual">
      <formula>G66</formula>
    </cfRule>
  </conditionalFormatting>
  <conditionalFormatting sqref="AJ67">
    <cfRule type="cellIs" dxfId="4" priority="1657" operator="lessThanOrEqual">
      <formula>G67</formula>
    </cfRule>
  </conditionalFormatting>
  <conditionalFormatting sqref="AJ73">
    <cfRule type="cellIs" dxfId="4" priority="1662" operator="lessThanOrEqual">
      <formula>G73</formula>
    </cfRule>
  </conditionalFormatting>
  <conditionalFormatting sqref="AJ74">
    <cfRule type="cellIs" dxfId="4" priority="1667" operator="lessThanOrEqual">
      <formula>G74</formula>
    </cfRule>
  </conditionalFormatting>
  <conditionalFormatting sqref="AJ75">
    <cfRule type="cellIs" dxfId="4" priority="1672" operator="lessThanOrEqual">
      <formula>G75</formula>
    </cfRule>
  </conditionalFormatting>
  <conditionalFormatting sqref="AJ76">
    <cfRule type="cellIs" dxfId="4" priority="1677" operator="lessThanOrEqual">
      <formula>G76</formula>
    </cfRule>
  </conditionalFormatting>
  <conditionalFormatting sqref="AJ77">
    <cfRule type="cellIs" dxfId="4" priority="1682" operator="lessThanOrEqual">
      <formula>G77</formula>
    </cfRule>
  </conditionalFormatting>
  <conditionalFormatting sqref="AJ79">
    <cfRule type="cellIs" dxfId="4" priority="1687" operator="lessThanOrEqual">
      <formula>G79</formula>
    </cfRule>
  </conditionalFormatting>
  <conditionalFormatting sqref="AJ80">
    <cfRule type="cellIs" dxfId="4" priority="1692" operator="lessThanOrEqual">
      <formula>G80</formula>
    </cfRule>
  </conditionalFormatting>
  <conditionalFormatting sqref="AJ81">
    <cfRule type="cellIs" dxfId="4" priority="1698" operator="lessThanOrEqual">
      <formula>G81</formula>
    </cfRule>
  </conditionalFormatting>
  <conditionalFormatting sqref="AJ82">
    <cfRule type="cellIs" dxfId="4" priority="1703" operator="lessThanOrEqual">
      <formula>G82</formula>
    </cfRule>
  </conditionalFormatting>
  <conditionalFormatting sqref="AJ83">
    <cfRule type="cellIs" dxfId="4" priority="1708" operator="lessThanOrEqual">
      <formula>G83</formula>
    </cfRule>
  </conditionalFormatting>
  <conditionalFormatting sqref="AK10">
    <cfRule type="cellIs" dxfId="4" priority="1455" operator="lessThanOrEqual">
      <formula>H10</formula>
    </cfRule>
  </conditionalFormatting>
  <conditionalFormatting sqref="AK12">
    <cfRule type="cellIs" dxfId="4" priority="1461" operator="lessThanOrEqual">
      <formula>H12</formula>
    </cfRule>
  </conditionalFormatting>
  <conditionalFormatting sqref="AK13">
    <cfRule type="cellIs" dxfId="4" priority="1466" operator="lessThanOrEqual">
      <formula>H13</formula>
    </cfRule>
  </conditionalFormatting>
  <conditionalFormatting sqref="AK14">
    <cfRule type="cellIs" dxfId="4" priority="1471" operator="lessThanOrEqual">
      <formula>H14</formula>
    </cfRule>
  </conditionalFormatting>
  <conditionalFormatting sqref="AK15">
    <cfRule type="cellIs" dxfId="4" priority="1476" operator="lessThanOrEqual">
      <formula>H15</formula>
    </cfRule>
  </conditionalFormatting>
  <conditionalFormatting sqref="AK16">
    <cfRule type="cellIs" dxfId="4" priority="1481" operator="lessThanOrEqual">
      <formula>H16</formula>
    </cfRule>
  </conditionalFormatting>
  <conditionalFormatting sqref="AK18">
    <cfRule type="cellIs" dxfId="4" priority="1486" operator="lessThanOrEqual">
      <formula>H18</formula>
    </cfRule>
  </conditionalFormatting>
  <conditionalFormatting sqref="AK20">
    <cfRule type="cellIs" dxfId="4" priority="1491" operator="lessThanOrEqual">
      <formula>H20</formula>
    </cfRule>
  </conditionalFormatting>
  <conditionalFormatting sqref="AK21">
    <cfRule type="cellIs" dxfId="4" priority="1496" operator="lessThanOrEqual">
      <formula>H21</formula>
    </cfRule>
  </conditionalFormatting>
  <conditionalFormatting sqref="AK22">
    <cfRule type="cellIs" dxfId="4" priority="1502" operator="lessThanOrEqual">
      <formula>H22</formula>
    </cfRule>
  </conditionalFormatting>
  <conditionalFormatting sqref="AK26">
    <cfRule type="cellIs" dxfId="4" priority="1507" operator="lessThanOrEqual">
      <formula>H26</formula>
    </cfRule>
  </conditionalFormatting>
  <conditionalFormatting sqref="AK27">
    <cfRule type="cellIs" dxfId="4" priority="1512" operator="lessThanOrEqual">
      <formula>H27</formula>
    </cfRule>
  </conditionalFormatting>
  <conditionalFormatting sqref="AK28">
    <cfRule type="cellIs" dxfId="4" priority="1517" operator="lessThanOrEqual">
      <formula>H28</formula>
    </cfRule>
  </conditionalFormatting>
  <conditionalFormatting sqref="AK31">
    <cfRule type="cellIs" dxfId="4" priority="1523" operator="lessThanOrEqual">
      <formula>H31</formula>
    </cfRule>
  </conditionalFormatting>
  <conditionalFormatting sqref="AK33">
    <cfRule type="cellIs" dxfId="4" priority="1528" operator="lessThanOrEqual">
      <formula>H33</formula>
    </cfRule>
  </conditionalFormatting>
  <conditionalFormatting sqref="AK35">
    <cfRule type="cellIs" dxfId="4" priority="1533" operator="lessThanOrEqual">
      <formula>H35</formula>
    </cfRule>
  </conditionalFormatting>
  <conditionalFormatting sqref="AK36">
    <cfRule type="cellIs" dxfId="4" priority="1538" operator="lessThanOrEqual">
      <formula>H36</formula>
    </cfRule>
  </conditionalFormatting>
  <conditionalFormatting sqref="AK37">
    <cfRule type="cellIs" dxfId="4" priority="1543" operator="lessThanOrEqual">
      <formula>H37</formula>
    </cfRule>
  </conditionalFormatting>
  <conditionalFormatting sqref="AK38">
    <cfRule type="cellIs" dxfId="4" priority="1549" operator="lessThanOrEqual">
      <formula>H38</formula>
    </cfRule>
  </conditionalFormatting>
  <conditionalFormatting sqref="AK39">
    <cfRule type="cellIs" dxfId="4" priority="1555" operator="lessThanOrEqual">
      <formula>H39</formula>
    </cfRule>
  </conditionalFormatting>
  <conditionalFormatting sqref="AK40">
    <cfRule type="cellIs" dxfId="4" priority="1560" operator="lessThanOrEqual">
      <formula>H40</formula>
    </cfRule>
  </conditionalFormatting>
  <conditionalFormatting sqref="AK41">
    <cfRule type="cellIs" dxfId="4" priority="1565" operator="lessThanOrEqual">
      <formula>H41</formula>
    </cfRule>
  </conditionalFormatting>
  <conditionalFormatting sqref="AK42">
    <cfRule type="cellIs" dxfId="4" priority="1570" operator="lessThanOrEqual">
      <formula>H42</formula>
    </cfRule>
  </conditionalFormatting>
  <conditionalFormatting sqref="AK46">
    <cfRule type="cellIs" dxfId="4" priority="1575" operator="lessThanOrEqual">
      <formula>H46</formula>
    </cfRule>
  </conditionalFormatting>
  <conditionalFormatting sqref="AK48">
    <cfRule type="cellIs" dxfId="4" priority="1580" operator="lessThanOrEqual">
      <formula>H48</formula>
    </cfRule>
  </conditionalFormatting>
  <conditionalFormatting sqref="AK49">
    <cfRule type="cellIs" dxfId="4" priority="1585" operator="lessThanOrEqual">
      <formula>H49</formula>
    </cfRule>
  </conditionalFormatting>
  <conditionalFormatting sqref="AK51">
    <cfRule type="cellIs" dxfId="4" priority="1591" operator="lessThanOrEqual">
      <formula>H51</formula>
    </cfRule>
  </conditionalFormatting>
  <conditionalFormatting sqref="AK52">
    <cfRule type="cellIs" dxfId="4" priority="1596" operator="lessThanOrEqual">
      <formula>H52</formula>
    </cfRule>
  </conditionalFormatting>
  <conditionalFormatting sqref="AK53">
    <cfRule type="cellIs" dxfId="4" priority="1601" operator="lessThanOrEqual">
      <formula>H53</formula>
    </cfRule>
  </conditionalFormatting>
  <conditionalFormatting sqref="AK55">
    <cfRule type="cellIs" dxfId="4" priority="1606" operator="lessThanOrEqual">
      <formula>H55</formula>
    </cfRule>
  </conditionalFormatting>
  <conditionalFormatting sqref="AK57">
    <cfRule type="cellIs" dxfId="4" priority="1611" operator="lessThanOrEqual">
      <formula>H57</formula>
    </cfRule>
  </conditionalFormatting>
  <conditionalFormatting sqref="AK58">
    <cfRule type="cellIs" dxfId="4" priority="1616" operator="lessThanOrEqual">
      <formula>H58</formula>
    </cfRule>
  </conditionalFormatting>
  <conditionalFormatting sqref="AK59">
    <cfRule type="cellIs" dxfId="4" priority="1621" operator="lessThanOrEqual">
      <formula>H59</formula>
    </cfRule>
  </conditionalFormatting>
  <conditionalFormatting sqref="AK60">
    <cfRule type="cellIs" dxfId="4" priority="1626" operator="lessThanOrEqual">
      <formula>H60</formula>
    </cfRule>
  </conditionalFormatting>
  <conditionalFormatting sqref="AK62">
    <cfRule type="cellIs" dxfId="4" priority="1631" operator="lessThanOrEqual">
      <formula>H62</formula>
    </cfRule>
  </conditionalFormatting>
  <conditionalFormatting sqref="AK63">
    <cfRule type="cellIs" dxfId="4" priority="1636" operator="lessThanOrEqual">
      <formula>H63</formula>
    </cfRule>
  </conditionalFormatting>
  <conditionalFormatting sqref="AK64">
    <cfRule type="cellIs" dxfId="4" priority="1641" operator="lessThanOrEqual">
      <formula>H64</formula>
    </cfRule>
  </conditionalFormatting>
  <conditionalFormatting sqref="AK65">
    <cfRule type="cellIs" dxfId="4" priority="1646" operator="lessThanOrEqual">
      <formula>H65</formula>
    </cfRule>
  </conditionalFormatting>
  <conditionalFormatting sqref="AK66">
    <cfRule type="cellIs" dxfId="4" priority="1651" operator="lessThanOrEqual">
      <formula>H66</formula>
    </cfRule>
  </conditionalFormatting>
  <conditionalFormatting sqref="AK67">
    <cfRule type="cellIs" dxfId="4" priority="1656" operator="lessThanOrEqual">
      <formula>H67</formula>
    </cfRule>
  </conditionalFormatting>
  <conditionalFormatting sqref="AK73">
    <cfRule type="cellIs" dxfId="4" priority="1661" operator="lessThanOrEqual">
      <formula>H73</formula>
    </cfRule>
  </conditionalFormatting>
  <conditionalFormatting sqref="AK74">
    <cfRule type="cellIs" dxfId="4" priority="1666" operator="lessThanOrEqual">
      <formula>H74</formula>
    </cfRule>
  </conditionalFormatting>
  <conditionalFormatting sqref="AK75">
    <cfRule type="cellIs" dxfId="4" priority="1671" operator="lessThanOrEqual">
      <formula>H75</formula>
    </cfRule>
  </conditionalFormatting>
  <conditionalFormatting sqref="AK76">
    <cfRule type="cellIs" dxfId="4" priority="1676" operator="lessThanOrEqual">
      <formula>H76</formula>
    </cfRule>
  </conditionalFormatting>
  <conditionalFormatting sqref="AK77">
    <cfRule type="cellIs" dxfId="4" priority="1681" operator="lessThanOrEqual">
      <formula>H77</formula>
    </cfRule>
  </conditionalFormatting>
  <conditionalFormatting sqref="AK79">
    <cfRule type="cellIs" dxfId="4" priority="1686" operator="lessThanOrEqual">
      <formula>H79</formula>
    </cfRule>
  </conditionalFormatting>
  <conditionalFormatting sqref="AK80">
    <cfRule type="cellIs" dxfId="4" priority="1691" operator="lessThanOrEqual">
      <formula>H80</formula>
    </cfRule>
  </conditionalFormatting>
  <conditionalFormatting sqref="AK81">
    <cfRule type="cellIs" dxfId="4" priority="1697" operator="lessThanOrEqual">
      <formula>H81</formula>
    </cfRule>
  </conditionalFormatting>
  <conditionalFormatting sqref="AK82">
    <cfRule type="cellIs" dxfId="4" priority="1702" operator="lessThanOrEqual">
      <formula>H82</formula>
    </cfRule>
  </conditionalFormatting>
  <conditionalFormatting sqref="AK83">
    <cfRule type="cellIs" dxfId="4" priority="1707" operator="lessThanOrEqual">
      <formula>H83</formula>
    </cfRule>
  </conditionalFormatting>
  <conditionalFormatting sqref="AM10">
    <cfRule type="cellIs" dxfId="1" priority="1709" operator="equal">
      <formula>0</formula>
    </cfRule>
    <cfRule type="cellIs" dxfId="2" priority="1710" operator="lessThan">
      <formula>F10</formula>
    </cfRule>
  </conditionalFormatting>
  <conditionalFormatting sqref="AM12">
    <cfRule type="cellIs" dxfId="1" priority="1715" operator="equal">
      <formula>0</formula>
    </cfRule>
    <cfRule type="cellIs" dxfId="2" priority="1716" operator="lessThan">
      <formula>F12</formula>
    </cfRule>
  </conditionalFormatting>
  <conditionalFormatting sqref="AM14">
    <cfRule type="cellIs" dxfId="1" priority="1721" operator="equal">
      <formula>0</formula>
    </cfRule>
    <cfRule type="cellIs" dxfId="2" priority="1722" operator="lessThan">
      <formula>F14</formula>
    </cfRule>
  </conditionalFormatting>
  <conditionalFormatting sqref="AM20">
    <cfRule type="cellIs" dxfId="1" priority="1727" operator="equal">
      <formula>0</formula>
    </cfRule>
    <cfRule type="cellIs" dxfId="2" priority="1728" operator="lessThan">
      <formula>F20</formula>
    </cfRule>
  </conditionalFormatting>
  <conditionalFormatting sqref="AM21">
    <cfRule type="cellIs" dxfId="1" priority="1733" operator="equal">
      <formula>0</formula>
    </cfRule>
    <cfRule type="cellIs" dxfId="2" priority="1734" operator="lessThan">
      <formula>F21</formula>
    </cfRule>
  </conditionalFormatting>
  <conditionalFormatting sqref="AM23">
    <cfRule type="cellIs" dxfId="1" priority="1739" operator="equal">
      <formula>0</formula>
    </cfRule>
    <cfRule type="cellIs" dxfId="2" priority="1740" operator="lessThan">
      <formula>F23</formula>
    </cfRule>
  </conditionalFormatting>
  <conditionalFormatting sqref="AM27">
    <cfRule type="cellIs" dxfId="1" priority="1745" operator="equal">
      <formula>0</formula>
    </cfRule>
    <cfRule type="cellIs" dxfId="2" priority="1746" operator="lessThan">
      <formula>F27</formula>
    </cfRule>
  </conditionalFormatting>
  <conditionalFormatting sqref="AM29">
    <cfRule type="cellIs" dxfId="1" priority="1750" operator="equal">
      <formula>0</formula>
    </cfRule>
    <cfRule type="cellIs" dxfId="2" priority="1751" operator="lessThan">
      <formula>F29</formula>
    </cfRule>
  </conditionalFormatting>
  <conditionalFormatting sqref="AM33">
    <cfRule type="cellIs" dxfId="1" priority="1756" operator="equal">
      <formula>0</formula>
    </cfRule>
    <cfRule type="cellIs" dxfId="2" priority="1757" operator="lessThan">
      <formula>F33</formula>
    </cfRule>
  </conditionalFormatting>
  <conditionalFormatting sqref="AM35">
    <cfRule type="cellIs" dxfId="1" priority="1761" operator="equal">
      <formula>0</formula>
    </cfRule>
    <cfRule type="cellIs" dxfId="2" priority="1762" operator="lessThan">
      <formula>F35</formula>
    </cfRule>
  </conditionalFormatting>
  <conditionalFormatting sqref="AM39">
    <cfRule type="cellIs" dxfId="1" priority="1767" operator="equal">
      <formula>0</formula>
    </cfRule>
    <cfRule type="cellIs" dxfId="2" priority="1768" operator="lessThan">
      <formula>F39</formula>
    </cfRule>
  </conditionalFormatting>
  <conditionalFormatting sqref="AM40">
    <cfRule type="cellIs" dxfId="1" priority="1773" operator="equal">
      <formula>0</formula>
    </cfRule>
    <cfRule type="cellIs" dxfId="2" priority="1774" operator="lessThan">
      <formula>F40</formula>
    </cfRule>
  </conditionalFormatting>
  <conditionalFormatting sqref="AM41">
    <cfRule type="cellIs" dxfId="1" priority="1779" operator="equal">
      <formula>0</formula>
    </cfRule>
    <cfRule type="cellIs" dxfId="2" priority="1780" operator="lessThan">
      <formula>F41</formula>
    </cfRule>
  </conditionalFormatting>
  <conditionalFormatting sqref="AM42">
    <cfRule type="cellIs" dxfId="1" priority="1785" operator="equal">
      <formula>0</formula>
    </cfRule>
    <cfRule type="cellIs" dxfId="2" priority="1786" operator="lessThan">
      <formula>F42</formula>
    </cfRule>
  </conditionalFormatting>
  <conditionalFormatting sqref="AM48">
    <cfRule type="cellIs" dxfId="1" priority="1791" operator="equal">
      <formula>0</formula>
    </cfRule>
    <cfRule type="cellIs" dxfId="2" priority="1792" operator="lessThan">
      <formula>F48</formula>
    </cfRule>
  </conditionalFormatting>
  <conditionalFormatting sqref="AM51">
    <cfRule type="cellIs" dxfId="1" priority="1797" operator="equal">
      <formula>0</formula>
    </cfRule>
    <cfRule type="cellIs" dxfId="2" priority="1798" operator="lessThan">
      <formula>F51</formula>
    </cfRule>
  </conditionalFormatting>
  <conditionalFormatting sqref="AM52">
    <cfRule type="cellIs" dxfId="1" priority="1803" operator="equal">
      <formula>0</formula>
    </cfRule>
    <cfRule type="cellIs" dxfId="2" priority="1804" operator="lessThan">
      <formula>F52</formula>
    </cfRule>
  </conditionalFormatting>
  <conditionalFormatting sqref="AM53">
    <cfRule type="cellIs" dxfId="1" priority="1809" operator="equal">
      <formula>0</formula>
    </cfRule>
    <cfRule type="cellIs" dxfId="2" priority="1810" operator="lessThan">
      <formula>F53</formula>
    </cfRule>
  </conditionalFormatting>
  <conditionalFormatting sqref="AM55">
    <cfRule type="cellIs" dxfId="1" priority="1815" operator="equal">
      <formula>0</formula>
    </cfRule>
    <cfRule type="cellIs" dxfId="2" priority="1816" operator="lessThan">
      <formula>F55</formula>
    </cfRule>
  </conditionalFormatting>
  <conditionalFormatting sqref="AM58">
    <cfRule type="cellIs" dxfId="1" priority="1821" operator="equal">
      <formula>0</formula>
    </cfRule>
    <cfRule type="cellIs" dxfId="2" priority="1822" operator="lessThan">
      <formula>F58</formula>
    </cfRule>
  </conditionalFormatting>
  <conditionalFormatting sqref="AM59">
    <cfRule type="cellIs" dxfId="1" priority="1827" operator="equal">
      <formula>0</formula>
    </cfRule>
    <cfRule type="cellIs" dxfId="2" priority="1828" operator="lessThan">
      <formula>F59</formula>
    </cfRule>
  </conditionalFormatting>
  <conditionalFormatting sqref="AM60">
    <cfRule type="cellIs" dxfId="1" priority="1833" operator="equal">
      <formula>0</formula>
    </cfRule>
    <cfRule type="cellIs" dxfId="2" priority="1834" operator="lessThan">
      <formula>F60</formula>
    </cfRule>
  </conditionalFormatting>
  <conditionalFormatting sqref="AM62">
    <cfRule type="cellIs" dxfId="1" priority="1839" operator="equal">
      <formula>0</formula>
    </cfRule>
    <cfRule type="cellIs" dxfId="2" priority="1840" operator="lessThan">
      <formula>F62</formula>
    </cfRule>
  </conditionalFormatting>
  <conditionalFormatting sqref="AM64">
    <cfRule type="cellIs" dxfId="1" priority="1845" operator="equal">
      <formula>0</formula>
    </cfRule>
    <cfRule type="cellIs" dxfId="2" priority="1846" operator="lessThan">
      <formula>F64</formula>
    </cfRule>
  </conditionalFormatting>
  <conditionalFormatting sqref="AM66">
    <cfRule type="cellIs" dxfId="1" priority="1851" operator="equal">
      <formula>0</formula>
    </cfRule>
    <cfRule type="cellIs" dxfId="2" priority="1852" operator="lessThan">
      <formula>F66</formula>
    </cfRule>
  </conditionalFormatting>
  <conditionalFormatting sqref="AM71">
    <cfRule type="cellIs" dxfId="1" priority="1857" operator="equal">
      <formula>0</formula>
    </cfRule>
    <cfRule type="cellIs" dxfId="2" priority="1858" operator="lessThan">
      <formula>F71</formula>
    </cfRule>
  </conditionalFormatting>
  <conditionalFormatting sqref="AM73">
    <cfRule type="cellIs" dxfId="1" priority="1862" operator="equal">
      <formula>0</formula>
    </cfRule>
    <cfRule type="cellIs" dxfId="2" priority="1863" operator="lessThan">
      <formula>F73</formula>
    </cfRule>
  </conditionalFormatting>
  <conditionalFormatting sqref="AM77">
    <cfRule type="cellIs" dxfId="1" priority="1868" operator="equal">
      <formula>0</formula>
    </cfRule>
    <cfRule type="cellIs" dxfId="2" priority="1869" operator="lessThan">
      <formula>F77</formula>
    </cfRule>
  </conditionalFormatting>
  <conditionalFormatting sqref="AM80">
    <cfRule type="cellIs" dxfId="1" priority="1874" operator="equal">
      <formula>0</formula>
    </cfRule>
    <cfRule type="cellIs" dxfId="2" priority="1875" operator="lessThan">
      <formula>F80</formula>
    </cfRule>
  </conditionalFormatting>
  <conditionalFormatting sqref="AM82">
    <cfRule type="cellIs" dxfId="1" priority="1880" operator="equal">
      <formula>0</formula>
    </cfRule>
    <cfRule type="cellIs" dxfId="2" priority="1881" operator="lessThan">
      <formula>F82</formula>
    </cfRule>
  </conditionalFormatting>
  <conditionalFormatting sqref="AN10">
    <cfRule type="expression" dxfId="3" priority="1711">
      <formula>AND(AN10&gt;0,AN10&lt;100)</formula>
    </cfRule>
    <cfRule type="cellIs" dxfId="1" priority="1712" operator="greaterThan">
      <formula>AM10</formula>
    </cfRule>
  </conditionalFormatting>
  <conditionalFormatting sqref="AN12">
    <cfRule type="expression" dxfId="3" priority="1717">
      <formula>AND(AN12&gt;0,AN12&lt;4000)</formula>
    </cfRule>
    <cfRule type="cellIs" dxfId="1" priority="1718" operator="greaterThan">
      <formula>AM12</formula>
    </cfRule>
  </conditionalFormatting>
  <conditionalFormatting sqref="AN14">
    <cfRule type="expression" dxfId="3" priority="1723">
      <formula>AND(AN14&gt;0,AN14&lt;50)</formula>
    </cfRule>
    <cfRule type="cellIs" dxfId="1" priority="1724" operator="greaterThan">
      <formula>AM14</formula>
    </cfRule>
  </conditionalFormatting>
  <conditionalFormatting sqref="AN20">
    <cfRule type="expression" dxfId="3" priority="1729">
      <formula>AND(AN20&gt;0,AN20&lt;4000)</formula>
    </cfRule>
    <cfRule type="cellIs" dxfId="1" priority="1730" operator="greaterThan">
      <formula>AM20</formula>
    </cfRule>
  </conditionalFormatting>
  <conditionalFormatting sqref="AN21">
    <cfRule type="expression" dxfId="3" priority="1735">
      <formula>AND(AN21&gt;0,AN21&lt;25)</formula>
    </cfRule>
    <cfRule type="cellIs" dxfId="1" priority="1736" operator="greaterThan">
      <formula>AM21</formula>
    </cfRule>
  </conditionalFormatting>
  <conditionalFormatting sqref="AN23">
    <cfRule type="expression" dxfId="3" priority="1741">
      <formula>AND(AN23&gt;0,AN23&lt;25)</formula>
    </cfRule>
    <cfRule type="cellIs" dxfId="1" priority="1742" operator="greaterThan">
      <formula>AM23</formula>
    </cfRule>
  </conditionalFormatting>
  <conditionalFormatting sqref="AN27">
    <cfRule type="cellIs" dxfId="1" priority="1747" operator="greaterThan">
      <formula>AM27</formula>
    </cfRule>
  </conditionalFormatting>
  <conditionalFormatting sqref="AN29">
    <cfRule type="expression" dxfId="3" priority="1752">
      <formula>AND(AN29&gt;0,AN29&lt;10)</formula>
    </cfRule>
    <cfRule type="cellIs" dxfId="1" priority="1753" operator="greaterThan">
      <formula>AM29</formula>
    </cfRule>
  </conditionalFormatting>
  <conditionalFormatting sqref="AN33">
    <cfRule type="cellIs" dxfId="1" priority="1758" operator="greaterThan">
      <formula>AM33</formula>
    </cfRule>
  </conditionalFormatting>
  <conditionalFormatting sqref="AN35">
    <cfRule type="expression" dxfId="3" priority="1763">
      <formula>AND(AN35&gt;0,AN35&lt;36)</formula>
    </cfRule>
    <cfRule type="cellIs" dxfId="1" priority="1764" operator="greaterThan">
      <formula>AM35</formula>
    </cfRule>
  </conditionalFormatting>
  <conditionalFormatting sqref="AN39">
    <cfRule type="expression" dxfId="3" priority="1769">
      <formula>AND(AN39&gt;0,AN39&lt;60)</formula>
    </cfRule>
    <cfRule type="cellIs" dxfId="1" priority="1770" operator="greaterThan">
      <formula>AM39</formula>
    </cfRule>
  </conditionalFormatting>
  <conditionalFormatting sqref="AN40">
    <cfRule type="expression" dxfId="3" priority="1775">
      <formula>AND(AN40&gt;0,AN40&lt;100)</formula>
    </cfRule>
    <cfRule type="cellIs" dxfId="1" priority="1776" operator="greaterThan">
      <formula>AM40</formula>
    </cfRule>
  </conditionalFormatting>
  <conditionalFormatting sqref="AN41">
    <cfRule type="expression" dxfId="3" priority="1781">
      <formula>AND(AN41&gt;0,AN41&lt;100)</formula>
    </cfRule>
    <cfRule type="cellIs" dxfId="1" priority="1782" operator="greaterThan">
      <formula>AM41</formula>
    </cfRule>
  </conditionalFormatting>
  <conditionalFormatting sqref="AN42">
    <cfRule type="expression" dxfId="3" priority="1787">
      <formula>AND(AN42&gt;0,AN42&lt;5000)</formula>
    </cfRule>
    <cfRule type="cellIs" dxfId="1" priority="1788" operator="greaterThan">
      <formula>AM42</formula>
    </cfRule>
  </conditionalFormatting>
  <conditionalFormatting sqref="AN48">
    <cfRule type="expression" dxfId="3" priority="1793">
      <formula>AND(AN48&gt;0,AN48&lt;5000)</formula>
    </cfRule>
    <cfRule type="cellIs" dxfId="1" priority="1794" operator="greaterThan">
      <formula>AM48</formula>
    </cfRule>
  </conditionalFormatting>
  <conditionalFormatting sqref="AN51">
    <cfRule type="expression" dxfId="3" priority="1799">
      <formula>AND(AN51&gt;0,AN51&lt;5000)</formula>
    </cfRule>
    <cfRule type="cellIs" dxfId="1" priority="1800" operator="greaterThan">
      <formula>AM51</formula>
    </cfRule>
  </conditionalFormatting>
  <conditionalFormatting sqref="AN52">
    <cfRule type="expression" dxfId="3" priority="1805">
      <formula>AND(AN52&gt;0,AN52&lt;100)</formula>
    </cfRule>
    <cfRule type="cellIs" dxfId="1" priority="1806" operator="greaterThan">
      <formula>AM52</formula>
    </cfRule>
  </conditionalFormatting>
  <conditionalFormatting sqref="AN53">
    <cfRule type="expression" dxfId="3" priority="1811">
      <formula>AND(AN53&gt;0,AN53&lt;100)</formula>
    </cfRule>
    <cfRule type="cellIs" dxfId="1" priority="1812" operator="greaterThan">
      <formula>AM53</formula>
    </cfRule>
  </conditionalFormatting>
  <conditionalFormatting sqref="AN55">
    <cfRule type="expression" dxfId="3" priority="1817">
      <formula>AND(AN55&gt;0,AN55&lt;100)</formula>
    </cfRule>
    <cfRule type="cellIs" dxfId="1" priority="1818" operator="greaterThan">
      <formula>AM55</formula>
    </cfRule>
  </conditionalFormatting>
  <conditionalFormatting sqref="AN58">
    <cfRule type="expression" dxfId="3" priority="1823">
      <formula>AND(AN58&gt;0,AN58&lt;100)</formula>
    </cfRule>
    <cfRule type="cellIs" dxfId="1" priority="1824" operator="greaterThan">
      <formula>AM58</formula>
    </cfRule>
  </conditionalFormatting>
  <conditionalFormatting sqref="AN59">
    <cfRule type="expression" dxfId="3" priority="1829">
      <formula>AND(AN59&gt;0,AN59&lt;100)</formula>
    </cfRule>
    <cfRule type="cellIs" dxfId="1" priority="1830" operator="greaterThan">
      <formula>AM59</formula>
    </cfRule>
  </conditionalFormatting>
  <conditionalFormatting sqref="AN60">
    <cfRule type="expression" dxfId="3" priority="1835">
      <formula>AND(AN60&gt;0,AN60&lt;100)</formula>
    </cfRule>
    <cfRule type="cellIs" dxfId="1" priority="1836" operator="greaterThan">
      <formula>AM60</formula>
    </cfRule>
  </conditionalFormatting>
  <conditionalFormatting sqref="AN62">
    <cfRule type="expression" dxfId="3" priority="1841">
      <formula>AND(AN62&gt;0,AN62&lt;5000)</formula>
    </cfRule>
    <cfRule type="cellIs" dxfId="1" priority="1842" operator="greaterThan">
      <formula>AM62</formula>
    </cfRule>
  </conditionalFormatting>
  <conditionalFormatting sqref="AN64">
    <cfRule type="expression" dxfId="3" priority="1847">
      <formula>AND(AN64&gt;0,AN64&lt;100)</formula>
    </cfRule>
    <cfRule type="cellIs" dxfId="1" priority="1848" operator="greaterThan">
      <formula>AM64</formula>
    </cfRule>
  </conditionalFormatting>
  <conditionalFormatting sqref="AN66">
    <cfRule type="expression" dxfId="3" priority="1853">
      <formula>AND(AN66&gt;0,AN66&lt;5000)</formula>
    </cfRule>
    <cfRule type="cellIs" dxfId="1" priority="1854" operator="greaterThan">
      <formula>AM66</formula>
    </cfRule>
  </conditionalFormatting>
  <conditionalFormatting sqref="AN71">
    <cfRule type="cellIs" dxfId="1" priority="1859" operator="greaterThan">
      <formula>AM71</formula>
    </cfRule>
  </conditionalFormatting>
  <conditionalFormatting sqref="AN73">
    <cfRule type="expression" dxfId="3" priority="1864">
      <formula>AND(AN73&gt;0,AN73&lt;5)</formula>
    </cfRule>
    <cfRule type="cellIs" dxfId="1" priority="1865" operator="greaterThan">
      <formula>AM73</formula>
    </cfRule>
  </conditionalFormatting>
  <conditionalFormatting sqref="AN77">
    <cfRule type="expression" dxfId="3" priority="1870">
      <formula>AND(AN77&gt;0,AN77&lt;10)</formula>
    </cfRule>
    <cfRule type="cellIs" dxfId="1" priority="1871" operator="greaterThan">
      <formula>AM77</formula>
    </cfRule>
  </conditionalFormatting>
  <conditionalFormatting sqref="AN80">
    <cfRule type="expression" dxfId="3" priority="1876">
      <formula>AND(AN80&gt;0,AN80&lt;5)</formula>
    </cfRule>
    <cfRule type="cellIs" dxfId="1" priority="1877" operator="greaterThan">
      <formula>AM80</formula>
    </cfRule>
  </conditionalFormatting>
  <conditionalFormatting sqref="AN82">
    <cfRule type="cellIs" dxfId="1" priority="1882" operator="greaterThan">
      <formula>AM82</formula>
    </cfRule>
  </conditionalFormatting>
  <conditionalFormatting sqref="AO10">
    <cfRule type="cellIs" dxfId="4" priority="1714" operator="lessThanOrEqual">
      <formula>G10</formula>
    </cfRule>
  </conditionalFormatting>
  <conditionalFormatting sqref="AO12">
    <cfRule type="cellIs" dxfId="4" priority="1720" operator="lessThanOrEqual">
      <formula>G12</formula>
    </cfRule>
  </conditionalFormatting>
  <conditionalFormatting sqref="AO14">
    <cfRule type="cellIs" dxfId="4" priority="1726" operator="lessThanOrEqual">
      <formula>G14</formula>
    </cfRule>
  </conditionalFormatting>
  <conditionalFormatting sqref="AO20">
    <cfRule type="cellIs" dxfId="4" priority="1732" operator="lessThanOrEqual">
      <formula>G20</formula>
    </cfRule>
  </conditionalFormatting>
  <conditionalFormatting sqref="AO21">
    <cfRule type="cellIs" dxfId="4" priority="1738" operator="lessThanOrEqual">
      <formula>G21</formula>
    </cfRule>
  </conditionalFormatting>
  <conditionalFormatting sqref="AO23">
    <cfRule type="cellIs" dxfId="4" priority="1744" operator="lessThanOrEqual">
      <formula>G23</formula>
    </cfRule>
  </conditionalFormatting>
  <conditionalFormatting sqref="AO27">
    <cfRule type="cellIs" dxfId="4" priority="1749" operator="lessThanOrEqual">
      <formula>G27</formula>
    </cfRule>
  </conditionalFormatting>
  <conditionalFormatting sqref="AO29">
    <cfRule type="cellIs" dxfId="4" priority="1755" operator="lessThanOrEqual">
      <formula>G29</formula>
    </cfRule>
  </conditionalFormatting>
  <conditionalFormatting sqref="AO33">
    <cfRule type="cellIs" dxfId="4" priority="1760" operator="lessThanOrEqual">
      <formula>G33</formula>
    </cfRule>
  </conditionalFormatting>
  <conditionalFormatting sqref="AO35">
    <cfRule type="cellIs" dxfId="4" priority="1766" operator="lessThanOrEqual">
      <formula>G35</formula>
    </cfRule>
  </conditionalFormatting>
  <conditionalFormatting sqref="AO39">
    <cfRule type="cellIs" dxfId="4" priority="1772" operator="lessThanOrEqual">
      <formula>G39</formula>
    </cfRule>
  </conditionalFormatting>
  <conditionalFormatting sqref="AO40">
    <cfRule type="cellIs" dxfId="4" priority="1778" operator="lessThanOrEqual">
      <formula>G40</formula>
    </cfRule>
  </conditionalFormatting>
  <conditionalFormatting sqref="AO41">
    <cfRule type="cellIs" dxfId="4" priority="1784" operator="lessThanOrEqual">
      <formula>G41</formula>
    </cfRule>
  </conditionalFormatting>
  <conditionalFormatting sqref="AO42">
    <cfRule type="cellIs" dxfId="4" priority="1790" operator="lessThanOrEqual">
      <formula>G42</formula>
    </cfRule>
  </conditionalFormatting>
  <conditionalFormatting sqref="AO48">
    <cfRule type="cellIs" dxfId="4" priority="1796" operator="lessThanOrEqual">
      <formula>G48</formula>
    </cfRule>
  </conditionalFormatting>
  <conditionalFormatting sqref="AO51">
    <cfRule type="cellIs" dxfId="4" priority="1802" operator="lessThanOrEqual">
      <formula>G51</formula>
    </cfRule>
  </conditionalFormatting>
  <conditionalFormatting sqref="AO52">
    <cfRule type="cellIs" dxfId="4" priority="1808" operator="lessThanOrEqual">
      <formula>G52</formula>
    </cfRule>
  </conditionalFormatting>
  <conditionalFormatting sqref="AO53">
    <cfRule type="cellIs" dxfId="4" priority="1814" operator="lessThanOrEqual">
      <formula>G53</formula>
    </cfRule>
  </conditionalFormatting>
  <conditionalFormatting sqref="AO55">
    <cfRule type="cellIs" dxfId="4" priority="1820" operator="lessThanOrEqual">
      <formula>G55</formula>
    </cfRule>
  </conditionalFormatting>
  <conditionalFormatting sqref="AO58">
    <cfRule type="cellIs" dxfId="4" priority="1826" operator="lessThanOrEqual">
      <formula>G58</formula>
    </cfRule>
  </conditionalFormatting>
  <conditionalFormatting sqref="AO59">
    <cfRule type="cellIs" dxfId="4" priority="1832" operator="lessThanOrEqual">
      <formula>G59</formula>
    </cfRule>
  </conditionalFormatting>
  <conditionalFormatting sqref="AO60">
    <cfRule type="cellIs" dxfId="4" priority="1838" operator="lessThanOrEqual">
      <formula>G60</formula>
    </cfRule>
  </conditionalFormatting>
  <conditionalFormatting sqref="AO62">
    <cfRule type="cellIs" dxfId="4" priority="1844" operator="lessThanOrEqual">
      <formula>G62</formula>
    </cfRule>
  </conditionalFormatting>
  <conditionalFormatting sqref="AO64">
    <cfRule type="cellIs" dxfId="4" priority="1850" operator="lessThanOrEqual">
      <formula>G64</formula>
    </cfRule>
  </conditionalFormatting>
  <conditionalFormatting sqref="AO66">
    <cfRule type="cellIs" dxfId="4" priority="1856" operator="lessThanOrEqual">
      <formula>G66</formula>
    </cfRule>
  </conditionalFormatting>
  <conditionalFormatting sqref="AO71">
    <cfRule type="cellIs" dxfId="4" priority="1861" operator="lessThanOrEqual">
      <formula>G71</formula>
    </cfRule>
  </conditionalFormatting>
  <conditionalFormatting sqref="AO73">
    <cfRule type="cellIs" dxfId="4" priority="1867" operator="lessThanOrEqual">
      <formula>G73</formula>
    </cfRule>
  </conditionalFormatting>
  <conditionalFormatting sqref="AO77">
    <cfRule type="cellIs" dxfId="4" priority="1873" operator="lessThanOrEqual">
      <formula>G77</formula>
    </cfRule>
  </conditionalFormatting>
  <conditionalFormatting sqref="AO80">
    <cfRule type="cellIs" dxfId="4" priority="1879" operator="lessThanOrEqual">
      <formula>G80</formula>
    </cfRule>
  </conditionalFormatting>
  <conditionalFormatting sqref="AO82">
    <cfRule type="cellIs" dxfId="4" priority="1884" operator="lessThanOrEqual">
      <formula>G82</formula>
    </cfRule>
  </conditionalFormatting>
  <conditionalFormatting sqref="AP10">
    <cfRule type="cellIs" dxfId="4" priority="1713" operator="lessThanOrEqual">
      <formula>H10</formula>
    </cfRule>
  </conditionalFormatting>
  <conditionalFormatting sqref="AP12">
    <cfRule type="cellIs" dxfId="4" priority="1719" operator="lessThanOrEqual">
      <formula>H12</formula>
    </cfRule>
  </conditionalFormatting>
  <conditionalFormatting sqref="AP14">
    <cfRule type="cellIs" dxfId="4" priority="1725" operator="lessThanOrEqual">
      <formula>H14</formula>
    </cfRule>
  </conditionalFormatting>
  <conditionalFormatting sqref="AP20">
    <cfRule type="cellIs" dxfId="4" priority="1731" operator="lessThanOrEqual">
      <formula>H20</formula>
    </cfRule>
  </conditionalFormatting>
  <conditionalFormatting sqref="AP21">
    <cfRule type="cellIs" dxfId="4" priority="1737" operator="lessThanOrEqual">
      <formula>H21</formula>
    </cfRule>
  </conditionalFormatting>
  <conditionalFormatting sqref="AP23">
    <cfRule type="cellIs" dxfId="4" priority="1743" operator="lessThanOrEqual">
      <formula>H23</formula>
    </cfRule>
  </conditionalFormatting>
  <conditionalFormatting sqref="AP27">
    <cfRule type="cellIs" dxfId="4" priority="1748" operator="lessThanOrEqual">
      <formula>H27</formula>
    </cfRule>
  </conditionalFormatting>
  <conditionalFormatting sqref="AP29">
    <cfRule type="cellIs" dxfId="4" priority="1754" operator="lessThanOrEqual">
      <formula>H29</formula>
    </cfRule>
  </conditionalFormatting>
  <conditionalFormatting sqref="AP33">
    <cfRule type="cellIs" dxfId="4" priority="1759" operator="lessThanOrEqual">
      <formula>H33</formula>
    </cfRule>
  </conditionalFormatting>
  <conditionalFormatting sqref="AP35">
    <cfRule type="cellIs" dxfId="4" priority="1765" operator="lessThanOrEqual">
      <formula>H35</formula>
    </cfRule>
  </conditionalFormatting>
  <conditionalFormatting sqref="AP39">
    <cfRule type="cellIs" dxfId="4" priority="1771" operator="lessThanOrEqual">
      <formula>H39</formula>
    </cfRule>
  </conditionalFormatting>
  <conditionalFormatting sqref="AP40">
    <cfRule type="cellIs" dxfId="4" priority="1777" operator="lessThanOrEqual">
      <formula>H40</formula>
    </cfRule>
  </conditionalFormatting>
  <conditionalFormatting sqref="AP41">
    <cfRule type="cellIs" dxfId="4" priority="1783" operator="lessThanOrEqual">
      <formula>H41</formula>
    </cfRule>
  </conditionalFormatting>
  <conditionalFormatting sqref="AP42">
    <cfRule type="cellIs" dxfId="4" priority="1789" operator="lessThanOrEqual">
      <formula>H42</formula>
    </cfRule>
  </conditionalFormatting>
  <conditionalFormatting sqref="AP48">
    <cfRule type="cellIs" dxfId="4" priority="1795" operator="lessThanOrEqual">
      <formula>H48</formula>
    </cfRule>
  </conditionalFormatting>
  <conditionalFormatting sqref="AP51">
    <cfRule type="cellIs" dxfId="4" priority="1801" operator="lessThanOrEqual">
      <formula>H51</formula>
    </cfRule>
  </conditionalFormatting>
  <conditionalFormatting sqref="AP52">
    <cfRule type="cellIs" dxfId="4" priority="1807" operator="lessThanOrEqual">
      <formula>H52</formula>
    </cfRule>
  </conditionalFormatting>
  <conditionalFormatting sqref="AP53">
    <cfRule type="cellIs" dxfId="4" priority="1813" operator="lessThanOrEqual">
      <formula>H53</formula>
    </cfRule>
  </conditionalFormatting>
  <conditionalFormatting sqref="AP55">
    <cfRule type="cellIs" dxfId="4" priority="1819" operator="lessThanOrEqual">
      <formula>H55</formula>
    </cfRule>
  </conditionalFormatting>
  <conditionalFormatting sqref="AP58">
    <cfRule type="cellIs" dxfId="4" priority="1825" operator="lessThanOrEqual">
      <formula>H58</formula>
    </cfRule>
  </conditionalFormatting>
  <conditionalFormatting sqref="AP59">
    <cfRule type="cellIs" dxfId="4" priority="1831" operator="lessThanOrEqual">
      <formula>H59</formula>
    </cfRule>
  </conditionalFormatting>
  <conditionalFormatting sqref="AP60">
    <cfRule type="cellIs" dxfId="4" priority="1837" operator="lessThanOrEqual">
      <formula>H60</formula>
    </cfRule>
  </conditionalFormatting>
  <conditionalFormatting sqref="AP62">
    <cfRule type="cellIs" dxfId="4" priority="1843" operator="lessThanOrEqual">
      <formula>H62</formula>
    </cfRule>
  </conditionalFormatting>
  <conditionalFormatting sqref="AP64">
    <cfRule type="cellIs" dxfId="4" priority="1849" operator="lessThanOrEqual">
      <formula>H64</formula>
    </cfRule>
  </conditionalFormatting>
  <conditionalFormatting sqref="AP66">
    <cfRule type="cellIs" dxfId="4" priority="1855" operator="lessThanOrEqual">
      <formula>H66</formula>
    </cfRule>
  </conditionalFormatting>
  <conditionalFormatting sqref="AP71">
    <cfRule type="cellIs" dxfId="4" priority="1860" operator="lessThanOrEqual">
      <formula>H71</formula>
    </cfRule>
  </conditionalFormatting>
  <conditionalFormatting sqref="AP73">
    <cfRule type="cellIs" dxfId="4" priority="1866" operator="lessThanOrEqual">
      <formula>H73</formula>
    </cfRule>
  </conditionalFormatting>
  <conditionalFormatting sqref="AP77">
    <cfRule type="cellIs" dxfId="4" priority="1872" operator="lessThanOrEqual">
      <formula>H77</formula>
    </cfRule>
  </conditionalFormatting>
  <conditionalFormatting sqref="AP80">
    <cfRule type="cellIs" dxfId="4" priority="1878" operator="lessThanOrEqual">
      <formula>H80</formula>
    </cfRule>
  </conditionalFormatting>
  <conditionalFormatting sqref="AP82">
    <cfRule type="cellIs" dxfId="4" priority="1883" operator="lessThanOrEqual">
      <formula>H82</formula>
    </cfRule>
  </conditionalFormatting>
  <conditionalFormatting sqref="AR12">
    <cfRule type="cellIs" dxfId="1" priority="1885" operator="equal">
      <formula>0</formula>
    </cfRule>
    <cfRule type="cellIs" dxfId="2" priority="1886" operator="lessThan">
      <formula>F12</formula>
    </cfRule>
  </conditionalFormatting>
  <conditionalFormatting sqref="AR20">
    <cfRule type="cellIs" dxfId="1" priority="1891" operator="equal">
      <formula>0</formula>
    </cfRule>
    <cfRule type="cellIs" dxfId="2" priority="1892" operator="lessThan">
      <formula>F20</formula>
    </cfRule>
  </conditionalFormatting>
  <conditionalFormatting sqref="AR23">
    <cfRule type="cellIs" dxfId="1" priority="1897" operator="equal">
      <formula>0</formula>
    </cfRule>
    <cfRule type="cellIs" dxfId="2" priority="1898" operator="lessThan">
      <formula>F23</formula>
    </cfRule>
  </conditionalFormatting>
  <conditionalFormatting sqref="AR29">
    <cfRule type="cellIs" dxfId="1" priority="1903" operator="equal">
      <formula>0</formula>
    </cfRule>
    <cfRule type="cellIs" dxfId="2" priority="1904" operator="lessThan">
      <formula>F29</formula>
    </cfRule>
  </conditionalFormatting>
  <conditionalFormatting sqref="AR33">
    <cfRule type="cellIs" dxfId="1" priority="1908" operator="equal">
      <formula>0</formula>
    </cfRule>
    <cfRule type="cellIs" dxfId="2" priority="1909" operator="lessThan">
      <formula>F33</formula>
    </cfRule>
  </conditionalFormatting>
  <conditionalFormatting sqref="AR40">
    <cfRule type="cellIs" dxfId="1" priority="1913" operator="equal">
      <formula>0</formula>
    </cfRule>
    <cfRule type="cellIs" dxfId="2" priority="1914" operator="lessThan">
      <formula>F40</formula>
    </cfRule>
  </conditionalFormatting>
  <conditionalFormatting sqref="AR41">
    <cfRule type="cellIs" dxfId="1" priority="1919" operator="equal">
      <formula>0</formula>
    </cfRule>
    <cfRule type="cellIs" dxfId="2" priority="1920" operator="lessThan">
      <formula>F41</formula>
    </cfRule>
  </conditionalFormatting>
  <conditionalFormatting sqref="AR42">
    <cfRule type="cellIs" dxfId="1" priority="1925" operator="equal">
      <formula>0</formula>
    </cfRule>
    <cfRule type="cellIs" dxfId="2" priority="1926" operator="lessThan">
      <formula>F42</formula>
    </cfRule>
  </conditionalFormatting>
  <conditionalFormatting sqref="AR45">
    <cfRule type="cellIs" dxfId="1" priority="1931" operator="equal">
      <formula>0</formula>
    </cfRule>
    <cfRule type="cellIs" dxfId="2" priority="1932" operator="lessThan">
      <formula>F45</formula>
    </cfRule>
  </conditionalFormatting>
  <conditionalFormatting sqref="AR48">
    <cfRule type="cellIs" dxfId="1" priority="1937" operator="equal">
      <formula>0</formula>
    </cfRule>
    <cfRule type="cellIs" dxfId="2" priority="1938" operator="lessThan">
      <formula>F48</formula>
    </cfRule>
  </conditionalFormatting>
  <conditionalFormatting sqref="AR49">
    <cfRule type="cellIs" dxfId="1" priority="1943" operator="equal">
      <formula>0</formula>
    </cfRule>
    <cfRule type="cellIs" dxfId="2" priority="1944" operator="lessThan">
      <formula>F49</formula>
    </cfRule>
  </conditionalFormatting>
  <conditionalFormatting sqref="AR51">
    <cfRule type="cellIs" dxfId="1" priority="1949" operator="equal">
      <formula>0</formula>
    </cfRule>
    <cfRule type="cellIs" dxfId="2" priority="1950" operator="lessThan">
      <formula>F51</formula>
    </cfRule>
  </conditionalFormatting>
  <conditionalFormatting sqref="AR52">
    <cfRule type="cellIs" dxfId="1" priority="1955" operator="equal">
      <formula>0</formula>
    </cfRule>
    <cfRule type="cellIs" dxfId="2" priority="1956" operator="lessThan">
      <formula>F52</formula>
    </cfRule>
  </conditionalFormatting>
  <conditionalFormatting sqref="AR53">
    <cfRule type="cellIs" dxfId="1" priority="1961" operator="equal">
      <formula>0</formula>
    </cfRule>
    <cfRule type="cellIs" dxfId="2" priority="1962" operator="lessThan">
      <formula>F53</formula>
    </cfRule>
  </conditionalFormatting>
  <conditionalFormatting sqref="AR55">
    <cfRule type="cellIs" dxfId="1" priority="1967" operator="equal">
      <formula>0</formula>
    </cfRule>
    <cfRule type="cellIs" dxfId="2" priority="1968" operator="lessThan">
      <formula>F55</formula>
    </cfRule>
  </conditionalFormatting>
  <conditionalFormatting sqref="AR57">
    <cfRule type="cellIs" dxfId="1" priority="1973" operator="equal">
      <formula>0</formula>
    </cfRule>
    <cfRule type="cellIs" dxfId="2" priority="1974" operator="lessThan">
      <formula>F57</formula>
    </cfRule>
  </conditionalFormatting>
  <conditionalFormatting sqref="AR59">
    <cfRule type="cellIs" dxfId="1" priority="1979" operator="equal">
      <formula>0</formula>
    </cfRule>
    <cfRule type="cellIs" dxfId="2" priority="1980" operator="lessThan">
      <formula>F59</formula>
    </cfRule>
  </conditionalFormatting>
  <conditionalFormatting sqref="AR60">
    <cfRule type="cellIs" dxfId="1" priority="1985" operator="equal">
      <formula>0</formula>
    </cfRule>
    <cfRule type="cellIs" dxfId="2" priority="1986" operator="lessThan">
      <formula>F60</formula>
    </cfRule>
  </conditionalFormatting>
  <conditionalFormatting sqref="AR62">
    <cfRule type="cellIs" dxfId="1" priority="1991" operator="equal">
      <formula>0</formula>
    </cfRule>
    <cfRule type="cellIs" dxfId="2" priority="1992" operator="lessThan">
      <formula>F62</formula>
    </cfRule>
  </conditionalFormatting>
  <conditionalFormatting sqref="AR63">
    <cfRule type="cellIs" dxfId="1" priority="1997" operator="equal">
      <formula>0</formula>
    </cfRule>
    <cfRule type="cellIs" dxfId="2" priority="1998" operator="lessThan">
      <formula>F63</formula>
    </cfRule>
  </conditionalFormatting>
  <conditionalFormatting sqref="AR64">
    <cfRule type="cellIs" dxfId="1" priority="2003" operator="equal">
      <formula>0</formula>
    </cfRule>
    <cfRule type="cellIs" dxfId="2" priority="2004" operator="lessThan">
      <formula>F64</formula>
    </cfRule>
  </conditionalFormatting>
  <conditionalFormatting sqref="AR65">
    <cfRule type="cellIs" dxfId="1" priority="2009" operator="equal">
      <formula>0</formula>
    </cfRule>
    <cfRule type="cellIs" dxfId="2" priority="2010" operator="lessThan">
      <formula>F65</formula>
    </cfRule>
  </conditionalFormatting>
  <conditionalFormatting sqref="AR66">
    <cfRule type="cellIs" dxfId="1" priority="2015" operator="equal">
      <formula>0</formula>
    </cfRule>
    <cfRule type="cellIs" dxfId="2" priority="2016" operator="lessThan">
      <formula>F66</formula>
    </cfRule>
  </conditionalFormatting>
  <conditionalFormatting sqref="AR67">
    <cfRule type="cellIs" dxfId="1" priority="2021" operator="equal">
      <formula>0</formula>
    </cfRule>
    <cfRule type="cellIs" dxfId="2" priority="2022" operator="lessThan">
      <formula>F67</formula>
    </cfRule>
  </conditionalFormatting>
  <conditionalFormatting sqref="AR71">
    <cfRule type="cellIs" dxfId="1" priority="2027" operator="equal">
      <formula>0</formula>
    </cfRule>
    <cfRule type="cellIs" dxfId="2" priority="2028" operator="lessThan">
      <formula>F71</formula>
    </cfRule>
  </conditionalFormatting>
  <conditionalFormatting sqref="AR73">
    <cfRule type="cellIs" dxfId="1" priority="2032" operator="equal">
      <formula>0</formula>
    </cfRule>
    <cfRule type="cellIs" dxfId="2" priority="2033" operator="lessThan">
      <formula>F73</formula>
    </cfRule>
  </conditionalFormatting>
  <conditionalFormatting sqref="AR77">
    <cfRule type="cellIs" dxfId="1" priority="2037" operator="equal">
      <formula>0</formula>
    </cfRule>
    <cfRule type="cellIs" dxfId="2" priority="2038" operator="lessThan">
      <formula>F77</formula>
    </cfRule>
  </conditionalFormatting>
  <conditionalFormatting sqref="AR80">
    <cfRule type="cellIs" dxfId="1" priority="2043" operator="equal">
      <formula>0</formula>
    </cfRule>
    <cfRule type="cellIs" dxfId="2" priority="2044" operator="lessThan">
      <formula>F80</formula>
    </cfRule>
  </conditionalFormatting>
  <conditionalFormatting sqref="AS12">
    <cfRule type="expression" dxfId="3" priority="1887">
      <formula>AND(AS12&gt;0,AS12&lt;100)</formula>
    </cfRule>
    <cfRule type="cellIs" dxfId="1" priority="1888" operator="greaterThan">
      <formula>AR12</formula>
    </cfRule>
  </conditionalFormatting>
  <conditionalFormatting sqref="AS20">
    <cfRule type="expression" dxfId="3" priority="1893">
      <formula>AND(AS20&gt;0,AS20&lt;100)</formula>
    </cfRule>
    <cfRule type="cellIs" dxfId="1" priority="1894" operator="greaterThan">
      <formula>AR20</formula>
    </cfRule>
  </conditionalFormatting>
  <conditionalFormatting sqref="AS23">
    <cfRule type="expression" dxfId="3" priority="1899">
      <formula>AND(AS23&gt;0,AS23&lt;10)</formula>
    </cfRule>
    <cfRule type="cellIs" dxfId="1" priority="1900" operator="greaterThan">
      <formula>AR23</formula>
    </cfRule>
  </conditionalFormatting>
  <conditionalFormatting sqref="AS29">
    <cfRule type="cellIs" dxfId="1" priority="1905" operator="greaterThan">
      <formula>AR29</formula>
    </cfRule>
  </conditionalFormatting>
  <conditionalFormatting sqref="AS33">
    <cfRule type="cellIs" dxfId="1" priority="1910" operator="greaterThan">
      <formula>AR33</formula>
    </cfRule>
  </conditionalFormatting>
  <conditionalFormatting sqref="AS40">
    <cfRule type="expression" dxfId="3" priority="1915">
      <formula>AND(AS40&gt;0,AS40&lt;20)</formula>
    </cfRule>
    <cfRule type="cellIs" dxfId="1" priority="1916" operator="greaterThan">
      <formula>AR40</formula>
    </cfRule>
  </conditionalFormatting>
  <conditionalFormatting sqref="AS41">
    <cfRule type="expression" dxfId="3" priority="1921">
      <formula>AND(AS41&gt;0,AS41&lt;100)</formula>
    </cfRule>
    <cfRule type="cellIs" dxfId="1" priority="1922" operator="greaterThan">
      <formula>AR41</formula>
    </cfRule>
  </conditionalFormatting>
  <conditionalFormatting sqref="AS42">
    <cfRule type="expression" dxfId="3" priority="1927">
      <formula>AND(AS42&gt;0,AS42&lt;100)</formula>
    </cfRule>
    <cfRule type="cellIs" dxfId="1" priority="1928" operator="greaterThan">
      <formula>AR42</formula>
    </cfRule>
  </conditionalFormatting>
  <conditionalFormatting sqref="AS45">
    <cfRule type="expression" dxfId="3" priority="1933">
      <formula>AND(AS45&gt;0,AS45&lt;5000)</formula>
    </cfRule>
    <cfRule type="cellIs" dxfId="1" priority="1934" operator="greaterThan">
      <formula>AR45</formula>
    </cfRule>
  </conditionalFormatting>
  <conditionalFormatting sqref="AS48">
    <cfRule type="expression" dxfId="3" priority="1939">
      <formula>AND(AS48&gt;0,AS48&lt;100)</formula>
    </cfRule>
    <cfRule type="cellIs" dxfId="1" priority="1940" operator="greaterThan">
      <formula>AR48</formula>
    </cfRule>
  </conditionalFormatting>
  <conditionalFormatting sqref="AS49">
    <cfRule type="expression" dxfId="3" priority="1945">
      <formula>AND(AS49&gt;0,AS49&lt;100)</formula>
    </cfRule>
    <cfRule type="cellIs" dxfId="1" priority="1946" operator="greaterThan">
      <formula>AR49</formula>
    </cfRule>
  </conditionalFormatting>
  <conditionalFormatting sqref="AS51">
    <cfRule type="expression" dxfId="3" priority="1951">
      <formula>AND(AS51&gt;0,AS51&lt;100)</formula>
    </cfRule>
    <cfRule type="cellIs" dxfId="1" priority="1952" operator="greaterThan">
      <formula>AR51</formula>
    </cfRule>
  </conditionalFormatting>
  <conditionalFormatting sqref="AS52">
    <cfRule type="expression" dxfId="3" priority="1957">
      <formula>AND(AS52&gt;0,AS52&lt;100)</formula>
    </cfRule>
    <cfRule type="cellIs" dxfId="1" priority="1958" operator="greaterThan">
      <formula>AR52</formula>
    </cfRule>
  </conditionalFormatting>
  <conditionalFormatting sqref="AS53">
    <cfRule type="expression" dxfId="3" priority="1963">
      <formula>AND(AS53&gt;0,AS53&lt;100)</formula>
    </cfRule>
    <cfRule type="cellIs" dxfId="1" priority="1964" operator="greaterThan">
      <formula>AR53</formula>
    </cfRule>
  </conditionalFormatting>
  <conditionalFormatting sqref="AS55">
    <cfRule type="expression" dxfId="3" priority="1969">
      <formula>AND(AS55&gt;0,AS55&lt;100)</formula>
    </cfRule>
    <cfRule type="cellIs" dxfId="1" priority="1970" operator="greaterThan">
      <formula>AR55</formula>
    </cfRule>
  </conditionalFormatting>
  <conditionalFormatting sqref="AS57">
    <cfRule type="expression" dxfId="3" priority="1975">
      <formula>AND(AS57&gt;0,AS57&lt;100)</formula>
    </cfRule>
    <cfRule type="cellIs" dxfId="1" priority="1976" operator="greaterThan">
      <formula>AR57</formula>
    </cfRule>
  </conditionalFormatting>
  <conditionalFormatting sqref="AS59">
    <cfRule type="expression" dxfId="3" priority="1981">
      <formula>AND(AS59&gt;0,AS59&lt;100)</formula>
    </cfRule>
    <cfRule type="cellIs" dxfId="1" priority="1982" operator="greaterThan">
      <formula>AR59</formula>
    </cfRule>
  </conditionalFormatting>
  <conditionalFormatting sqref="AS60">
    <cfRule type="expression" dxfId="3" priority="1987">
      <formula>AND(AS60&gt;0,AS60&lt;100)</formula>
    </cfRule>
    <cfRule type="cellIs" dxfId="1" priority="1988" operator="greaterThan">
      <formula>AR60</formula>
    </cfRule>
  </conditionalFormatting>
  <conditionalFormatting sqref="AS62">
    <cfRule type="expression" dxfId="3" priority="1993">
      <formula>AND(AS62&gt;0,AS62&lt;100)</formula>
    </cfRule>
    <cfRule type="cellIs" dxfId="1" priority="1994" operator="greaterThan">
      <formula>AR62</formula>
    </cfRule>
  </conditionalFormatting>
  <conditionalFormatting sqref="AS63">
    <cfRule type="expression" dxfId="3" priority="1999">
      <formula>AND(AS63&gt;0,AS63&lt;100)</formula>
    </cfRule>
    <cfRule type="cellIs" dxfId="1" priority="2000" operator="greaterThan">
      <formula>AR63</formula>
    </cfRule>
  </conditionalFormatting>
  <conditionalFormatting sqref="AS64">
    <cfRule type="expression" dxfId="3" priority="2005">
      <formula>AND(AS64&gt;0,AS64&lt;100)</formula>
    </cfRule>
    <cfRule type="cellIs" dxfId="1" priority="2006" operator="greaterThan">
      <formula>AR64</formula>
    </cfRule>
  </conditionalFormatting>
  <conditionalFormatting sqref="AS65">
    <cfRule type="expression" dxfId="3" priority="2011">
      <formula>AND(AS65&gt;0,AS65&lt;100)</formula>
    </cfRule>
    <cfRule type="cellIs" dxfId="1" priority="2012" operator="greaterThan">
      <formula>AR65</formula>
    </cfRule>
  </conditionalFormatting>
  <conditionalFormatting sqref="AS66">
    <cfRule type="expression" dxfId="3" priority="2017">
      <formula>AND(AS66&gt;0,AS66&lt;100)</formula>
    </cfRule>
    <cfRule type="cellIs" dxfId="1" priority="2018" operator="greaterThan">
      <formula>AR66</formula>
    </cfRule>
  </conditionalFormatting>
  <conditionalFormatting sqref="AS67">
    <cfRule type="expression" dxfId="3" priority="2023">
      <formula>AND(AS67&gt;0,AS67&lt;100)</formula>
    </cfRule>
    <cfRule type="cellIs" dxfId="1" priority="2024" operator="greaterThan">
      <formula>AR67</formula>
    </cfRule>
  </conditionalFormatting>
  <conditionalFormatting sqref="AS71">
    <cfRule type="cellIs" dxfId="1" priority="2029" operator="greaterThan">
      <formula>AR71</formula>
    </cfRule>
  </conditionalFormatting>
  <conditionalFormatting sqref="AS73">
    <cfRule type="cellIs" dxfId="1" priority="2034" operator="greaterThan">
      <formula>AR73</formula>
    </cfRule>
  </conditionalFormatting>
  <conditionalFormatting sqref="AS77">
    <cfRule type="expression" dxfId="3" priority="2039">
      <formula>AND(AS77&gt;0,AS77&lt;2500)</formula>
    </cfRule>
    <cfRule type="cellIs" dxfId="1" priority="2040" operator="greaterThan">
      <formula>AR77</formula>
    </cfRule>
  </conditionalFormatting>
  <conditionalFormatting sqref="AS80">
    <cfRule type="cellIs" dxfId="1" priority="2045" operator="greaterThan">
      <formula>AR80</formula>
    </cfRule>
  </conditionalFormatting>
  <conditionalFormatting sqref="AT12">
    <cfRule type="cellIs" dxfId="4" priority="1890" operator="lessThanOrEqual">
      <formula>G12</formula>
    </cfRule>
  </conditionalFormatting>
  <conditionalFormatting sqref="AT20">
    <cfRule type="cellIs" dxfId="4" priority="1896" operator="lessThanOrEqual">
      <formula>G20</formula>
    </cfRule>
  </conditionalFormatting>
  <conditionalFormatting sqref="AT23">
    <cfRule type="cellIs" dxfId="4" priority="1902" operator="lessThanOrEqual">
      <formula>G23</formula>
    </cfRule>
  </conditionalFormatting>
  <conditionalFormatting sqref="AT29">
    <cfRule type="cellIs" dxfId="4" priority="1907" operator="lessThanOrEqual">
      <formula>G29</formula>
    </cfRule>
  </conditionalFormatting>
  <conditionalFormatting sqref="AT33">
    <cfRule type="cellIs" dxfId="4" priority="1912" operator="lessThanOrEqual">
      <formula>G33</formula>
    </cfRule>
  </conditionalFormatting>
  <conditionalFormatting sqref="AT40">
    <cfRule type="cellIs" dxfId="4" priority="1918" operator="lessThanOrEqual">
      <formula>G40</formula>
    </cfRule>
  </conditionalFormatting>
  <conditionalFormatting sqref="AT41">
    <cfRule type="cellIs" dxfId="4" priority="1924" operator="lessThanOrEqual">
      <formula>G41</formula>
    </cfRule>
  </conditionalFormatting>
  <conditionalFormatting sqref="AT42">
    <cfRule type="cellIs" dxfId="4" priority="1930" operator="lessThanOrEqual">
      <formula>G42</formula>
    </cfRule>
  </conditionalFormatting>
  <conditionalFormatting sqref="AT45">
    <cfRule type="cellIs" dxfId="4" priority="1936" operator="lessThanOrEqual">
      <formula>G45</formula>
    </cfRule>
  </conditionalFormatting>
  <conditionalFormatting sqref="AT48">
    <cfRule type="cellIs" dxfId="4" priority="1942" operator="lessThanOrEqual">
      <formula>G48</formula>
    </cfRule>
  </conditionalFormatting>
  <conditionalFormatting sqref="AT49">
    <cfRule type="cellIs" dxfId="4" priority="1948" operator="lessThanOrEqual">
      <formula>G49</formula>
    </cfRule>
  </conditionalFormatting>
  <conditionalFormatting sqref="AT51">
    <cfRule type="cellIs" dxfId="4" priority="1954" operator="lessThanOrEqual">
      <formula>G51</formula>
    </cfRule>
  </conditionalFormatting>
  <conditionalFormatting sqref="AT52">
    <cfRule type="cellIs" dxfId="4" priority="1960" operator="lessThanOrEqual">
      <formula>G52</formula>
    </cfRule>
  </conditionalFormatting>
  <conditionalFormatting sqref="AT53">
    <cfRule type="cellIs" dxfId="4" priority="1966" operator="lessThanOrEqual">
      <formula>G53</formula>
    </cfRule>
  </conditionalFormatting>
  <conditionalFormatting sqref="AT55">
    <cfRule type="cellIs" dxfId="4" priority="1972" operator="lessThanOrEqual">
      <formula>G55</formula>
    </cfRule>
  </conditionalFormatting>
  <conditionalFormatting sqref="AT57">
    <cfRule type="cellIs" dxfId="4" priority="1978" operator="lessThanOrEqual">
      <formula>G57</formula>
    </cfRule>
  </conditionalFormatting>
  <conditionalFormatting sqref="AT59">
    <cfRule type="cellIs" dxfId="4" priority="1984" operator="lessThanOrEqual">
      <formula>G59</formula>
    </cfRule>
  </conditionalFormatting>
  <conditionalFormatting sqref="AT60">
    <cfRule type="cellIs" dxfId="4" priority="1990" operator="lessThanOrEqual">
      <formula>G60</formula>
    </cfRule>
  </conditionalFormatting>
  <conditionalFormatting sqref="AT62">
    <cfRule type="cellIs" dxfId="4" priority="1996" operator="lessThanOrEqual">
      <formula>G62</formula>
    </cfRule>
  </conditionalFormatting>
  <conditionalFormatting sqref="AT63">
    <cfRule type="cellIs" dxfId="4" priority="2002" operator="lessThanOrEqual">
      <formula>G63</formula>
    </cfRule>
  </conditionalFormatting>
  <conditionalFormatting sqref="AT64">
    <cfRule type="cellIs" dxfId="4" priority="2008" operator="lessThanOrEqual">
      <formula>G64</formula>
    </cfRule>
  </conditionalFormatting>
  <conditionalFormatting sqref="AT65">
    <cfRule type="cellIs" dxfId="4" priority="2014" operator="lessThanOrEqual">
      <formula>G65</formula>
    </cfRule>
  </conditionalFormatting>
  <conditionalFormatting sqref="AT66">
    <cfRule type="cellIs" dxfId="4" priority="2020" operator="lessThanOrEqual">
      <formula>G66</formula>
    </cfRule>
  </conditionalFormatting>
  <conditionalFormatting sqref="AT67">
    <cfRule type="cellIs" dxfId="4" priority="2026" operator="lessThanOrEqual">
      <formula>G67</formula>
    </cfRule>
  </conditionalFormatting>
  <conditionalFormatting sqref="AT71">
    <cfRule type="cellIs" dxfId="4" priority="2031" operator="lessThanOrEqual">
      <formula>G71</formula>
    </cfRule>
  </conditionalFormatting>
  <conditionalFormatting sqref="AT73">
    <cfRule type="cellIs" dxfId="4" priority="2036" operator="lessThanOrEqual">
      <formula>G73</formula>
    </cfRule>
  </conditionalFormatting>
  <conditionalFormatting sqref="AT77">
    <cfRule type="cellIs" dxfId="4" priority="2042" operator="lessThanOrEqual">
      <formula>G77</formula>
    </cfRule>
  </conditionalFormatting>
  <conditionalFormatting sqref="AT80">
    <cfRule type="cellIs" dxfId="4" priority="2047" operator="lessThanOrEqual">
      <formula>G80</formula>
    </cfRule>
  </conditionalFormatting>
  <conditionalFormatting sqref="AU12">
    <cfRule type="cellIs" dxfId="4" priority="1889" operator="lessThanOrEqual">
      <formula>H12</formula>
    </cfRule>
  </conditionalFormatting>
  <conditionalFormatting sqref="AU20">
    <cfRule type="cellIs" dxfId="4" priority="1895" operator="lessThanOrEqual">
      <formula>H20</formula>
    </cfRule>
  </conditionalFormatting>
  <conditionalFormatting sqref="AU23">
    <cfRule type="cellIs" dxfId="4" priority="1901" operator="lessThanOrEqual">
      <formula>H23</formula>
    </cfRule>
  </conditionalFormatting>
  <conditionalFormatting sqref="AU29">
    <cfRule type="cellIs" dxfId="4" priority="1906" operator="lessThanOrEqual">
      <formula>H29</formula>
    </cfRule>
  </conditionalFormatting>
  <conditionalFormatting sqref="AU33">
    <cfRule type="cellIs" dxfId="4" priority="1911" operator="lessThanOrEqual">
      <formula>H33</formula>
    </cfRule>
  </conditionalFormatting>
  <conditionalFormatting sqref="AU40">
    <cfRule type="cellIs" dxfId="4" priority="1917" operator="lessThanOrEqual">
      <formula>H40</formula>
    </cfRule>
  </conditionalFormatting>
  <conditionalFormatting sqref="AU41">
    <cfRule type="cellIs" dxfId="4" priority="1923" operator="lessThanOrEqual">
      <formula>H41</formula>
    </cfRule>
  </conditionalFormatting>
  <conditionalFormatting sqref="AU42">
    <cfRule type="cellIs" dxfId="4" priority="1929" operator="lessThanOrEqual">
      <formula>H42</formula>
    </cfRule>
  </conditionalFormatting>
  <conditionalFormatting sqref="AU45">
    <cfRule type="cellIs" dxfId="4" priority="1935" operator="lessThanOrEqual">
      <formula>H45</formula>
    </cfRule>
  </conditionalFormatting>
  <conditionalFormatting sqref="AU48">
    <cfRule type="cellIs" dxfId="4" priority="1941" operator="lessThanOrEqual">
      <formula>H48</formula>
    </cfRule>
  </conditionalFormatting>
  <conditionalFormatting sqref="AU49">
    <cfRule type="cellIs" dxfId="4" priority="1947" operator="lessThanOrEqual">
      <formula>H49</formula>
    </cfRule>
  </conditionalFormatting>
  <conditionalFormatting sqref="AU51">
    <cfRule type="cellIs" dxfId="4" priority="1953" operator="lessThanOrEqual">
      <formula>H51</formula>
    </cfRule>
  </conditionalFormatting>
  <conditionalFormatting sqref="AU52">
    <cfRule type="cellIs" dxfId="4" priority="1959" operator="lessThanOrEqual">
      <formula>H52</formula>
    </cfRule>
  </conditionalFormatting>
  <conditionalFormatting sqref="AU53">
    <cfRule type="cellIs" dxfId="4" priority="1965" operator="lessThanOrEqual">
      <formula>H53</formula>
    </cfRule>
  </conditionalFormatting>
  <conditionalFormatting sqref="AU55">
    <cfRule type="cellIs" dxfId="4" priority="1971" operator="lessThanOrEqual">
      <formula>H55</formula>
    </cfRule>
  </conditionalFormatting>
  <conditionalFormatting sqref="AU57">
    <cfRule type="cellIs" dxfId="4" priority="1977" operator="lessThanOrEqual">
      <formula>H57</formula>
    </cfRule>
  </conditionalFormatting>
  <conditionalFormatting sqref="AU59">
    <cfRule type="cellIs" dxfId="4" priority="1983" operator="lessThanOrEqual">
      <formula>H59</formula>
    </cfRule>
  </conditionalFormatting>
  <conditionalFormatting sqref="AU60">
    <cfRule type="cellIs" dxfId="4" priority="1989" operator="lessThanOrEqual">
      <formula>H60</formula>
    </cfRule>
  </conditionalFormatting>
  <conditionalFormatting sqref="AU62">
    <cfRule type="cellIs" dxfId="4" priority="1995" operator="lessThanOrEqual">
      <formula>H62</formula>
    </cfRule>
  </conditionalFormatting>
  <conditionalFormatting sqref="AU63">
    <cfRule type="cellIs" dxfId="4" priority="2001" operator="lessThanOrEqual">
      <formula>H63</formula>
    </cfRule>
  </conditionalFormatting>
  <conditionalFormatting sqref="AU64">
    <cfRule type="cellIs" dxfId="4" priority="2007" operator="lessThanOrEqual">
      <formula>H64</formula>
    </cfRule>
  </conditionalFormatting>
  <conditionalFormatting sqref="AU65">
    <cfRule type="cellIs" dxfId="4" priority="2013" operator="lessThanOrEqual">
      <formula>H65</formula>
    </cfRule>
  </conditionalFormatting>
  <conditionalFormatting sqref="AU66">
    <cfRule type="cellIs" dxfId="4" priority="2019" operator="lessThanOrEqual">
      <formula>H66</formula>
    </cfRule>
  </conditionalFormatting>
  <conditionalFormatting sqref="AU67">
    <cfRule type="cellIs" dxfId="4" priority="2025" operator="lessThanOrEqual">
      <formula>H67</formula>
    </cfRule>
  </conditionalFormatting>
  <conditionalFormatting sqref="AU71">
    <cfRule type="cellIs" dxfId="4" priority="2030" operator="lessThanOrEqual">
      <formula>H71</formula>
    </cfRule>
  </conditionalFormatting>
  <conditionalFormatting sqref="AU73">
    <cfRule type="cellIs" dxfId="4" priority="2035" operator="lessThanOrEqual">
      <formula>H73</formula>
    </cfRule>
  </conditionalFormatting>
  <conditionalFormatting sqref="AU77">
    <cfRule type="cellIs" dxfId="4" priority="2041" operator="lessThanOrEqual">
      <formula>H77</formula>
    </cfRule>
  </conditionalFormatting>
  <conditionalFormatting sqref="AU80">
    <cfRule type="cellIs" dxfId="4" priority="2046" operator="lessThanOrEqual">
      <formula>H80</formula>
    </cfRule>
  </conditionalFormatting>
  <conditionalFormatting sqref="F10">
    <cfRule type="expression" dxfId="0" priority="13">
      <formula>AND(ISBLANK(E10)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11">
    <cfRule type="expression" dxfId="0" priority="17">
      <formula>AND(ISBLANK(E11)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12">
    <cfRule type="expression" dxfId="0" priority="21">
      <formula>AND(ISBLANK(E12)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13">
    <cfRule type="expression" dxfId="0" priority="25">
      <formula>AND(ISBLANK(E13)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14">
    <cfRule type="expression" dxfId="0" priority="29">
      <formula>AND(ISBLANK(E14)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15">
    <cfRule type="expression" dxfId="0" priority="33">
      <formula>AND(ISBLANK(E15)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16">
    <cfRule type="expression" dxfId="0" priority="37">
      <formula>AND(ISBLANK(E16)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17">
    <cfRule type="expression" dxfId="0" priority="41">
      <formula>AND(ISBLANK(E17)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4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4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18">
    <cfRule type="expression" dxfId="0" priority="45">
      <formula>AND(ISBLANK(E18)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4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4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19">
    <cfRule type="expression" dxfId="0" priority="49">
      <formula>AND(ISBLANK(E19)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5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20">
    <cfRule type="expression" dxfId="0" priority="53">
      <formula>AND(ISBLANK(E20)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5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21">
    <cfRule type="expression" dxfId="0" priority="57">
      <formula>AND(ISBLANK(E21)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22">
    <cfRule type="expression" dxfId="0" priority="61">
      <formula>AND(ISBLANK(E22)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6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23">
    <cfRule type="expression" dxfId="0" priority="65">
      <formula>AND(ISBLANK(E23)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6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24">
    <cfRule type="expression" dxfId="0" priority="69">
      <formula>AND(ISBLANK(E24)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7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25">
    <cfRule type="expression" dxfId="0" priority="73">
      <formula>AND(ISBLANK(E25)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7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26">
    <cfRule type="expression" dxfId="0" priority="77">
      <formula>AND(ISBLANK(E26)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27">
    <cfRule type="expression" dxfId="0" priority="81">
      <formula>AND(ISBLANK(E27)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8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8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28">
    <cfRule type="expression" dxfId="0" priority="85">
      <formula>AND(ISBLANK(E28)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8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8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29">
    <cfRule type="expression" dxfId="0" priority="89">
      <formula>AND(ISBLANK(E29)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9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30">
    <cfRule type="expression" dxfId="0" priority="93">
      <formula>AND(ISBLANK(E30)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9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31">
    <cfRule type="expression" dxfId="0" priority="97">
      <formula>AND(ISBLANK(E31)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32">
    <cfRule type="expression" dxfId="0" priority="101">
      <formula>AND(ISBLANK(E32)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0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33">
    <cfRule type="expression" dxfId="0" priority="105">
      <formula>AND(ISBLANK(E33)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0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34">
    <cfRule type="expression" dxfId="0" priority="109">
      <formula>AND(ISBLANK(E34)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1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35">
    <cfRule type="expression" dxfId="0" priority="113">
      <formula>AND(ISBLANK(E35)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1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36">
    <cfRule type="expression" dxfId="0" priority="117">
      <formula>AND(ISBLANK(E36)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1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37">
    <cfRule type="expression" dxfId="0" priority="121">
      <formula>AND(ISBLANK(E37)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2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2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38">
    <cfRule type="expression" dxfId="0" priority="125">
      <formula>AND(ISBLANK(E38)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2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2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39">
    <cfRule type="expression" dxfId="0" priority="129">
      <formula>AND(ISBLANK(E39)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3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3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3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40">
    <cfRule type="expression" dxfId="0" priority="133">
      <formula>AND(ISBLANK(E40)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3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3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3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41">
    <cfRule type="expression" dxfId="0" priority="137">
      <formula>AND(ISBLANK(E41)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3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3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4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42">
    <cfRule type="expression" dxfId="0" priority="141">
      <formula>AND(ISBLANK(E42)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4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4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4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43">
    <cfRule type="expression" dxfId="0" priority="145">
      <formula>AND(ISBLANK(E43)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4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4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4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44">
    <cfRule type="expression" dxfId="0" priority="149">
      <formula>AND(ISBLANK(E44)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5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5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5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45">
    <cfRule type="expression" dxfId="0" priority="153">
      <formula>AND(ISBLANK(E45)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5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5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5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46">
    <cfRule type="expression" dxfId="0" priority="157">
      <formula>AND(ISBLANK(E46)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5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5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6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47">
    <cfRule type="expression" dxfId="0" priority="161">
      <formula>AND(ISBLANK(E47)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6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6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6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48">
    <cfRule type="expression" dxfId="0" priority="165">
      <formula>AND(ISBLANK(E48)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6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6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6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49">
    <cfRule type="expression" dxfId="0" priority="169">
      <formula>AND(ISBLANK(E49)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7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7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7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50">
    <cfRule type="expression" dxfId="0" priority="173">
      <formula>AND(ISBLANK(E50)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7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7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7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51">
    <cfRule type="expression" dxfId="0" priority="177">
      <formula>AND(ISBLANK(E51)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7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7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8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52">
    <cfRule type="expression" dxfId="0" priority="181">
      <formula>AND(ISBLANK(E52)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8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8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8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53">
    <cfRule type="expression" dxfId="0" priority="185">
      <formula>AND(ISBLANK(E53)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8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8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8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54">
    <cfRule type="expression" dxfId="0" priority="189">
      <formula>AND(ISBLANK(E54)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9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9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9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55">
    <cfRule type="expression" dxfId="0" priority="193">
      <formula>AND(ISBLANK(E55)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9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9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9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56">
    <cfRule type="expression" dxfId="0" priority="197">
      <formula>AND(ISBLANK(E56)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9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9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0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57">
    <cfRule type="expression" dxfId="0" priority="201">
      <formula>AND(ISBLANK(E57)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0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0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0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58">
    <cfRule type="expression" dxfId="0" priority="205">
      <formula>AND(ISBLANK(E58)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0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0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0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59">
    <cfRule type="expression" dxfId="0" priority="209">
      <formula>AND(ISBLANK(E59)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1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1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60">
    <cfRule type="expression" dxfId="0" priority="213">
      <formula>AND(ISBLANK(E60)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1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1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61">
    <cfRule type="expression" dxfId="0" priority="217">
      <formula>AND(ISBLANK(E61)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1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1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2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62">
    <cfRule type="expression" dxfId="0" priority="221">
      <formula>AND(ISBLANK(E62)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2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2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2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63">
    <cfRule type="expression" dxfId="0" priority="225">
      <formula>AND(ISBLANK(E63)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2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2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2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64">
    <cfRule type="expression" dxfId="0" priority="229">
      <formula>AND(ISBLANK(E64)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3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3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3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65">
    <cfRule type="expression" dxfId="0" priority="233">
      <formula>AND(ISBLANK(E65)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3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3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3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66">
    <cfRule type="expression" dxfId="0" priority="237">
      <formula>AND(ISBLANK(E66)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3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3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4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67">
    <cfRule type="expression" dxfId="0" priority="241">
      <formula>AND(ISBLANK(E67)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4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4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4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68">
    <cfRule type="expression" dxfId="0" priority="245">
      <formula>AND(ISBLANK(E68)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4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4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4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69">
    <cfRule type="expression" dxfId="0" priority="249">
      <formula>AND(ISBLANK(E69)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5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5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5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7">
    <cfRule type="expression" dxfId="0" priority="1">
      <formula>AND(ISBLANK(E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70">
    <cfRule type="expression" dxfId="0" priority="253">
      <formula>AND(ISBLANK(E70)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5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5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5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71">
    <cfRule type="expression" dxfId="0" priority="257">
      <formula>AND(ISBLANK(E71)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5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5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6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72">
    <cfRule type="expression" dxfId="0" priority="261">
      <formula>AND(ISBLANK(E72)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6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6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6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73">
    <cfRule type="expression" dxfId="0" priority="265">
      <formula>AND(ISBLANK(E73)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6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6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6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74">
    <cfRule type="expression" dxfId="0" priority="269">
      <formula>AND(ISBLANK(E74)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7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7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7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75">
    <cfRule type="expression" dxfId="0" priority="273">
      <formula>AND(ISBLANK(E75)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7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7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7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76">
    <cfRule type="expression" dxfId="0" priority="277">
      <formula>AND(ISBLANK(E76)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7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7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8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77">
    <cfRule type="expression" dxfId="0" priority="281">
      <formula>AND(ISBLANK(E77)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8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8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8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78">
    <cfRule type="expression" dxfId="0" priority="285">
      <formula>AND(ISBLANK(E78)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8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8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8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79">
    <cfRule type="expression" dxfId="0" priority="289">
      <formula>AND(ISBLANK(E79)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9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9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9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8">
    <cfRule type="expression" dxfId="0" priority="5">
      <formula>AND(ISBLANK(E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80">
    <cfRule type="expression" dxfId="0" priority="293">
      <formula>AND(ISBLANK(E80)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9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9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9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81">
    <cfRule type="expression" dxfId="0" priority="297">
      <formula>AND(ISBLANK(E81)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9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9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0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82">
    <cfRule type="expression" dxfId="0" priority="301">
      <formula>AND(ISBLANK(E82)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0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0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0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83">
    <cfRule type="expression" dxfId="0" priority="305">
      <formula>AND(ISBLANK(E83)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0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0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0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84">
    <cfRule type="expression" dxfId="0" priority="309">
      <formula>AND(ISBLANK(E84)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1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1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85">
    <cfRule type="expression" dxfId="0" priority="313">
      <formula>AND(ISBLANK(E85)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1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1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86">
    <cfRule type="expression" dxfId="0" priority="317">
      <formula>AND(ISBLANK(E86)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1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1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2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87">
    <cfRule type="expression" dxfId="0" priority="321">
      <formula>AND(ISBLANK(E87)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2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2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2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88">
    <cfRule type="expression" dxfId="0" priority="325">
      <formula>AND(ISBLANK(E88)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2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2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2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89">
    <cfRule type="expression" dxfId="0" priority="329">
      <formula>AND(ISBLANK(E89)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3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3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3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9">
    <cfRule type="expression" dxfId="0" priority="9">
      <formula>AND(ISBLANK(E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N10">
    <cfRule type="cellIs" dxfId="1" priority="343" operator="equal">
      <formula>0</formula>
    </cfRule>
    <cfRule type="cellIs" dxfId="2" priority="344" operator="lessThan">
      <formula>F10</formula>
    </cfRule>
  </conditionalFormatting>
  <conditionalFormatting sqref="N11">
    <cfRule type="cellIs" dxfId="1" priority="348" operator="equal">
      <formula>0</formula>
    </cfRule>
    <cfRule type="cellIs" dxfId="2" priority="349" operator="lessThan">
      <formula>F11</formula>
    </cfRule>
  </conditionalFormatting>
  <conditionalFormatting sqref="N12">
    <cfRule type="cellIs" dxfId="1" priority="353" operator="equal">
      <formula>0</formula>
    </cfRule>
    <cfRule type="cellIs" dxfId="2" priority="354" operator="lessThan">
      <formula>F12</formula>
    </cfRule>
  </conditionalFormatting>
  <conditionalFormatting sqref="N13">
    <cfRule type="cellIs" dxfId="1" priority="358" operator="equal">
      <formula>0</formula>
    </cfRule>
    <cfRule type="cellIs" dxfId="2" priority="359" operator="lessThan">
      <formula>F13</formula>
    </cfRule>
  </conditionalFormatting>
  <conditionalFormatting sqref="N14">
    <cfRule type="cellIs" dxfId="1" priority="363" operator="equal">
      <formula>0</formula>
    </cfRule>
    <cfRule type="cellIs" dxfId="2" priority="364" operator="lessThan">
      <formula>F14</formula>
    </cfRule>
  </conditionalFormatting>
  <conditionalFormatting sqref="N15">
    <cfRule type="cellIs" dxfId="1" priority="368" operator="equal">
      <formula>0</formula>
    </cfRule>
    <cfRule type="cellIs" dxfId="2" priority="369" operator="lessThan">
      <formula>F15</formula>
    </cfRule>
  </conditionalFormatting>
  <conditionalFormatting sqref="N16">
    <cfRule type="cellIs" dxfId="1" priority="373" operator="equal">
      <formula>0</formula>
    </cfRule>
    <cfRule type="cellIs" dxfId="2" priority="374" operator="lessThan">
      <formula>F16</formula>
    </cfRule>
  </conditionalFormatting>
  <conditionalFormatting sqref="N17">
    <cfRule type="cellIs" dxfId="1" priority="378" operator="equal">
      <formula>0</formula>
    </cfRule>
    <cfRule type="cellIs" dxfId="2" priority="379" operator="lessThan">
      <formula>F17</formula>
    </cfRule>
  </conditionalFormatting>
  <conditionalFormatting sqref="N18">
    <cfRule type="cellIs" dxfId="1" priority="383" operator="equal">
      <formula>0</formula>
    </cfRule>
    <cfRule type="cellIs" dxfId="2" priority="384" operator="lessThan">
      <formula>F18</formula>
    </cfRule>
  </conditionalFormatting>
  <conditionalFormatting sqref="N19">
    <cfRule type="cellIs" dxfId="1" priority="388" operator="equal">
      <formula>0</formula>
    </cfRule>
    <cfRule type="cellIs" dxfId="2" priority="389" operator="lessThan">
      <formula>F19</formula>
    </cfRule>
  </conditionalFormatting>
  <conditionalFormatting sqref="N20">
    <cfRule type="cellIs" dxfId="1" priority="393" operator="equal">
      <formula>0</formula>
    </cfRule>
    <cfRule type="cellIs" dxfId="2" priority="394" operator="lessThan">
      <formula>F20</formula>
    </cfRule>
  </conditionalFormatting>
  <conditionalFormatting sqref="N21">
    <cfRule type="cellIs" dxfId="1" priority="398" operator="equal">
      <formula>0</formula>
    </cfRule>
    <cfRule type="cellIs" dxfId="2" priority="399" operator="lessThan">
      <formula>F21</formula>
    </cfRule>
  </conditionalFormatting>
  <conditionalFormatting sqref="N22">
    <cfRule type="cellIs" dxfId="1" priority="403" operator="equal">
      <formula>0</formula>
    </cfRule>
    <cfRule type="cellIs" dxfId="2" priority="404" operator="lessThan">
      <formula>F22</formula>
    </cfRule>
  </conditionalFormatting>
  <conditionalFormatting sqref="N23">
    <cfRule type="cellIs" dxfId="1" priority="408" operator="equal">
      <formula>0</formula>
    </cfRule>
    <cfRule type="cellIs" dxfId="2" priority="409" operator="lessThan">
      <formula>F23</formula>
    </cfRule>
  </conditionalFormatting>
  <conditionalFormatting sqref="N25">
    <cfRule type="cellIs" dxfId="1" priority="413" operator="equal">
      <formula>0</formula>
    </cfRule>
    <cfRule type="cellIs" dxfId="2" priority="414" operator="lessThan">
      <formula>F25</formula>
    </cfRule>
  </conditionalFormatting>
  <conditionalFormatting sqref="N26">
    <cfRule type="cellIs" dxfId="1" priority="418" operator="equal">
      <formula>0</formula>
    </cfRule>
    <cfRule type="cellIs" dxfId="2" priority="419" operator="lessThan">
      <formula>F26</formula>
    </cfRule>
  </conditionalFormatting>
  <conditionalFormatting sqref="N27">
    <cfRule type="cellIs" dxfId="1" priority="423" operator="equal">
      <formula>0</formula>
    </cfRule>
    <cfRule type="cellIs" dxfId="2" priority="424" operator="lessThan">
      <formula>F27</formula>
    </cfRule>
  </conditionalFormatting>
  <conditionalFormatting sqref="N28">
    <cfRule type="cellIs" dxfId="1" priority="428" operator="equal">
      <formula>0</formula>
    </cfRule>
    <cfRule type="cellIs" dxfId="2" priority="429" operator="lessThan">
      <formula>F28</formula>
    </cfRule>
  </conditionalFormatting>
  <conditionalFormatting sqref="N29">
    <cfRule type="cellIs" dxfId="1" priority="433" operator="equal">
      <formula>0</formula>
    </cfRule>
    <cfRule type="cellIs" dxfId="2" priority="434" operator="lessThan">
      <formula>F29</formula>
    </cfRule>
  </conditionalFormatting>
  <conditionalFormatting sqref="N30">
    <cfRule type="cellIs" dxfId="1" priority="438" operator="equal">
      <formula>0</formula>
    </cfRule>
    <cfRule type="cellIs" dxfId="2" priority="439" operator="lessThan">
      <formula>F30</formula>
    </cfRule>
  </conditionalFormatting>
  <conditionalFormatting sqref="N31">
    <cfRule type="cellIs" dxfId="1" priority="443" operator="equal">
      <formula>0</formula>
    </cfRule>
    <cfRule type="cellIs" dxfId="2" priority="444" operator="lessThan">
      <formula>F31</formula>
    </cfRule>
  </conditionalFormatting>
  <conditionalFormatting sqref="N32">
    <cfRule type="cellIs" dxfId="1" priority="448" operator="equal">
      <formula>0</formula>
    </cfRule>
    <cfRule type="cellIs" dxfId="2" priority="449" operator="lessThan">
      <formula>F32</formula>
    </cfRule>
  </conditionalFormatting>
  <conditionalFormatting sqref="N33">
    <cfRule type="cellIs" dxfId="1" priority="453" operator="equal">
      <formula>0</formula>
    </cfRule>
    <cfRule type="cellIs" dxfId="2" priority="454" operator="lessThan">
      <formula>F33</formula>
    </cfRule>
  </conditionalFormatting>
  <conditionalFormatting sqref="N34">
    <cfRule type="cellIs" dxfId="1" priority="458" operator="equal">
      <formula>0</formula>
    </cfRule>
    <cfRule type="cellIs" dxfId="2" priority="459" operator="lessThan">
      <formula>F34</formula>
    </cfRule>
  </conditionalFormatting>
  <conditionalFormatting sqref="N35">
    <cfRule type="cellIs" dxfId="1" priority="463" operator="equal">
      <formula>0</formula>
    </cfRule>
    <cfRule type="cellIs" dxfId="2" priority="464" operator="lessThan">
      <formula>F35</formula>
    </cfRule>
  </conditionalFormatting>
  <conditionalFormatting sqref="N36">
    <cfRule type="cellIs" dxfId="1" priority="468" operator="equal">
      <formula>0</formula>
    </cfRule>
    <cfRule type="cellIs" dxfId="2" priority="469" operator="lessThan">
      <formula>F36</formula>
    </cfRule>
  </conditionalFormatting>
  <conditionalFormatting sqref="N37">
    <cfRule type="cellIs" dxfId="1" priority="473" operator="equal">
      <formula>0</formula>
    </cfRule>
    <cfRule type="cellIs" dxfId="2" priority="474" operator="lessThan">
      <formula>F37</formula>
    </cfRule>
  </conditionalFormatting>
  <conditionalFormatting sqref="N38">
    <cfRule type="cellIs" dxfId="1" priority="478" operator="equal">
      <formula>0</formula>
    </cfRule>
    <cfRule type="cellIs" dxfId="2" priority="479" operator="lessThan">
      <formula>F38</formula>
    </cfRule>
  </conditionalFormatting>
  <conditionalFormatting sqref="N39">
    <cfRule type="cellIs" dxfId="1" priority="483" operator="equal">
      <formula>0</formula>
    </cfRule>
    <cfRule type="cellIs" dxfId="2" priority="484" operator="lessThan">
      <formula>F39</formula>
    </cfRule>
  </conditionalFormatting>
  <conditionalFormatting sqref="N40">
    <cfRule type="cellIs" dxfId="1" priority="488" operator="equal">
      <formula>0</formula>
    </cfRule>
    <cfRule type="cellIs" dxfId="2" priority="489" operator="lessThan">
      <formula>F40</formula>
    </cfRule>
  </conditionalFormatting>
  <conditionalFormatting sqref="N41">
    <cfRule type="cellIs" dxfId="1" priority="493" operator="equal">
      <formula>0</formula>
    </cfRule>
    <cfRule type="cellIs" dxfId="2" priority="494" operator="lessThan">
      <formula>F41</formula>
    </cfRule>
  </conditionalFormatting>
  <conditionalFormatting sqref="N42">
    <cfRule type="cellIs" dxfId="1" priority="498" operator="equal">
      <formula>0</formula>
    </cfRule>
    <cfRule type="cellIs" dxfId="2" priority="499" operator="lessThan">
      <formula>F42</formula>
    </cfRule>
  </conditionalFormatting>
  <conditionalFormatting sqref="N43">
    <cfRule type="cellIs" dxfId="1" priority="503" operator="equal">
      <formula>0</formula>
    </cfRule>
    <cfRule type="cellIs" dxfId="2" priority="504" operator="lessThan">
      <formula>F43</formula>
    </cfRule>
  </conditionalFormatting>
  <conditionalFormatting sqref="N44">
    <cfRule type="cellIs" dxfId="1" priority="508" operator="equal">
      <formula>0</formula>
    </cfRule>
    <cfRule type="cellIs" dxfId="2" priority="509" operator="lessThan">
      <formula>F44</formula>
    </cfRule>
  </conditionalFormatting>
  <conditionalFormatting sqref="N45">
    <cfRule type="cellIs" dxfId="1" priority="513" operator="equal">
      <formula>0</formula>
    </cfRule>
    <cfRule type="cellIs" dxfId="2" priority="514" operator="lessThan">
      <formula>F45</formula>
    </cfRule>
  </conditionalFormatting>
  <conditionalFormatting sqref="N46">
    <cfRule type="cellIs" dxfId="1" priority="518" operator="equal">
      <formula>0</formula>
    </cfRule>
    <cfRule type="cellIs" dxfId="2" priority="519" operator="lessThan">
      <formula>F46</formula>
    </cfRule>
  </conditionalFormatting>
  <conditionalFormatting sqref="N47">
    <cfRule type="cellIs" dxfId="1" priority="523" operator="equal">
      <formula>0</formula>
    </cfRule>
    <cfRule type="cellIs" dxfId="2" priority="524" operator="lessThan">
      <formula>F47</formula>
    </cfRule>
  </conditionalFormatting>
  <conditionalFormatting sqref="N48">
    <cfRule type="cellIs" dxfId="1" priority="528" operator="equal">
      <formula>0</formula>
    </cfRule>
    <cfRule type="cellIs" dxfId="2" priority="529" operator="lessThan">
      <formula>F48</formula>
    </cfRule>
  </conditionalFormatting>
  <conditionalFormatting sqref="N49">
    <cfRule type="cellIs" dxfId="1" priority="533" operator="equal">
      <formula>0</formula>
    </cfRule>
    <cfRule type="cellIs" dxfId="2" priority="534" operator="lessThan">
      <formula>F49</formula>
    </cfRule>
  </conditionalFormatting>
  <conditionalFormatting sqref="N50">
    <cfRule type="cellIs" dxfId="1" priority="538" operator="equal">
      <formula>0</formula>
    </cfRule>
    <cfRule type="cellIs" dxfId="2" priority="539" operator="lessThan">
      <formula>F50</formula>
    </cfRule>
  </conditionalFormatting>
  <conditionalFormatting sqref="N51">
    <cfRule type="cellIs" dxfId="1" priority="543" operator="equal">
      <formula>0</formula>
    </cfRule>
    <cfRule type="cellIs" dxfId="2" priority="544" operator="lessThan">
      <formula>F51</formula>
    </cfRule>
  </conditionalFormatting>
  <conditionalFormatting sqref="N52">
    <cfRule type="cellIs" dxfId="1" priority="548" operator="equal">
      <formula>0</formula>
    </cfRule>
    <cfRule type="cellIs" dxfId="2" priority="549" operator="lessThan">
      <formula>F52</formula>
    </cfRule>
  </conditionalFormatting>
  <conditionalFormatting sqref="N53">
    <cfRule type="cellIs" dxfId="1" priority="553" operator="equal">
      <formula>0</formula>
    </cfRule>
    <cfRule type="cellIs" dxfId="2" priority="554" operator="lessThan">
      <formula>F53</formula>
    </cfRule>
  </conditionalFormatting>
  <conditionalFormatting sqref="N54">
    <cfRule type="cellIs" dxfId="1" priority="558" operator="equal">
      <formula>0</formula>
    </cfRule>
    <cfRule type="cellIs" dxfId="2" priority="559" operator="lessThan">
      <formula>F54</formula>
    </cfRule>
  </conditionalFormatting>
  <conditionalFormatting sqref="N55">
    <cfRule type="cellIs" dxfId="1" priority="563" operator="equal">
      <formula>0</formula>
    </cfRule>
    <cfRule type="cellIs" dxfId="2" priority="564" operator="lessThan">
      <formula>F55</formula>
    </cfRule>
  </conditionalFormatting>
  <conditionalFormatting sqref="N56">
    <cfRule type="cellIs" dxfId="1" priority="568" operator="equal">
      <formula>0</formula>
    </cfRule>
    <cfRule type="cellIs" dxfId="2" priority="569" operator="lessThan">
      <formula>F56</formula>
    </cfRule>
  </conditionalFormatting>
  <conditionalFormatting sqref="N57">
    <cfRule type="cellIs" dxfId="1" priority="573" operator="equal">
      <formula>0</formula>
    </cfRule>
    <cfRule type="cellIs" dxfId="2" priority="574" operator="lessThan">
      <formula>F57</formula>
    </cfRule>
  </conditionalFormatting>
  <conditionalFormatting sqref="N58">
    <cfRule type="cellIs" dxfId="1" priority="578" operator="equal">
      <formula>0</formula>
    </cfRule>
    <cfRule type="cellIs" dxfId="2" priority="579" operator="lessThan">
      <formula>F58</formula>
    </cfRule>
  </conditionalFormatting>
  <conditionalFormatting sqref="N59">
    <cfRule type="cellIs" dxfId="1" priority="583" operator="equal">
      <formula>0</formula>
    </cfRule>
    <cfRule type="cellIs" dxfId="2" priority="584" operator="lessThan">
      <formula>F59</formula>
    </cfRule>
  </conditionalFormatting>
  <conditionalFormatting sqref="N60">
    <cfRule type="cellIs" dxfId="1" priority="588" operator="equal">
      <formula>0</formula>
    </cfRule>
    <cfRule type="cellIs" dxfId="2" priority="589" operator="lessThan">
      <formula>F60</formula>
    </cfRule>
  </conditionalFormatting>
  <conditionalFormatting sqref="N62">
    <cfRule type="cellIs" dxfId="1" priority="593" operator="equal">
      <formula>0</formula>
    </cfRule>
    <cfRule type="cellIs" dxfId="2" priority="594" operator="lessThan">
      <formula>F62</formula>
    </cfRule>
  </conditionalFormatting>
  <conditionalFormatting sqref="N63">
    <cfRule type="cellIs" dxfId="1" priority="598" operator="equal">
      <formula>0</formula>
    </cfRule>
    <cfRule type="cellIs" dxfId="2" priority="599" operator="lessThan">
      <formula>F63</formula>
    </cfRule>
  </conditionalFormatting>
  <conditionalFormatting sqref="N64">
    <cfRule type="cellIs" dxfId="1" priority="603" operator="equal">
      <formula>0</formula>
    </cfRule>
    <cfRule type="cellIs" dxfId="2" priority="604" operator="lessThan">
      <formula>F64</formula>
    </cfRule>
  </conditionalFormatting>
  <conditionalFormatting sqref="N65">
    <cfRule type="cellIs" dxfId="1" priority="608" operator="equal">
      <formula>0</formula>
    </cfRule>
    <cfRule type="cellIs" dxfId="2" priority="609" operator="lessThan">
      <formula>F65</formula>
    </cfRule>
  </conditionalFormatting>
  <conditionalFormatting sqref="N66">
    <cfRule type="cellIs" dxfId="1" priority="613" operator="equal">
      <formula>0</formula>
    </cfRule>
    <cfRule type="cellIs" dxfId="2" priority="614" operator="lessThan">
      <formula>F66</formula>
    </cfRule>
  </conditionalFormatting>
  <conditionalFormatting sqref="N67">
    <cfRule type="cellIs" dxfId="1" priority="618" operator="equal">
      <formula>0</formula>
    </cfRule>
    <cfRule type="cellIs" dxfId="2" priority="619" operator="lessThan">
      <formula>F67</formula>
    </cfRule>
  </conditionalFormatting>
  <conditionalFormatting sqref="N69">
    <cfRule type="cellIs" dxfId="1" priority="623" operator="equal">
      <formula>0</formula>
    </cfRule>
    <cfRule type="cellIs" dxfId="2" priority="624" operator="lessThan">
      <formula>F69</formula>
    </cfRule>
  </conditionalFormatting>
  <conditionalFormatting sqref="N7">
    <cfRule type="cellIs" dxfId="1" priority="333" operator="equal">
      <formula>0</formula>
    </cfRule>
    <cfRule type="cellIs" dxfId="2" priority="334" operator="lessThan">
      <formula>F7</formula>
    </cfRule>
  </conditionalFormatting>
  <conditionalFormatting sqref="N70">
    <cfRule type="cellIs" dxfId="1" priority="628" operator="equal">
      <formula>0</formula>
    </cfRule>
    <cfRule type="cellIs" dxfId="2" priority="629" operator="lessThan">
      <formula>F70</formula>
    </cfRule>
  </conditionalFormatting>
  <conditionalFormatting sqref="N71">
    <cfRule type="cellIs" dxfId="1" priority="633" operator="equal">
      <formula>0</formula>
    </cfRule>
    <cfRule type="cellIs" dxfId="2" priority="634" operator="lessThan">
      <formula>F71</formula>
    </cfRule>
  </conditionalFormatting>
  <conditionalFormatting sqref="N72">
    <cfRule type="cellIs" dxfId="1" priority="638" operator="equal">
      <formula>0</formula>
    </cfRule>
    <cfRule type="cellIs" dxfId="2" priority="639" operator="lessThan">
      <formula>F72</formula>
    </cfRule>
  </conditionalFormatting>
  <conditionalFormatting sqref="N73">
    <cfRule type="cellIs" dxfId="1" priority="643" operator="equal">
      <formula>0</formula>
    </cfRule>
    <cfRule type="cellIs" dxfId="2" priority="644" operator="lessThan">
      <formula>F73</formula>
    </cfRule>
  </conditionalFormatting>
  <conditionalFormatting sqref="N74">
    <cfRule type="cellIs" dxfId="1" priority="648" operator="equal">
      <formula>0</formula>
    </cfRule>
    <cfRule type="cellIs" dxfId="2" priority="649" operator="lessThan">
      <formula>F74</formula>
    </cfRule>
  </conditionalFormatting>
  <conditionalFormatting sqref="N75">
    <cfRule type="cellIs" dxfId="1" priority="653" operator="equal">
      <formula>0</formula>
    </cfRule>
    <cfRule type="cellIs" dxfId="2" priority="654" operator="lessThan">
      <formula>F75</formula>
    </cfRule>
  </conditionalFormatting>
  <conditionalFormatting sqref="N76">
    <cfRule type="cellIs" dxfId="1" priority="658" operator="equal">
      <formula>0</formula>
    </cfRule>
    <cfRule type="cellIs" dxfId="2" priority="659" operator="lessThan">
      <formula>F76</formula>
    </cfRule>
  </conditionalFormatting>
  <conditionalFormatting sqref="N77">
    <cfRule type="cellIs" dxfId="1" priority="663" operator="equal">
      <formula>0</formula>
    </cfRule>
    <cfRule type="cellIs" dxfId="2" priority="664" operator="lessThan">
      <formula>F77</formula>
    </cfRule>
  </conditionalFormatting>
  <conditionalFormatting sqref="N78">
    <cfRule type="cellIs" dxfId="1" priority="668" operator="equal">
      <formula>0</formula>
    </cfRule>
    <cfRule type="cellIs" dxfId="2" priority="669" operator="lessThan">
      <formula>F78</formula>
    </cfRule>
  </conditionalFormatting>
  <conditionalFormatting sqref="N79">
    <cfRule type="cellIs" dxfId="1" priority="673" operator="equal">
      <formula>0</formula>
    </cfRule>
    <cfRule type="cellIs" dxfId="2" priority="674" operator="lessThan">
      <formula>F79</formula>
    </cfRule>
  </conditionalFormatting>
  <conditionalFormatting sqref="N80">
    <cfRule type="cellIs" dxfId="1" priority="678" operator="equal">
      <formula>0</formula>
    </cfRule>
    <cfRule type="cellIs" dxfId="2" priority="679" operator="lessThan">
      <formula>F80</formula>
    </cfRule>
  </conditionalFormatting>
  <conditionalFormatting sqref="N81">
    <cfRule type="cellIs" dxfId="1" priority="683" operator="equal">
      <formula>0</formula>
    </cfRule>
    <cfRule type="cellIs" dxfId="2" priority="684" operator="lessThan">
      <formula>F81</formula>
    </cfRule>
  </conditionalFormatting>
  <conditionalFormatting sqref="N82">
    <cfRule type="cellIs" dxfId="1" priority="688" operator="equal">
      <formula>0</formula>
    </cfRule>
    <cfRule type="cellIs" dxfId="2" priority="689" operator="lessThan">
      <formula>F82</formula>
    </cfRule>
  </conditionalFormatting>
  <conditionalFormatting sqref="N83">
    <cfRule type="cellIs" dxfId="1" priority="693" operator="equal">
      <formula>0</formula>
    </cfRule>
    <cfRule type="cellIs" dxfId="2" priority="694" operator="lessThan">
      <formula>F83</formula>
    </cfRule>
  </conditionalFormatting>
  <conditionalFormatting sqref="N84">
    <cfRule type="cellIs" dxfId="1" priority="698" operator="equal">
      <formula>0</formula>
    </cfRule>
    <cfRule type="cellIs" dxfId="2" priority="699" operator="lessThan">
      <formula>F84</formula>
    </cfRule>
  </conditionalFormatting>
  <conditionalFormatting sqref="N85">
    <cfRule type="cellIs" dxfId="1" priority="703" operator="equal">
      <formula>0</formula>
    </cfRule>
    <cfRule type="cellIs" dxfId="2" priority="704" operator="lessThan">
      <formula>F85</formula>
    </cfRule>
  </conditionalFormatting>
  <conditionalFormatting sqref="N86">
    <cfRule type="cellIs" dxfId="1" priority="708" operator="equal">
      <formula>0</formula>
    </cfRule>
    <cfRule type="cellIs" dxfId="2" priority="709" operator="lessThan">
      <formula>F86</formula>
    </cfRule>
  </conditionalFormatting>
  <conditionalFormatting sqref="N87">
    <cfRule type="cellIs" dxfId="1" priority="713" operator="equal">
      <formula>0</formula>
    </cfRule>
    <cfRule type="cellIs" dxfId="2" priority="714" operator="lessThan">
      <formula>F87</formula>
    </cfRule>
  </conditionalFormatting>
  <conditionalFormatting sqref="N88">
    <cfRule type="cellIs" dxfId="1" priority="718" operator="equal">
      <formula>0</formula>
    </cfRule>
    <cfRule type="cellIs" dxfId="2" priority="719" operator="lessThan">
      <formula>F88</formula>
    </cfRule>
  </conditionalFormatting>
  <conditionalFormatting sqref="N89">
    <cfRule type="cellIs" dxfId="1" priority="723" operator="equal">
      <formula>0</formula>
    </cfRule>
    <cfRule type="cellIs" dxfId="2" priority="724" operator="lessThan">
      <formula>F89</formula>
    </cfRule>
  </conditionalFormatting>
  <conditionalFormatting sqref="N9">
    <cfRule type="cellIs" dxfId="1" priority="338" operator="equal">
      <formula>0</formula>
    </cfRule>
    <cfRule type="cellIs" dxfId="2" priority="339" operator="lessThan">
      <formula>F9</formula>
    </cfRule>
  </conditionalFormatting>
  <conditionalFormatting sqref="O10">
    <cfRule type="cellIs" dxfId="1" priority="345" operator="greaterThan">
      <formula>N10</formula>
    </cfRule>
  </conditionalFormatting>
  <conditionalFormatting sqref="O11">
    <cfRule type="cellIs" dxfId="1" priority="350" operator="greaterThan">
      <formula>N11</formula>
    </cfRule>
  </conditionalFormatting>
  <conditionalFormatting sqref="O12">
    <cfRule type="cellIs" dxfId="1" priority="355" operator="greaterThan">
      <formula>N12</formula>
    </cfRule>
  </conditionalFormatting>
  <conditionalFormatting sqref="O13">
    <cfRule type="cellIs" dxfId="1" priority="360" operator="greaterThan">
      <formula>N13</formula>
    </cfRule>
  </conditionalFormatting>
  <conditionalFormatting sqref="O14">
    <cfRule type="cellIs" dxfId="1" priority="365" operator="greaterThan">
      <formula>N14</formula>
    </cfRule>
  </conditionalFormatting>
  <conditionalFormatting sqref="O15">
    <cfRule type="cellIs" dxfId="1" priority="370" operator="greaterThan">
      <formula>N15</formula>
    </cfRule>
  </conditionalFormatting>
  <conditionalFormatting sqref="O16">
    <cfRule type="cellIs" dxfId="1" priority="375" operator="greaterThan">
      <formula>N16</formula>
    </cfRule>
  </conditionalFormatting>
  <conditionalFormatting sqref="O17">
    <cfRule type="cellIs" dxfId="1" priority="380" operator="greaterThan">
      <formula>N17</formula>
    </cfRule>
  </conditionalFormatting>
  <conditionalFormatting sqref="O18">
    <cfRule type="cellIs" dxfId="1" priority="385" operator="greaterThan">
      <formula>N18</formula>
    </cfRule>
  </conditionalFormatting>
  <conditionalFormatting sqref="O19">
    <cfRule type="cellIs" dxfId="1" priority="390" operator="greaterThan">
      <formula>N19</formula>
    </cfRule>
  </conditionalFormatting>
  <conditionalFormatting sqref="O20">
    <cfRule type="cellIs" dxfId="1" priority="395" operator="greaterThan">
      <formula>N20</formula>
    </cfRule>
  </conditionalFormatting>
  <conditionalFormatting sqref="O21">
    <cfRule type="cellIs" dxfId="1" priority="400" operator="greaterThan">
      <formula>N21</formula>
    </cfRule>
  </conditionalFormatting>
  <conditionalFormatting sqref="O22">
    <cfRule type="cellIs" dxfId="1" priority="405" operator="greaterThan">
      <formula>N22</formula>
    </cfRule>
  </conditionalFormatting>
  <conditionalFormatting sqref="O23">
    <cfRule type="cellIs" dxfId="1" priority="410" operator="greaterThan">
      <formula>N23</formula>
    </cfRule>
  </conditionalFormatting>
  <conditionalFormatting sqref="O25">
    <cfRule type="cellIs" dxfId="1" priority="415" operator="greaterThan">
      <formula>N25</formula>
    </cfRule>
  </conditionalFormatting>
  <conditionalFormatting sqref="O26">
    <cfRule type="cellIs" dxfId="1" priority="420" operator="greaterThan">
      <formula>N26</formula>
    </cfRule>
  </conditionalFormatting>
  <conditionalFormatting sqref="O27">
    <cfRule type="cellIs" dxfId="1" priority="425" operator="greaterThan">
      <formula>N27</formula>
    </cfRule>
  </conditionalFormatting>
  <conditionalFormatting sqref="O28">
    <cfRule type="cellIs" dxfId="1" priority="430" operator="greaterThan">
      <formula>N28</formula>
    </cfRule>
  </conditionalFormatting>
  <conditionalFormatting sqref="O29">
    <cfRule type="cellIs" dxfId="1" priority="435" operator="greaterThan">
      <formula>N29</formula>
    </cfRule>
  </conditionalFormatting>
  <conditionalFormatting sqref="O30">
    <cfRule type="cellIs" dxfId="1" priority="440" operator="greaterThan">
      <formula>N30</formula>
    </cfRule>
  </conditionalFormatting>
  <conditionalFormatting sqref="O31">
    <cfRule type="cellIs" dxfId="1" priority="445" operator="greaterThan">
      <formula>N31</formula>
    </cfRule>
  </conditionalFormatting>
  <conditionalFormatting sqref="O32">
    <cfRule type="cellIs" dxfId="1" priority="450" operator="greaterThan">
      <formula>N32</formula>
    </cfRule>
  </conditionalFormatting>
  <conditionalFormatting sqref="O33">
    <cfRule type="cellIs" dxfId="1" priority="455" operator="greaterThan">
      <formula>N33</formula>
    </cfRule>
  </conditionalFormatting>
  <conditionalFormatting sqref="O34">
    <cfRule type="cellIs" dxfId="1" priority="460" operator="greaterThan">
      <formula>N34</formula>
    </cfRule>
  </conditionalFormatting>
  <conditionalFormatting sqref="O35">
    <cfRule type="cellIs" dxfId="1" priority="465" operator="greaterThan">
      <formula>N35</formula>
    </cfRule>
  </conditionalFormatting>
  <conditionalFormatting sqref="O36">
    <cfRule type="cellIs" dxfId="1" priority="470" operator="greaterThan">
      <formula>N36</formula>
    </cfRule>
  </conditionalFormatting>
  <conditionalFormatting sqref="O37">
    <cfRule type="cellIs" dxfId="1" priority="475" operator="greaterThan">
      <formula>N37</formula>
    </cfRule>
  </conditionalFormatting>
  <conditionalFormatting sqref="O38">
    <cfRule type="cellIs" dxfId="1" priority="480" operator="greaterThan">
      <formula>N38</formula>
    </cfRule>
  </conditionalFormatting>
  <conditionalFormatting sqref="O39">
    <cfRule type="cellIs" dxfId="1" priority="485" operator="greaterThan">
      <formula>N39</formula>
    </cfRule>
  </conditionalFormatting>
  <conditionalFormatting sqref="O40">
    <cfRule type="cellIs" dxfId="1" priority="490" operator="greaterThan">
      <formula>N40</formula>
    </cfRule>
  </conditionalFormatting>
  <conditionalFormatting sqref="O41">
    <cfRule type="cellIs" dxfId="1" priority="495" operator="greaterThan">
      <formula>N41</formula>
    </cfRule>
  </conditionalFormatting>
  <conditionalFormatting sqref="O42">
    <cfRule type="cellIs" dxfId="1" priority="500" operator="greaterThan">
      <formula>N42</formula>
    </cfRule>
  </conditionalFormatting>
  <conditionalFormatting sqref="O43">
    <cfRule type="cellIs" dxfId="1" priority="505" operator="greaterThan">
      <formula>N43</formula>
    </cfRule>
  </conditionalFormatting>
  <conditionalFormatting sqref="O44">
    <cfRule type="cellIs" dxfId="1" priority="510" operator="greaterThan">
      <formula>N44</formula>
    </cfRule>
  </conditionalFormatting>
  <conditionalFormatting sqref="O45">
    <cfRule type="cellIs" dxfId="1" priority="515" operator="greaterThan">
      <formula>N45</formula>
    </cfRule>
  </conditionalFormatting>
  <conditionalFormatting sqref="O46">
    <cfRule type="cellIs" dxfId="1" priority="520" operator="greaterThan">
      <formula>N46</formula>
    </cfRule>
  </conditionalFormatting>
  <conditionalFormatting sqref="O47">
    <cfRule type="cellIs" dxfId="1" priority="525" operator="greaterThan">
      <formula>N47</formula>
    </cfRule>
  </conditionalFormatting>
  <conditionalFormatting sqref="O48">
    <cfRule type="cellIs" dxfId="1" priority="530" operator="greaterThan">
      <formula>N48</formula>
    </cfRule>
  </conditionalFormatting>
  <conditionalFormatting sqref="O49">
    <cfRule type="cellIs" dxfId="1" priority="535" operator="greaterThan">
      <formula>N49</formula>
    </cfRule>
  </conditionalFormatting>
  <conditionalFormatting sqref="O50">
    <cfRule type="cellIs" dxfId="1" priority="540" operator="greaterThan">
      <formula>N50</formula>
    </cfRule>
  </conditionalFormatting>
  <conditionalFormatting sqref="O51">
    <cfRule type="cellIs" dxfId="1" priority="545" operator="greaterThan">
      <formula>N51</formula>
    </cfRule>
  </conditionalFormatting>
  <conditionalFormatting sqref="O52">
    <cfRule type="cellIs" dxfId="1" priority="550" operator="greaterThan">
      <formula>N52</formula>
    </cfRule>
  </conditionalFormatting>
  <conditionalFormatting sqref="O53">
    <cfRule type="cellIs" dxfId="1" priority="555" operator="greaterThan">
      <formula>N53</formula>
    </cfRule>
  </conditionalFormatting>
  <conditionalFormatting sqref="O54">
    <cfRule type="cellIs" dxfId="1" priority="560" operator="greaterThan">
      <formula>N54</formula>
    </cfRule>
  </conditionalFormatting>
  <conditionalFormatting sqref="O55">
    <cfRule type="cellIs" dxfId="1" priority="565" operator="greaterThan">
      <formula>N55</formula>
    </cfRule>
  </conditionalFormatting>
  <conditionalFormatting sqref="O56">
    <cfRule type="cellIs" dxfId="1" priority="570" operator="greaterThan">
      <formula>N56</formula>
    </cfRule>
  </conditionalFormatting>
  <conditionalFormatting sqref="O57">
    <cfRule type="cellIs" dxfId="1" priority="575" operator="greaterThan">
      <formula>N57</formula>
    </cfRule>
  </conditionalFormatting>
  <conditionalFormatting sqref="O58">
    <cfRule type="cellIs" dxfId="1" priority="580" operator="greaterThan">
      <formula>N58</formula>
    </cfRule>
  </conditionalFormatting>
  <conditionalFormatting sqref="O59">
    <cfRule type="cellIs" dxfId="1" priority="585" operator="greaterThan">
      <formula>N59</formula>
    </cfRule>
  </conditionalFormatting>
  <conditionalFormatting sqref="O60">
    <cfRule type="cellIs" dxfId="1" priority="590" operator="greaterThan">
      <formula>N60</formula>
    </cfRule>
  </conditionalFormatting>
  <conditionalFormatting sqref="O62">
    <cfRule type="cellIs" dxfId="1" priority="595" operator="greaterThan">
      <formula>N62</formula>
    </cfRule>
  </conditionalFormatting>
  <conditionalFormatting sqref="O63">
    <cfRule type="cellIs" dxfId="1" priority="600" operator="greaterThan">
      <formula>N63</formula>
    </cfRule>
  </conditionalFormatting>
  <conditionalFormatting sqref="O64">
    <cfRule type="cellIs" dxfId="1" priority="605" operator="greaterThan">
      <formula>N64</formula>
    </cfRule>
  </conditionalFormatting>
  <conditionalFormatting sqref="O65">
    <cfRule type="cellIs" dxfId="1" priority="610" operator="greaterThan">
      <formula>N65</formula>
    </cfRule>
  </conditionalFormatting>
  <conditionalFormatting sqref="O66">
    <cfRule type="cellIs" dxfId="1" priority="615" operator="greaterThan">
      <formula>N66</formula>
    </cfRule>
  </conditionalFormatting>
  <conditionalFormatting sqref="O67">
    <cfRule type="cellIs" dxfId="1" priority="620" operator="greaterThan">
      <formula>N67</formula>
    </cfRule>
  </conditionalFormatting>
  <conditionalFormatting sqref="O69">
    <cfRule type="cellIs" dxfId="1" priority="625" operator="greaterThan">
      <formula>N69</formula>
    </cfRule>
  </conditionalFormatting>
  <conditionalFormatting sqref="O7">
    <cfRule type="cellIs" dxfId="1" priority="335" operator="greaterThan">
      <formula>N7</formula>
    </cfRule>
  </conditionalFormatting>
  <conditionalFormatting sqref="O70">
    <cfRule type="cellIs" dxfId="1" priority="630" operator="greaterThan">
      <formula>N70</formula>
    </cfRule>
  </conditionalFormatting>
  <conditionalFormatting sqref="O71">
    <cfRule type="cellIs" dxfId="1" priority="635" operator="greaterThan">
      <formula>N71</formula>
    </cfRule>
  </conditionalFormatting>
  <conditionalFormatting sqref="O72">
    <cfRule type="cellIs" dxfId="1" priority="640" operator="greaterThan">
      <formula>N72</formula>
    </cfRule>
  </conditionalFormatting>
  <conditionalFormatting sqref="O73">
    <cfRule type="cellIs" dxfId="1" priority="645" operator="greaterThan">
      <formula>N73</formula>
    </cfRule>
  </conditionalFormatting>
  <conditionalFormatting sqref="O74">
    <cfRule type="cellIs" dxfId="1" priority="650" operator="greaterThan">
      <formula>N74</formula>
    </cfRule>
  </conditionalFormatting>
  <conditionalFormatting sqref="O75">
    <cfRule type="cellIs" dxfId="1" priority="655" operator="greaterThan">
      <formula>N75</formula>
    </cfRule>
  </conditionalFormatting>
  <conditionalFormatting sqref="O76">
    <cfRule type="cellIs" dxfId="1" priority="660" operator="greaterThan">
      <formula>N76</formula>
    </cfRule>
  </conditionalFormatting>
  <conditionalFormatting sqref="O77">
    <cfRule type="cellIs" dxfId="1" priority="665" operator="greaterThan">
      <formula>N77</formula>
    </cfRule>
  </conditionalFormatting>
  <conditionalFormatting sqref="O78">
    <cfRule type="cellIs" dxfId="1" priority="670" operator="greaterThan">
      <formula>N78</formula>
    </cfRule>
  </conditionalFormatting>
  <conditionalFormatting sqref="O79">
    <cfRule type="cellIs" dxfId="1" priority="675" operator="greaterThan">
      <formula>N79</formula>
    </cfRule>
  </conditionalFormatting>
  <conditionalFormatting sqref="O80">
    <cfRule type="cellIs" dxfId="1" priority="680" operator="greaterThan">
      <formula>N80</formula>
    </cfRule>
  </conditionalFormatting>
  <conditionalFormatting sqref="O81">
    <cfRule type="cellIs" dxfId="1" priority="685" operator="greaterThan">
      <formula>N81</formula>
    </cfRule>
  </conditionalFormatting>
  <conditionalFormatting sqref="O82">
    <cfRule type="cellIs" dxfId="1" priority="690" operator="greaterThan">
      <formula>N82</formula>
    </cfRule>
  </conditionalFormatting>
  <conditionalFormatting sqref="O83">
    <cfRule type="cellIs" dxfId="1" priority="695" operator="greaterThan">
      <formula>N83</formula>
    </cfRule>
  </conditionalFormatting>
  <conditionalFormatting sqref="O84">
    <cfRule type="cellIs" dxfId="1" priority="700" operator="greaterThan">
      <formula>N84</formula>
    </cfRule>
  </conditionalFormatting>
  <conditionalFormatting sqref="O85">
    <cfRule type="cellIs" dxfId="1" priority="705" operator="greaterThan">
      <formula>N85</formula>
    </cfRule>
  </conditionalFormatting>
  <conditionalFormatting sqref="O86">
    <cfRule type="cellIs" dxfId="1" priority="710" operator="greaterThan">
      <formula>N86</formula>
    </cfRule>
  </conditionalFormatting>
  <conditionalFormatting sqref="O87">
    <cfRule type="cellIs" dxfId="1" priority="715" operator="greaterThan">
      <formula>N87</formula>
    </cfRule>
  </conditionalFormatting>
  <conditionalFormatting sqref="O88">
    <cfRule type="cellIs" dxfId="1" priority="720" operator="greaterThan">
      <formula>N88</formula>
    </cfRule>
  </conditionalFormatting>
  <conditionalFormatting sqref="O89">
    <cfRule type="cellIs" dxfId="1" priority="725" operator="greaterThan">
      <formula>N89</formula>
    </cfRule>
  </conditionalFormatting>
  <conditionalFormatting sqref="O9">
    <cfRule type="cellIs" dxfId="1" priority="340" operator="greaterThan">
      <formula>N9</formula>
    </cfRule>
  </conditionalFormatting>
  <conditionalFormatting sqref="P10">
    <cfRule type="cellIs" dxfId="4" priority="347" operator="lessThanOrEqual">
      <formula>G10</formula>
    </cfRule>
  </conditionalFormatting>
  <conditionalFormatting sqref="P11">
    <cfRule type="cellIs" dxfId="4" priority="352" operator="lessThanOrEqual">
      <formula>G11</formula>
    </cfRule>
  </conditionalFormatting>
  <conditionalFormatting sqref="P12">
    <cfRule type="cellIs" dxfId="4" priority="357" operator="lessThanOrEqual">
      <formula>G12</formula>
    </cfRule>
  </conditionalFormatting>
  <conditionalFormatting sqref="P13">
    <cfRule type="cellIs" dxfId="4" priority="362" operator="lessThanOrEqual">
      <formula>G13</formula>
    </cfRule>
  </conditionalFormatting>
  <conditionalFormatting sqref="P14">
    <cfRule type="cellIs" dxfId="4" priority="367" operator="lessThanOrEqual">
      <formula>G14</formula>
    </cfRule>
  </conditionalFormatting>
  <conditionalFormatting sqref="P15">
    <cfRule type="cellIs" dxfId="4" priority="372" operator="lessThanOrEqual">
      <formula>G15</formula>
    </cfRule>
  </conditionalFormatting>
  <conditionalFormatting sqref="P16">
    <cfRule type="cellIs" dxfId="4" priority="377" operator="lessThanOrEqual">
      <formula>G16</formula>
    </cfRule>
  </conditionalFormatting>
  <conditionalFormatting sqref="P17">
    <cfRule type="cellIs" dxfId="4" priority="382" operator="lessThanOrEqual">
      <formula>G17</formula>
    </cfRule>
  </conditionalFormatting>
  <conditionalFormatting sqref="P18">
    <cfRule type="cellIs" dxfId="4" priority="387" operator="lessThanOrEqual">
      <formula>G18</formula>
    </cfRule>
  </conditionalFormatting>
  <conditionalFormatting sqref="P19">
    <cfRule type="cellIs" dxfId="4" priority="392" operator="lessThanOrEqual">
      <formula>G19</formula>
    </cfRule>
  </conditionalFormatting>
  <conditionalFormatting sqref="P20">
    <cfRule type="cellIs" dxfId="4" priority="397" operator="lessThanOrEqual">
      <formula>G20</formula>
    </cfRule>
  </conditionalFormatting>
  <conditionalFormatting sqref="P21">
    <cfRule type="cellIs" dxfId="4" priority="402" operator="lessThanOrEqual">
      <formula>G21</formula>
    </cfRule>
  </conditionalFormatting>
  <conditionalFormatting sqref="P22">
    <cfRule type="cellIs" dxfId="4" priority="407" operator="lessThanOrEqual">
      <formula>G22</formula>
    </cfRule>
  </conditionalFormatting>
  <conditionalFormatting sqref="P23">
    <cfRule type="cellIs" dxfId="4" priority="412" operator="lessThanOrEqual">
      <formula>G23</formula>
    </cfRule>
  </conditionalFormatting>
  <conditionalFormatting sqref="P25">
    <cfRule type="cellIs" dxfId="4" priority="417" operator="lessThanOrEqual">
      <formula>G25</formula>
    </cfRule>
  </conditionalFormatting>
  <conditionalFormatting sqref="P26">
    <cfRule type="cellIs" dxfId="4" priority="422" operator="lessThanOrEqual">
      <formula>G26</formula>
    </cfRule>
  </conditionalFormatting>
  <conditionalFormatting sqref="P27">
    <cfRule type="cellIs" dxfId="4" priority="427" operator="lessThanOrEqual">
      <formula>G27</formula>
    </cfRule>
  </conditionalFormatting>
  <conditionalFormatting sqref="P28">
    <cfRule type="cellIs" dxfId="4" priority="432" operator="lessThanOrEqual">
      <formula>G28</formula>
    </cfRule>
  </conditionalFormatting>
  <conditionalFormatting sqref="P29">
    <cfRule type="cellIs" dxfId="4" priority="437" operator="lessThanOrEqual">
      <formula>G29</formula>
    </cfRule>
  </conditionalFormatting>
  <conditionalFormatting sqref="P30">
    <cfRule type="cellIs" dxfId="4" priority="442" operator="lessThanOrEqual">
      <formula>G30</formula>
    </cfRule>
  </conditionalFormatting>
  <conditionalFormatting sqref="P31">
    <cfRule type="cellIs" dxfId="4" priority="447" operator="lessThanOrEqual">
      <formula>G31</formula>
    </cfRule>
  </conditionalFormatting>
  <conditionalFormatting sqref="P32">
    <cfRule type="cellIs" dxfId="4" priority="452" operator="lessThanOrEqual">
      <formula>G32</formula>
    </cfRule>
  </conditionalFormatting>
  <conditionalFormatting sqref="P33">
    <cfRule type="cellIs" dxfId="4" priority="457" operator="lessThanOrEqual">
      <formula>G33</formula>
    </cfRule>
  </conditionalFormatting>
  <conditionalFormatting sqref="P34">
    <cfRule type="cellIs" dxfId="4" priority="462" operator="lessThanOrEqual">
      <formula>G34</formula>
    </cfRule>
  </conditionalFormatting>
  <conditionalFormatting sqref="P35">
    <cfRule type="cellIs" dxfId="4" priority="467" operator="lessThanOrEqual">
      <formula>G35</formula>
    </cfRule>
  </conditionalFormatting>
  <conditionalFormatting sqref="P36">
    <cfRule type="cellIs" dxfId="4" priority="472" operator="lessThanOrEqual">
      <formula>G36</formula>
    </cfRule>
  </conditionalFormatting>
  <conditionalFormatting sqref="P37">
    <cfRule type="cellIs" dxfId="4" priority="477" operator="lessThanOrEqual">
      <formula>G37</formula>
    </cfRule>
  </conditionalFormatting>
  <conditionalFormatting sqref="P38">
    <cfRule type="cellIs" dxfId="4" priority="482" operator="lessThanOrEqual">
      <formula>G38</formula>
    </cfRule>
  </conditionalFormatting>
  <conditionalFormatting sqref="P39">
    <cfRule type="cellIs" dxfId="4" priority="487" operator="lessThanOrEqual">
      <formula>G39</formula>
    </cfRule>
  </conditionalFormatting>
  <conditionalFormatting sqref="P40">
    <cfRule type="cellIs" dxfId="4" priority="492" operator="lessThanOrEqual">
      <formula>G40</formula>
    </cfRule>
  </conditionalFormatting>
  <conditionalFormatting sqref="P41">
    <cfRule type="cellIs" dxfId="4" priority="497" operator="lessThanOrEqual">
      <formula>G41</formula>
    </cfRule>
  </conditionalFormatting>
  <conditionalFormatting sqref="P42">
    <cfRule type="cellIs" dxfId="4" priority="502" operator="lessThanOrEqual">
      <formula>G42</formula>
    </cfRule>
  </conditionalFormatting>
  <conditionalFormatting sqref="P43">
    <cfRule type="cellIs" dxfId="4" priority="507" operator="lessThanOrEqual">
      <formula>G43</formula>
    </cfRule>
  </conditionalFormatting>
  <conditionalFormatting sqref="P44">
    <cfRule type="cellIs" dxfId="4" priority="512" operator="lessThanOrEqual">
      <formula>G44</formula>
    </cfRule>
  </conditionalFormatting>
  <conditionalFormatting sqref="P45">
    <cfRule type="cellIs" dxfId="4" priority="517" operator="lessThanOrEqual">
      <formula>G45</formula>
    </cfRule>
  </conditionalFormatting>
  <conditionalFormatting sqref="P46">
    <cfRule type="cellIs" dxfId="4" priority="522" operator="lessThanOrEqual">
      <formula>G46</formula>
    </cfRule>
  </conditionalFormatting>
  <conditionalFormatting sqref="P47">
    <cfRule type="cellIs" dxfId="4" priority="527" operator="lessThanOrEqual">
      <formula>G47</formula>
    </cfRule>
  </conditionalFormatting>
  <conditionalFormatting sqref="P48">
    <cfRule type="cellIs" dxfId="4" priority="532" operator="lessThanOrEqual">
      <formula>G48</formula>
    </cfRule>
  </conditionalFormatting>
  <conditionalFormatting sqref="P49">
    <cfRule type="cellIs" dxfId="4" priority="537" operator="lessThanOrEqual">
      <formula>G49</formula>
    </cfRule>
  </conditionalFormatting>
  <conditionalFormatting sqref="P50">
    <cfRule type="cellIs" dxfId="4" priority="542" operator="lessThanOrEqual">
      <formula>G50</formula>
    </cfRule>
  </conditionalFormatting>
  <conditionalFormatting sqref="P51">
    <cfRule type="cellIs" dxfId="4" priority="547" operator="lessThanOrEqual">
      <formula>G51</formula>
    </cfRule>
  </conditionalFormatting>
  <conditionalFormatting sqref="P52">
    <cfRule type="cellIs" dxfId="4" priority="552" operator="lessThanOrEqual">
      <formula>G52</formula>
    </cfRule>
  </conditionalFormatting>
  <conditionalFormatting sqref="P53">
    <cfRule type="cellIs" dxfId="4" priority="557" operator="lessThanOrEqual">
      <formula>G53</formula>
    </cfRule>
  </conditionalFormatting>
  <conditionalFormatting sqref="P54">
    <cfRule type="cellIs" dxfId="4" priority="562" operator="lessThanOrEqual">
      <formula>G54</formula>
    </cfRule>
  </conditionalFormatting>
  <conditionalFormatting sqref="P55">
    <cfRule type="cellIs" dxfId="4" priority="567" operator="lessThanOrEqual">
      <formula>G55</formula>
    </cfRule>
  </conditionalFormatting>
  <conditionalFormatting sqref="P56">
    <cfRule type="cellIs" dxfId="4" priority="572" operator="lessThanOrEqual">
      <formula>G56</formula>
    </cfRule>
  </conditionalFormatting>
  <conditionalFormatting sqref="P57">
    <cfRule type="cellIs" dxfId="4" priority="577" operator="lessThanOrEqual">
      <formula>G57</formula>
    </cfRule>
  </conditionalFormatting>
  <conditionalFormatting sqref="P58">
    <cfRule type="cellIs" dxfId="4" priority="582" operator="lessThanOrEqual">
      <formula>G58</formula>
    </cfRule>
  </conditionalFormatting>
  <conditionalFormatting sqref="P59">
    <cfRule type="cellIs" dxfId="4" priority="587" operator="lessThanOrEqual">
      <formula>G59</formula>
    </cfRule>
  </conditionalFormatting>
  <conditionalFormatting sqref="P60">
    <cfRule type="cellIs" dxfId="4" priority="592" operator="lessThanOrEqual">
      <formula>G60</formula>
    </cfRule>
  </conditionalFormatting>
  <conditionalFormatting sqref="P62">
    <cfRule type="cellIs" dxfId="4" priority="597" operator="lessThanOrEqual">
      <formula>G62</formula>
    </cfRule>
  </conditionalFormatting>
  <conditionalFormatting sqref="P63">
    <cfRule type="cellIs" dxfId="4" priority="602" operator="lessThanOrEqual">
      <formula>G63</formula>
    </cfRule>
  </conditionalFormatting>
  <conditionalFormatting sqref="P64">
    <cfRule type="cellIs" dxfId="4" priority="607" operator="lessThanOrEqual">
      <formula>G64</formula>
    </cfRule>
  </conditionalFormatting>
  <conditionalFormatting sqref="P65">
    <cfRule type="cellIs" dxfId="4" priority="612" operator="lessThanOrEqual">
      <formula>G65</formula>
    </cfRule>
  </conditionalFormatting>
  <conditionalFormatting sqref="P66">
    <cfRule type="cellIs" dxfId="4" priority="617" operator="lessThanOrEqual">
      <formula>G66</formula>
    </cfRule>
  </conditionalFormatting>
  <conditionalFormatting sqref="P67">
    <cfRule type="cellIs" dxfId="4" priority="622" operator="lessThanOrEqual">
      <formula>G67</formula>
    </cfRule>
  </conditionalFormatting>
  <conditionalFormatting sqref="P69">
    <cfRule type="cellIs" dxfId="4" priority="627" operator="lessThanOrEqual">
      <formula>G69</formula>
    </cfRule>
  </conditionalFormatting>
  <conditionalFormatting sqref="P7">
    <cfRule type="cellIs" dxfId="4" priority="337" operator="lessThanOrEqual">
      <formula>G7</formula>
    </cfRule>
  </conditionalFormatting>
  <conditionalFormatting sqref="P70">
    <cfRule type="cellIs" dxfId="4" priority="632" operator="lessThanOrEqual">
      <formula>G70</formula>
    </cfRule>
  </conditionalFormatting>
  <conditionalFormatting sqref="P71">
    <cfRule type="cellIs" dxfId="4" priority="637" operator="lessThanOrEqual">
      <formula>G71</formula>
    </cfRule>
  </conditionalFormatting>
  <conditionalFormatting sqref="P72">
    <cfRule type="cellIs" dxfId="4" priority="642" operator="lessThanOrEqual">
      <formula>G72</formula>
    </cfRule>
  </conditionalFormatting>
  <conditionalFormatting sqref="P73">
    <cfRule type="cellIs" dxfId="4" priority="647" operator="lessThanOrEqual">
      <formula>G73</formula>
    </cfRule>
  </conditionalFormatting>
  <conditionalFormatting sqref="P74">
    <cfRule type="cellIs" dxfId="4" priority="652" operator="lessThanOrEqual">
      <formula>G74</formula>
    </cfRule>
  </conditionalFormatting>
  <conditionalFormatting sqref="P75">
    <cfRule type="cellIs" dxfId="4" priority="657" operator="lessThanOrEqual">
      <formula>G75</formula>
    </cfRule>
  </conditionalFormatting>
  <conditionalFormatting sqref="P76">
    <cfRule type="cellIs" dxfId="4" priority="662" operator="lessThanOrEqual">
      <formula>G76</formula>
    </cfRule>
  </conditionalFormatting>
  <conditionalFormatting sqref="P77">
    <cfRule type="cellIs" dxfId="4" priority="667" operator="lessThanOrEqual">
      <formula>G77</formula>
    </cfRule>
  </conditionalFormatting>
  <conditionalFormatting sqref="P78">
    <cfRule type="cellIs" dxfId="4" priority="672" operator="lessThanOrEqual">
      <formula>G78</formula>
    </cfRule>
  </conditionalFormatting>
  <conditionalFormatting sqref="P79">
    <cfRule type="cellIs" dxfId="4" priority="677" operator="lessThanOrEqual">
      <formula>G79</formula>
    </cfRule>
  </conditionalFormatting>
  <conditionalFormatting sqref="P80">
    <cfRule type="cellIs" dxfId="4" priority="682" operator="lessThanOrEqual">
      <formula>G80</formula>
    </cfRule>
  </conditionalFormatting>
  <conditionalFormatting sqref="P81">
    <cfRule type="cellIs" dxfId="4" priority="687" operator="lessThanOrEqual">
      <formula>G81</formula>
    </cfRule>
  </conditionalFormatting>
  <conditionalFormatting sqref="P82">
    <cfRule type="cellIs" dxfId="4" priority="692" operator="lessThanOrEqual">
      <formula>G82</formula>
    </cfRule>
  </conditionalFormatting>
  <conditionalFormatting sqref="P83">
    <cfRule type="cellIs" dxfId="4" priority="697" operator="lessThanOrEqual">
      <formula>G83</formula>
    </cfRule>
  </conditionalFormatting>
  <conditionalFormatting sqref="P84">
    <cfRule type="cellIs" dxfId="4" priority="702" operator="lessThanOrEqual">
      <formula>G84</formula>
    </cfRule>
  </conditionalFormatting>
  <conditionalFormatting sqref="P85">
    <cfRule type="cellIs" dxfId="4" priority="707" operator="lessThanOrEqual">
      <formula>G85</formula>
    </cfRule>
  </conditionalFormatting>
  <conditionalFormatting sqref="P86">
    <cfRule type="cellIs" dxfId="4" priority="712" operator="lessThanOrEqual">
      <formula>G86</formula>
    </cfRule>
  </conditionalFormatting>
  <conditionalFormatting sqref="P87">
    <cfRule type="cellIs" dxfId="4" priority="717" operator="lessThanOrEqual">
      <formula>G87</formula>
    </cfRule>
  </conditionalFormatting>
  <conditionalFormatting sqref="P88">
    <cfRule type="cellIs" dxfId="4" priority="722" operator="lessThanOrEqual">
      <formula>G88</formula>
    </cfRule>
  </conditionalFormatting>
  <conditionalFormatting sqref="P89">
    <cfRule type="cellIs" dxfId="4" priority="727" operator="lessThanOrEqual">
      <formula>G89</formula>
    </cfRule>
  </conditionalFormatting>
  <conditionalFormatting sqref="P9">
    <cfRule type="cellIs" dxfId="4" priority="342" operator="lessThanOrEqual">
      <formula>G9</formula>
    </cfRule>
  </conditionalFormatting>
  <conditionalFormatting sqref="Q10">
    <cfRule type="cellIs" dxfId="4" priority="346" operator="lessThanOrEqual">
      <formula>H10</formula>
    </cfRule>
  </conditionalFormatting>
  <conditionalFormatting sqref="Q11">
    <cfRule type="cellIs" dxfId="4" priority="351" operator="lessThanOrEqual">
      <formula>H11</formula>
    </cfRule>
  </conditionalFormatting>
  <conditionalFormatting sqref="Q12">
    <cfRule type="cellIs" dxfId="4" priority="356" operator="lessThanOrEqual">
      <formula>H12</formula>
    </cfRule>
  </conditionalFormatting>
  <conditionalFormatting sqref="Q13">
    <cfRule type="cellIs" dxfId="4" priority="361" operator="lessThanOrEqual">
      <formula>H13</formula>
    </cfRule>
  </conditionalFormatting>
  <conditionalFormatting sqref="Q14">
    <cfRule type="cellIs" dxfId="4" priority="366" operator="lessThanOrEqual">
      <formula>H14</formula>
    </cfRule>
  </conditionalFormatting>
  <conditionalFormatting sqref="Q15">
    <cfRule type="cellIs" dxfId="4" priority="371" operator="lessThanOrEqual">
      <formula>H15</formula>
    </cfRule>
  </conditionalFormatting>
  <conditionalFormatting sqref="Q16">
    <cfRule type="cellIs" dxfId="4" priority="376" operator="lessThanOrEqual">
      <formula>H16</formula>
    </cfRule>
  </conditionalFormatting>
  <conditionalFormatting sqref="Q17">
    <cfRule type="cellIs" dxfId="4" priority="381" operator="lessThanOrEqual">
      <formula>H17</formula>
    </cfRule>
  </conditionalFormatting>
  <conditionalFormatting sqref="Q18">
    <cfRule type="cellIs" dxfId="4" priority="386" operator="lessThanOrEqual">
      <formula>H18</formula>
    </cfRule>
  </conditionalFormatting>
  <conditionalFormatting sqref="Q19">
    <cfRule type="cellIs" dxfId="4" priority="391" operator="lessThanOrEqual">
      <formula>H19</formula>
    </cfRule>
  </conditionalFormatting>
  <conditionalFormatting sqref="Q20">
    <cfRule type="cellIs" dxfId="4" priority="396" operator="lessThanOrEqual">
      <formula>H20</formula>
    </cfRule>
  </conditionalFormatting>
  <conditionalFormatting sqref="Q21">
    <cfRule type="cellIs" dxfId="4" priority="401" operator="lessThanOrEqual">
      <formula>H21</formula>
    </cfRule>
  </conditionalFormatting>
  <conditionalFormatting sqref="Q22">
    <cfRule type="cellIs" dxfId="4" priority="406" operator="lessThanOrEqual">
      <formula>H22</formula>
    </cfRule>
  </conditionalFormatting>
  <conditionalFormatting sqref="Q23">
    <cfRule type="cellIs" dxfId="4" priority="411" operator="lessThanOrEqual">
      <formula>H23</formula>
    </cfRule>
  </conditionalFormatting>
  <conditionalFormatting sqref="Q25">
    <cfRule type="cellIs" dxfId="4" priority="416" operator="lessThanOrEqual">
      <formula>H25</formula>
    </cfRule>
  </conditionalFormatting>
  <conditionalFormatting sqref="Q26">
    <cfRule type="cellIs" dxfId="4" priority="421" operator="lessThanOrEqual">
      <formula>H26</formula>
    </cfRule>
  </conditionalFormatting>
  <conditionalFormatting sqref="Q27">
    <cfRule type="cellIs" dxfId="4" priority="426" operator="lessThanOrEqual">
      <formula>H27</formula>
    </cfRule>
  </conditionalFormatting>
  <conditionalFormatting sqref="Q28">
    <cfRule type="cellIs" dxfId="4" priority="431" operator="lessThanOrEqual">
      <formula>H28</formula>
    </cfRule>
  </conditionalFormatting>
  <conditionalFormatting sqref="Q29">
    <cfRule type="cellIs" dxfId="4" priority="436" operator="lessThanOrEqual">
      <formula>H29</formula>
    </cfRule>
  </conditionalFormatting>
  <conditionalFormatting sqref="Q30">
    <cfRule type="cellIs" dxfId="4" priority="441" operator="lessThanOrEqual">
      <formula>H30</formula>
    </cfRule>
  </conditionalFormatting>
  <conditionalFormatting sqref="Q31">
    <cfRule type="cellIs" dxfId="4" priority="446" operator="lessThanOrEqual">
      <formula>H31</formula>
    </cfRule>
  </conditionalFormatting>
  <conditionalFormatting sqref="Q32">
    <cfRule type="cellIs" dxfId="4" priority="451" operator="lessThanOrEqual">
      <formula>H32</formula>
    </cfRule>
  </conditionalFormatting>
  <conditionalFormatting sqref="Q33">
    <cfRule type="cellIs" dxfId="4" priority="456" operator="lessThanOrEqual">
      <formula>H33</formula>
    </cfRule>
  </conditionalFormatting>
  <conditionalFormatting sqref="Q34">
    <cfRule type="cellIs" dxfId="4" priority="461" operator="lessThanOrEqual">
      <formula>H34</formula>
    </cfRule>
  </conditionalFormatting>
  <conditionalFormatting sqref="Q35">
    <cfRule type="cellIs" dxfId="4" priority="466" operator="lessThanOrEqual">
      <formula>H35</formula>
    </cfRule>
  </conditionalFormatting>
  <conditionalFormatting sqref="Q36">
    <cfRule type="cellIs" dxfId="4" priority="471" operator="lessThanOrEqual">
      <formula>H36</formula>
    </cfRule>
  </conditionalFormatting>
  <conditionalFormatting sqref="Q37">
    <cfRule type="cellIs" dxfId="4" priority="476" operator="lessThanOrEqual">
      <formula>H37</formula>
    </cfRule>
  </conditionalFormatting>
  <conditionalFormatting sqref="Q38">
    <cfRule type="cellIs" dxfId="4" priority="481" operator="lessThanOrEqual">
      <formula>H38</formula>
    </cfRule>
  </conditionalFormatting>
  <conditionalFormatting sqref="Q39">
    <cfRule type="cellIs" dxfId="4" priority="486" operator="lessThanOrEqual">
      <formula>H39</formula>
    </cfRule>
  </conditionalFormatting>
  <conditionalFormatting sqref="Q40">
    <cfRule type="cellIs" dxfId="4" priority="491" operator="lessThanOrEqual">
      <formula>H40</formula>
    </cfRule>
  </conditionalFormatting>
  <conditionalFormatting sqref="Q41">
    <cfRule type="cellIs" dxfId="4" priority="496" operator="lessThanOrEqual">
      <formula>H41</formula>
    </cfRule>
  </conditionalFormatting>
  <conditionalFormatting sqref="Q42">
    <cfRule type="cellIs" dxfId="4" priority="501" operator="lessThanOrEqual">
      <formula>H42</formula>
    </cfRule>
  </conditionalFormatting>
  <conditionalFormatting sqref="Q43">
    <cfRule type="cellIs" dxfId="4" priority="506" operator="lessThanOrEqual">
      <formula>H43</formula>
    </cfRule>
  </conditionalFormatting>
  <conditionalFormatting sqref="Q44">
    <cfRule type="cellIs" dxfId="4" priority="511" operator="lessThanOrEqual">
      <formula>H44</formula>
    </cfRule>
  </conditionalFormatting>
  <conditionalFormatting sqref="Q45">
    <cfRule type="cellIs" dxfId="4" priority="516" operator="lessThanOrEqual">
      <formula>H45</formula>
    </cfRule>
  </conditionalFormatting>
  <conditionalFormatting sqref="Q46">
    <cfRule type="cellIs" dxfId="4" priority="521" operator="lessThanOrEqual">
      <formula>H46</formula>
    </cfRule>
  </conditionalFormatting>
  <conditionalFormatting sqref="Q47">
    <cfRule type="cellIs" dxfId="4" priority="526" operator="lessThanOrEqual">
      <formula>H47</formula>
    </cfRule>
  </conditionalFormatting>
  <conditionalFormatting sqref="Q48">
    <cfRule type="cellIs" dxfId="4" priority="531" operator="lessThanOrEqual">
      <formula>H48</formula>
    </cfRule>
  </conditionalFormatting>
  <conditionalFormatting sqref="Q49">
    <cfRule type="cellIs" dxfId="4" priority="536" operator="lessThanOrEqual">
      <formula>H49</formula>
    </cfRule>
  </conditionalFormatting>
  <conditionalFormatting sqref="Q50">
    <cfRule type="cellIs" dxfId="4" priority="541" operator="lessThanOrEqual">
      <formula>H50</formula>
    </cfRule>
  </conditionalFormatting>
  <conditionalFormatting sqref="Q51">
    <cfRule type="cellIs" dxfId="4" priority="546" operator="lessThanOrEqual">
      <formula>H51</formula>
    </cfRule>
  </conditionalFormatting>
  <conditionalFormatting sqref="Q52">
    <cfRule type="cellIs" dxfId="4" priority="551" operator="lessThanOrEqual">
      <formula>H52</formula>
    </cfRule>
  </conditionalFormatting>
  <conditionalFormatting sqref="Q53">
    <cfRule type="cellIs" dxfId="4" priority="556" operator="lessThanOrEqual">
      <formula>H53</formula>
    </cfRule>
  </conditionalFormatting>
  <conditionalFormatting sqref="Q54">
    <cfRule type="cellIs" dxfId="4" priority="561" operator="lessThanOrEqual">
      <formula>H54</formula>
    </cfRule>
  </conditionalFormatting>
  <conditionalFormatting sqref="Q55">
    <cfRule type="cellIs" dxfId="4" priority="566" operator="lessThanOrEqual">
      <formula>H55</formula>
    </cfRule>
  </conditionalFormatting>
  <conditionalFormatting sqref="Q56">
    <cfRule type="cellIs" dxfId="4" priority="571" operator="lessThanOrEqual">
      <formula>H56</formula>
    </cfRule>
  </conditionalFormatting>
  <conditionalFormatting sqref="Q57">
    <cfRule type="cellIs" dxfId="4" priority="576" operator="lessThanOrEqual">
      <formula>H57</formula>
    </cfRule>
  </conditionalFormatting>
  <conditionalFormatting sqref="Q58">
    <cfRule type="cellIs" dxfId="4" priority="581" operator="lessThanOrEqual">
      <formula>H58</formula>
    </cfRule>
  </conditionalFormatting>
  <conditionalFormatting sqref="Q59">
    <cfRule type="cellIs" dxfId="4" priority="586" operator="lessThanOrEqual">
      <formula>H59</formula>
    </cfRule>
  </conditionalFormatting>
  <conditionalFormatting sqref="Q60">
    <cfRule type="cellIs" dxfId="4" priority="591" operator="lessThanOrEqual">
      <formula>H60</formula>
    </cfRule>
  </conditionalFormatting>
  <conditionalFormatting sqref="Q62">
    <cfRule type="cellIs" dxfId="4" priority="596" operator="lessThanOrEqual">
      <formula>H62</formula>
    </cfRule>
  </conditionalFormatting>
  <conditionalFormatting sqref="Q63">
    <cfRule type="cellIs" dxfId="4" priority="601" operator="lessThanOrEqual">
      <formula>H63</formula>
    </cfRule>
  </conditionalFormatting>
  <conditionalFormatting sqref="Q64">
    <cfRule type="cellIs" dxfId="4" priority="606" operator="lessThanOrEqual">
      <formula>H64</formula>
    </cfRule>
  </conditionalFormatting>
  <conditionalFormatting sqref="Q65">
    <cfRule type="cellIs" dxfId="4" priority="611" operator="lessThanOrEqual">
      <formula>H65</formula>
    </cfRule>
  </conditionalFormatting>
  <conditionalFormatting sqref="Q66">
    <cfRule type="cellIs" dxfId="4" priority="616" operator="lessThanOrEqual">
      <formula>H66</formula>
    </cfRule>
  </conditionalFormatting>
  <conditionalFormatting sqref="Q67">
    <cfRule type="cellIs" dxfId="4" priority="621" operator="lessThanOrEqual">
      <formula>H67</formula>
    </cfRule>
  </conditionalFormatting>
  <conditionalFormatting sqref="Q69">
    <cfRule type="cellIs" dxfId="4" priority="626" operator="lessThanOrEqual">
      <formula>H69</formula>
    </cfRule>
  </conditionalFormatting>
  <conditionalFormatting sqref="Q7">
    <cfRule type="cellIs" dxfId="4" priority="336" operator="lessThanOrEqual">
      <formula>H7</formula>
    </cfRule>
  </conditionalFormatting>
  <conditionalFormatting sqref="Q70">
    <cfRule type="cellIs" dxfId="4" priority="631" operator="lessThanOrEqual">
      <formula>H70</formula>
    </cfRule>
  </conditionalFormatting>
  <conditionalFormatting sqref="Q71">
    <cfRule type="cellIs" dxfId="4" priority="636" operator="lessThanOrEqual">
      <formula>H71</formula>
    </cfRule>
  </conditionalFormatting>
  <conditionalFormatting sqref="Q72">
    <cfRule type="cellIs" dxfId="4" priority="641" operator="lessThanOrEqual">
      <formula>H72</formula>
    </cfRule>
  </conditionalFormatting>
  <conditionalFormatting sqref="Q73">
    <cfRule type="cellIs" dxfId="4" priority="646" operator="lessThanOrEqual">
      <formula>H73</formula>
    </cfRule>
  </conditionalFormatting>
  <conditionalFormatting sqref="Q74">
    <cfRule type="cellIs" dxfId="4" priority="651" operator="lessThanOrEqual">
      <formula>H74</formula>
    </cfRule>
  </conditionalFormatting>
  <conditionalFormatting sqref="Q75">
    <cfRule type="cellIs" dxfId="4" priority="656" operator="lessThanOrEqual">
      <formula>H75</formula>
    </cfRule>
  </conditionalFormatting>
  <conditionalFormatting sqref="Q76">
    <cfRule type="cellIs" dxfId="4" priority="661" operator="lessThanOrEqual">
      <formula>H76</formula>
    </cfRule>
  </conditionalFormatting>
  <conditionalFormatting sqref="Q77">
    <cfRule type="cellIs" dxfId="4" priority="666" operator="lessThanOrEqual">
      <formula>H77</formula>
    </cfRule>
  </conditionalFormatting>
  <conditionalFormatting sqref="Q78">
    <cfRule type="cellIs" dxfId="4" priority="671" operator="lessThanOrEqual">
      <formula>H78</formula>
    </cfRule>
  </conditionalFormatting>
  <conditionalFormatting sqref="Q79">
    <cfRule type="cellIs" dxfId="4" priority="676" operator="lessThanOrEqual">
      <formula>H79</formula>
    </cfRule>
  </conditionalFormatting>
  <conditionalFormatting sqref="Q80">
    <cfRule type="cellIs" dxfId="4" priority="681" operator="lessThanOrEqual">
      <formula>H80</formula>
    </cfRule>
  </conditionalFormatting>
  <conditionalFormatting sqref="Q81">
    <cfRule type="cellIs" dxfId="4" priority="686" operator="lessThanOrEqual">
      <formula>H81</formula>
    </cfRule>
  </conditionalFormatting>
  <conditionalFormatting sqref="Q82">
    <cfRule type="cellIs" dxfId="4" priority="691" operator="lessThanOrEqual">
      <formula>H82</formula>
    </cfRule>
  </conditionalFormatting>
  <conditionalFormatting sqref="Q83">
    <cfRule type="cellIs" dxfId="4" priority="696" operator="lessThanOrEqual">
      <formula>H83</formula>
    </cfRule>
  </conditionalFormatting>
  <conditionalFormatting sqref="Q84">
    <cfRule type="cellIs" dxfId="4" priority="701" operator="lessThanOrEqual">
      <formula>H84</formula>
    </cfRule>
  </conditionalFormatting>
  <conditionalFormatting sqref="Q85">
    <cfRule type="cellIs" dxfId="4" priority="706" operator="lessThanOrEqual">
      <formula>H85</formula>
    </cfRule>
  </conditionalFormatting>
  <conditionalFormatting sqref="Q86">
    <cfRule type="cellIs" dxfId="4" priority="711" operator="lessThanOrEqual">
      <formula>H86</formula>
    </cfRule>
  </conditionalFormatting>
  <conditionalFormatting sqref="Q87">
    <cfRule type="cellIs" dxfId="4" priority="716" operator="lessThanOrEqual">
      <formula>H87</formula>
    </cfRule>
  </conditionalFormatting>
  <conditionalFormatting sqref="Q88">
    <cfRule type="cellIs" dxfId="4" priority="721" operator="lessThanOrEqual">
      <formula>H88</formula>
    </cfRule>
  </conditionalFormatting>
  <conditionalFormatting sqref="Q89">
    <cfRule type="cellIs" dxfId="4" priority="726" operator="lessThanOrEqual">
      <formula>H89</formula>
    </cfRule>
  </conditionalFormatting>
  <conditionalFormatting sqref="Q9">
    <cfRule type="cellIs" dxfId="4" priority="341" operator="lessThanOrEqual">
      <formula>H9</formula>
    </cfRule>
  </conditionalFormatting>
  <conditionalFormatting sqref="S10">
    <cfRule type="cellIs" dxfId="1" priority="728" operator="equal">
      <formula>0</formula>
    </cfRule>
    <cfRule type="cellIs" dxfId="2" priority="729" operator="lessThan">
      <formula>F10</formula>
    </cfRule>
  </conditionalFormatting>
  <conditionalFormatting sqref="S12">
    <cfRule type="cellIs" dxfId="1" priority="733" operator="equal">
      <formula>0</formula>
    </cfRule>
    <cfRule type="cellIs" dxfId="2" priority="734" operator="lessThan">
      <formula>F12</formula>
    </cfRule>
  </conditionalFormatting>
  <conditionalFormatting sqref="S13">
    <cfRule type="cellIs" dxfId="1" priority="739" operator="equal">
      <formula>0</formula>
    </cfRule>
    <cfRule type="cellIs" dxfId="2" priority="740" operator="lessThan">
      <formula>F13</formula>
    </cfRule>
  </conditionalFormatting>
  <conditionalFormatting sqref="S14">
    <cfRule type="cellIs" dxfId="1" priority="745" operator="equal">
      <formula>0</formula>
    </cfRule>
    <cfRule type="cellIs" dxfId="2" priority="746" operator="lessThan">
      <formula>F14</formula>
    </cfRule>
  </conditionalFormatting>
  <conditionalFormatting sqref="S15">
    <cfRule type="cellIs" dxfId="1" priority="750" operator="equal">
      <formula>0</formula>
    </cfRule>
    <cfRule type="cellIs" dxfId="2" priority="751" operator="lessThan">
      <formula>F15</formula>
    </cfRule>
  </conditionalFormatting>
  <conditionalFormatting sqref="S16">
    <cfRule type="cellIs" dxfId="1" priority="755" operator="equal">
      <formula>0</formula>
    </cfRule>
    <cfRule type="cellIs" dxfId="2" priority="756" operator="lessThan">
      <formula>F16</formula>
    </cfRule>
  </conditionalFormatting>
  <conditionalFormatting sqref="S18">
    <cfRule type="cellIs" dxfId="1" priority="761" operator="equal">
      <formula>0</formula>
    </cfRule>
    <cfRule type="cellIs" dxfId="2" priority="762" operator="lessThan">
      <formula>F18</formula>
    </cfRule>
  </conditionalFormatting>
  <conditionalFormatting sqref="S20">
    <cfRule type="cellIs" dxfId="1" priority="766" operator="equal">
      <formula>0</formula>
    </cfRule>
    <cfRule type="cellIs" dxfId="2" priority="767" operator="lessThan">
      <formula>F20</formula>
    </cfRule>
  </conditionalFormatting>
  <conditionalFormatting sqref="S21">
    <cfRule type="cellIs" dxfId="1" priority="772" operator="equal">
      <formula>0</formula>
    </cfRule>
    <cfRule type="cellIs" dxfId="2" priority="773" operator="lessThan">
      <formula>F21</formula>
    </cfRule>
  </conditionalFormatting>
  <conditionalFormatting sqref="S22">
    <cfRule type="cellIs" dxfId="1" priority="778" operator="equal">
      <formula>0</formula>
    </cfRule>
    <cfRule type="cellIs" dxfId="2" priority="779" operator="lessThan">
      <formula>F22</formula>
    </cfRule>
  </conditionalFormatting>
  <conditionalFormatting sqref="S23">
    <cfRule type="cellIs" dxfId="1" priority="784" operator="equal">
      <formula>0</formula>
    </cfRule>
    <cfRule type="cellIs" dxfId="2" priority="785" operator="lessThan">
      <formula>F23</formula>
    </cfRule>
  </conditionalFormatting>
  <conditionalFormatting sqref="S26">
    <cfRule type="cellIs" dxfId="1" priority="790" operator="equal">
      <formula>0</formula>
    </cfRule>
    <cfRule type="cellIs" dxfId="2" priority="791" operator="lessThan">
      <formula>F26</formula>
    </cfRule>
  </conditionalFormatting>
  <conditionalFormatting sqref="S27">
    <cfRule type="cellIs" dxfId="1" priority="795" operator="equal">
      <formula>0</formula>
    </cfRule>
    <cfRule type="cellIs" dxfId="2" priority="796" operator="lessThan">
      <formula>F27</formula>
    </cfRule>
  </conditionalFormatting>
  <conditionalFormatting sqref="S33">
    <cfRule type="cellIs" dxfId="1" priority="800" operator="equal">
      <formula>0</formula>
    </cfRule>
    <cfRule type="cellIs" dxfId="2" priority="801" operator="lessThan">
      <formula>F33</formula>
    </cfRule>
  </conditionalFormatting>
  <conditionalFormatting sqref="S35">
    <cfRule type="cellIs" dxfId="1" priority="805" operator="equal">
      <formula>0</formula>
    </cfRule>
    <cfRule type="cellIs" dxfId="2" priority="806" operator="lessThan">
      <formula>F35</formula>
    </cfRule>
  </conditionalFormatting>
  <conditionalFormatting sqref="S36">
    <cfRule type="cellIs" dxfId="1" priority="810" operator="equal">
      <formula>0</formula>
    </cfRule>
    <cfRule type="cellIs" dxfId="2" priority="811" operator="lessThan">
      <formula>F36</formula>
    </cfRule>
  </conditionalFormatting>
  <conditionalFormatting sqref="S37">
    <cfRule type="cellIs" dxfId="1" priority="815" operator="equal">
      <formula>0</formula>
    </cfRule>
    <cfRule type="cellIs" dxfId="2" priority="816" operator="lessThan">
      <formula>F37</formula>
    </cfRule>
  </conditionalFormatting>
  <conditionalFormatting sqref="S39">
    <cfRule type="cellIs" dxfId="1" priority="820" operator="equal">
      <formula>0</formula>
    </cfRule>
    <cfRule type="cellIs" dxfId="2" priority="821" operator="lessThan">
      <formula>F39</formula>
    </cfRule>
  </conditionalFormatting>
  <conditionalFormatting sqref="S40">
    <cfRule type="cellIs" dxfId="1" priority="825" operator="equal">
      <formula>0</formula>
    </cfRule>
    <cfRule type="cellIs" dxfId="2" priority="826" operator="lessThan">
      <formula>F40</formula>
    </cfRule>
  </conditionalFormatting>
  <conditionalFormatting sqref="S41">
    <cfRule type="cellIs" dxfId="1" priority="831" operator="equal">
      <formula>0</formula>
    </cfRule>
    <cfRule type="cellIs" dxfId="2" priority="832" operator="lessThan">
      <formula>F41</formula>
    </cfRule>
  </conditionalFormatting>
  <conditionalFormatting sqref="S42">
    <cfRule type="cellIs" dxfId="1" priority="837" operator="equal">
      <formula>0</formula>
    </cfRule>
    <cfRule type="cellIs" dxfId="2" priority="838" operator="lessThan">
      <formula>F42</formula>
    </cfRule>
  </conditionalFormatting>
  <conditionalFormatting sqref="S48">
    <cfRule type="cellIs" dxfId="1" priority="843" operator="equal">
      <formula>0</formula>
    </cfRule>
    <cfRule type="cellIs" dxfId="2" priority="844" operator="lessThan">
      <formula>F48</formula>
    </cfRule>
  </conditionalFormatting>
  <conditionalFormatting sqref="S49">
    <cfRule type="cellIs" dxfId="1" priority="848" operator="equal">
      <formula>0</formula>
    </cfRule>
    <cfRule type="cellIs" dxfId="2" priority="849" operator="lessThan">
      <formula>F49</formula>
    </cfRule>
  </conditionalFormatting>
  <conditionalFormatting sqref="S51">
    <cfRule type="cellIs" dxfId="1" priority="854" operator="equal">
      <formula>0</formula>
    </cfRule>
    <cfRule type="cellIs" dxfId="2" priority="855" operator="lessThan">
      <formula>F51</formula>
    </cfRule>
  </conditionalFormatting>
  <conditionalFormatting sqref="S52">
    <cfRule type="cellIs" dxfId="1" priority="860" operator="equal">
      <formula>0</formula>
    </cfRule>
    <cfRule type="cellIs" dxfId="2" priority="861" operator="lessThan">
      <formula>F52</formula>
    </cfRule>
  </conditionalFormatting>
  <conditionalFormatting sqref="S53">
    <cfRule type="cellIs" dxfId="1" priority="866" operator="equal">
      <formula>0</formula>
    </cfRule>
    <cfRule type="cellIs" dxfId="2" priority="867" operator="lessThan">
      <formula>F53</formula>
    </cfRule>
  </conditionalFormatting>
  <conditionalFormatting sqref="S55">
    <cfRule type="cellIs" dxfId="1" priority="872" operator="equal">
      <formula>0</formula>
    </cfRule>
    <cfRule type="cellIs" dxfId="2" priority="873" operator="lessThan">
      <formula>F55</formula>
    </cfRule>
  </conditionalFormatting>
  <conditionalFormatting sqref="S57">
    <cfRule type="cellIs" dxfId="1" priority="878" operator="equal">
      <formula>0</formula>
    </cfRule>
    <cfRule type="cellIs" dxfId="2" priority="879" operator="lessThan">
      <formula>F57</formula>
    </cfRule>
  </conditionalFormatting>
  <conditionalFormatting sqref="S58">
    <cfRule type="cellIs" dxfId="1" priority="884" operator="equal">
      <formula>0</formula>
    </cfRule>
    <cfRule type="cellIs" dxfId="2" priority="885" operator="lessThan">
      <formula>F58</formula>
    </cfRule>
  </conditionalFormatting>
  <conditionalFormatting sqref="S59">
    <cfRule type="cellIs" dxfId="1" priority="890" operator="equal">
      <formula>0</formula>
    </cfRule>
    <cfRule type="cellIs" dxfId="2" priority="891" operator="lessThan">
      <formula>F59</formula>
    </cfRule>
  </conditionalFormatting>
  <conditionalFormatting sqref="S60">
    <cfRule type="cellIs" dxfId="1" priority="896" operator="equal">
      <formula>0</formula>
    </cfRule>
    <cfRule type="cellIs" dxfId="2" priority="897" operator="lessThan">
      <formula>F60</formula>
    </cfRule>
  </conditionalFormatting>
  <conditionalFormatting sqref="S62">
    <cfRule type="cellIs" dxfId="1" priority="902" operator="equal">
      <formula>0</formula>
    </cfRule>
    <cfRule type="cellIs" dxfId="2" priority="903" operator="lessThan">
      <formula>F62</formula>
    </cfRule>
  </conditionalFormatting>
  <conditionalFormatting sqref="S63">
    <cfRule type="cellIs" dxfId="1" priority="908" operator="equal">
      <formula>0</formula>
    </cfRule>
    <cfRule type="cellIs" dxfId="2" priority="909" operator="lessThan">
      <formula>F63</formula>
    </cfRule>
  </conditionalFormatting>
  <conditionalFormatting sqref="S64">
    <cfRule type="cellIs" dxfId="1" priority="914" operator="equal">
      <formula>0</formula>
    </cfRule>
    <cfRule type="cellIs" dxfId="2" priority="915" operator="lessThan">
      <formula>F64</formula>
    </cfRule>
  </conditionalFormatting>
  <conditionalFormatting sqref="S65">
    <cfRule type="cellIs" dxfId="1" priority="920" operator="equal">
      <formula>0</formula>
    </cfRule>
    <cfRule type="cellIs" dxfId="2" priority="921" operator="lessThan">
      <formula>F65</formula>
    </cfRule>
  </conditionalFormatting>
  <conditionalFormatting sqref="S66">
    <cfRule type="cellIs" dxfId="1" priority="926" operator="equal">
      <formula>0</formula>
    </cfRule>
    <cfRule type="cellIs" dxfId="2" priority="927" operator="lessThan">
      <formula>F66</formula>
    </cfRule>
  </conditionalFormatting>
  <conditionalFormatting sqref="S67">
    <cfRule type="cellIs" dxfId="1" priority="932" operator="equal">
      <formula>0</formula>
    </cfRule>
    <cfRule type="cellIs" dxfId="2" priority="933" operator="lessThan">
      <formula>F67</formula>
    </cfRule>
  </conditionalFormatting>
  <conditionalFormatting sqref="S71">
    <cfRule type="cellIs" dxfId="1" priority="938" operator="equal">
      <formula>0</formula>
    </cfRule>
    <cfRule type="cellIs" dxfId="2" priority="939" operator="lessThan">
      <formula>F71</formula>
    </cfRule>
  </conditionalFormatting>
  <conditionalFormatting sqref="S73">
    <cfRule type="cellIs" dxfId="1" priority="943" operator="equal">
      <formula>0</formula>
    </cfRule>
    <cfRule type="cellIs" dxfId="2" priority="944" operator="lessThan">
      <formula>F73</formula>
    </cfRule>
  </conditionalFormatting>
  <conditionalFormatting sqref="S74">
    <cfRule type="cellIs" dxfId="1" priority="948" operator="equal">
      <formula>0</formula>
    </cfRule>
    <cfRule type="cellIs" dxfId="2" priority="949" operator="lessThan">
      <formula>F74</formula>
    </cfRule>
  </conditionalFormatting>
  <conditionalFormatting sqref="S75">
    <cfRule type="cellIs" dxfId="1" priority="953" operator="equal">
      <formula>0</formula>
    </cfRule>
    <cfRule type="cellIs" dxfId="2" priority="954" operator="lessThan">
      <formula>F75</formula>
    </cfRule>
  </conditionalFormatting>
  <conditionalFormatting sqref="S76">
    <cfRule type="cellIs" dxfId="1" priority="958" operator="equal">
      <formula>0</formula>
    </cfRule>
    <cfRule type="cellIs" dxfId="2" priority="959" operator="lessThan">
      <formula>F76</formula>
    </cfRule>
  </conditionalFormatting>
  <conditionalFormatting sqref="S77">
    <cfRule type="cellIs" dxfId="1" priority="963" operator="equal">
      <formula>0</formula>
    </cfRule>
    <cfRule type="cellIs" dxfId="2" priority="964" operator="lessThan">
      <formula>F77</formula>
    </cfRule>
  </conditionalFormatting>
  <conditionalFormatting sqref="S79">
    <cfRule type="cellIs" dxfId="1" priority="969" operator="equal">
      <formula>0</formula>
    </cfRule>
    <cfRule type="cellIs" dxfId="2" priority="970" operator="lessThan">
      <formula>F79</formula>
    </cfRule>
  </conditionalFormatting>
  <conditionalFormatting sqref="S80">
    <cfRule type="cellIs" dxfId="1" priority="975" operator="equal">
      <formula>0</formula>
    </cfRule>
    <cfRule type="cellIs" dxfId="2" priority="976" operator="lessThan">
      <formula>F80</formula>
    </cfRule>
  </conditionalFormatting>
  <conditionalFormatting sqref="S81">
    <cfRule type="cellIs" dxfId="1" priority="980" operator="equal">
      <formula>0</formula>
    </cfRule>
    <cfRule type="cellIs" dxfId="2" priority="981" operator="lessThan">
      <formula>F81</formula>
    </cfRule>
  </conditionalFormatting>
  <conditionalFormatting sqref="S82">
    <cfRule type="cellIs" dxfId="1" priority="986" operator="equal">
      <formula>0</formula>
    </cfRule>
    <cfRule type="cellIs" dxfId="2" priority="987" operator="lessThan">
      <formula>F82</formula>
    </cfRule>
  </conditionalFormatting>
  <conditionalFormatting sqref="S83">
    <cfRule type="cellIs" dxfId="1" priority="991" operator="equal">
      <formula>0</formula>
    </cfRule>
    <cfRule type="cellIs" dxfId="2" priority="992" operator="lessThan">
      <formula>F83</formula>
    </cfRule>
  </conditionalFormatting>
  <conditionalFormatting sqref="T10">
    <cfRule type="cellIs" dxfId="1" priority="730" operator="greaterThan">
      <formula>S10</formula>
    </cfRule>
  </conditionalFormatting>
  <conditionalFormatting sqref="T12">
    <cfRule type="expression" dxfId="3" priority="735">
      <formula>AND(T12&gt;0,T12&lt;10)</formula>
    </cfRule>
    <cfRule type="cellIs" dxfId="1" priority="736" operator="greaterThan">
      <formula>S12</formula>
    </cfRule>
  </conditionalFormatting>
  <conditionalFormatting sqref="T13">
    <cfRule type="expression" dxfId="3" priority="741">
      <formula>AND(T13&gt;0,T13&lt;4000)</formula>
    </cfRule>
    <cfRule type="cellIs" dxfId="1" priority="742" operator="greaterThan">
      <formula>S13</formula>
    </cfRule>
  </conditionalFormatting>
  <conditionalFormatting sqref="T14">
    <cfRule type="cellIs" dxfId="1" priority="747" operator="greaterThan">
      <formula>S14</formula>
    </cfRule>
  </conditionalFormatting>
  <conditionalFormatting sqref="T15">
    <cfRule type="cellIs" dxfId="1" priority="752" operator="greaterThan">
      <formula>S15</formula>
    </cfRule>
  </conditionalFormatting>
  <conditionalFormatting sqref="T16">
    <cfRule type="expression" dxfId="3" priority="757">
      <formula>AND(T16&gt;0,T16&lt;10)</formula>
    </cfRule>
    <cfRule type="cellIs" dxfId="1" priority="758" operator="greaterThan">
      <formula>S16</formula>
    </cfRule>
  </conditionalFormatting>
  <conditionalFormatting sqref="T18">
    <cfRule type="cellIs" dxfId="1" priority="763" operator="greaterThan">
      <formula>S18</formula>
    </cfRule>
  </conditionalFormatting>
  <conditionalFormatting sqref="T20">
    <cfRule type="expression" dxfId="3" priority="768">
      <formula>AND(T20&gt;0,T20&lt;10)</formula>
    </cfRule>
    <cfRule type="cellIs" dxfId="1" priority="769" operator="greaterThan">
      <formula>S20</formula>
    </cfRule>
  </conditionalFormatting>
  <conditionalFormatting sqref="T21">
    <cfRule type="expression" dxfId="3" priority="774">
      <formula>AND(T21&gt;0,T21&lt;5)</formula>
    </cfRule>
    <cfRule type="cellIs" dxfId="1" priority="775" operator="greaterThan">
      <formula>S21</formula>
    </cfRule>
  </conditionalFormatting>
  <conditionalFormatting sqref="T22">
    <cfRule type="expression" dxfId="3" priority="780">
      <formula>AND(T22&gt;0,T22&lt;5)</formula>
    </cfRule>
    <cfRule type="cellIs" dxfId="1" priority="781" operator="greaterThan">
      <formula>S22</formula>
    </cfRule>
  </conditionalFormatting>
  <conditionalFormatting sqref="T23">
    <cfRule type="expression" dxfId="3" priority="786">
      <formula>AND(T23&gt;0,T23&lt;3000)</formula>
    </cfRule>
    <cfRule type="cellIs" dxfId="1" priority="787" operator="greaterThan">
      <formula>S23</formula>
    </cfRule>
  </conditionalFormatting>
  <conditionalFormatting sqref="T26">
    <cfRule type="cellIs" dxfId="1" priority="792" operator="greaterThan">
      <formula>S26</formula>
    </cfRule>
  </conditionalFormatting>
  <conditionalFormatting sqref="T27">
    <cfRule type="cellIs" dxfId="1" priority="797" operator="greaterThan">
      <formula>S27</formula>
    </cfRule>
  </conditionalFormatting>
  <conditionalFormatting sqref="T33">
    <cfRule type="cellIs" dxfId="1" priority="802" operator="greaterThan">
      <formula>S33</formula>
    </cfRule>
  </conditionalFormatting>
  <conditionalFormatting sqref="T35">
    <cfRule type="cellIs" dxfId="1" priority="807" operator="greaterThan">
      <formula>S35</formula>
    </cfRule>
  </conditionalFormatting>
  <conditionalFormatting sqref="T36">
    <cfRule type="cellIs" dxfId="1" priority="812" operator="greaterThan">
      <formula>S36</formula>
    </cfRule>
  </conditionalFormatting>
  <conditionalFormatting sqref="T37">
    <cfRule type="cellIs" dxfId="1" priority="817" operator="greaterThan">
      <formula>S37</formula>
    </cfRule>
  </conditionalFormatting>
  <conditionalFormatting sqref="T39">
    <cfRule type="cellIs" dxfId="1" priority="822" operator="greaterThan">
      <formula>S39</formula>
    </cfRule>
  </conditionalFormatting>
  <conditionalFormatting sqref="T40">
    <cfRule type="expression" dxfId="3" priority="827">
      <formula>AND(T40&gt;0,T40&lt;5)</formula>
    </cfRule>
    <cfRule type="cellIs" dxfId="1" priority="828" operator="greaterThan">
      <formula>S40</formula>
    </cfRule>
  </conditionalFormatting>
  <conditionalFormatting sqref="T41">
    <cfRule type="expression" dxfId="3" priority="833">
      <formula>AND(T41&gt;0,T41&lt;10)</formula>
    </cfRule>
    <cfRule type="cellIs" dxfId="1" priority="834" operator="greaterThan">
      <formula>S41</formula>
    </cfRule>
  </conditionalFormatting>
  <conditionalFormatting sqref="T42">
    <cfRule type="expression" dxfId="3" priority="839">
      <formula>AND(T42&gt;0,T42&lt;10)</formula>
    </cfRule>
    <cfRule type="cellIs" dxfId="1" priority="840" operator="greaterThan">
      <formula>S42</formula>
    </cfRule>
  </conditionalFormatting>
  <conditionalFormatting sqref="T48">
    <cfRule type="cellIs" dxfId="1" priority="845" operator="greaterThan">
      <formula>S48</formula>
    </cfRule>
  </conditionalFormatting>
  <conditionalFormatting sqref="T49">
    <cfRule type="expression" dxfId="3" priority="850">
      <formula>AND(T49&gt;0,T49&lt;10)</formula>
    </cfRule>
    <cfRule type="cellIs" dxfId="1" priority="851" operator="greaterThan">
      <formula>S49</formula>
    </cfRule>
  </conditionalFormatting>
  <conditionalFormatting sqref="T51">
    <cfRule type="expression" dxfId="3" priority="856">
      <formula>AND(T51&gt;0,T51&lt;10)</formula>
    </cfRule>
    <cfRule type="cellIs" dxfId="1" priority="857" operator="greaterThan">
      <formula>S51</formula>
    </cfRule>
  </conditionalFormatting>
  <conditionalFormatting sqref="T52">
    <cfRule type="expression" dxfId="3" priority="862">
      <formula>AND(T52&gt;0,T52&lt;10)</formula>
    </cfRule>
    <cfRule type="cellIs" dxfId="1" priority="863" operator="greaterThan">
      <formula>S52</formula>
    </cfRule>
  </conditionalFormatting>
  <conditionalFormatting sqref="T53">
    <cfRule type="expression" dxfId="3" priority="868">
      <formula>AND(T53&gt;0,T53&lt;10)</formula>
    </cfRule>
    <cfRule type="cellIs" dxfId="1" priority="869" operator="greaterThan">
      <formula>S53</formula>
    </cfRule>
  </conditionalFormatting>
  <conditionalFormatting sqref="T55">
    <cfRule type="expression" dxfId="3" priority="874">
      <formula>AND(T55&gt;0,T55&lt;10)</formula>
    </cfRule>
    <cfRule type="cellIs" dxfId="1" priority="875" operator="greaterThan">
      <formula>S55</formula>
    </cfRule>
  </conditionalFormatting>
  <conditionalFormatting sqref="T57">
    <cfRule type="expression" dxfId="3" priority="880">
      <formula>AND(T57&gt;0,T57&lt;10)</formula>
    </cfRule>
    <cfRule type="cellIs" dxfId="1" priority="881" operator="greaterThan">
      <formula>S57</formula>
    </cfRule>
  </conditionalFormatting>
  <conditionalFormatting sqref="T58">
    <cfRule type="expression" dxfId="3" priority="886">
      <formula>AND(T58&gt;0,T58&lt;10)</formula>
    </cfRule>
    <cfRule type="cellIs" dxfId="1" priority="887" operator="greaterThan">
      <formula>S58</formula>
    </cfRule>
  </conditionalFormatting>
  <conditionalFormatting sqref="T59">
    <cfRule type="expression" dxfId="3" priority="892">
      <formula>AND(T59&gt;0,T59&lt;10)</formula>
    </cfRule>
    <cfRule type="cellIs" dxfId="1" priority="893" operator="greaterThan">
      <formula>S59</formula>
    </cfRule>
  </conditionalFormatting>
  <conditionalFormatting sqref="T60">
    <cfRule type="expression" dxfId="3" priority="898">
      <formula>AND(T60&gt;0,T60&lt;10)</formula>
    </cfRule>
    <cfRule type="cellIs" dxfId="1" priority="899" operator="greaterThan">
      <formula>S60</formula>
    </cfRule>
  </conditionalFormatting>
  <conditionalFormatting sqref="T62">
    <cfRule type="expression" dxfId="3" priority="904">
      <formula>AND(T62&gt;0,T62&lt;10)</formula>
    </cfRule>
    <cfRule type="cellIs" dxfId="1" priority="905" operator="greaterThan">
      <formula>S62</formula>
    </cfRule>
  </conditionalFormatting>
  <conditionalFormatting sqref="T63">
    <cfRule type="expression" dxfId="3" priority="910">
      <formula>AND(T63&gt;0,T63&lt;10)</formula>
    </cfRule>
    <cfRule type="cellIs" dxfId="1" priority="911" operator="greaterThan">
      <formula>S63</formula>
    </cfRule>
  </conditionalFormatting>
  <conditionalFormatting sqref="T64">
    <cfRule type="expression" dxfId="3" priority="916">
      <formula>AND(T64&gt;0,T64&lt;10)</formula>
    </cfRule>
    <cfRule type="cellIs" dxfId="1" priority="917" operator="greaterThan">
      <formula>S64</formula>
    </cfRule>
  </conditionalFormatting>
  <conditionalFormatting sqref="T65">
    <cfRule type="expression" dxfId="3" priority="922">
      <formula>AND(T65&gt;0,T65&lt;10)</formula>
    </cfRule>
    <cfRule type="cellIs" dxfId="1" priority="923" operator="greaterThan">
      <formula>S65</formula>
    </cfRule>
  </conditionalFormatting>
  <conditionalFormatting sqref="T66">
    <cfRule type="expression" dxfId="3" priority="928">
      <formula>AND(T66&gt;0,T66&lt;10)</formula>
    </cfRule>
    <cfRule type="cellIs" dxfId="1" priority="929" operator="greaterThan">
      <formula>S66</formula>
    </cfRule>
  </conditionalFormatting>
  <conditionalFormatting sqref="T67">
    <cfRule type="expression" dxfId="3" priority="934">
      <formula>AND(T67&gt;0,T67&lt;10)</formula>
    </cfRule>
    <cfRule type="cellIs" dxfId="1" priority="935" operator="greaterThan">
      <formula>S67</formula>
    </cfRule>
  </conditionalFormatting>
  <conditionalFormatting sqref="T71">
    <cfRule type="cellIs" dxfId="1" priority="940" operator="greaterThan">
      <formula>S71</formula>
    </cfRule>
  </conditionalFormatting>
  <conditionalFormatting sqref="T73">
    <cfRule type="cellIs" dxfId="1" priority="945" operator="greaterThan">
      <formula>S73</formula>
    </cfRule>
  </conditionalFormatting>
  <conditionalFormatting sqref="T74">
    <cfRule type="cellIs" dxfId="1" priority="950" operator="greaterThan">
      <formula>S74</formula>
    </cfRule>
  </conditionalFormatting>
  <conditionalFormatting sqref="T75">
    <cfRule type="cellIs" dxfId="1" priority="955" operator="greaterThan">
      <formula>S75</formula>
    </cfRule>
  </conditionalFormatting>
  <conditionalFormatting sqref="T76">
    <cfRule type="cellIs" dxfId="1" priority="960" operator="greaterThan">
      <formula>S76</formula>
    </cfRule>
  </conditionalFormatting>
  <conditionalFormatting sqref="T77">
    <cfRule type="expression" dxfId="3" priority="965">
      <formula>AND(T77&gt;0,T77&lt;5)</formula>
    </cfRule>
    <cfRule type="cellIs" dxfId="1" priority="966" operator="greaterThan">
      <formula>S77</formula>
    </cfRule>
  </conditionalFormatting>
  <conditionalFormatting sqref="T79">
    <cfRule type="expression" dxfId="3" priority="971">
      <formula>AND(T79&gt;0,T79&lt;3300)</formula>
    </cfRule>
    <cfRule type="cellIs" dxfId="1" priority="972" operator="greaterThan">
      <formula>S79</formula>
    </cfRule>
  </conditionalFormatting>
  <conditionalFormatting sqref="T80">
    <cfRule type="cellIs" dxfId="1" priority="977" operator="greaterThan">
      <formula>S80</formula>
    </cfRule>
  </conditionalFormatting>
  <conditionalFormatting sqref="T81">
    <cfRule type="expression" dxfId="3" priority="982">
      <formula>AND(T81&gt;0,T81&lt;2500)</formula>
    </cfRule>
    <cfRule type="cellIs" dxfId="1" priority="983" operator="greaterThan">
      <formula>S81</formula>
    </cfRule>
  </conditionalFormatting>
  <conditionalFormatting sqref="T82">
    <cfRule type="cellIs" dxfId="1" priority="988" operator="greaterThan">
      <formula>S82</formula>
    </cfRule>
  </conditionalFormatting>
  <conditionalFormatting sqref="T83">
    <cfRule type="cellIs" dxfId="1" priority="993" operator="greaterThan">
      <formula>S83</formula>
    </cfRule>
  </conditionalFormatting>
  <conditionalFormatting sqref="U10">
    <cfRule type="cellIs" dxfId="4" priority="732" operator="lessThanOrEqual">
      <formula>G10</formula>
    </cfRule>
  </conditionalFormatting>
  <conditionalFormatting sqref="U12">
    <cfRule type="cellIs" dxfId="4" priority="738" operator="lessThanOrEqual">
      <formula>G12</formula>
    </cfRule>
  </conditionalFormatting>
  <conditionalFormatting sqref="U13">
    <cfRule type="cellIs" dxfId="4" priority="744" operator="lessThanOrEqual">
      <formula>G13</formula>
    </cfRule>
  </conditionalFormatting>
  <conditionalFormatting sqref="U14">
    <cfRule type="cellIs" dxfId="4" priority="749" operator="lessThanOrEqual">
      <formula>G14</formula>
    </cfRule>
  </conditionalFormatting>
  <conditionalFormatting sqref="U15">
    <cfRule type="cellIs" dxfId="4" priority="754" operator="lessThanOrEqual">
      <formula>G15</formula>
    </cfRule>
  </conditionalFormatting>
  <conditionalFormatting sqref="U16">
    <cfRule type="cellIs" dxfId="4" priority="760" operator="lessThanOrEqual">
      <formula>G16</formula>
    </cfRule>
  </conditionalFormatting>
  <conditionalFormatting sqref="U18">
    <cfRule type="cellIs" dxfId="4" priority="765" operator="lessThanOrEqual">
      <formula>G18</formula>
    </cfRule>
  </conditionalFormatting>
  <conditionalFormatting sqref="U20">
    <cfRule type="cellIs" dxfId="4" priority="771" operator="lessThanOrEqual">
      <formula>G20</formula>
    </cfRule>
  </conditionalFormatting>
  <conditionalFormatting sqref="U21">
    <cfRule type="cellIs" dxfId="4" priority="777" operator="lessThanOrEqual">
      <formula>G21</formula>
    </cfRule>
  </conditionalFormatting>
  <conditionalFormatting sqref="U22">
    <cfRule type="cellIs" dxfId="4" priority="783" operator="lessThanOrEqual">
      <formula>G22</formula>
    </cfRule>
  </conditionalFormatting>
  <conditionalFormatting sqref="U23">
    <cfRule type="cellIs" dxfId="4" priority="789" operator="lessThanOrEqual">
      <formula>G23</formula>
    </cfRule>
  </conditionalFormatting>
  <conditionalFormatting sqref="U26">
    <cfRule type="cellIs" dxfId="4" priority="794" operator="lessThanOrEqual">
      <formula>G26</formula>
    </cfRule>
  </conditionalFormatting>
  <conditionalFormatting sqref="U27">
    <cfRule type="cellIs" dxfId="4" priority="799" operator="lessThanOrEqual">
      <formula>G27</formula>
    </cfRule>
  </conditionalFormatting>
  <conditionalFormatting sqref="U33">
    <cfRule type="cellIs" dxfId="4" priority="804" operator="lessThanOrEqual">
      <formula>G33</formula>
    </cfRule>
  </conditionalFormatting>
  <conditionalFormatting sqref="U35">
    <cfRule type="cellIs" dxfId="4" priority="809" operator="lessThanOrEqual">
      <formula>G35</formula>
    </cfRule>
  </conditionalFormatting>
  <conditionalFormatting sqref="U36">
    <cfRule type="cellIs" dxfId="4" priority="814" operator="lessThanOrEqual">
      <formula>G36</formula>
    </cfRule>
  </conditionalFormatting>
  <conditionalFormatting sqref="U37">
    <cfRule type="cellIs" dxfId="4" priority="819" operator="lessThanOrEqual">
      <formula>G37</formula>
    </cfRule>
  </conditionalFormatting>
  <conditionalFormatting sqref="U39">
    <cfRule type="cellIs" dxfId="4" priority="824" operator="lessThanOrEqual">
      <formula>G39</formula>
    </cfRule>
  </conditionalFormatting>
  <conditionalFormatting sqref="U40">
    <cfRule type="cellIs" dxfId="4" priority="830" operator="lessThanOrEqual">
      <formula>G40</formula>
    </cfRule>
  </conditionalFormatting>
  <conditionalFormatting sqref="U41">
    <cfRule type="cellIs" dxfId="4" priority="836" operator="lessThanOrEqual">
      <formula>G41</formula>
    </cfRule>
  </conditionalFormatting>
  <conditionalFormatting sqref="U42">
    <cfRule type="cellIs" dxfId="4" priority="842" operator="lessThanOrEqual">
      <formula>G42</formula>
    </cfRule>
  </conditionalFormatting>
  <conditionalFormatting sqref="U48">
    <cfRule type="cellIs" dxfId="4" priority="847" operator="lessThanOrEqual">
      <formula>G48</formula>
    </cfRule>
  </conditionalFormatting>
  <conditionalFormatting sqref="U49">
    <cfRule type="cellIs" dxfId="4" priority="853" operator="lessThanOrEqual">
      <formula>G49</formula>
    </cfRule>
  </conditionalFormatting>
  <conditionalFormatting sqref="U51">
    <cfRule type="cellIs" dxfId="4" priority="859" operator="lessThanOrEqual">
      <formula>G51</formula>
    </cfRule>
  </conditionalFormatting>
  <conditionalFormatting sqref="U52">
    <cfRule type="cellIs" dxfId="4" priority="865" operator="lessThanOrEqual">
      <formula>G52</formula>
    </cfRule>
  </conditionalFormatting>
  <conditionalFormatting sqref="U53">
    <cfRule type="cellIs" dxfId="4" priority="871" operator="lessThanOrEqual">
      <formula>G53</formula>
    </cfRule>
  </conditionalFormatting>
  <conditionalFormatting sqref="U55">
    <cfRule type="cellIs" dxfId="4" priority="877" operator="lessThanOrEqual">
      <formula>G55</formula>
    </cfRule>
  </conditionalFormatting>
  <conditionalFormatting sqref="U57">
    <cfRule type="cellIs" dxfId="4" priority="883" operator="lessThanOrEqual">
      <formula>G57</formula>
    </cfRule>
  </conditionalFormatting>
  <conditionalFormatting sqref="U58">
    <cfRule type="cellIs" dxfId="4" priority="889" operator="lessThanOrEqual">
      <formula>G58</formula>
    </cfRule>
  </conditionalFormatting>
  <conditionalFormatting sqref="U59">
    <cfRule type="cellIs" dxfId="4" priority="895" operator="lessThanOrEqual">
      <formula>G59</formula>
    </cfRule>
  </conditionalFormatting>
  <conditionalFormatting sqref="U60">
    <cfRule type="cellIs" dxfId="4" priority="901" operator="lessThanOrEqual">
      <formula>G60</formula>
    </cfRule>
  </conditionalFormatting>
  <conditionalFormatting sqref="U62">
    <cfRule type="cellIs" dxfId="4" priority="907" operator="lessThanOrEqual">
      <formula>G62</formula>
    </cfRule>
  </conditionalFormatting>
  <conditionalFormatting sqref="U63">
    <cfRule type="cellIs" dxfId="4" priority="913" operator="lessThanOrEqual">
      <formula>G63</formula>
    </cfRule>
  </conditionalFormatting>
  <conditionalFormatting sqref="U64">
    <cfRule type="cellIs" dxfId="4" priority="919" operator="lessThanOrEqual">
      <formula>G64</formula>
    </cfRule>
  </conditionalFormatting>
  <conditionalFormatting sqref="U65">
    <cfRule type="cellIs" dxfId="4" priority="925" operator="lessThanOrEqual">
      <formula>G65</formula>
    </cfRule>
  </conditionalFormatting>
  <conditionalFormatting sqref="U66">
    <cfRule type="cellIs" dxfId="4" priority="931" operator="lessThanOrEqual">
      <formula>G66</formula>
    </cfRule>
  </conditionalFormatting>
  <conditionalFormatting sqref="U67">
    <cfRule type="cellIs" dxfId="4" priority="937" operator="lessThanOrEqual">
      <formula>G67</formula>
    </cfRule>
  </conditionalFormatting>
  <conditionalFormatting sqref="U71">
    <cfRule type="cellIs" dxfId="4" priority="942" operator="lessThanOrEqual">
      <formula>G71</formula>
    </cfRule>
  </conditionalFormatting>
  <conditionalFormatting sqref="U73">
    <cfRule type="cellIs" dxfId="4" priority="947" operator="lessThanOrEqual">
      <formula>G73</formula>
    </cfRule>
  </conditionalFormatting>
  <conditionalFormatting sqref="U74">
    <cfRule type="cellIs" dxfId="4" priority="952" operator="lessThanOrEqual">
      <formula>G74</formula>
    </cfRule>
  </conditionalFormatting>
  <conditionalFormatting sqref="U75">
    <cfRule type="cellIs" dxfId="4" priority="957" operator="lessThanOrEqual">
      <formula>G75</formula>
    </cfRule>
  </conditionalFormatting>
  <conditionalFormatting sqref="U76">
    <cfRule type="cellIs" dxfId="4" priority="962" operator="lessThanOrEqual">
      <formula>G76</formula>
    </cfRule>
  </conditionalFormatting>
  <conditionalFormatting sqref="U77">
    <cfRule type="cellIs" dxfId="4" priority="968" operator="lessThanOrEqual">
      <formula>G77</formula>
    </cfRule>
  </conditionalFormatting>
  <conditionalFormatting sqref="U79">
    <cfRule type="cellIs" dxfId="4" priority="974" operator="lessThanOrEqual">
      <formula>G79</formula>
    </cfRule>
  </conditionalFormatting>
  <conditionalFormatting sqref="U80">
    <cfRule type="cellIs" dxfId="4" priority="979" operator="lessThanOrEqual">
      <formula>G80</formula>
    </cfRule>
  </conditionalFormatting>
  <conditionalFormatting sqref="U81">
    <cfRule type="cellIs" dxfId="4" priority="985" operator="lessThanOrEqual">
      <formula>G81</formula>
    </cfRule>
  </conditionalFormatting>
  <conditionalFormatting sqref="U82">
    <cfRule type="cellIs" dxfId="4" priority="990" operator="lessThanOrEqual">
      <formula>G82</formula>
    </cfRule>
  </conditionalFormatting>
  <conditionalFormatting sqref="U83">
    <cfRule type="cellIs" dxfId="4" priority="995" operator="lessThanOrEqual">
      <formula>G83</formula>
    </cfRule>
  </conditionalFormatting>
  <conditionalFormatting sqref="V10">
    <cfRule type="cellIs" dxfId="4" priority="731" operator="lessThanOrEqual">
      <formula>H10</formula>
    </cfRule>
  </conditionalFormatting>
  <conditionalFormatting sqref="V12">
    <cfRule type="cellIs" dxfId="4" priority="737" operator="lessThanOrEqual">
      <formula>H12</formula>
    </cfRule>
  </conditionalFormatting>
  <conditionalFormatting sqref="V13">
    <cfRule type="cellIs" dxfId="4" priority="743" operator="lessThanOrEqual">
      <formula>H13</formula>
    </cfRule>
  </conditionalFormatting>
  <conditionalFormatting sqref="V14">
    <cfRule type="cellIs" dxfId="4" priority="748" operator="lessThanOrEqual">
      <formula>H14</formula>
    </cfRule>
  </conditionalFormatting>
  <conditionalFormatting sqref="V15">
    <cfRule type="cellIs" dxfId="4" priority="753" operator="lessThanOrEqual">
      <formula>H15</formula>
    </cfRule>
  </conditionalFormatting>
  <conditionalFormatting sqref="V16">
    <cfRule type="cellIs" dxfId="4" priority="759" operator="lessThanOrEqual">
      <formula>H16</formula>
    </cfRule>
  </conditionalFormatting>
  <conditionalFormatting sqref="V18">
    <cfRule type="cellIs" dxfId="4" priority="764" operator="lessThanOrEqual">
      <formula>H18</formula>
    </cfRule>
  </conditionalFormatting>
  <conditionalFormatting sqref="V20">
    <cfRule type="cellIs" dxfId="4" priority="770" operator="lessThanOrEqual">
      <formula>H20</formula>
    </cfRule>
  </conditionalFormatting>
  <conditionalFormatting sqref="V21">
    <cfRule type="cellIs" dxfId="4" priority="776" operator="lessThanOrEqual">
      <formula>H21</formula>
    </cfRule>
  </conditionalFormatting>
  <conditionalFormatting sqref="V22">
    <cfRule type="cellIs" dxfId="4" priority="782" operator="lessThanOrEqual">
      <formula>H22</formula>
    </cfRule>
  </conditionalFormatting>
  <conditionalFormatting sqref="V23">
    <cfRule type="cellIs" dxfId="4" priority="788" operator="lessThanOrEqual">
      <formula>H23</formula>
    </cfRule>
  </conditionalFormatting>
  <conditionalFormatting sqref="V26">
    <cfRule type="cellIs" dxfId="4" priority="793" operator="lessThanOrEqual">
      <formula>H26</formula>
    </cfRule>
  </conditionalFormatting>
  <conditionalFormatting sqref="V27">
    <cfRule type="cellIs" dxfId="4" priority="798" operator="lessThanOrEqual">
      <formula>H27</formula>
    </cfRule>
  </conditionalFormatting>
  <conditionalFormatting sqref="V33">
    <cfRule type="cellIs" dxfId="4" priority="803" operator="lessThanOrEqual">
      <formula>H33</formula>
    </cfRule>
  </conditionalFormatting>
  <conditionalFormatting sqref="V35">
    <cfRule type="cellIs" dxfId="4" priority="808" operator="lessThanOrEqual">
      <formula>H35</formula>
    </cfRule>
  </conditionalFormatting>
  <conditionalFormatting sqref="V36">
    <cfRule type="cellIs" dxfId="4" priority="813" operator="lessThanOrEqual">
      <formula>H36</formula>
    </cfRule>
  </conditionalFormatting>
  <conditionalFormatting sqref="V37">
    <cfRule type="cellIs" dxfId="4" priority="818" operator="lessThanOrEqual">
      <formula>H37</formula>
    </cfRule>
  </conditionalFormatting>
  <conditionalFormatting sqref="V39">
    <cfRule type="cellIs" dxfId="4" priority="823" operator="lessThanOrEqual">
      <formula>H39</formula>
    </cfRule>
  </conditionalFormatting>
  <conditionalFormatting sqref="V40">
    <cfRule type="cellIs" dxfId="4" priority="829" operator="lessThanOrEqual">
      <formula>H40</formula>
    </cfRule>
  </conditionalFormatting>
  <conditionalFormatting sqref="V41">
    <cfRule type="cellIs" dxfId="4" priority="835" operator="lessThanOrEqual">
      <formula>H41</formula>
    </cfRule>
  </conditionalFormatting>
  <conditionalFormatting sqref="V42">
    <cfRule type="cellIs" dxfId="4" priority="841" operator="lessThanOrEqual">
      <formula>H42</formula>
    </cfRule>
  </conditionalFormatting>
  <conditionalFormatting sqref="V48">
    <cfRule type="cellIs" dxfId="4" priority="846" operator="lessThanOrEqual">
      <formula>H48</formula>
    </cfRule>
  </conditionalFormatting>
  <conditionalFormatting sqref="V49">
    <cfRule type="cellIs" dxfId="4" priority="852" operator="lessThanOrEqual">
      <formula>H49</formula>
    </cfRule>
  </conditionalFormatting>
  <conditionalFormatting sqref="V51">
    <cfRule type="cellIs" dxfId="4" priority="858" operator="lessThanOrEqual">
      <formula>H51</formula>
    </cfRule>
  </conditionalFormatting>
  <conditionalFormatting sqref="V52">
    <cfRule type="cellIs" dxfId="4" priority="864" operator="lessThanOrEqual">
      <formula>H52</formula>
    </cfRule>
  </conditionalFormatting>
  <conditionalFormatting sqref="V53">
    <cfRule type="cellIs" dxfId="4" priority="870" operator="lessThanOrEqual">
      <formula>H53</formula>
    </cfRule>
  </conditionalFormatting>
  <conditionalFormatting sqref="V55">
    <cfRule type="cellIs" dxfId="4" priority="876" operator="lessThanOrEqual">
      <formula>H55</formula>
    </cfRule>
  </conditionalFormatting>
  <conditionalFormatting sqref="V57">
    <cfRule type="cellIs" dxfId="4" priority="882" operator="lessThanOrEqual">
      <formula>H57</formula>
    </cfRule>
  </conditionalFormatting>
  <conditionalFormatting sqref="V58">
    <cfRule type="cellIs" dxfId="4" priority="888" operator="lessThanOrEqual">
      <formula>H58</formula>
    </cfRule>
  </conditionalFormatting>
  <conditionalFormatting sqref="V59">
    <cfRule type="cellIs" dxfId="4" priority="894" operator="lessThanOrEqual">
      <formula>H59</formula>
    </cfRule>
  </conditionalFormatting>
  <conditionalFormatting sqref="V60">
    <cfRule type="cellIs" dxfId="4" priority="900" operator="lessThanOrEqual">
      <formula>H60</formula>
    </cfRule>
  </conditionalFormatting>
  <conditionalFormatting sqref="V62">
    <cfRule type="cellIs" dxfId="4" priority="906" operator="lessThanOrEqual">
      <formula>H62</formula>
    </cfRule>
  </conditionalFormatting>
  <conditionalFormatting sqref="V63">
    <cfRule type="cellIs" dxfId="4" priority="912" operator="lessThanOrEqual">
      <formula>H63</formula>
    </cfRule>
  </conditionalFormatting>
  <conditionalFormatting sqref="V64">
    <cfRule type="cellIs" dxfId="4" priority="918" operator="lessThanOrEqual">
      <formula>H64</formula>
    </cfRule>
  </conditionalFormatting>
  <conditionalFormatting sqref="V65">
    <cfRule type="cellIs" dxfId="4" priority="924" operator="lessThanOrEqual">
      <formula>H65</formula>
    </cfRule>
  </conditionalFormatting>
  <conditionalFormatting sqref="V66">
    <cfRule type="cellIs" dxfId="4" priority="930" operator="lessThanOrEqual">
      <formula>H66</formula>
    </cfRule>
  </conditionalFormatting>
  <conditionalFormatting sqref="V67">
    <cfRule type="cellIs" dxfId="4" priority="936" operator="lessThanOrEqual">
      <formula>H67</formula>
    </cfRule>
  </conditionalFormatting>
  <conditionalFormatting sqref="V71">
    <cfRule type="cellIs" dxfId="4" priority="941" operator="lessThanOrEqual">
      <formula>H71</formula>
    </cfRule>
  </conditionalFormatting>
  <conditionalFormatting sqref="V73">
    <cfRule type="cellIs" dxfId="4" priority="946" operator="lessThanOrEqual">
      <formula>H73</formula>
    </cfRule>
  </conditionalFormatting>
  <conditionalFormatting sqref="V74">
    <cfRule type="cellIs" dxfId="4" priority="951" operator="lessThanOrEqual">
      <formula>H74</formula>
    </cfRule>
  </conditionalFormatting>
  <conditionalFormatting sqref="V75">
    <cfRule type="cellIs" dxfId="4" priority="956" operator="lessThanOrEqual">
      <formula>H75</formula>
    </cfRule>
  </conditionalFormatting>
  <conditionalFormatting sqref="V76">
    <cfRule type="cellIs" dxfId="4" priority="961" operator="lessThanOrEqual">
      <formula>H76</formula>
    </cfRule>
  </conditionalFormatting>
  <conditionalFormatting sqref="V77">
    <cfRule type="cellIs" dxfId="4" priority="967" operator="lessThanOrEqual">
      <formula>H77</formula>
    </cfRule>
  </conditionalFormatting>
  <conditionalFormatting sqref="V79">
    <cfRule type="cellIs" dxfId="4" priority="973" operator="lessThanOrEqual">
      <formula>H79</formula>
    </cfRule>
  </conditionalFormatting>
  <conditionalFormatting sqref="V80">
    <cfRule type="cellIs" dxfId="4" priority="978" operator="lessThanOrEqual">
      <formula>H80</formula>
    </cfRule>
  </conditionalFormatting>
  <conditionalFormatting sqref="V81">
    <cfRule type="cellIs" dxfId="4" priority="984" operator="lessThanOrEqual">
      <formula>H81</formula>
    </cfRule>
  </conditionalFormatting>
  <conditionalFormatting sqref="V82">
    <cfRule type="cellIs" dxfId="4" priority="989" operator="lessThanOrEqual">
      <formula>H82</formula>
    </cfRule>
  </conditionalFormatting>
  <conditionalFormatting sqref="V83">
    <cfRule type="cellIs" dxfId="4" priority="994" operator="lessThanOrEqual">
      <formula>H83</formula>
    </cfRule>
  </conditionalFormatting>
  <conditionalFormatting sqref="X14">
    <cfRule type="cellIs" dxfId="1" priority="1002" operator="equal">
      <formula>0</formula>
    </cfRule>
    <cfRule type="cellIs" dxfId="2" priority="1003" operator="lessThan">
      <formula>F14</formula>
    </cfRule>
  </conditionalFormatting>
  <conditionalFormatting sqref="X15">
    <cfRule type="cellIs" dxfId="1" priority="1008" operator="equal">
      <formula>0</formula>
    </cfRule>
    <cfRule type="cellIs" dxfId="2" priority="1009" operator="lessThan">
      <formula>F15</formula>
    </cfRule>
  </conditionalFormatting>
  <conditionalFormatting sqref="X18">
    <cfRule type="cellIs" dxfId="1" priority="1014" operator="equal">
      <formula>0</formula>
    </cfRule>
    <cfRule type="cellIs" dxfId="2" priority="1015" operator="lessThan">
      <formula>F18</formula>
    </cfRule>
  </conditionalFormatting>
  <conditionalFormatting sqref="X21">
    <cfRule type="cellIs" dxfId="1" priority="1020" operator="equal">
      <formula>0</formula>
    </cfRule>
    <cfRule type="cellIs" dxfId="2" priority="1021" operator="lessThan">
      <formula>F21</formula>
    </cfRule>
  </conditionalFormatting>
  <conditionalFormatting sqref="X23">
    <cfRule type="cellIs" dxfId="1" priority="1025" operator="equal">
      <formula>0</formula>
    </cfRule>
    <cfRule type="cellIs" dxfId="2" priority="1026" operator="lessThan">
      <formula>F23</formula>
    </cfRule>
  </conditionalFormatting>
  <conditionalFormatting sqref="X33">
    <cfRule type="cellIs" dxfId="1" priority="1031" operator="equal">
      <formula>0</formula>
    </cfRule>
    <cfRule type="cellIs" dxfId="2" priority="1032" operator="lessThan">
      <formula>F33</formula>
    </cfRule>
  </conditionalFormatting>
  <conditionalFormatting sqref="X37">
    <cfRule type="cellIs" dxfId="1" priority="1036" operator="equal">
      <formula>0</formula>
    </cfRule>
    <cfRule type="cellIs" dxfId="2" priority="1037" operator="lessThan">
      <formula>F37</formula>
    </cfRule>
  </conditionalFormatting>
  <conditionalFormatting sqref="X40">
    <cfRule type="cellIs" dxfId="1" priority="1041" operator="equal">
      <formula>0</formula>
    </cfRule>
    <cfRule type="cellIs" dxfId="2" priority="1042" operator="lessThan">
      <formula>F40</formula>
    </cfRule>
  </conditionalFormatting>
  <conditionalFormatting sqref="X7">
    <cfRule type="cellIs" dxfId="1" priority="996" operator="equal">
      <formula>0</formula>
    </cfRule>
    <cfRule type="cellIs" dxfId="2" priority="997" operator="lessThan">
      <formula>F7</formula>
    </cfRule>
  </conditionalFormatting>
  <conditionalFormatting sqref="X71">
    <cfRule type="cellIs" dxfId="1" priority="1047" operator="equal">
      <formula>0</formula>
    </cfRule>
    <cfRule type="cellIs" dxfId="2" priority="1048" operator="lessThan">
      <formula>F71</formula>
    </cfRule>
  </conditionalFormatting>
  <conditionalFormatting sqref="X73">
    <cfRule type="cellIs" dxfId="1" priority="1052" operator="equal">
      <formula>0</formula>
    </cfRule>
    <cfRule type="cellIs" dxfId="2" priority="1053" operator="lessThan">
      <formula>F73</formula>
    </cfRule>
  </conditionalFormatting>
  <conditionalFormatting sqref="X81">
    <cfRule type="cellIs" dxfId="1" priority="1057" operator="equal">
      <formula>0</formula>
    </cfRule>
    <cfRule type="cellIs" dxfId="2" priority="1058" operator="lessThan">
      <formula>F81</formula>
    </cfRule>
  </conditionalFormatting>
  <conditionalFormatting sqref="X82">
    <cfRule type="cellIs" dxfId="1" priority="1062" operator="equal">
      <formula>0</formula>
    </cfRule>
    <cfRule type="cellIs" dxfId="2" priority="1063" operator="lessThan">
      <formula>F82</formula>
    </cfRule>
  </conditionalFormatting>
  <conditionalFormatting sqref="Y14">
    <cfRule type="expression" dxfId="3" priority="1004">
      <formula>AND(Y14&gt;0,Y14&lt;20)</formula>
    </cfRule>
    <cfRule type="cellIs" dxfId="1" priority="1005" operator="greaterThan">
      <formula>X14</formula>
    </cfRule>
  </conditionalFormatting>
  <conditionalFormatting sqref="Y15">
    <cfRule type="expression" dxfId="3" priority="1010">
      <formula>AND(Y15&gt;0,Y15&lt;20)</formula>
    </cfRule>
    <cfRule type="cellIs" dxfId="1" priority="1011" operator="greaterThan">
      <formula>X15</formula>
    </cfRule>
  </conditionalFormatting>
  <conditionalFormatting sqref="Y18">
    <cfRule type="expression" dxfId="3" priority="1016">
      <formula>AND(Y18&gt;0,Y18&lt;50)</formula>
    </cfRule>
    <cfRule type="cellIs" dxfId="1" priority="1017" operator="greaterThan">
      <formula>X18</formula>
    </cfRule>
  </conditionalFormatting>
  <conditionalFormatting sqref="Y21">
    <cfRule type="cellIs" dxfId="1" priority="1022" operator="greaterThan">
      <formula>X21</formula>
    </cfRule>
  </conditionalFormatting>
  <conditionalFormatting sqref="Y23">
    <cfRule type="expression" dxfId="3" priority="1027">
      <formula>AND(Y23&gt;0,Y23&lt;5)</formula>
    </cfRule>
    <cfRule type="cellIs" dxfId="1" priority="1028" operator="greaterThan">
      <formula>X23</formula>
    </cfRule>
  </conditionalFormatting>
  <conditionalFormatting sqref="Y33">
    <cfRule type="cellIs" dxfId="1" priority="1033" operator="greaterThan">
      <formula>X33</formula>
    </cfRule>
  </conditionalFormatting>
  <conditionalFormatting sqref="Y37">
    <cfRule type="cellIs" dxfId="1" priority="1038" operator="greaterThan">
      <formula>X37</formula>
    </cfRule>
  </conditionalFormatting>
  <conditionalFormatting sqref="Y40">
    <cfRule type="expression" dxfId="3" priority="1043">
      <formula>AND(Y40&gt;0,Y40&lt;20)</formula>
    </cfRule>
    <cfRule type="cellIs" dxfId="1" priority="1044" operator="greaterThan">
      <formula>X40</formula>
    </cfRule>
  </conditionalFormatting>
  <conditionalFormatting sqref="Y7">
    <cfRule type="expression" dxfId="3" priority="998">
      <formula>AND(Y7&gt;0,Y7&lt;20)</formula>
    </cfRule>
    <cfRule type="cellIs" dxfId="1" priority="999" operator="greaterThan">
      <formula>X7</formula>
    </cfRule>
  </conditionalFormatting>
  <conditionalFormatting sqref="Y71">
    <cfRule type="cellIs" dxfId="1" priority="1049" operator="greaterThan">
      <formula>X71</formula>
    </cfRule>
  </conditionalFormatting>
  <conditionalFormatting sqref="Y73">
    <cfRule type="cellIs" dxfId="1" priority="1054" operator="greaterThan">
      <formula>X73</formula>
    </cfRule>
  </conditionalFormatting>
  <conditionalFormatting sqref="Y81">
    <cfRule type="cellIs" dxfId="1" priority="1059" operator="greaterThan">
      <formula>X81</formula>
    </cfRule>
  </conditionalFormatting>
  <conditionalFormatting sqref="Y82">
    <cfRule type="cellIs" dxfId="1" priority="1064" operator="greaterThan">
      <formula>X82</formula>
    </cfRule>
  </conditionalFormatting>
  <conditionalFormatting sqref="Z14">
    <cfRule type="cellIs" dxfId="4" priority="1007" operator="lessThanOrEqual">
      <formula>G14</formula>
    </cfRule>
  </conditionalFormatting>
  <conditionalFormatting sqref="Z15">
    <cfRule type="cellIs" dxfId="4" priority="1013" operator="lessThanOrEqual">
      <formula>G15</formula>
    </cfRule>
  </conditionalFormatting>
  <conditionalFormatting sqref="Z18">
    <cfRule type="cellIs" dxfId="4" priority="1019" operator="lessThanOrEqual">
      <formula>G18</formula>
    </cfRule>
  </conditionalFormatting>
  <conditionalFormatting sqref="Z21">
    <cfRule type="cellIs" dxfId="4" priority="1024" operator="lessThanOrEqual">
      <formula>G21</formula>
    </cfRule>
  </conditionalFormatting>
  <conditionalFormatting sqref="Z23">
    <cfRule type="cellIs" dxfId="4" priority="1030" operator="lessThanOrEqual">
      <formula>G23</formula>
    </cfRule>
  </conditionalFormatting>
  <conditionalFormatting sqref="Z33">
    <cfRule type="cellIs" dxfId="4" priority="1035" operator="lessThanOrEqual">
      <formula>G33</formula>
    </cfRule>
  </conditionalFormatting>
  <conditionalFormatting sqref="Z37">
    <cfRule type="cellIs" dxfId="4" priority="1040" operator="lessThanOrEqual">
      <formula>G37</formula>
    </cfRule>
  </conditionalFormatting>
  <conditionalFormatting sqref="Z40">
    <cfRule type="cellIs" dxfId="4" priority="1046" operator="lessThanOrEqual">
      <formula>G40</formula>
    </cfRule>
  </conditionalFormatting>
  <conditionalFormatting sqref="Z7">
    <cfRule type="cellIs" dxfId="4" priority="1001" operator="lessThanOrEqual">
      <formula>G7</formula>
    </cfRule>
  </conditionalFormatting>
  <conditionalFormatting sqref="Z71">
    <cfRule type="cellIs" dxfId="4" priority="1051" operator="lessThanOrEqual">
      <formula>G71</formula>
    </cfRule>
  </conditionalFormatting>
  <conditionalFormatting sqref="Z73">
    <cfRule type="cellIs" dxfId="4" priority="1056" operator="lessThanOrEqual">
      <formula>G73</formula>
    </cfRule>
  </conditionalFormatting>
  <conditionalFormatting sqref="Z81">
    <cfRule type="cellIs" dxfId="4" priority="1061" operator="lessThanOrEqual">
      <formula>G81</formula>
    </cfRule>
  </conditionalFormatting>
  <conditionalFormatting sqref="Z82">
    <cfRule type="cellIs" dxfId="4" priority="1066" operator="lessThanOrEqual">
      <formula>G82</formula>
    </cfRule>
  </conditionalFormatting>
  <hyperlinks>
    <hyperlink ref="R7" r:id="rId1"/>
    <hyperlink ref="AB7" r:id="rId2"/>
    <hyperlink ref="AG7" r:id="rId3"/>
    <hyperlink ref="E9" r:id="rId4"/>
    <hyperlink ref="R9" r:id="rId5"/>
    <hyperlink ref="AG9" r:id="rId6"/>
    <hyperlink ref="E10" r:id="rId7"/>
    <hyperlink ref="R10" r:id="rId8"/>
    <hyperlink ref="W10" r:id="rId9"/>
    <hyperlink ref="AG10" r:id="rId10"/>
    <hyperlink ref="AL10" r:id="rId11"/>
    <hyperlink ref="AQ10" r:id="rId12"/>
    <hyperlink ref="E11" r:id="rId13"/>
    <hyperlink ref="R11" r:id="rId14"/>
    <hyperlink ref="AG11" r:id="rId15"/>
    <hyperlink ref="E12" r:id="rId16"/>
    <hyperlink ref="R12" r:id="rId17"/>
    <hyperlink ref="W12" r:id="rId18"/>
    <hyperlink ref="AG12" r:id="rId19"/>
    <hyperlink ref="AL12" r:id="rId20"/>
    <hyperlink ref="AQ12" r:id="rId21"/>
    <hyperlink ref="AV12" r:id="rId22"/>
    <hyperlink ref="E13" r:id="rId23"/>
    <hyperlink ref="R13" r:id="rId24"/>
    <hyperlink ref="W13" r:id="rId25"/>
    <hyperlink ref="AG13" r:id="rId26"/>
    <hyperlink ref="AL13" r:id="rId27"/>
    <hyperlink ref="E14" r:id="rId28"/>
    <hyperlink ref="R14" r:id="rId29"/>
    <hyperlink ref="W14" r:id="rId30"/>
    <hyperlink ref="AB14" r:id="rId31"/>
    <hyperlink ref="AG14" r:id="rId32"/>
    <hyperlink ref="AL14" r:id="rId33"/>
    <hyperlink ref="AQ14" r:id="rId34"/>
    <hyperlink ref="E15" r:id="rId35"/>
    <hyperlink ref="R15" r:id="rId36"/>
    <hyperlink ref="W15" r:id="rId37"/>
    <hyperlink ref="AB15" r:id="rId38"/>
    <hyperlink ref="AG15" r:id="rId39"/>
    <hyperlink ref="AL15" r:id="rId40"/>
    <hyperlink ref="E16" r:id="rId41"/>
    <hyperlink ref="R16" r:id="rId42"/>
    <hyperlink ref="W16" r:id="rId43"/>
    <hyperlink ref="AG16" r:id="rId44"/>
    <hyperlink ref="AL16" r:id="rId45"/>
    <hyperlink ref="E17" r:id="rId46"/>
    <hyperlink ref="R17" r:id="rId47"/>
    <hyperlink ref="AG17" r:id="rId48"/>
    <hyperlink ref="E18" r:id="rId49"/>
    <hyperlink ref="R18" r:id="rId50"/>
    <hyperlink ref="W18" r:id="rId51"/>
    <hyperlink ref="AB18" r:id="rId52"/>
    <hyperlink ref="AG18" r:id="rId53"/>
    <hyperlink ref="AL18" r:id="rId54"/>
    <hyperlink ref="E19" r:id="rId55"/>
    <hyperlink ref="R19" r:id="rId56"/>
    <hyperlink ref="AG19" r:id="rId57"/>
    <hyperlink ref="E20" r:id="rId58"/>
    <hyperlink ref="R20" r:id="rId59"/>
    <hyperlink ref="W20" r:id="rId60"/>
    <hyperlink ref="AG20" r:id="rId61"/>
    <hyperlink ref="AL20" r:id="rId62"/>
    <hyperlink ref="AQ20" r:id="rId63"/>
    <hyperlink ref="AV20" r:id="rId64"/>
    <hyperlink ref="R21" r:id="rId65"/>
    <hyperlink ref="W21" r:id="rId66"/>
    <hyperlink ref="AB21" r:id="rId67"/>
    <hyperlink ref="AG21" r:id="rId68"/>
    <hyperlink ref="AL21" r:id="rId69"/>
    <hyperlink ref="AQ21" r:id="rId70"/>
    <hyperlink ref="R22" r:id="rId71"/>
    <hyperlink ref="W22" r:id="rId72"/>
    <hyperlink ref="AG22" r:id="rId73"/>
    <hyperlink ref="AL22" r:id="rId74"/>
    <hyperlink ref="R23" r:id="rId75"/>
    <hyperlink ref="W23" r:id="rId76"/>
    <hyperlink ref="AB23" r:id="rId77"/>
    <hyperlink ref="AG23" r:id="rId78"/>
    <hyperlink ref="AQ23" r:id="rId79"/>
    <hyperlink ref="AV23" r:id="rId80"/>
    <hyperlink ref="E25" r:id="rId81"/>
    <hyperlink ref="R25" r:id="rId82"/>
    <hyperlink ref="AG25" r:id="rId83"/>
    <hyperlink ref="R26" r:id="rId84"/>
    <hyperlink ref="W26" r:id="rId85"/>
    <hyperlink ref="AG26" r:id="rId86"/>
    <hyperlink ref="AL26" r:id="rId87"/>
    <hyperlink ref="E27" r:id="rId88"/>
    <hyperlink ref="R27" r:id="rId89"/>
    <hyperlink ref="W27" r:id="rId90"/>
    <hyperlink ref="AG27" r:id="rId91"/>
    <hyperlink ref="AL27" r:id="rId92"/>
    <hyperlink ref="AQ27" r:id="rId93"/>
    <hyperlink ref="R28" r:id="rId94"/>
    <hyperlink ref="AG28" r:id="rId95"/>
    <hyperlink ref="AL28" r:id="rId96"/>
    <hyperlink ref="R29" r:id="rId97"/>
    <hyperlink ref="AG29" r:id="rId98"/>
    <hyperlink ref="AQ29" r:id="rId99"/>
    <hyperlink ref="AV29" r:id="rId100"/>
    <hyperlink ref="R30" r:id="rId101"/>
    <hyperlink ref="AG30" r:id="rId102"/>
    <hyperlink ref="R31" r:id="rId103"/>
    <hyperlink ref="AG31" r:id="rId104"/>
    <hyperlink ref="AL31" r:id="rId105"/>
    <hyperlink ref="R32" r:id="rId106"/>
    <hyperlink ref="R33" r:id="rId107"/>
    <hyperlink ref="W33" r:id="rId108"/>
    <hyperlink ref="AB33" r:id="rId109"/>
    <hyperlink ref="AG33" r:id="rId110"/>
    <hyperlink ref="AL33" r:id="rId111"/>
    <hyperlink ref="AQ33" r:id="rId112"/>
    <hyperlink ref="AV33" r:id="rId113"/>
    <hyperlink ref="R34" r:id="rId114"/>
    <hyperlink ref="AG34" r:id="rId115"/>
    <hyperlink ref="R35" r:id="rId116"/>
    <hyperlink ref="W35" r:id="rId117"/>
    <hyperlink ref="AG35" r:id="rId118"/>
    <hyperlink ref="AL35" r:id="rId119"/>
    <hyperlink ref="AQ35" r:id="rId120"/>
    <hyperlink ref="R36" r:id="rId121"/>
    <hyperlink ref="W36" r:id="rId122"/>
    <hyperlink ref="AG36" r:id="rId123"/>
    <hyperlink ref="AL36" r:id="rId124"/>
    <hyperlink ref="R37" r:id="rId125"/>
    <hyperlink ref="W37" r:id="rId126"/>
    <hyperlink ref="AB37" r:id="rId127"/>
    <hyperlink ref="AG37" r:id="rId128"/>
    <hyperlink ref="AL37" r:id="rId129"/>
    <hyperlink ref="R38" r:id="rId130"/>
    <hyperlink ref="AG38" r:id="rId131"/>
    <hyperlink ref="AL38" r:id="rId132"/>
    <hyperlink ref="E39" r:id="rId133"/>
    <hyperlink ref="R39" r:id="rId134"/>
    <hyperlink ref="W39" r:id="rId135"/>
    <hyperlink ref="AG39" r:id="rId136"/>
    <hyperlink ref="AL39" r:id="rId137"/>
    <hyperlink ref="AQ39" r:id="rId138"/>
    <hyperlink ref="E40" r:id="rId139"/>
    <hyperlink ref="R40" r:id="rId140"/>
    <hyperlink ref="W40" r:id="rId141"/>
    <hyperlink ref="AB40" r:id="rId142"/>
    <hyperlink ref="AG40" r:id="rId143"/>
    <hyperlink ref="AL40" r:id="rId144"/>
    <hyperlink ref="AQ40" r:id="rId145"/>
    <hyperlink ref="AV40" r:id="rId146"/>
    <hyperlink ref="E41" r:id="rId147"/>
    <hyperlink ref="R41" r:id="rId148"/>
    <hyperlink ref="W41" r:id="rId149"/>
    <hyperlink ref="AG41" r:id="rId150"/>
    <hyperlink ref="AL41" r:id="rId151"/>
    <hyperlink ref="AQ41" r:id="rId152"/>
    <hyperlink ref="AV41" r:id="rId153"/>
    <hyperlink ref="E42" r:id="rId154"/>
    <hyperlink ref="R42" r:id="rId155"/>
    <hyperlink ref="W42" r:id="rId156"/>
    <hyperlink ref="AG42" r:id="rId157"/>
    <hyperlink ref="AL42" r:id="rId158"/>
    <hyperlink ref="AQ42" r:id="rId159"/>
    <hyperlink ref="AV42" r:id="rId160"/>
    <hyperlink ref="E43" r:id="rId161"/>
    <hyperlink ref="R43" r:id="rId162"/>
    <hyperlink ref="AG43" r:id="rId163"/>
    <hyperlink ref="E44" r:id="rId164"/>
    <hyperlink ref="R44" r:id="rId165"/>
    <hyperlink ref="AG44" r:id="rId166"/>
    <hyperlink ref="E45" r:id="rId167"/>
    <hyperlink ref="R45" r:id="rId168"/>
    <hyperlink ref="AG45" r:id="rId169"/>
    <hyperlink ref="AV45" r:id="rId170"/>
    <hyperlink ref="R46" r:id="rId171"/>
    <hyperlink ref="AG46" r:id="rId172"/>
    <hyperlink ref="AL46" r:id="rId173"/>
    <hyperlink ref="R47" r:id="rId174"/>
    <hyperlink ref="AG47" r:id="rId175"/>
    <hyperlink ref="E48" r:id="rId176"/>
    <hyperlink ref="R48" r:id="rId177"/>
    <hyperlink ref="W48" r:id="rId178"/>
    <hyperlink ref="AG48" r:id="rId179"/>
    <hyperlink ref="AL48" r:id="rId180"/>
    <hyperlink ref="AQ48" r:id="rId181"/>
    <hyperlink ref="AV48" r:id="rId182"/>
    <hyperlink ref="E49" r:id="rId183"/>
    <hyperlink ref="R49" r:id="rId184"/>
    <hyperlink ref="W49" r:id="rId185"/>
    <hyperlink ref="AG49" r:id="rId186"/>
    <hyperlink ref="AL49" r:id="rId187"/>
    <hyperlink ref="AV49" r:id="rId188"/>
    <hyperlink ref="E50" r:id="rId189"/>
    <hyperlink ref="R50" r:id="rId190"/>
    <hyperlink ref="AG50" r:id="rId191"/>
    <hyperlink ref="E51" r:id="rId192"/>
    <hyperlink ref="R51" r:id="rId193"/>
    <hyperlink ref="W51" r:id="rId194"/>
    <hyperlink ref="AG51" r:id="rId195"/>
    <hyperlink ref="AL51" r:id="rId196"/>
    <hyperlink ref="AQ51" r:id="rId197"/>
    <hyperlink ref="AV51" r:id="rId198"/>
    <hyperlink ref="E52" r:id="rId199"/>
    <hyperlink ref="R52" r:id="rId200"/>
    <hyperlink ref="W52" r:id="rId201"/>
    <hyperlink ref="AG52" r:id="rId202"/>
    <hyperlink ref="AL52" r:id="rId203"/>
    <hyperlink ref="AQ52" r:id="rId204"/>
    <hyperlink ref="AV52" r:id="rId205"/>
    <hyperlink ref="E53" r:id="rId206"/>
    <hyperlink ref="R53" r:id="rId207"/>
    <hyperlink ref="W53" r:id="rId208"/>
    <hyperlink ref="AG53" r:id="rId209"/>
    <hyperlink ref="AL53" r:id="rId210"/>
    <hyperlink ref="AQ53" r:id="rId211"/>
    <hyperlink ref="AV53" r:id="rId212"/>
    <hyperlink ref="E54" r:id="rId213"/>
    <hyperlink ref="R54" r:id="rId214"/>
    <hyperlink ref="AG54" r:id="rId215"/>
    <hyperlink ref="E55" r:id="rId216"/>
    <hyperlink ref="R55" r:id="rId217"/>
    <hyperlink ref="W55" r:id="rId218"/>
    <hyperlink ref="AG55" r:id="rId219"/>
    <hyperlink ref="AL55" r:id="rId220"/>
    <hyperlink ref="AQ55" r:id="rId221"/>
    <hyperlink ref="AV55" r:id="rId222"/>
    <hyperlink ref="E56" r:id="rId223"/>
    <hyperlink ref="R56" r:id="rId224"/>
    <hyperlink ref="AG56" r:id="rId225"/>
    <hyperlink ref="E57" r:id="rId226"/>
    <hyperlink ref="R57" r:id="rId227"/>
    <hyperlink ref="W57" r:id="rId228"/>
    <hyperlink ref="AG57" r:id="rId229"/>
    <hyperlink ref="AL57" r:id="rId230"/>
    <hyperlink ref="AV57" r:id="rId231"/>
    <hyperlink ref="E58" r:id="rId232"/>
    <hyperlink ref="R58" r:id="rId233"/>
    <hyperlink ref="W58" r:id="rId234"/>
    <hyperlink ref="AG58" r:id="rId235"/>
    <hyperlink ref="AL58" r:id="rId236"/>
    <hyperlink ref="AQ58" r:id="rId237"/>
    <hyperlink ref="AV58" r:id="rId238"/>
    <hyperlink ref="E59" r:id="rId239"/>
    <hyperlink ref="R59" r:id="rId240"/>
    <hyperlink ref="W59" r:id="rId241"/>
    <hyperlink ref="AG59" r:id="rId242"/>
    <hyperlink ref="AL59" r:id="rId243"/>
    <hyperlink ref="AQ59" r:id="rId244"/>
    <hyperlink ref="AV59" r:id="rId245"/>
    <hyperlink ref="E60" r:id="rId246"/>
    <hyperlink ref="R60" r:id="rId247"/>
    <hyperlink ref="W60" r:id="rId248"/>
    <hyperlink ref="AG60" r:id="rId249"/>
    <hyperlink ref="AL60" r:id="rId250"/>
    <hyperlink ref="AQ60" r:id="rId251"/>
    <hyperlink ref="AV60" r:id="rId252"/>
    <hyperlink ref="E62" r:id="rId253"/>
    <hyperlink ref="R62" r:id="rId254"/>
    <hyperlink ref="W62" r:id="rId255"/>
    <hyperlink ref="AG62" r:id="rId256"/>
    <hyperlink ref="AL62" r:id="rId257"/>
    <hyperlink ref="AQ62" r:id="rId258"/>
    <hyperlink ref="AV62" r:id="rId259"/>
    <hyperlink ref="E63" r:id="rId260"/>
    <hyperlink ref="R63" r:id="rId261"/>
    <hyperlink ref="W63" r:id="rId262"/>
    <hyperlink ref="AG63" r:id="rId263"/>
    <hyperlink ref="AL63" r:id="rId264"/>
    <hyperlink ref="AV63" r:id="rId265"/>
    <hyperlink ref="E64" r:id="rId266"/>
    <hyperlink ref="R64" r:id="rId267"/>
    <hyperlink ref="W64" r:id="rId268"/>
    <hyperlink ref="AG64" r:id="rId269"/>
    <hyperlink ref="AL64" r:id="rId270"/>
    <hyperlink ref="AQ64" r:id="rId271"/>
    <hyperlink ref="AV64" r:id="rId272"/>
    <hyperlink ref="E65" r:id="rId273"/>
    <hyperlink ref="R65" r:id="rId274"/>
    <hyperlink ref="W65" r:id="rId275"/>
    <hyperlink ref="AG65" r:id="rId276"/>
    <hyperlink ref="AL65" r:id="rId277"/>
    <hyperlink ref="AV65" r:id="rId278"/>
    <hyperlink ref="E66" r:id="rId279"/>
    <hyperlink ref="R66" r:id="rId280"/>
    <hyperlink ref="W66" r:id="rId281"/>
    <hyperlink ref="AG66" r:id="rId282"/>
    <hyperlink ref="AL66" r:id="rId283"/>
    <hyperlink ref="AQ66" r:id="rId284"/>
    <hyperlink ref="AV66" r:id="rId285"/>
    <hyperlink ref="E67" r:id="rId286"/>
    <hyperlink ref="R67" r:id="rId287"/>
    <hyperlink ref="W67" r:id="rId288"/>
    <hyperlink ref="AG67" r:id="rId289"/>
    <hyperlink ref="AL67" r:id="rId290"/>
    <hyperlink ref="AV67" r:id="rId291"/>
    <hyperlink ref="R69" r:id="rId292"/>
    <hyperlink ref="AG69" r:id="rId293"/>
    <hyperlink ref="E70" r:id="rId294"/>
    <hyperlink ref="R70" r:id="rId295"/>
    <hyperlink ref="AG70" r:id="rId296"/>
    <hyperlink ref="E71" r:id="rId297"/>
    <hyperlink ref="R71" r:id="rId298"/>
    <hyperlink ref="W71" r:id="rId299"/>
    <hyperlink ref="AB71" r:id="rId300"/>
    <hyperlink ref="AG71" r:id="rId301"/>
    <hyperlink ref="AQ71" r:id="rId302"/>
    <hyperlink ref="AV71" r:id="rId303"/>
    <hyperlink ref="E72" r:id="rId304"/>
    <hyperlink ref="R72" r:id="rId305"/>
    <hyperlink ref="AG72" r:id="rId306"/>
    <hyperlink ref="E73" r:id="rId307"/>
    <hyperlink ref="R73" r:id="rId308"/>
    <hyperlink ref="W73" r:id="rId309"/>
    <hyperlink ref="AB73" r:id="rId310"/>
    <hyperlink ref="AG73" r:id="rId311"/>
    <hyperlink ref="AL73" r:id="rId312"/>
    <hyperlink ref="AQ73" r:id="rId313"/>
    <hyperlink ref="AV73" r:id="rId314"/>
    <hyperlink ref="E74" r:id="rId315"/>
    <hyperlink ref="R74" r:id="rId316"/>
    <hyperlink ref="W74" r:id="rId317"/>
    <hyperlink ref="AG74" r:id="rId318"/>
    <hyperlink ref="AL74" r:id="rId319"/>
    <hyperlink ref="E75" r:id="rId320"/>
    <hyperlink ref="R75" r:id="rId321"/>
    <hyperlink ref="W75" r:id="rId322"/>
    <hyperlink ref="AG75" r:id="rId323"/>
    <hyperlink ref="AL75" r:id="rId324"/>
    <hyperlink ref="E76" r:id="rId325"/>
    <hyperlink ref="R76" r:id="rId326"/>
    <hyperlink ref="W76" r:id="rId327"/>
    <hyperlink ref="AG76" r:id="rId328"/>
    <hyperlink ref="AL76" r:id="rId329"/>
    <hyperlink ref="E77" r:id="rId330"/>
    <hyperlink ref="R77" r:id="rId331"/>
    <hyperlink ref="W77" r:id="rId332"/>
    <hyperlink ref="AG77" r:id="rId333"/>
    <hyperlink ref="AL77" r:id="rId334"/>
    <hyperlink ref="AQ77" r:id="rId335"/>
    <hyperlink ref="AV77" r:id="rId336"/>
    <hyperlink ref="E78" r:id="rId337"/>
    <hyperlink ref="R78" r:id="rId338"/>
    <hyperlink ref="AG78" r:id="rId339"/>
    <hyperlink ref="E79" r:id="rId340"/>
    <hyperlink ref="R79" r:id="rId341"/>
    <hyperlink ref="W79" r:id="rId342"/>
    <hyperlink ref="AG79" r:id="rId343"/>
    <hyperlink ref="AL79" r:id="rId344"/>
    <hyperlink ref="E80" r:id="rId345"/>
    <hyperlink ref="R80" r:id="rId346"/>
    <hyperlink ref="W80" r:id="rId347"/>
    <hyperlink ref="AG80" r:id="rId348"/>
    <hyperlink ref="AL80" r:id="rId349"/>
    <hyperlink ref="AQ80" r:id="rId350"/>
    <hyperlink ref="AV80" r:id="rId351"/>
    <hyperlink ref="E81" r:id="rId352"/>
    <hyperlink ref="R81" r:id="rId353"/>
    <hyperlink ref="W81" r:id="rId354"/>
    <hyperlink ref="AB81" r:id="rId355"/>
    <hyperlink ref="AG81" r:id="rId356"/>
    <hyperlink ref="AL81" r:id="rId357"/>
    <hyperlink ref="E82" r:id="rId358"/>
    <hyperlink ref="R82" r:id="rId359"/>
    <hyperlink ref="W82" r:id="rId360"/>
    <hyperlink ref="AB82" r:id="rId361"/>
    <hyperlink ref="AG82" r:id="rId362"/>
    <hyperlink ref="AL82" r:id="rId363"/>
    <hyperlink ref="AQ82" r:id="rId364"/>
    <hyperlink ref="R83" r:id="rId365"/>
    <hyperlink ref="W83" r:id="rId366"/>
    <hyperlink ref="AG83" r:id="rId367"/>
    <hyperlink ref="AL83" r:id="rId368"/>
    <hyperlink ref="E84" r:id="rId369"/>
    <hyperlink ref="R84" r:id="rId370"/>
    <hyperlink ref="R85" r:id="rId371"/>
    <hyperlink ref="AG85" r:id="rId372"/>
    <hyperlink ref="R86" r:id="rId373"/>
    <hyperlink ref="AG86" r:id="rId374"/>
    <hyperlink ref="E87" r:id="rId375"/>
    <hyperlink ref="R87" r:id="rId376"/>
    <hyperlink ref="AG87" r:id="rId377"/>
    <hyperlink ref="R88" r:id="rId378"/>
    <hyperlink ref="AG88" r:id="rId379"/>
    <hyperlink ref="E89" r:id="rId380"/>
    <hyperlink ref="R89" r:id="rId381"/>
    <hyperlink ref="AG89" r:id="rId382"/>
  </hyperlinks>
  <pageMargins left="0.7" right="0.7" top="0.75" bottom="0.75" header="0.3" footer="0.3"/>
  <legacyDrawing r:id="rId38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</vt:i4>
      </vt:variant>
    </vt:vector>
  </HeadingPairs>
  <TitlesOfParts>
    <vt:vector size="14" baseType="lpstr">
      <vt:lpstr>kicost2. </vt:lpstr>
      <vt:lpstr>arrow_part_data</vt:lpstr>
      <vt:lpstr>BoardQty</vt:lpstr>
      <vt:lpstr>digikey_part_data</vt:lpstr>
      <vt:lpstr>farnell_part_data</vt:lpstr>
      <vt:lpstr>global_part_data</vt:lpstr>
      <vt:lpstr>lcsc_part_data</vt:lpstr>
      <vt:lpstr>mouser_part_data</vt:lpstr>
      <vt:lpstr>newark_part_data</vt:lpstr>
      <vt:lpstr>PURCHASE_DESCRIPTION</vt:lpstr>
      <vt:lpstr>rs_part_data</vt:lpstr>
      <vt:lpstr>tme_part_data</vt:lpstr>
      <vt:lpstr>TotalCost</vt:lpstr>
      <vt:lpstr>USD_GBP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2021-08-12T21:48:54Z</dcterms:created>
  <dcterms:modified xsi:type="dcterms:W3CDTF">2021-08-12T21:48:54Z</dcterms:modified>
</cp:coreProperties>
</file>